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755" firstSheet="2" activeTab="2"/>
  </bookViews>
  <sheets>
    <sheet name="Summary" sheetId="5" state="hidden" r:id="rId1"/>
    <sheet name="Capex &amp; Depreciation-31-03-2021" sheetId="1" state="hidden" r:id="rId2"/>
    <sheet name="Fixed Assets 30-09-2021" sheetId="6" r:id="rId3"/>
    <sheet name="addation-22" sheetId="7" r:id="rId4"/>
    <sheet name="dealation-22" sheetId="8" r:id="rId5"/>
  </sheets>
  <definedNames>
    <definedName name="_xlnm._FilterDatabase" localSheetId="1" hidden="1">'Capex &amp; Depreciation-31-03-2021'!$A$36:$T$2929</definedName>
    <definedName name="_xlnm._FilterDatabase" localSheetId="2" hidden="1">'Fixed Assets 30-09-2021'!$A$4:$T$2896</definedName>
  </definedNames>
  <calcPr calcId="144525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0" i="8" l="1"/>
  <c r="N48" i="8"/>
  <c r="H48" i="8"/>
  <c r="I48" i="8" s="1"/>
  <c r="M48" i="8" s="1"/>
  <c r="O48" i="8" s="1"/>
  <c r="P48" i="8" s="1"/>
  <c r="R48" i="8" s="1"/>
  <c r="S48" i="8" s="1"/>
  <c r="N47" i="8"/>
  <c r="H47" i="8"/>
  <c r="I47" i="8" s="1"/>
  <c r="M47" i="8" s="1"/>
  <c r="O47" i="8" s="1"/>
  <c r="P47" i="8" s="1"/>
  <c r="R47" i="8" s="1"/>
  <c r="S47" i="8" s="1"/>
  <c r="N46" i="8"/>
  <c r="H46" i="8"/>
  <c r="I46" i="8" s="1"/>
  <c r="M46" i="8" s="1"/>
  <c r="O46" i="8" s="1"/>
  <c r="P46" i="8" s="1"/>
  <c r="R46" i="8" s="1"/>
  <c r="S46" i="8" s="1"/>
  <c r="N45" i="8"/>
  <c r="H45" i="8"/>
  <c r="I45" i="8" s="1"/>
  <c r="M45" i="8" s="1"/>
  <c r="O45" i="8" s="1"/>
  <c r="P45" i="8" s="1"/>
  <c r="R45" i="8" s="1"/>
  <c r="S45" i="8" s="1"/>
  <c r="N44" i="8"/>
  <c r="H44" i="8"/>
  <c r="I44" i="8" s="1"/>
  <c r="M44" i="8" s="1"/>
  <c r="O44" i="8" s="1"/>
  <c r="P44" i="8" s="1"/>
  <c r="R44" i="8" s="1"/>
  <c r="S44" i="8" s="1"/>
  <c r="N43" i="8"/>
  <c r="H43" i="8"/>
  <c r="I43" i="8" s="1"/>
  <c r="M43" i="8" s="1"/>
  <c r="O43" i="8" s="1"/>
  <c r="P43" i="8" s="1"/>
  <c r="R43" i="8" s="1"/>
  <c r="S43" i="8" s="1"/>
  <c r="N42" i="8"/>
  <c r="H42" i="8"/>
  <c r="I42" i="8" s="1"/>
  <c r="M42" i="8" s="1"/>
  <c r="O42" i="8" s="1"/>
  <c r="P42" i="8" s="1"/>
  <c r="R42" i="8" s="1"/>
  <c r="S42" i="8" s="1"/>
  <c r="N41" i="8"/>
  <c r="H41" i="8"/>
  <c r="I41" i="8" s="1"/>
  <c r="M41" i="8" s="1"/>
  <c r="O41" i="8" s="1"/>
  <c r="P41" i="8" s="1"/>
  <c r="R41" i="8" s="1"/>
  <c r="S41" i="8" s="1"/>
  <c r="N40" i="8"/>
  <c r="H40" i="8"/>
  <c r="I40" i="8" s="1"/>
  <c r="M40" i="8" s="1"/>
  <c r="O40" i="8" s="1"/>
  <c r="P40" i="8" s="1"/>
  <c r="R40" i="8" s="1"/>
  <c r="S40" i="8" s="1"/>
  <c r="N39" i="8"/>
  <c r="H39" i="8"/>
  <c r="I39" i="8" s="1"/>
  <c r="M39" i="8" s="1"/>
  <c r="O39" i="8" s="1"/>
  <c r="P39" i="8" s="1"/>
  <c r="R39" i="8" s="1"/>
  <c r="S39" i="8" s="1"/>
  <c r="N38" i="8"/>
  <c r="H38" i="8"/>
  <c r="I38" i="8" s="1"/>
  <c r="M38" i="8" s="1"/>
  <c r="O38" i="8" s="1"/>
  <c r="P38" i="8" s="1"/>
  <c r="R38" i="8" s="1"/>
  <c r="S38" i="8" s="1"/>
  <c r="N37" i="8"/>
  <c r="H37" i="8"/>
  <c r="I37" i="8" s="1"/>
  <c r="M37" i="8" s="1"/>
  <c r="O37" i="8" s="1"/>
  <c r="P37" i="8" s="1"/>
  <c r="R37" i="8" s="1"/>
  <c r="S37" i="8" s="1"/>
  <c r="N36" i="8"/>
  <c r="M36" i="8"/>
  <c r="O36" i="8" s="1"/>
  <c r="P36" i="8" s="1"/>
  <c r="R36" i="8" s="1"/>
  <c r="S36" i="8" s="1"/>
  <c r="H36" i="8"/>
  <c r="I36" i="8" s="1"/>
  <c r="N35" i="8"/>
  <c r="H35" i="8"/>
  <c r="I35" i="8" s="1"/>
  <c r="M35" i="8" s="1"/>
  <c r="N34" i="8"/>
  <c r="H34" i="8"/>
  <c r="I34" i="8" s="1"/>
  <c r="M34" i="8" s="1"/>
  <c r="O34" i="8" s="1"/>
  <c r="P34" i="8" s="1"/>
  <c r="R34" i="8" s="1"/>
  <c r="S34" i="8" s="1"/>
  <c r="N33" i="8"/>
  <c r="H33" i="8"/>
  <c r="I33" i="8" s="1"/>
  <c r="M33" i="8" s="1"/>
  <c r="O33" i="8" s="1"/>
  <c r="P33" i="8" s="1"/>
  <c r="R33" i="8" s="1"/>
  <c r="S33" i="8" s="1"/>
  <c r="N32" i="8"/>
  <c r="M32" i="8"/>
  <c r="O32" i="8" s="1"/>
  <c r="P32" i="8" s="1"/>
  <c r="R32" i="8" s="1"/>
  <c r="S32" i="8" s="1"/>
  <c r="H32" i="8"/>
  <c r="I32" i="8" s="1"/>
  <c r="N31" i="8"/>
  <c r="H31" i="8"/>
  <c r="I31" i="8" s="1"/>
  <c r="M31" i="8" s="1"/>
  <c r="N30" i="8"/>
  <c r="M30" i="8"/>
  <c r="O30" i="8" s="1"/>
  <c r="P30" i="8" s="1"/>
  <c r="R30" i="8" s="1"/>
  <c r="S30" i="8" s="1"/>
  <c r="H30" i="8"/>
  <c r="I30" i="8" s="1"/>
  <c r="N29" i="8"/>
  <c r="H29" i="8"/>
  <c r="I29" i="8" s="1"/>
  <c r="M29" i="8" s="1"/>
  <c r="N28" i="8"/>
  <c r="H28" i="8"/>
  <c r="I28" i="8" s="1"/>
  <c r="M28" i="8" s="1"/>
  <c r="O28" i="8" s="1"/>
  <c r="P28" i="8" s="1"/>
  <c r="R28" i="8" s="1"/>
  <c r="S28" i="8" s="1"/>
  <c r="N27" i="8"/>
  <c r="H27" i="8"/>
  <c r="I27" i="8" s="1"/>
  <c r="M27" i="8" s="1"/>
  <c r="O27" i="8" s="1"/>
  <c r="P27" i="8" s="1"/>
  <c r="R27" i="8" s="1"/>
  <c r="S27" i="8" s="1"/>
  <c r="N26" i="8"/>
  <c r="H26" i="8"/>
  <c r="I26" i="8" s="1"/>
  <c r="M26" i="8" s="1"/>
  <c r="O26" i="8" s="1"/>
  <c r="P26" i="8" s="1"/>
  <c r="R26" i="8" s="1"/>
  <c r="S26" i="8" s="1"/>
  <c r="N25" i="8"/>
  <c r="H25" i="8"/>
  <c r="I25" i="8" s="1"/>
  <c r="M25" i="8" s="1"/>
  <c r="O25" i="8" s="1"/>
  <c r="P25" i="8" s="1"/>
  <c r="R25" i="8" s="1"/>
  <c r="S25" i="8" s="1"/>
  <c r="N24" i="8"/>
  <c r="M24" i="8"/>
  <c r="O24" i="8" s="1"/>
  <c r="P24" i="8" s="1"/>
  <c r="R24" i="8" s="1"/>
  <c r="S24" i="8" s="1"/>
  <c r="H24" i="8"/>
  <c r="I24" i="8" s="1"/>
  <c r="N23" i="8"/>
  <c r="H23" i="8"/>
  <c r="I23" i="8" s="1"/>
  <c r="M23" i="8" s="1"/>
  <c r="N22" i="8"/>
  <c r="M22" i="8"/>
  <c r="O22" i="8" s="1"/>
  <c r="P22" i="8" s="1"/>
  <c r="R22" i="8" s="1"/>
  <c r="S22" i="8" s="1"/>
  <c r="H22" i="8"/>
  <c r="I22" i="8" s="1"/>
  <c r="N21" i="8"/>
  <c r="H21" i="8"/>
  <c r="I21" i="8" s="1"/>
  <c r="M21" i="8" s="1"/>
  <c r="N20" i="8"/>
  <c r="H20" i="8"/>
  <c r="I20" i="8" s="1"/>
  <c r="M20" i="8" s="1"/>
  <c r="O20" i="8" s="1"/>
  <c r="P20" i="8" s="1"/>
  <c r="R20" i="8" s="1"/>
  <c r="S20" i="8" s="1"/>
  <c r="N19" i="8"/>
  <c r="H19" i="8"/>
  <c r="I19" i="8" s="1"/>
  <c r="M19" i="8" s="1"/>
  <c r="O19" i="8" s="1"/>
  <c r="P19" i="8" s="1"/>
  <c r="R19" i="8" s="1"/>
  <c r="S19" i="8" s="1"/>
  <c r="N18" i="8"/>
  <c r="M18" i="8"/>
  <c r="O18" i="8" s="1"/>
  <c r="P18" i="8" s="1"/>
  <c r="R18" i="8" s="1"/>
  <c r="S18" i="8" s="1"/>
  <c r="H18" i="8"/>
  <c r="I18" i="8" s="1"/>
  <c r="N17" i="8"/>
  <c r="K17" i="8"/>
  <c r="I17" i="8"/>
  <c r="M17" i="8" s="1"/>
  <c r="O17" i="8" s="1"/>
  <c r="P17" i="8" s="1"/>
  <c r="R17" i="8" s="1"/>
  <c r="S17" i="8" s="1"/>
  <c r="H17" i="8"/>
  <c r="N16" i="8"/>
  <c r="I16" i="8"/>
  <c r="M16" i="8" s="1"/>
  <c r="H16" i="8"/>
  <c r="N15" i="8"/>
  <c r="K15" i="8"/>
  <c r="P15" i="8" s="1"/>
  <c r="R15" i="8" s="1"/>
  <c r="S15" i="8" s="1"/>
  <c r="I15" i="8"/>
  <c r="M15" i="8" s="1"/>
  <c r="O15" i="8" s="1"/>
  <c r="J15" i="8" s="1"/>
  <c r="H15" i="8"/>
  <c r="P14" i="8"/>
  <c r="R14" i="8" s="1"/>
  <c r="S14" i="8" s="1"/>
  <c r="N14" i="8"/>
  <c r="K14" i="8"/>
  <c r="I14" i="8"/>
  <c r="M14" i="8" s="1"/>
  <c r="H14" i="8"/>
  <c r="N13" i="8"/>
  <c r="K13" i="8"/>
  <c r="H13" i="8"/>
  <c r="I13" i="8" s="1"/>
  <c r="M13" i="8" s="1"/>
  <c r="P12" i="8"/>
  <c r="R12" i="8" s="1"/>
  <c r="S12" i="8" s="1"/>
  <c r="N12" i="8"/>
  <c r="I12" i="8"/>
  <c r="M12" i="8" s="1"/>
  <c r="H12" i="8"/>
  <c r="N11" i="8"/>
  <c r="K11" i="8"/>
  <c r="I11" i="8"/>
  <c r="M11" i="8" s="1"/>
  <c r="O11" i="8" s="1"/>
  <c r="H11" i="8"/>
  <c r="N10" i="8"/>
  <c r="K10" i="8"/>
  <c r="I10" i="8"/>
  <c r="M10" i="8" s="1"/>
  <c r="O10" i="8" s="1"/>
  <c r="H10" i="8"/>
  <c r="G97" i="7"/>
  <c r="K91" i="7"/>
  <c r="M90" i="7"/>
  <c r="L90" i="7" s="1"/>
  <c r="K90" i="7"/>
  <c r="K89" i="7"/>
  <c r="M88" i="7"/>
  <c r="L88" i="7" s="1"/>
  <c r="K88" i="7"/>
  <c r="K87" i="7"/>
  <c r="M86" i="7"/>
  <c r="L86" i="7" s="1"/>
  <c r="K86" i="7"/>
  <c r="K85" i="7"/>
  <c r="M84" i="7"/>
  <c r="L84" i="7" s="1"/>
  <c r="K84" i="7"/>
  <c r="K83" i="7"/>
  <c r="M82" i="7"/>
  <c r="L82" i="7" s="1"/>
  <c r="K82" i="7"/>
  <c r="K81" i="7"/>
  <c r="M80" i="7"/>
  <c r="L80" i="7" s="1"/>
  <c r="K80" i="7"/>
  <c r="K79" i="7"/>
  <c r="M78" i="7"/>
  <c r="L78" i="7" s="1"/>
  <c r="K78" i="7"/>
  <c r="K77" i="7"/>
  <c r="M76" i="7"/>
  <c r="L76" i="7" s="1"/>
  <c r="K76" i="7"/>
  <c r="K75" i="7"/>
  <c r="M74" i="7"/>
  <c r="L74" i="7" s="1"/>
  <c r="K74" i="7"/>
  <c r="K73" i="7"/>
  <c r="M72" i="7"/>
  <c r="L72" i="7" s="1"/>
  <c r="K72" i="7"/>
  <c r="K71" i="7"/>
  <c r="M70" i="7"/>
  <c r="L70" i="7" s="1"/>
  <c r="K70" i="7"/>
  <c r="K69" i="7"/>
  <c r="M68" i="7"/>
  <c r="L68" i="7" s="1"/>
  <c r="K68" i="7"/>
  <c r="K67" i="7"/>
  <c r="M66" i="7"/>
  <c r="L66" i="7" s="1"/>
  <c r="K66" i="7"/>
  <c r="K65" i="7"/>
  <c r="M64" i="7"/>
  <c r="L64" i="7" s="1"/>
  <c r="H64" i="7"/>
  <c r="I64" i="7" s="1"/>
  <c r="K64" i="7" s="1"/>
  <c r="H63" i="7"/>
  <c r="I63" i="7" s="1"/>
  <c r="K63" i="7" s="1"/>
  <c r="H62" i="7"/>
  <c r="I62" i="7" s="1"/>
  <c r="K62" i="7" s="1"/>
  <c r="H61" i="7"/>
  <c r="I61" i="7" s="1"/>
  <c r="K61" i="7" s="1"/>
  <c r="H60" i="7"/>
  <c r="I60" i="7" s="1"/>
  <c r="K60" i="7" s="1"/>
  <c r="H59" i="7"/>
  <c r="I59" i="7" s="1"/>
  <c r="K59" i="7" s="1"/>
  <c r="H58" i="7"/>
  <c r="I58" i="7" s="1"/>
  <c r="K58" i="7" s="1"/>
  <c r="H57" i="7"/>
  <c r="I57" i="7" s="1"/>
  <c r="K57" i="7" s="1"/>
  <c r="M56" i="7"/>
  <c r="L56" i="7" s="1"/>
  <c r="H56" i="7"/>
  <c r="I56" i="7" s="1"/>
  <c r="K56" i="7" s="1"/>
  <c r="H55" i="7"/>
  <c r="I55" i="7" s="1"/>
  <c r="K55" i="7" s="1"/>
  <c r="H54" i="7"/>
  <c r="I54" i="7" s="1"/>
  <c r="K54" i="7" s="1"/>
  <c r="H53" i="7"/>
  <c r="I53" i="7" s="1"/>
  <c r="K53" i="7" s="1"/>
  <c r="H52" i="7"/>
  <c r="I52" i="7" s="1"/>
  <c r="K52" i="7" s="1"/>
  <c r="H51" i="7"/>
  <c r="I51" i="7" s="1"/>
  <c r="K51" i="7" s="1"/>
  <c r="H50" i="7"/>
  <c r="I50" i="7" s="1"/>
  <c r="K50" i="7" s="1"/>
  <c r="H49" i="7"/>
  <c r="I49" i="7" s="1"/>
  <c r="K49" i="7" s="1"/>
  <c r="M48" i="7"/>
  <c r="L48" i="7" s="1"/>
  <c r="H48" i="7"/>
  <c r="I48" i="7" s="1"/>
  <c r="K48" i="7" s="1"/>
  <c r="H47" i="7"/>
  <c r="I47" i="7" s="1"/>
  <c r="K47" i="7" s="1"/>
  <c r="H46" i="7"/>
  <c r="I46" i="7" s="1"/>
  <c r="K46" i="7" s="1"/>
  <c r="H45" i="7"/>
  <c r="I45" i="7" s="1"/>
  <c r="K45" i="7" s="1"/>
  <c r="H44" i="7"/>
  <c r="I44" i="7" s="1"/>
  <c r="K44" i="7" s="1"/>
  <c r="H43" i="7"/>
  <c r="I43" i="7" s="1"/>
  <c r="K43" i="7" s="1"/>
  <c r="H42" i="7"/>
  <c r="I42" i="7" s="1"/>
  <c r="K42" i="7" s="1"/>
  <c r="H41" i="7"/>
  <c r="I41" i="7" s="1"/>
  <c r="K41" i="7" s="1"/>
  <c r="M40" i="7"/>
  <c r="L40" i="7" s="1"/>
  <c r="H40" i="7"/>
  <c r="I40" i="7" s="1"/>
  <c r="K40" i="7" s="1"/>
  <c r="H39" i="7"/>
  <c r="I39" i="7" s="1"/>
  <c r="K39" i="7" s="1"/>
  <c r="H38" i="7"/>
  <c r="I38" i="7" s="1"/>
  <c r="K38" i="7" s="1"/>
  <c r="H37" i="7"/>
  <c r="I37" i="7" s="1"/>
  <c r="K37" i="7" s="1"/>
  <c r="H36" i="7"/>
  <c r="I36" i="7" s="1"/>
  <c r="K36" i="7" s="1"/>
  <c r="H35" i="7"/>
  <c r="I35" i="7" s="1"/>
  <c r="K35" i="7" s="1"/>
  <c r="H34" i="7"/>
  <c r="I34" i="7" s="1"/>
  <c r="K34" i="7" s="1"/>
  <c r="H33" i="7"/>
  <c r="I33" i="7" s="1"/>
  <c r="K33" i="7" s="1"/>
  <c r="M32" i="7"/>
  <c r="L32" i="7" s="1"/>
  <c r="H32" i="7"/>
  <c r="I32" i="7" s="1"/>
  <c r="K32" i="7" s="1"/>
  <c r="H31" i="7"/>
  <c r="I31" i="7" s="1"/>
  <c r="K31" i="7" s="1"/>
  <c r="H30" i="7"/>
  <c r="I30" i="7" s="1"/>
  <c r="K30" i="7" s="1"/>
  <c r="H29" i="7"/>
  <c r="I29" i="7" s="1"/>
  <c r="K29" i="7" s="1"/>
  <c r="H28" i="7"/>
  <c r="I28" i="7" s="1"/>
  <c r="K28" i="7" s="1"/>
  <c r="I27" i="7"/>
  <c r="K27" i="7" s="1"/>
  <c r="H27" i="7"/>
  <c r="H26" i="7"/>
  <c r="I26" i="7" s="1"/>
  <c r="K26" i="7" s="1"/>
  <c r="I25" i="7"/>
  <c r="K25" i="7" s="1"/>
  <c r="H25" i="7"/>
  <c r="H24" i="7"/>
  <c r="I24" i="7" s="1"/>
  <c r="K24" i="7" s="1"/>
  <c r="I23" i="7"/>
  <c r="K23" i="7" s="1"/>
  <c r="H23" i="7"/>
  <c r="H22" i="7"/>
  <c r="I22" i="7" s="1"/>
  <c r="K22" i="7" s="1"/>
  <c r="I21" i="7"/>
  <c r="K21" i="7" s="1"/>
  <c r="H21" i="7"/>
  <c r="H20" i="7"/>
  <c r="I20" i="7" s="1"/>
  <c r="K20" i="7" s="1"/>
  <c r="I19" i="7"/>
  <c r="K19" i="7" s="1"/>
  <c r="H19" i="7"/>
  <c r="H18" i="7"/>
  <c r="I18" i="7" s="1"/>
  <c r="K18" i="7" s="1"/>
  <c r="I17" i="7"/>
  <c r="K17" i="7" s="1"/>
  <c r="H17" i="7"/>
  <c r="I16" i="7"/>
  <c r="K16" i="7" s="1"/>
  <c r="H16" i="7"/>
  <c r="I15" i="7"/>
  <c r="K15" i="7" s="1"/>
  <c r="H15" i="7"/>
  <c r="M14" i="7"/>
  <c r="L14" i="7" s="1"/>
  <c r="H14" i="7"/>
  <c r="I14" i="7" s="1"/>
  <c r="K14" i="7" s="1"/>
  <c r="N14" i="7" s="1"/>
  <c r="O14" i="7" s="1"/>
  <c r="I13" i="7"/>
  <c r="K13" i="7" s="1"/>
  <c r="H13" i="7"/>
  <c r="M12" i="7"/>
  <c r="L12" i="7" s="1"/>
  <c r="H12" i="7"/>
  <c r="I12" i="7" s="1"/>
  <c r="K12" i="7" s="1"/>
  <c r="N12" i="7" s="1"/>
  <c r="O12" i="7" s="1"/>
  <c r="H11" i="7"/>
  <c r="I11" i="7" s="1"/>
  <c r="K11" i="7" s="1"/>
  <c r="K10" i="7"/>
  <c r="H10" i="7"/>
  <c r="I10" i="7" s="1"/>
  <c r="M7" i="7"/>
  <c r="M58" i="7" s="1"/>
  <c r="L58" i="7" s="1"/>
  <c r="O21" i="8" l="1"/>
  <c r="P21" i="8" s="1"/>
  <c r="R21" i="8" s="1"/>
  <c r="S21" i="8" s="1"/>
  <c r="O31" i="8"/>
  <c r="P31" i="8" s="1"/>
  <c r="R31" i="8" s="1"/>
  <c r="S31" i="8" s="1"/>
  <c r="O23" i="8"/>
  <c r="P23" i="8" s="1"/>
  <c r="R23" i="8" s="1"/>
  <c r="S23" i="8" s="1"/>
  <c r="O29" i="8"/>
  <c r="P29" i="8" s="1"/>
  <c r="R29" i="8" s="1"/>
  <c r="S29" i="8" s="1"/>
  <c r="O35" i="8"/>
  <c r="P35" i="8" s="1"/>
  <c r="R35" i="8" s="1"/>
  <c r="S35" i="8" s="1"/>
  <c r="O13" i="8"/>
  <c r="P11" i="8"/>
  <c r="S11" i="8" s="1"/>
  <c r="P10" i="8"/>
  <c r="O16" i="8"/>
  <c r="J16" i="8" s="1"/>
  <c r="K16" i="8" s="1"/>
  <c r="P16" i="8" s="1"/>
  <c r="R16" i="8" s="1"/>
  <c r="S16" i="8" s="1"/>
  <c r="N26" i="7"/>
  <c r="O26" i="7" s="1"/>
  <c r="N19" i="7"/>
  <c r="O19" i="7" s="1"/>
  <c r="N16" i="7"/>
  <c r="O16" i="7" s="1"/>
  <c r="N15" i="7"/>
  <c r="O15" i="7" s="1"/>
  <c r="N24" i="7"/>
  <c r="O24" i="7" s="1"/>
  <c r="M15" i="7"/>
  <c r="L15" i="7" s="1"/>
  <c r="M18" i="7"/>
  <c r="L18" i="7" s="1"/>
  <c r="M20" i="7"/>
  <c r="L20" i="7" s="1"/>
  <c r="M22" i="7"/>
  <c r="L22" i="7" s="1"/>
  <c r="M24" i="7"/>
  <c r="L24" i="7" s="1"/>
  <c r="M34" i="7"/>
  <c r="L34" i="7" s="1"/>
  <c r="M42" i="7"/>
  <c r="L42" i="7" s="1"/>
  <c r="M50" i="7"/>
  <c r="L50" i="7" s="1"/>
  <c r="N18" i="7"/>
  <c r="O18" i="7" s="1"/>
  <c r="M91" i="7"/>
  <c r="M87" i="7"/>
  <c r="M83" i="7"/>
  <c r="M79" i="7"/>
  <c r="M75" i="7"/>
  <c r="M71" i="7"/>
  <c r="M67" i="7"/>
  <c r="M61" i="7"/>
  <c r="L61" i="7" s="1"/>
  <c r="M57" i="7"/>
  <c r="L57" i="7" s="1"/>
  <c r="M53" i="7"/>
  <c r="L53" i="7" s="1"/>
  <c r="M49" i="7"/>
  <c r="L49" i="7" s="1"/>
  <c r="M45" i="7"/>
  <c r="L45" i="7" s="1"/>
  <c r="M41" i="7"/>
  <c r="L41" i="7" s="1"/>
  <c r="M37" i="7"/>
  <c r="L37" i="7" s="1"/>
  <c r="M33" i="7"/>
  <c r="L33" i="7" s="1"/>
  <c r="M29" i="7"/>
  <c r="L29" i="7" s="1"/>
  <c r="M89" i="7"/>
  <c r="M85" i="7"/>
  <c r="M81" i="7"/>
  <c r="M77" i="7"/>
  <c r="M73" i="7"/>
  <c r="M69" i="7"/>
  <c r="M65" i="7"/>
  <c r="M63" i="7"/>
  <c r="L63" i="7" s="1"/>
  <c r="M59" i="7"/>
  <c r="L59" i="7" s="1"/>
  <c r="M55" i="7"/>
  <c r="L55" i="7" s="1"/>
  <c r="M51" i="7"/>
  <c r="L51" i="7" s="1"/>
  <c r="M47" i="7"/>
  <c r="L47" i="7" s="1"/>
  <c r="M43" i="7"/>
  <c r="L43" i="7" s="1"/>
  <c r="M39" i="7"/>
  <c r="L39" i="7" s="1"/>
  <c r="M35" i="7"/>
  <c r="L35" i="7" s="1"/>
  <c r="M31" i="7"/>
  <c r="L31" i="7" s="1"/>
  <c r="M27" i="7"/>
  <c r="L27" i="7" s="1"/>
  <c r="M26" i="7"/>
  <c r="L26" i="7" s="1"/>
  <c r="M23" i="7"/>
  <c r="L23" i="7" s="1"/>
  <c r="M19" i="7"/>
  <c r="L19" i="7" s="1"/>
  <c r="M25" i="7"/>
  <c r="L25" i="7" s="1"/>
  <c r="M21" i="7"/>
  <c r="L21" i="7" s="1"/>
  <c r="M17" i="7"/>
  <c r="M13" i="7"/>
  <c r="L13" i="7" s="1"/>
  <c r="M10" i="7"/>
  <c r="L10" i="7" s="1"/>
  <c r="M16" i="7"/>
  <c r="L16" i="7" s="1"/>
  <c r="M28" i="7"/>
  <c r="L28" i="7" s="1"/>
  <c r="N33" i="7"/>
  <c r="O33" i="7" s="1"/>
  <c r="M36" i="7"/>
  <c r="L36" i="7" s="1"/>
  <c r="M44" i="7"/>
  <c r="L44" i="7" s="1"/>
  <c r="N49" i="7"/>
  <c r="O49" i="7" s="1"/>
  <c r="M52" i="7"/>
  <c r="L52" i="7" s="1"/>
  <c r="M60" i="7"/>
  <c r="L60" i="7" s="1"/>
  <c r="N22" i="7"/>
  <c r="O22" i="7" s="1"/>
  <c r="N58" i="7"/>
  <c r="O58" i="7" s="1"/>
  <c r="M11" i="7"/>
  <c r="L11" i="7" s="1"/>
  <c r="M30" i="7"/>
  <c r="L30" i="7" s="1"/>
  <c r="N32" i="7"/>
  <c r="O32" i="7" s="1"/>
  <c r="N35" i="7"/>
  <c r="O35" i="7" s="1"/>
  <c r="M38" i="7"/>
  <c r="L38" i="7" s="1"/>
  <c r="N40" i="7"/>
  <c r="O40" i="7" s="1"/>
  <c r="M46" i="7"/>
  <c r="L46" i="7" s="1"/>
  <c r="N48" i="7"/>
  <c r="O48" i="7" s="1"/>
  <c r="N51" i="7"/>
  <c r="O51" i="7" s="1"/>
  <c r="M54" i="7"/>
  <c r="L54" i="7" s="1"/>
  <c r="N56" i="7"/>
  <c r="O56" i="7" s="1"/>
  <c r="M62" i="7"/>
  <c r="L62" i="7" s="1"/>
  <c r="N64" i="7"/>
  <c r="O64" i="7" s="1"/>
  <c r="N66" i="7"/>
  <c r="O66" i="7" s="1"/>
  <c r="N70" i="7"/>
  <c r="O70" i="7" s="1"/>
  <c r="N74" i="7"/>
  <c r="O74" i="7" s="1"/>
  <c r="N78" i="7"/>
  <c r="O78" i="7" s="1"/>
  <c r="N82" i="7"/>
  <c r="O82" i="7" s="1"/>
  <c r="N86" i="7"/>
  <c r="O86" i="7" s="1"/>
  <c r="N90" i="7"/>
  <c r="O90" i="7" s="1"/>
  <c r="N68" i="7"/>
  <c r="O68" i="7" s="1"/>
  <c r="N72" i="7"/>
  <c r="O72" i="7" s="1"/>
  <c r="N76" i="7"/>
  <c r="O76" i="7" s="1"/>
  <c r="N80" i="7"/>
  <c r="O80" i="7" s="1"/>
  <c r="N84" i="7"/>
  <c r="O84" i="7" s="1"/>
  <c r="N88" i="7"/>
  <c r="O88" i="7" s="1"/>
  <c r="N61" i="7" l="1"/>
  <c r="O61" i="7" s="1"/>
  <c r="N62" i="7"/>
  <c r="O62" i="7" s="1"/>
  <c r="N30" i="7"/>
  <c r="O30" i="7" s="1"/>
  <c r="N50" i="7"/>
  <c r="O50" i="7" s="1"/>
  <c r="N53" i="7"/>
  <c r="O53" i="7" s="1"/>
  <c r="N54" i="7"/>
  <c r="O54" i="7" s="1"/>
  <c r="N55" i="7"/>
  <c r="O55" i="7" s="1"/>
  <c r="P13" i="8"/>
  <c r="R13" i="8" s="1"/>
  <c r="S13" i="8" s="1"/>
  <c r="S10" i="8"/>
  <c r="L73" i="7"/>
  <c r="N73" i="7"/>
  <c r="O73" i="7" s="1"/>
  <c r="L75" i="7"/>
  <c r="N75" i="7"/>
  <c r="O75" i="7" s="1"/>
  <c r="L77" i="7"/>
  <c r="N77" i="7"/>
  <c r="O77" i="7" s="1"/>
  <c r="N31" i="7"/>
  <c r="O31" i="7" s="1"/>
  <c r="N45" i="7"/>
  <c r="O45" i="7" s="1"/>
  <c r="N38" i="7"/>
  <c r="O38" i="7" s="1"/>
  <c r="N17" i="7"/>
  <c r="O17" i="7" s="1"/>
  <c r="L17" i="7"/>
  <c r="L65" i="7"/>
  <c r="N65" i="7"/>
  <c r="O65" i="7" s="1"/>
  <c r="L81" i="7"/>
  <c r="N81" i="7"/>
  <c r="O81" i="7" s="1"/>
  <c r="L67" i="7"/>
  <c r="N67" i="7"/>
  <c r="O67" i="7" s="1"/>
  <c r="L83" i="7"/>
  <c r="N83" i="7"/>
  <c r="O83" i="7" s="1"/>
  <c r="N29" i="7"/>
  <c r="O29" i="7" s="1"/>
  <c r="N63" i="7"/>
  <c r="O63" i="7" s="1"/>
  <c r="N39" i="7"/>
  <c r="O39" i="7" s="1"/>
  <c r="N28" i="7"/>
  <c r="O28" i="7" s="1"/>
  <c r="N37" i="7"/>
  <c r="O37" i="7" s="1"/>
  <c r="N13" i="7"/>
  <c r="O13" i="7" s="1"/>
  <c r="N23" i="7"/>
  <c r="O23" i="7" s="1"/>
  <c r="L89" i="7"/>
  <c r="N89" i="7"/>
  <c r="O89" i="7" s="1"/>
  <c r="L91" i="7"/>
  <c r="N91" i="7"/>
  <c r="O91" i="7" s="1"/>
  <c r="N44" i="7"/>
  <c r="O44" i="7" s="1"/>
  <c r="N43" i="7"/>
  <c r="O43" i="7" s="1"/>
  <c r="N41" i="7"/>
  <c r="O41" i="7" s="1"/>
  <c r="L79" i="7"/>
  <c r="N79" i="7"/>
  <c r="O79" i="7" s="1"/>
  <c r="N10" i="7"/>
  <c r="N52" i="7"/>
  <c r="O52" i="7" s="1"/>
  <c r="N25" i="7"/>
  <c r="O25" i="7" s="1"/>
  <c r="N59" i="7"/>
  <c r="O59" i="7" s="1"/>
  <c r="N27" i="7"/>
  <c r="O27" i="7" s="1"/>
  <c r="N42" i="7"/>
  <c r="O42" i="7" s="1"/>
  <c r="N57" i="7"/>
  <c r="O57" i="7" s="1"/>
  <c r="N46" i="7"/>
  <c r="O46" i="7" s="1"/>
  <c r="L69" i="7"/>
  <c r="N69" i="7"/>
  <c r="O69" i="7" s="1"/>
  <c r="L85" i="7"/>
  <c r="N85" i="7"/>
  <c r="O85" i="7" s="1"/>
  <c r="L71" i="7"/>
  <c r="N71" i="7"/>
  <c r="O71" i="7" s="1"/>
  <c r="L87" i="7"/>
  <c r="N87" i="7"/>
  <c r="O87" i="7" s="1"/>
  <c r="N20" i="7"/>
  <c r="O20" i="7" s="1"/>
  <c r="N60" i="7"/>
  <c r="O60" i="7" s="1"/>
  <c r="N47" i="7"/>
  <c r="O47" i="7" s="1"/>
  <c r="N36" i="7"/>
  <c r="O36" i="7" s="1"/>
  <c r="N34" i="7"/>
  <c r="O34" i="7" s="1"/>
  <c r="N11" i="7"/>
  <c r="O11" i="7" s="1"/>
  <c r="N21" i="7"/>
  <c r="O21" i="7" s="1"/>
  <c r="O10" i="7" l="1"/>
  <c r="S1917" i="6" l="1"/>
  <c r="S1896" i="6"/>
  <c r="L23" i="6"/>
  <c r="P116" i="6" l="1"/>
  <c r="P2896" i="6"/>
  <c r="P2895" i="6"/>
  <c r="P2894" i="6"/>
  <c r="P2893" i="6"/>
  <c r="P2892" i="6"/>
  <c r="P2891" i="6"/>
  <c r="P2890" i="6"/>
  <c r="P2889" i="6"/>
  <c r="P2888" i="6"/>
  <c r="P2887" i="6"/>
  <c r="P2886" i="6"/>
  <c r="P2885" i="6"/>
  <c r="P2884" i="6"/>
  <c r="P2883" i="6"/>
  <c r="P2882" i="6"/>
  <c r="P2881" i="6"/>
  <c r="P2880" i="6"/>
  <c r="P2879" i="6"/>
  <c r="P2878" i="6"/>
  <c r="P2877" i="6"/>
  <c r="P2876" i="6"/>
  <c r="P2875" i="6"/>
  <c r="P2874" i="6"/>
  <c r="P2873" i="6"/>
  <c r="P2872" i="6"/>
  <c r="P2871" i="6"/>
  <c r="P2870" i="6"/>
  <c r="P2869" i="6"/>
  <c r="P2868" i="6"/>
  <c r="P2867" i="6"/>
  <c r="P2866" i="6"/>
  <c r="P2865" i="6"/>
  <c r="P2864" i="6"/>
  <c r="P2863" i="6"/>
  <c r="P2862" i="6"/>
  <c r="P2861" i="6"/>
  <c r="P2860" i="6"/>
  <c r="P2859" i="6"/>
  <c r="P2858" i="6"/>
  <c r="P2857" i="6"/>
  <c r="P2856" i="6"/>
  <c r="P2855" i="6"/>
  <c r="P2854" i="6"/>
  <c r="P2853" i="6"/>
  <c r="P2852" i="6"/>
  <c r="P2851" i="6"/>
  <c r="P2850" i="6"/>
  <c r="P2849" i="6"/>
  <c r="P2848" i="6"/>
  <c r="P2847" i="6"/>
  <c r="P2846" i="6"/>
  <c r="P2845" i="6"/>
  <c r="P2844" i="6"/>
  <c r="P2843" i="6"/>
  <c r="P2842" i="6"/>
  <c r="P2841" i="6"/>
  <c r="P2840" i="6"/>
  <c r="P2839" i="6"/>
  <c r="P2838" i="6"/>
  <c r="P2837" i="6"/>
  <c r="P2836" i="6"/>
  <c r="P2835" i="6"/>
  <c r="P2834" i="6"/>
  <c r="P2833" i="6"/>
  <c r="P2832" i="6"/>
  <c r="P2831" i="6"/>
  <c r="P2830" i="6"/>
  <c r="P2829" i="6"/>
  <c r="P2828" i="6"/>
  <c r="P2827" i="6"/>
  <c r="P2826" i="6"/>
  <c r="P2825" i="6"/>
  <c r="P2824" i="6"/>
  <c r="P2823" i="6"/>
  <c r="P2822" i="6"/>
  <c r="P2821" i="6"/>
  <c r="P2820" i="6"/>
  <c r="P2819" i="6"/>
  <c r="P2818" i="6"/>
  <c r="P2817" i="6"/>
  <c r="P2816" i="6"/>
  <c r="P2815" i="6"/>
  <c r="P2814" i="6"/>
  <c r="P2813" i="6"/>
  <c r="P2812" i="6"/>
  <c r="P2811" i="6"/>
  <c r="P2810" i="6"/>
  <c r="P2809" i="6"/>
  <c r="P2808" i="6"/>
  <c r="P2807" i="6"/>
  <c r="P2806" i="6"/>
  <c r="P2805" i="6"/>
  <c r="P2804" i="6"/>
  <c r="P2803" i="6"/>
  <c r="P2802" i="6"/>
  <c r="P2801" i="6"/>
  <c r="P2800" i="6"/>
  <c r="P2799" i="6"/>
  <c r="P2798" i="6"/>
  <c r="P2797" i="6"/>
  <c r="P2796" i="6"/>
  <c r="P2795" i="6"/>
  <c r="P2794" i="6"/>
  <c r="P2793" i="6"/>
  <c r="P2792" i="6"/>
  <c r="P2791" i="6"/>
  <c r="P2790" i="6"/>
  <c r="P2789" i="6"/>
  <c r="P2788" i="6"/>
  <c r="P2787" i="6"/>
  <c r="P2786" i="6"/>
  <c r="P2785" i="6"/>
  <c r="P2784" i="6"/>
  <c r="P2783" i="6"/>
  <c r="P2782" i="6"/>
  <c r="P2781" i="6"/>
  <c r="P2780" i="6"/>
  <c r="P2779" i="6"/>
  <c r="P2778" i="6"/>
  <c r="P2777" i="6"/>
  <c r="P2776" i="6"/>
  <c r="P2775" i="6"/>
  <c r="P2774" i="6"/>
  <c r="P2773" i="6"/>
  <c r="P2772" i="6"/>
  <c r="P2771" i="6"/>
  <c r="P2770" i="6"/>
  <c r="P2769" i="6"/>
  <c r="P2768" i="6"/>
  <c r="P2767" i="6"/>
  <c r="P2766" i="6"/>
  <c r="P2765" i="6"/>
  <c r="P2764" i="6"/>
  <c r="P2763" i="6"/>
  <c r="P2762" i="6"/>
  <c r="P2761" i="6"/>
  <c r="P2760" i="6"/>
  <c r="P2759" i="6"/>
  <c r="P2758" i="6"/>
  <c r="P2757" i="6"/>
  <c r="P2756" i="6"/>
  <c r="P2755" i="6"/>
  <c r="P2754" i="6"/>
  <c r="P2753" i="6"/>
  <c r="P2752" i="6"/>
  <c r="P2751" i="6"/>
  <c r="P2750" i="6"/>
  <c r="P2749" i="6"/>
  <c r="P2748" i="6"/>
  <c r="P2747" i="6"/>
  <c r="P2746" i="6"/>
  <c r="P2745" i="6"/>
  <c r="P2744" i="6"/>
  <c r="P2743" i="6"/>
  <c r="P2742" i="6"/>
  <c r="P2741" i="6"/>
  <c r="P2740" i="6"/>
  <c r="P2739" i="6"/>
  <c r="P2738" i="6"/>
  <c r="P2737" i="6"/>
  <c r="P2736" i="6"/>
  <c r="P2735" i="6"/>
  <c r="P2734" i="6"/>
  <c r="P2733" i="6"/>
  <c r="P2732" i="6"/>
  <c r="P2731" i="6"/>
  <c r="P2730" i="6"/>
  <c r="P2729" i="6"/>
  <c r="P2728" i="6"/>
  <c r="P2727" i="6"/>
  <c r="P2726" i="6"/>
  <c r="P2725" i="6"/>
  <c r="P2724" i="6"/>
  <c r="P2723" i="6"/>
  <c r="P2722" i="6"/>
  <c r="P2721" i="6"/>
  <c r="P2720" i="6"/>
  <c r="P2719" i="6"/>
  <c r="P2718" i="6"/>
  <c r="P2717" i="6"/>
  <c r="P2716" i="6"/>
  <c r="P2715" i="6"/>
  <c r="P2714" i="6"/>
  <c r="P2713" i="6"/>
  <c r="P2712" i="6"/>
  <c r="P2711" i="6"/>
  <c r="P2710" i="6"/>
  <c r="P2709" i="6"/>
  <c r="P2708" i="6"/>
  <c r="P2707" i="6"/>
  <c r="P2706" i="6"/>
  <c r="P2705" i="6"/>
  <c r="P2704" i="6"/>
  <c r="P2703" i="6"/>
  <c r="P2702" i="6"/>
  <c r="P2701" i="6"/>
  <c r="P2700" i="6"/>
  <c r="P2699" i="6"/>
  <c r="P2698" i="6"/>
  <c r="P2697" i="6"/>
  <c r="P2696" i="6"/>
  <c r="P2695" i="6"/>
  <c r="P2694" i="6"/>
  <c r="P2693" i="6"/>
  <c r="P2692" i="6"/>
  <c r="P2691" i="6"/>
  <c r="P2690" i="6"/>
  <c r="P2689" i="6"/>
  <c r="P2688" i="6"/>
  <c r="P2687" i="6"/>
  <c r="P2686" i="6"/>
  <c r="P2685" i="6"/>
  <c r="P2684" i="6"/>
  <c r="P2683" i="6"/>
  <c r="P2682" i="6"/>
  <c r="P2681" i="6"/>
  <c r="P2680" i="6"/>
  <c r="P2679" i="6"/>
  <c r="P2678" i="6"/>
  <c r="P2677" i="6"/>
  <c r="P2676" i="6"/>
  <c r="P2675" i="6"/>
  <c r="P2674" i="6"/>
  <c r="P2673" i="6"/>
  <c r="P2672" i="6"/>
  <c r="P2671" i="6"/>
  <c r="P2670" i="6"/>
  <c r="P2669" i="6"/>
  <c r="P2668" i="6"/>
  <c r="P2667" i="6"/>
  <c r="P2666" i="6"/>
  <c r="P2665" i="6"/>
  <c r="P2664" i="6"/>
  <c r="P2663" i="6"/>
  <c r="P2662" i="6"/>
  <c r="P2661" i="6"/>
  <c r="P2660" i="6"/>
  <c r="P2659" i="6"/>
  <c r="P2658" i="6"/>
  <c r="P2657" i="6"/>
  <c r="P2656" i="6"/>
  <c r="P2655" i="6"/>
  <c r="P2654" i="6"/>
  <c r="P2653" i="6"/>
  <c r="P2652" i="6"/>
  <c r="P2651" i="6"/>
  <c r="P2650" i="6"/>
  <c r="P2649" i="6"/>
  <c r="P2648" i="6"/>
  <c r="P2647" i="6"/>
  <c r="P2646" i="6"/>
  <c r="P2645" i="6"/>
  <c r="P2644" i="6"/>
  <c r="P2643" i="6"/>
  <c r="P2642" i="6"/>
  <c r="P2641" i="6"/>
  <c r="P2640" i="6"/>
  <c r="P2639" i="6"/>
  <c r="P2638" i="6"/>
  <c r="P2637" i="6"/>
  <c r="P2636" i="6"/>
  <c r="P2635" i="6"/>
  <c r="P2634" i="6"/>
  <c r="P2633" i="6"/>
  <c r="P2632" i="6"/>
  <c r="P2631" i="6"/>
  <c r="P2630" i="6"/>
  <c r="P2629" i="6"/>
  <c r="P2628" i="6"/>
  <c r="P2627" i="6"/>
  <c r="P2626" i="6"/>
  <c r="P2625" i="6"/>
  <c r="P2624" i="6"/>
  <c r="P2623" i="6"/>
  <c r="P2622" i="6"/>
  <c r="P2621" i="6"/>
  <c r="P2620" i="6"/>
  <c r="P2619" i="6"/>
  <c r="P2618" i="6"/>
  <c r="P2617" i="6"/>
  <c r="P2616" i="6"/>
  <c r="P2615" i="6"/>
  <c r="P2614" i="6"/>
  <c r="P2613" i="6"/>
  <c r="P2612" i="6"/>
  <c r="P2611" i="6"/>
  <c r="P2610" i="6"/>
  <c r="P2609" i="6"/>
  <c r="P2608" i="6"/>
  <c r="P2607" i="6"/>
  <c r="P2606" i="6"/>
  <c r="P2605" i="6"/>
  <c r="P2604" i="6"/>
  <c r="P2603" i="6"/>
  <c r="P2602" i="6"/>
  <c r="P2601" i="6"/>
  <c r="P2600" i="6"/>
  <c r="P2599" i="6"/>
  <c r="P2598" i="6"/>
  <c r="P2597" i="6"/>
  <c r="P2596" i="6"/>
  <c r="P2595" i="6"/>
  <c r="P2594" i="6"/>
  <c r="P2593" i="6"/>
  <c r="P2592" i="6"/>
  <c r="P2591" i="6"/>
  <c r="P2590" i="6"/>
  <c r="P2589" i="6"/>
  <c r="P2588" i="6"/>
  <c r="P2587" i="6"/>
  <c r="P2586" i="6"/>
  <c r="P2585" i="6"/>
  <c r="P2584" i="6"/>
  <c r="P2583" i="6"/>
  <c r="P2582" i="6"/>
  <c r="P2581" i="6"/>
  <c r="P2580" i="6"/>
  <c r="P2579" i="6"/>
  <c r="P2578" i="6"/>
  <c r="P2577" i="6"/>
  <c r="P2576" i="6"/>
  <c r="P2575" i="6"/>
  <c r="P2574" i="6"/>
  <c r="P2573" i="6"/>
  <c r="P2572" i="6"/>
  <c r="P2571" i="6"/>
  <c r="P2570" i="6"/>
  <c r="P2569" i="6"/>
  <c r="P2568" i="6"/>
  <c r="P2567" i="6"/>
  <c r="P2566" i="6"/>
  <c r="P2565" i="6"/>
  <c r="P2564" i="6"/>
  <c r="P2563" i="6"/>
  <c r="P2562" i="6"/>
  <c r="P2561" i="6"/>
  <c r="P2560" i="6"/>
  <c r="P2559" i="6"/>
  <c r="P2558" i="6"/>
  <c r="P2557" i="6"/>
  <c r="P2556" i="6"/>
  <c r="P2555" i="6"/>
  <c r="P2554" i="6"/>
  <c r="P2553" i="6"/>
  <c r="P2552" i="6"/>
  <c r="P2551" i="6"/>
  <c r="P2550" i="6"/>
  <c r="P2549" i="6"/>
  <c r="P2548" i="6"/>
  <c r="P2547" i="6"/>
  <c r="P2546" i="6"/>
  <c r="P2545" i="6"/>
  <c r="P2544" i="6"/>
  <c r="P2543" i="6"/>
  <c r="P2542" i="6"/>
  <c r="P2541" i="6"/>
  <c r="P2540" i="6"/>
  <c r="P2539" i="6"/>
  <c r="P2538" i="6"/>
  <c r="P2537" i="6"/>
  <c r="P2536" i="6"/>
  <c r="P2535" i="6"/>
  <c r="P2534" i="6"/>
  <c r="P2533" i="6"/>
  <c r="P2532" i="6"/>
  <c r="P2531" i="6"/>
  <c r="P2530" i="6"/>
  <c r="P2529" i="6"/>
  <c r="P2528" i="6"/>
  <c r="P2527" i="6"/>
  <c r="P2526" i="6"/>
  <c r="P2525" i="6"/>
  <c r="P2524" i="6"/>
  <c r="P2523" i="6"/>
  <c r="P2522" i="6"/>
  <c r="P2521" i="6"/>
  <c r="P2520" i="6"/>
  <c r="P2519" i="6"/>
  <c r="P2518" i="6"/>
  <c r="P2517" i="6"/>
  <c r="P2516" i="6"/>
  <c r="P2515" i="6"/>
  <c r="P2514" i="6"/>
  <c r="P2513" i="6"/>
  <c r="P2512" i="6"/>
  <c r="P2511" i="6"/>
  <c r="P2510" i="6"/>
  <c r="P2509" i="6"/>
  <c r="P2508" i="6"/>
  <c r="P2507" i="6"/>
  <c r="P2506" i="6"/>
  <c r="P2505" i="6"/>
  <c r="P2504" i="6"/>
  <c r="P2503" i="6"/>
  <c r="P2502" i="6"/>
  <c r="P2501" i="6"/>
  <c r="P2500" i="6"/>
  <c r="P2499" i="6"/>
  <c r="P2498" i="6"/>
  <c r="P2497" i="6"/>
  <c r="P2496" i="6"/>
  <c r="P2495" i="6"/>
  <c r="P2494" i="6"/>
  <c r="P2493" i="6"/>
  <c r="P2492" i="6"/>
  <c r="P2491" i="6"/>
  <c r="P2490" i="6"/>
  <c r="P2489" i="6"/>
  <c r="P2488" i="6"/>
  <c r="P2487" i="6"/>
  <c r="P2486" i="6"/>
  <c r="P2485" i="6"/>
  <c r="P2484" i="6"/>
  <c r="P2483" i="6"/>
  <c r="P2482" i="6"/>
  <c r="P2481" i="6"/>
  <c r="P2480" i="6"/>
  <c r="P2479" i="6"/>
  <c r="P2478" i="6"/>
  <c r="P2477" i="6"/>
  <c r="P2476" i="6"/>
  <c r="P2475" i="6"/>
  <c r="P2474" i="6"/>
  <c r="P2473" i="6"/>
  <c r="P2472" i="6"/>
  <c r="P2471" i="6"/>
  <c r="P2470" i="6"/>
  <c r="P2469" i="6"/>
  <c r="P2468" i="6"/>
  <c r="P2467" i="6"/>
  <c r="P2466" i="6"/>
  <c r="P2465" i="6"/>
  <c r="P2464" i="6"/>
  <c r="P2463" i="6"/>
  <c r="P2462" i="6"/>
  <c r="P2461" i="6"/>
  <c r="P2460" i="6"/>
  <c r="P2459" i="6"/>
  <c r="P2458" i="6"/>
  <c r="P2457" i="6"/>
  <c r="P2456" i="6"/>
  <c r="P2455" i="6"/>
  <c r="P2454" i="6"/>
  <c r="P2453" i="6"/>
  <c r="P2452" i="6"/>
  <c r="P2451" i="6"/>
  <c r="P2450" i="6"/>
  <c r="P2449" i="6"/>
  <c r="P2448" i="6"/>
  <c r="P2447" i="6"/>
  <c r="P2446" i="6"/>
  <c r="P2445" i="6"/>
  <c r="P2444" i="6"/>
  <c r="P2443" i="6"/>
  <c r="P2442" i="6"/>
  <c r="P2441" i="6"/>
  <c r="P2440" i="6"/>
  <c r="P2439" i="6"/>
  <c r="P2438" i="6"/>
  <c r="P2437" i="6"/>
  <c r="P2436" i="6"/>
  <c r="P2435" i="6"/>
  <c r="P2434" i="6"/>
  <c r="P2433" i="6"/>
  <c r="P2432" i="6"/>
  <c r="P2431" i="6"/>
  <c r="P2430" i="6"/>
  <c r="P2429" i="6"/>
  <c r="P2428" i="6"/>
  <c r="P2427" i="6"/>
  <c r="P2426" i="6"/>
  <c r="P2425" i="6"/>
  <c r="P2424" i="6"/>
  <c r="P2423" i="6"/>
  <c r="P2422" i="6"/>
  <c r="P2421" i="6"/>
  <c r="P2420" i="6"/>
  <c r="P2419" i="6"/>
  <c r="P2418" i="6"/>
  <c r="P2417" i="6"/>
  <c r="P2416" i="6"/>
  <c r="P2415" i="6"/>
  <c r="P2414" i="6"/>
  <c r="P2413" i="6"/>
  <c r="P2412" i="6"/>
  <c r="P2411" i="6"/>
  <c r="P2410" i="6"/>
  <c r="P2409" i="6"/>
  <c r="P2408" i="6"/>
  <c r="P2407" i="6"/>
  <c r="P2406" i="6"/>
  <c r="P2405" i="6"/>
  <c r="P2404" i="6"/>
  <c r="P2403" i="6"/>
  <c r="P2402" i="6"/>
  <c r="P2401" i="6"/>
  <c r="P2400" i="6"/>
  <c r="P2399" i="6"/>
  <c r="P2398" i="6"/>
  <c r="P2397" i="6"/>
  <c r="P2396" i="6"/>
  <c r="P2395" i="6"/>
  <c r="P2394" i="6"/>
  <c r="P2393" i="6"/>
  <c r="P2392" i="6"/>
  <c r="P2391" i="6"/>
  <c r="P2390" i="6"/>
  <c r="P2389" i="6"/>
  <c r="P2388" i="6"/>
  <c r="P2387" i="6"/>
  <c r="P2386" i="6"/>
  <c r="P2385" i="6"/>
  <c r="P2384" i="6"/>
  <c r="P2383" i="6"/>
  <c r="P2382" i="6"/>
  <c r="P2381" i="6"/>
  <c r="P2380" i="6"/>
  <c r="P2379" i="6"/>
  <c r="P2378" i="6"/>
  <c r="P2377" i="6"/>
  <c r="P2376" i="6"/>
  <c r="P2375" i="6"/>
  <c r="P2374" i="6"/>
  <c r="P2373" i="6"/>
  <c r="P2372" i="6"/>
  <c r="P2371" i="6"/>
  <c r="P2370" i="6"/>
  <c r="P2369" i="6"/>
  <c r="P2368" i="6"/>
  <c r="P2367" i="6"/>
  <c r="P2366" i="6"/>
  <c r="P2365" i="6"/>
  <c r="P2364" i="6"/>
  <c r="P2363" i="6"/>
  <c r="P2362" i="6"/>
  <c r="P2361" i="6"/>
  <c r="P2360" i="6"/>
  <c r="P2359" i="6"/>
  <c r="P2358" i="6"/>
  <c r="P2357" i="6"/>
  <c r="P2356" i="6"/>
  <c r="P2355" i="6"/>
  <c r="P2354" i="6"/>
  <c r="P2353" i="6"/>
  <c r="P2352" i="6"/>
  <c r="P2351" i="6"/>
  <c r="P2350" i="6"/>
  <c r="P2349" i="6"/>
  <c r="P2348" i="6"/>
  <c r="P2347" i="6"/>
  <c r="P2346" i="6"/>
  <c r="P2345" i="6"/>
  <c r="P2344" i="6"/>
  <c r="P2343" i="6"/>
  <c r="P2342" i="6"/>
  <c r="P2341" i="6"/>
  <c r="P2340" i="6"/>
  <c r="P2339" i="6"/>
  <c r="P2338" i="6"/>
  <c r="P2337" i="6"/>
  <c r="P2336" i="6"/>
  <c r="P2335" i="6"/>
  <c r="P2334" i="6"/>
  <c r="P2333" i="6"/>
  <c r="P2332" i="6"/>
  <c r="P2331" i="6"/>
  <c r="P2330" i="6"/>
  <c r="P2329" i="6"/>
  <c r="P2328" i="6"/>
  <c r="P2327" i="6"/>
  <c r="P2326" i="6"/>
  <c r="P2325" i="6"/>
  <c r="P2324" i="6"/>
  <c r="P2323" i="6"/>
  <c r="P2322" i="6"/>
  <c r="P2321" i="6"/>
  <c r="P2320" i="6"/>
  <c r="P2319" i="6"/>
  <c r="P2318" i="6"/>
  <c r="P2317" i="6"/>
  <c r="P2316" i="6"/>
  <c r="P2315" i="6"/>
  <c r="P2314" i="6"/>
  <c r="P2313" i="6"/>
  <c r="P2312" i="6"/>
  <c r="P2311" i="6"/>
  <c r="P2310" i="6"/>
  <c r="P2309" i="6"/>
  <c r="P2308" i="6"/>
  <c r="P2307" i="6"/>
  <c r="P2306" i="6"/>
  <c r="P2305" i="6"/>
  <c r="P2304" i="6"/>
  <c r="P2303" i="6"/>
  <c r="P2302" i="6"/>
  <c r="P2301" i="6"/>
  <c r="P2300" i="6"/>
  <c r="P2299" i="6"/>
  <c r="P2298" i="6"/>
  <c r="P2297" i="6"/>
  <c r="P2296" i="6"/>
  <c r="P2295" i="6"/>
  <c r="P2294" i="6"/>
  <c r="P2293" i="6"/>
  <c r="P2292" i="6"/>
  <c r="P2291" i="6"/>
  <c r="P2290" i="6"/>
  <c r="P2289" i="6"/>
  <c r="P2288" i="6"/>
  <c r="P2287" i="6"/>
  <c r="P2286" i="6"/>
  <c r="P2285" i="6"/>
  <c r="P2284" i="6"/>
  <c r="P2283" i="6"/>
  <c r="P2282" i="6"/>
  <c r="P2281" i="6"/>
  <c r="P2280" i="6"/>
  <c r="P2279" i="6"/>
  <c r="P2278" i="6"/>
  <c r="P2277" i="6"/>
  <c r="P2276" i="6"/>
  <c r="P2275" i="6"/>
  <c r="P2274" i="6"/>
  <c r="P2273" i="6"/>
  <c r="P2272" i="6"/>
  <c r="P2271" i="6"/>
  <c r="P2270" i="6"/>
  <c r="P2269" i="6"/>
  <c r="P2268" i="6"/>
  <c r="P2267" i="6"/>
  <c r="P2266" i="6"/>
  <c r="P2265" i="6"/>
  <c r="P2264" i="6"/>
  <c r="P2263" i="6"/>
  <c r="P2262" i="6"/>
  <c r="P2261" i="6"/>
  <c r="P2260" i="6"/>
  <c r="P2259" i="6"/>
  <c r="P2258" i="6"/>
  <c r="P2257" i="6"/>
  <c r="P2256" i="6"/>
  <c r="P2255" i="6"/>
  <c r="P2254" i="6"/>
  <c r="P2253" i="6"/>
  <c r="P2252" i="6"/>
  <c r="P2251" i="6"/>
  <c r="P2250" i="6"/>
  <c r="P2249" i="6"/>
  <c r="P2248" i="6"/>
  <c r="P2247" i="6"/>
  <c r="P2246" i="6"/>
  <c r="P2245" i="6"/>
  <c r="P2244" i="6"/>
  <c r="P2243" i="6"/>
  <c r="P2242" i="6"/>
  <c r="P2241" i="6"/>
  <c r="P2240" i="6"/>
  <c r="P2239" i="6"/>
  <c r="P2238" i="6"/>
  <c r="P2237" i="6"/>
  <c r="P2236" i="6"/>
  <c r="P2235" i="6"/>
  <c r="P2234" i="6"/>
  <c r="P2233" i="6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L2896" i="6"/>
  <c r="L2895" i="6"/>
  <c r="L2894" i="6"/>
  <c r="L2893" i="6"/>
  <c r="L2892" i="6"/>
  <c r="L2891" i="6"/>
  <c r="L2890" i="6"/>
  <c r="L2889" i="6"/>
  <c r="L2888" i="6"/>
  <c r="L2887" i="6"/>
  <c r="L2886" i="6"/>
  <c r="L2885" i="6"/>
  <c r="L2884" i="6"/>
  <c r="L2883" i="6"/>
  <c r="L2882" i="6"/>
  <c r="L2881" i="6"/>
  <c r="L2880" i="6"/>
  <c r="L2879" i="6"/>
  <c r="L2878" i="6"/>
  <c r="L2877" i="6"/>
  <c r="L2876" i="6"/>
  <c r="L2875" i="6"/>
  <c r="L2874" i="6"/>
  <c r="L2873" i="6"/>
  <c r="L2872" i="6"/>
  <c r="L2871" i="6"/>
  <c r="L2870" i="6"/>
  <c r="L2869" i="6"/>
  <c r="L2868" i="6"/>
  <c r="L2867" i="6"/>
  <c r="L2866" i="6"/>
  <c r="L2865" i="6"/>
  <c r="L2864" i="6"/>
  <c r="L2863" i="6"/>
  <c r="L2862" i="6"/>
  <c r="L2861" i="6"/>
  <c r="L2860" i="6"/>
  <c r="L2859" i="6"/>
  <c r="L2858" i="6"/>
  <c r="L2857" i="6"/>
  <c r="L2856" i="6"/>
  <c r="L2855" i="6"/>
  <c r="L2854" i="6"/>
  <c r="L2853" i="6"/>
  <c r="L2852" i="6"/>
  <c r="L2851" i="6"/>
  <c r="L2850" i="6"/>
  <c r="L2849" i="6"/>
  <c r="L2848" i="6"/>
  <c r="L2847" i="6"/>
  <c r="L2846" i="6"/>
  <c r="L2845" i="6"/>
  <c r="L2844" i="6"/>
  <c r="L2843" i="6"/>
  <c r="L2842" i="6"/>
  <c r="L2841" i="6"/>
  <c r="L2840" i="6"/>
  <c r="L2839" i="6"/>
  <c r="L2838" i="6"/>
  <c r="L2837" i="6"/>
  <c r="L2836" i="6"/>
  <c r="L2835" i="6"/>
  <c r="L2834" i="6"/>
  <c r="L2833" i="6"/>
  <c r="L2832" i="6"/>
  <c r="L2831" i="6"/>
  <c r="L2830" i="6"/>
  <c r="L2829" i="6"/>
  <c r="L2828" i="6"/>
  <c r="L2827" i="6"/>
  <c r="L2826" i="6"/>
  <c r="L2825" i="6"/>
  <c r="L2824" i="6"/>
  <c r="L2823" i="6"/>
  <c r="L2822" i="6"/>
  <c r="L2821" i="6"/>
  <c r="L2820" i="6"/>
  <c r="L2819" i="6"/>
  <c r="L2818" i="6"/>
  <c r="L2817" i="6"/>
  <c r="L2816" i="6"/>
  <c r="L2815" i="6"/>
  <c r="L2814" i="6"/>
  <c r="L2813" i="6"/>
  <c r="L2812" i="6"/>
  <c r="L2811" i="6"/>
  <c r="L2810" i="6"/>
  <c r="L2809" i="6"/>
  <c r="L2808" i="6"/>
  <c r="L2807" i="6"/>
  <c r="L2806" i="6"/>
  <c r="L2805" i="6"/>
  <c r="L2804" i="6"/>
  <c r="L2803" i="6"/>
  <c r="L2802" i="6"/>
  <c r="L2801" i="6"/>
  <c r="L2800" i="6"/>
  <c r="L2799" i="6"/>
  <c r="L2798" i="6"/>
  <c r="L2797" i="6"/>
  <c r="L2796" i="6"/>
  <c r="L2795" i="6"/>
  <c r="L2794" i="6"/>
  <c r="L2793" i="6"/>
  <c r="L2792" i="6"/>
  <c r="L2791" i="6"/>
  <c r="L2790" i="6"/>
  <c r="L2789" i="6"/>
  <c r="L2788" i="6"/>
  <c r="L2787" i="6"/>
  <c r="L2786" i="6"/>
  <c r="L2785" i="6"/>
  <c r="L2784" i="6"/>
  <c r="L2783" i="6"/>
  <c r="L2782" i="6"/>
  <c r="L2781" i="6"/>
  <c r="L2780" i="6"/>
  <c r="L2779" i="6"/>
  <c r="L2778" i="6"/>
  <c r="L2777" i="6"/>
  <c r="L2776" i="6"/>
  <c r="L2775" i="6"/>
  <c r="L2774" i="6"/>
  <c r="L2773" i="6"/>
  <c r="L2772" i="6"/>
  <c r="L2771" i="6"/>
  <c r="L2770" i="6"/>
  <c r="L2769" i="6"/>
  <c r="L2768" i="6"/>
  <c r="L2767" i="6"/>
  <c r="L2766" i="6"/>
  <c r="L2765" i="6"/>
  <c r="L2764" i="6"/>
  <c r="L2763" i="6"/>
  <c r="L2762" i="6"/>
  <c r="L2761" i="6"/>
  <c r="L2760" i="6"/>
  <c r="L2759" i="6"/>
  <c r="L2758" i="6"/>
  <c r="L2757" i="6"/>
  <c r="L2756" i="6"/>
  <c r="L2755" i="6"/>
  <c r="L2754" i="6"/>
  <c r="L2753" i="6"/>
  <c r="L2752" i="6"/>
  <c r="L2751" i="6"/>
  <c r="L2750" i="6"/>
  <c r="L2749" i="6"/>
  <c r="L2748" i="6"/>
  <c r="L2747" i="6"/>
  <c r="L2746" i="6"/>
  <c r="L2745" i="6"/>
  <c r="L2744" i="6"/>
  <c r="L2743" i="6"/>
  <c r="L2742" i="6"/>
  <c r="L2741" i="6"/>
  <c r="L2740" i="6"/>
  <c r="L2739" i="6"/>
  <c r="L2738" i="6"/>
  <c r="L2737" i="6"/>
  <c r="L2736" i="6"/>
  <c r="L2735" i="6"/>
  <c r="L2734" i="6"/>
  <c r="L2733" i="6"/>
  <c r="L2732" i="6"/>
  <c r="L2731" i="6"/>
  <c r="L2730" i="6"/>
  <c r="L2729" i="6"/>
  <c r="L2728" i="6"/>
  <c r="L2727" i="6"/>
  <c r="L2726" i="6"/>
  <c r="L2725" i="6"/>
  <c r="L2724" i="6"/>
  <c r="L2723" i="6"/>
  <c r="L2722" i="6"/>
  <c r="L2721" i="6"/>
  <c r="L2720" i="6"/>
  <c r="L2719" i="6"/>
  <c r="L2718" i="6"/>
  <c r="L2717" i="6"/>
  <c r="L2716" i="6"/>
  <c r="L2715" i="6"/>
  <c r="L2714" i="6"/>
  <c r="L2713" i="6"/>
  <c r="L2712" i="6"/>
  <c r="L2711" i="6"/>
  <c r="L2710" i="6"/>
  <c r="L2709" i="6"/>
  <c r="L2708" i="6"/>
  <c r="L2707" i="6"/>
  <c r="L2706" i="6"/>
  <c r="L2705" i="6"/>
  <c r="L2704" i="6"/>
  <c r="L2703" i="6"/>
  <c r="L2702" i="6"/>
  <c r="L2701" i="6"/>
  <c r="L2700" i="6"/>
  <c r="L2699" i="6"/>
  <c r="L2698" i="6"/>
  <c r="L2697" i="6"/>
  <c r="L2696" i="6"/>
  <c r="L2695" i="6"/>
  <c r="L2694" i="6"/>
  <c r="L2693" i="6"/>
  <c r="L2692" i="6"/>
  <c r="L2691" i="6"/>
  <c r="L2690" i="6"/>
  <c r="L2689" i="6"/>
  <c r="L2688" i="6"/>
  <c r="L2687" i="6"/>
  <c r="L2686" i="6"/>
  <c r="L2685" i="6"/>
  <c r="L2684" i="6"/>
  <c r="L2683" i="6"/>
  <c r="L2682" i="6"/>
  <c r="L2681" i="6"/>
  <c r="L2680" i="6"/>
  <c r="L2679" i="6"/>
  <c r="L2678" i="6"/>
  <c r="L2677" i="6"/>
  <c r="L2676" i="6"/>
  <c r="L2675" i="6"/>
  <c r="L2674" i="6"/>
  <c r="L2673" i="6"/>
  <c r="L2672" i="6"/>
  <c r="L2671" i="6"/>
  <c r="L2670" i="6"/>
  <c r="L2669" i="6"/>
  <c r="L2668" i="6"/>
  <c r="L2667" i="6"/>
  <c r="L2666" i="6"/>
  <c r="L2665" i="6"/>
  <c r="L2664" i="6"/>
  <c r="L2663" i="6"/>
  <c r="L2662" i="6"/>
  <c r="L2661" i="6"/>
  <c r="L2660" i="6"/>
  <c r="L2659" i="6"/>
  <c r="L2658" i="6"/>
  <c r="L2657" i="6"/>
  <c r="L2656" i="6"/>
  <c r="L2655" i="6"/>
  <c r="L2654" i="6"/>
  <c r="L2653" i="6"/>
  <c r="L2652" i="6"/>
  <c r="L2651" i="6"/>
  <c r="L2650" i="6"/>
  <c r="L2649" i="6"/>
  <c r="L2648" i="6"/>
  <c r="L2647" i="6"/>
  <c r="L2646" i="6"/>
  <c r="L2645" i="6"/>
  <c r="L2644" i="6"/>
  <c r="L2643" i="6"/>
  <c r="L2642" i="6"/>
  <c r="L2641" i="6"/>
  <c r="L2640" i="6"/>
  <c r="L2639" i="6"/>
  <c r="L2638" i="6"/>
  <c r="L2637" i="6"/>
  <c r="L2636" i="6"/>
  <c r="L2635" i="6"/>
  <c r="L2634" i="6"/>
  <c r="L2633" i="6"/>
  <c r="L2632" i="6"/>
  <c r="L2631" i="6"/>
  <c r="L2630" i="6"/>
  <c r="L2629" i="6"/>
  <c r="L2628" i="6"/>
  <c r="L2627" i="6"/>
  <c r="L2626" i="6"/>
  <c r="L2625" i="6"/>
  <c r="L2624" i="6"/>
  <c r="L2623" i="6"/>
  <c r="L2622" i="6"/>
  <c r="L2621" i="6"/>
  <c r="L2620" i="6"/>
  <c r="L2619" i="6"/>
  <c r="L2618" i="6"/>
  <c r="L2617" i="6"/>
  <c r="L2616" i="6"/>
  <c r="L2615" i="6"/>
  <c r="L2614" i="6"/>
  <c r="L2613" i="6"/>
  <c r="L2612" i="6"/>
  <c r="L2611" i="6"/>
  <c r="L2610" i="6"/>
  <c r="L2609" i="6"/>
  <c r="L2608" i="6"/>
  <c r="L2607" i="6"/>
  <c r="L2606" i="6"/>
  <c r="L2605" i="6"/>
  <c r="L2604" i="6"/>
  <c r="L2603" i="6"/>
  <c r="L2602" i="6"/>
  <c r="L2601" i="6"/>
  <c r="L2600" i="6"/>
  <c r="L2599" i="6"/>
  <c r="L2598" i="6"/>
  <c r="L2597" i="6"/>
  <c r="L2596" i="6"/>
  <c r="L2595" i="6"/>
  <c r="L2594" i="6"/>
  <c r="L2593" i="6"/>
  <c r="L2592" i="6"/>
  <c r="L2591" i="6"/>
  <c r="L2590" i="6"/>
  <c r="L2589" i="6"/>
  <c r="L2588" i="6"/>
  <c r="L2587" i="6"/>
  <c r="L2586" i="6"/>
  <c r="L2585" i="6"/>
  <c r="L2584" i="6"/>
  <c r="L2583" i="6"/>
  <c r="L2582" i="6"/>
  <c r="L2581" i="6"/>
  <c r="L2580" i="6"/>
  <c r="L2579" i="6"/>
  <c r="L2578" i="6"/>
  <c r="S2578" i="6" s="1"/>
  <c r="L2577" i="6"/>
  <c r="L2576" i="6"/>
  <c r="S2576" i="6" s="1"/>
  <c r="L2575" i="6"/>
  <c r="L2574" i="6"/>
  <c r="S2574" i="6" s="1"/>
  <c r="L2573" i="6"/>
  <c r="S2573" i="6" s="1"/>
  <c r="L2572" i="6"/>
  <c r="S2572" i="6" s="1"/>
  <c r="L2571" i="6"/>
  <c r="L2570" i="6"/>
  <c r="S2570" i="6" s="1"/>
  <c r="L2569" i="6"/>
  <c r="L2568" i="6"/>
  <c r="S2568" i="6" s="1"/>
  <c r="L2567" i="6"/>
  <c r="L2566" i="6"/>
  <c r="S2566" i="6" s="1"/>
  <c r="L2565" i="6"/>
  <c r="L2564" i="6"/>
  <c r="S2564" i="6" s="1"/>
  <c r="L2563" i="6"/>
  <c r="L2562" i="6"/>
  <c r="S2562" i="6" s="1"/>
  <c r="L2561" i="6"/>
  <c r="L2560" i="6"/>
  <c r="S2560" i="6" s="1"/>
  <c r="L2559" i="6"/>
  <c r="L2558" i="6"/>
  <c r="S2558" i="6" s="1"/>
  <c r="L2557" i="6"/>
  <c r="S2557" i="6" s="1"/>
  <c r="L2556" i="6"/>
  <c r="S2556" i="6" s="1"/>
  <c r="L2555" i="6"/>
  <c r="L2554" i="6"/>
  <c r="S2554" i="6" s="1"/>
  <c r="L2553" i="6"/>
  <c r="L2552" i="6"/>
  <c r="S2552" i="6" s="1"/>
  <c r="L2551" i="6"/>
  <c r="L2550" i="6"/>
  <c r="S2550" i="6" s="1"/>
  <c r="L2549" i="6"/>
  <c r="L2548" i="6"/>
  <c r="S2548" i="6" s="1"/>
  <c r="L2547" i="6"/>
  <c r="L2546" i="6"/>
  <c r="S2546" i="6" s="1"/>
  <c r="L2545" i="6"/>
  <c r="L2544" i="6"/>
  <c r="S2544" i="6" s="1"/>
  <c r="L2543" i="6"/>
  <c r="L2542" i="6"/>
  <c r="S2542" i="6" s="1"/>
  <c r="L2541" i="6"/>
  <c r="L2540" i="6"/>
  <c r="S2540" i="6" s="1"/>
  <c r="L2539" i="6"/>
  <c r="L2538" i="6"/>
  <c r="S2538" i="6" s="1"/>
  <c r="L2537" i="6"/>
  <c r="L2536" i="6"/>
  <c r="S2536" i="6" s="1"/>
  <c r="L2535" i="6"/>
  <c r="L2534" i="6"/>
  <c r="S2534" i="6" s="1"/>
  <c r="L2533" i="6"/>
  <c r="L2532" i="6"/>
  <c r="L2531" i="6"/>
  <c r="L2530" i="6"/>
  <c r="S2530" i="6" s="1"/>
  <c r="L2529" i="6"/>
  <c r="L2528" i="6"/>
  <c r="S2528" i="6" s="1"/>
  <c r="L2527" i="6"/>
  <c r="L2526" i="6"/>
  <c r="S2526" i="6" s="1"/>
  <c r="L2525" i="6"/>
  <c r="L2524" i="6"/>
  <c r="S2524" i="6" s="1"/>
  <c r="L2523" i="6"/>
  <c r="L2522" i="6"/>
  <c r="S2522" i="6" s="1"/>
  <c r="L2521" i="6"/>
  <c r="L2520" i="6"/>
  <c r="S2520" i="6" s="1"/>
  <c r="L2519" i="6"/>
  <c r="L2518" i="6"/>
  <c r="S2518" i="6" s="1"/>
  <c r="L2517" i="6"/>
  <c r="L2516" i="6"/>
  <c r="L2515" i="6"/>
  <c r="L2514" i="6"/>
  <c r="S2514" i="6" s="1"/>
  <c r="L2513" i="6"/>
  <c r="L2512" i="6"/>
  <c r="S2512" i="6" s="1"/>
  <c r="L2511" i="6"/>
  <c r="L2510" i="6"/>
  <c r="L2509" i="6"/>
  <c r="L2508" i="6"/>
  <c r="L2507" i="6"/>
  <c r="L2506" i="6"/>
  <c r="S2506" i="6" s="1"/>
  <c r="L2505" i="6"/>
  <c r="L2504" i="6"/>
  <c r="S2504" i="6" s="1"/>
  <c r="L2503" i="6"/>
  <c r="L2502" i="6"/>
  <c r="L2501" i="6"/>
  <c r="L2500" i="6"/>
  <c r="S2500" i="6" s="1"/>
  <c r="L2499" i="6"/>
  <c r="L2498" i="6"/>
  <c r="S2498" i="6" s="1"/>
  <c r="L2497" i="6"/>
  <c r="L2496" i="6"/>
  <c r="L2495" i="6"/>
  <c r="L2494" i="6"/>
  <c r="S2494" i="6" s="1"/>
  <c r="L2493" i="6"/>
  <c r="L2492" i="6"/>
  <c r="S2492" i="6" s="1"/>
  <c r="L2491" i="6"/>
  <c r="L2490" i="6"/>
  <c r="S2490" i="6" s="1"/>
  <c r="L2489" i="6"/>
  <c r="S2489" i="6" s="1"/>
  <c r="L2488" i="6"/>
  <c r="S2488" i="6" s="1"/>
  <c r="L2487" i="6"/>
  <c r="L2486" i="6"/>
  <c r="S2486" i="6" s="1"/>
  <c r="L2485" i="6"/>
  <c r="S2485" i="6" s="1"/>
  <c r="L2484" i="6"/>
  <c r="S2484" i="6" s="1"/>
  <c r="L2483" i="6"/>
  <c r="L2482" i="6"/>
  <c r="L2481" i="6"/>
  <c r="L2480" i="6"/>
  <c r="S2480" i="6" s="1"/>
  <c r="L2479" i="6"/>
  <c r="L2478" i="6"/>
  <c r="S2478" i="6" s="1"/>
  <c r="L2477" i="6"/>
  <c r="L2476" i="6"/>
  <c r="S2476" i="6" s="1"/>
  <c r="L2475" i="6"/>
  <c r="L2474" i="6"/>
  <c r="S2474" i="6" s="1"/>
  <c r="L2473" i="6"/>
  <c r="L2472" i="6"/>
  <c r="S2472" i="6" s="1"/>
  <c r="L2471" i="6"/>
  <c r="L2470" i="6"/>
  <c r="S2470" i="6" s="1"/>
  <c r="L2469" i="6"/>
  <c r="L2468" i="6"/>
  <c r="S2468" i="6" s="1"/>
  <c r="L2467" i="6"/>
  <c r="L2466" i="6"/>
  <c r="S2466" i="6" s="1"/>
  <c r="L2465" i="6"/>
  <c r="L2464" i="6"/>
  <c r="S2464" i="6" s="1"/>
  <c r="L2463" i="6"/>
  <c r="L2462" i="6"/>
  <c r="S2462" i="6" s="1"/>
  <c r="L2461" i="6"/>
  <c r="L2460" i="6"/>
  <c r="L2459" i="6"/>
  <c r="L2458" i="6"/>
  <c r="L2457" i="6"/>
  <c r="L2456" i="6"/>
  <c r="S2456" i="6" s="1"/>
  <c r="L2455" i="6"/>
  <c r="L2454" i="6"/>
  <c r="S2454" i="6" s="1"/>
  <c r="L2453" i="6"/>
  <c r="L2452" i="6"/>
  <c r="S2452" i="6" s="1"/>
  <c r="L2451" i="6"/>
  <c r="L2450" i="6"/>
  <c r="S2450" i="6" s="1"/>
  <c r="L2449" i="6"/>
  <c r="L2448" i="6"/>
  <c r="S2448" i="6" s="1"/>
  <c r="L2447" i="6"/>
  <c r="L2446" i="6"/>
  <c r="L2445" i="6"/>
  <c r="L2444" i="6"/>
  <c r="S2444" i="6" s="1"/>
  <c r="L2443" i="6"/>
  <c r="L2442" i="6"/>
  <c r="S2442" i="6" s="1"/>
  <c r="L2441" i="6"/>
  <c r="L2440" i="6"/>
  <c r="S2440" i="6" s="1"/>
  <c r="L2439" i="6"/>
  <c r="L2438" i="6"/>
  <c r="S2438" i="6" s="1"/>
  <c r="L2437" i="6"/>
  <c r="L2436" i="6"/>
  <c r="S2436" i="6" s="1"/>
  <c r="L2435" i="6"/>
  <c r="L2434" i="6"/>
  <c r="S2434" i="6" s="1"/>
  <c r="L2433" i="6"/>
  <c r="L2432" i="6"/>
  <c r="S2432" i="6" s="1"/>
  <c r="L2431" i="6"/>
  <c r="L2430" i="6"/>
  <c r="L2429" i="6"/>
  <c r="L2428" i="6"/>
  <c r="S2428" i="6" s="1"/>
  <c r="L2427" i="6"/>
  <c r="L2426" i="6"/>
  <c r="S2426" i="6" s="1"/>
  <c r="L2425" i="6"/>
  <c r="L2424" i="6"/>
  <c r="S2424" i="6" s="1"/>
  <c r="L2423" i="6"/>
  <c r="L2422" i="6"/>
  <c r="S2422" i="6" s="1"/>
  <c r="L2421" i="6"/>
  <c r="L2420" i="6"/>
  <c r="S2420" i="6" s="1"/>
  <c r="L2419" i="6"/>
  <c r="L2418" i="6"/>
  <c r="S2418" i="6" s="1"/>
  <c r="L2417" i="6"/>
  <c r="L2416" i="6"/>
  <c r="S2416" i="6" s="1"/>
  <c r="L2415" i="6"/>
  <c r="L2414" i="6"/>
  <c r="S2414" i="6" s="1"/>
  <c r="L2413" i="6"/>
  <c r="L2412" i="6"/>
  <c r="S2412" i="6" s="1"/>
  <c r="L2411" i="6"/>
  <c r="L2410" i="6"/>
  <c r="L2409" i="6"/>
  <c r="S2409" i="6" s="1"/>
  <c r="L2408" i="6"/>
  <c r="L2407" i="6"/>
  <c r="L2406" i="6"/>
  <c r="L2405" i="6"/>
  <c r="S2405" i="6" s="1"/>
  <c r="L2404" i="6"/>
  <c r="L2403" i="6"/>
  <c r="L2402" i="6"/>
  <c r="L2401" i="6"/>
  <c r="L2400" i="6"/>
  <c r="S2400" i="6" s="1"/>
  <c r="L2399" i="6"/>
  <c r="L2398" i="6"/>
  <c r="L2397" i="6"/>
  <c r="L2396" i="6"/>
  <c r="S2396" i="6" s="1"/>
  <c r="L2395" i="6"/>
  <c r="L2394" i="6"/>
  <c r="S2394" i="6" s="1"/>
  <c r="L2393" i="6"/>
  <c r="L2392" i="6"/>
  <c r="S2392" i="6" s="1"/>
  <c r="L2391" i="6"/>
  <c r="L2390" i="6"/>
  <c r="S2390" i="6" s="1"/>
  <c r="L2389" i="6"/>
  <c r="L2388" i="6"/>
  <c r="S2388" i="6" s="1"/>
  <c r="L2387" i="6"/>
  <c r="L2386" i="6"/>
  <c r="S2386" i="6" s="1"/>
  <c r="L2385" i="6"/>
  <c r="S2385" i="6" s="1"/>
  <c r="L2384" i="6"/>
  <c r="S2384" i="6" s="1"/>
  <c r="L2383" i="6"/>
  <c r="L2382" i="6"/>
  <c r="S2382" i="6" s="1"/>
  <c r="L2381" i="6"/>
  <c r="L2380" i="6"/>
  <c r="S2380" i="6" s="1"/>
  <c r="L2379" i="6"/>
  <c r="L2378" i="6"/>
  <c r="S2378" i="6" s="1"/>
  <c r="L2377" i="6"/>
  <c r="L2376" i="6"/>
  <c r="S2376" i="6" s="1"/>
  <c r="L2375" i="6"/>
  <c r="L2374" i="6"/>
  <c r="S2374" i="6" s="1"/>
  <c r="L2373" i="6"/>
  <c r="L2372" i="6"/>
  <c r="L2371" i="6"/>
  <c r="L2370" i="6"/>
  <c r="S2370" i="6" s="1"/>
  <c r="L2369" i="6"/>
  <c r="L2368" i="6"/>
  <c r="L2367" i="6"/>
  <c r="L2366" i="6"/>
  <c r="S2366" i="6" s="1"/>
  <c r="L2365" i="6"/>
  <c r="L2364" i="6"/>
  <c r="L2363" i="6"/>
  <c r="L2362" i="6"/>
  <c r="S2362" i="6" s="1"/>
  <c r="L2361" i="6"/>
  <c r="L2360" i="6"/>
  <c r="S2360" i="6" s="1"/>
  <c r="L2359" i="6"/>
  <c r="L2358" i="6"/>
  <c r="S2358" i="6" s="1"/>
  <c r="L2357" i="6"/>
  <c r="L2356" i="6"/>
  <c r="L2355" i="6"/>
  <c r="L2354" i="6"/>
  <c r="S2354" i="6" s="1"/>
  <c r="L2353" i="6"/>
  <c r="L2352" i="6"/>
  <c r="S2352" i="6" s="1"/>
  <c r="L2351" i="6"/>
  <c r="L2350" i="6"/>
  <c r="S2350" i="6" s="1"/>
  <c r="L2349" i="6"/>
  <c r="L2348" i="6"/>
  <c r="S2348" i="6" s="1"/>
  <c r="L2347" i="6"/>
  <c r="L2346" i="6"/>
  <c r="S2346" i="6" s="1"/>
  <c r="L2345" i="6"/>
  <c r="L2344" i="6"/>
  <c r="S2344" i="6" s="1"/>
  <c r="L2343" i="6"/>
  <c r="L2342" i="6"/>
  <c r="L2341" i="6"/>
  <c r="L2340" i="6"/>
  <c r="S2340" i="6" s="1"/>
  <c r="L2339" i="6"/>
  <c r="L2338" i="6"/>
  <c r="S2338" i="6" s="1"/>
  <c r="L2337" i="6"/>
  <c r="L2336" i="6"/>
  <c r="S2336" i="6" s="1"/>
  <c r="L2335" i="6"/>
  <c r="L2334" i="6"/>
  <c r="L2333" i="6"/>
  <c r="L2332" i="6"/>
  <c r="L2331" i="6"/>
  <c r="L2330" i="6"/>
  <c r="L2329" i="6"/>
  <c r="L2328" i="6"/>
  <c r="L2327" i="6"/>
  <c r="L2326" i="6"/>
  <c r="S2326" i="6" s="1"/>
  <c r="L2325" i="6"/>
  <c r="L2324" i="6"/>
  <c r="L2323" i="6"/>
  <c r="L2322" i="6"/>
  <c r="S2322" i="6" s="1"/>
  <c r="L2321" i="6"/>
  <c r="L2320" i="6"/>
  <c r="S2320" i="6" s="1"/>
  <c r="L2319" i="6"/>
  <c r="L2318" i="6"/>
  <c r="S2318" i="6" s="1"/>
  <c r="L2317" i="6"/>
  <c r="L2316" i="6"/>
  <c r="S2316" i="6" s="1"/>
  <c r="L2315" i="6"/>
  <c r="L2314" i="6"/>
  <c r="S2314" i="6" s="1"/>
  <c r="L2313" i="6"/>
  <c r="L2312" i="6"/>
  <c r="S2312" i="6" s="1"/>
  <c r="L2311" i="6"/>
  <c r="L2310" i="6"/>
  <c r="S2310" i="6" s="1"/>
  <c r="L2309" i="6"/>
  <c r="L2308" i="6"/>
  <c r="L2307" i="6"/>
  <c r="L2306" i="6"/>
  <c r="S2306" i="6" s="1"/>
  <c r="L2305" i="6"/>
  <c r="L2304" i="6"/>
  <c r="S2304" i="6" s="1"/>
  <c r="L2303" i="6"/>
  <c r="L2302" i="6"/>
  <c r="S2302" i="6" s="1"/>
  <c r="L2301" i="6"/>
  <c r="S2301" i="6" s="1"/>
  <c r="L2300" i="6"/>
  <c r="L2299" i="6"/>
  <c r="L2298" i="6"/>
  <c r="L2297" i="6"/>
  <c r="L2296" i="6"/>
  <c r="S2296" i="6" s="1"/>
  <c r="L2295" i="6"/>
  <c r="S2295" i="6" s="1"/>
  <c r="L2294" i="6"/>
  <c r="S2294" i="6" s="1"/>
  <c r="L2293" i="6"/>
  <c r="L2292" i="6"/>
  <c r="S2292" i="6" s="1"/>
  <c r="L2291" i="6"/>
  <c r="L2290" i="6"/>
  <c r="L2289" i="6"/>
  <c r="L2288" i="6"/>
  <c r="L2287" i="6"/>
  <c r="L2286" i="6"/>
  <c r="S2286" i="6" s="1"/>
  <c r="L2285" i="6"/>
  <c r="L2284" i="6"/>
  <c r="S2284" i="6" s="1"/>
  <c r="L2283" i="6"/>
  <c r="S2283" i="6" s="1"/>
  <c r="L2282" i="6"/>
  <c r="S2282" i="6" s="1"/>
  <c r="L2281" i="6"/>
  <c r="L2280" i="6"/>
  <c r="S2280" i="6" s="1"/>
  <c r="L2279" i="6"/>
  <c r="S2279" i="6" s="1"/>
  <c r="L2278" i="6"/>
  <c r="S2278" i="6" s="1"/>
  <c r="L2277" i="6"/>
  <c r="L2276" i="6"/>
  <c r="S2276" i="6" s="1"/>
  <c r="L2275" i="6"/>
  <c r="L2274" i="6"/>
  <c r="S2274" i="6" s="1"/>
  <c r="L2273" i="6"/>
  <c r="L2272" i="6"/>
  <c r="S2272" i="6" s="1"/>
  <c r="L2271" i="6"/>
  <c r="L2270" i="6"/>
  <c r="S2270" i="6" s="1"/>
  <c r="L2269" i="6"/>
  <c r="L2268" i="6"/>
  <c r="S2268" i="6" s="1"/>
  <c r="L2267" i="6"/>
  <c r="S2267" i="6" s="1"/>
  <c r="L2266" i="6"/>
  <c r="S2266" i="6" s="1"/>
  <c r="L2265" i="6"/>
  <c r="S2265" i="6" s="1"/>
  <c r="L2264" i="6"/>
  <c r="S2264" i="6" s="1"/>
  <c r="L2263" i="6"/>
  <c r="S2263" i="6" s="1"/>
  <c r="L2262" i="6"/>
  <c r="S2262" i="6" s="1"/>
  <c r="L2261" i="6"/>
  <c r="L2260" i="6"/>
  <c r="S2260" i="6" s="1"/>
  <c r="L2259" i="6"/>
  <c r="L2258" i="6"/>
  <c r="S2258" i="6" s="1"/>
  <c r="L2257" i="6"/>
  <c r="L2256" i="6"/>
  <c r="S2256" i="6" s="1"/>
  <c r="L2255" i="6"/>
  <c r="L2254" i="6"/>
  <c r="S2254" i="6" s="1"/>
  <c r="L2253" i="6"/>
  <c r="L2252" i="6"/>
  <c r="S2252" i="6" s="1"/>
  <c r="L2251" i="6"/>
  <c r="L2250" i="6"/>
  <c r="S2250" i="6" s="1"/>
  <c r="L2249" i="6"/>
  <c r="L2248" i="6"/>
  <c r="S2248" i="6" s="1"/>
  <c r="L2247" i="6"/>
  <c r="L2246" i="6"/>
  <c r="S2246" i="6" s="1"/>
  <c r="L2245" i="6"/>
  <c r="L2244" i="6"/>
  <c r="S2244" i="6" s="1"/>
  <c r="L2243" i="6"/>
  <c r="L2242" i="6"/>
  <c r="S2242" i="6" s="1"/>
  <c r="L2241" i="6"/>
  <c r="L2240" i="6"/>
  <c r="S2240" i="6" s="1"/>
  <c r="L2239" i="6"/>
  <c r="L2238" i="6"/>
  <c r="L2237" i="6"/>
  <c r="L2236" i="6"/>
  <c r="S2236" i="6" s="1"/>
  <c r="L2235" i="6"/>
  <c r="L2234" i="6"/>
  <c r="S2234" i="6" s="1"/>
  <c r="L2233" i="6"/>
  <c r="L2232" i="6"/>
  <c r="S2232" i="6" s="1"/>
  <c r="L2231" i="6"/>
  <c r="S2231" i="6" s="1"/>
  <c r="L2230" i="6"/>
  <c r="L2229" i="6"/>
  <c r="L2228" i="6"/>
  <c r="S2228" i="6" s="1"/>
  <c r="L2227" i="6"/>
  <c r="L2226" i="6"/>
  <c r="S2226" i="6" s="1"/>
  <c r="L2225" i="6"/>
  <c r="L2224" i="6"/>
  <c r="L2223" i="6"/>
  <c r="L2222" i="6"/>
  <c r="S2222" i="6" s="1"/>
  <c r="L2221" i="6"/>
  <c r="L2220" i="6"/>
  <c r="S2220" i="6" s="1"/>
  <c r="L2219" i="6"/>
  <c r="L2218" i="6"/>
  <c r="S2218" i="6" s="1"/>
  <c r="L2217" i="6"/>
  <c r="L2216" i="6"/>
  <c r="S2216" i="6" s="1"/>
  <c r="L2215" i="6"/>
  <c r="L2214" i="6"/>
  <c r="S2214" i="6" s="1"/>
  <c r="L2213" i="6"/>
  <c r="L2212" i="6"/>
  <c r="S2212" i="6" s="1"/>
  <c r="L2211" i="6"/>
  <c r="L2210" i="6"/>
  <c r="S2210" i="6" s="1"/>
  <c r="L2209" i="6"/>
  <c r="L2208" i="6"/>
  <c r="S2208" i="6" s="1"/>
  <c r="L2207" i="6"/>
  <c r="L2206" i="6"/>
  <c r="S2206" i="6" s="1"/>
  <c r="L2205" i="6"/>
  <c r="L2204" i="6"/>
  <c r="S2204" i="6" s="1"/>
  <c r="L2203" i="6"/>
  <c r="L2202" i="6"/>
  <c r="S2202" i="6" s="1"/>
  <c r="L2201" i="6"/>
  <c r="L2200" i="6"/>
  <c r="S2200" i="6" s="1"/>
  <c r="L2199" i="6"/>
  <c r="L2198" i="6"/>
  <c r="L2197" i="6"/>
  <c r="L2196" i="6"/>
  <c r="S2196" i="6" s="1"/>
  <c r="L2195" i="6"/>
  <c r="L2194" i="6"/>
  <c r="S2194" i="6" s="1"/>
  <c r="L2193" i="6"/>
  <c r="L2192" i="6"/>
  <c r="S2192" i="6" s="1"/>
  <c r="L2191" i="6"/>
  <c r="L2190" i="6"/>
  <c r="S2190" i="6" s="1"/>
  <c r="L2189" i="6"/>
  <c r="L2188" i="6"/>
  <c r="S2188" i="6" s="1"/>
  <c r="L2187" i="6"/>
  <c r="L2186" i="6"/>
  <c r="S2186" i="6" s="1"/>
  <c r="L2185" i="6"/>
  <c r="L2184" i="6"/>
  <c r="L2183" i="6"/>
  <c r="L2182" i="6"/>
  <c r="S2182" i="6" s="1"/>
  <c r="L2181" i="6"/>
  <c r="L2180" i="6"/>
  <c r="S2180" i="6" s="1"/>
  <c r="L2179" i="6"/>
  <c r="L2178" i="6"/>
  <c r="L2177" i="6"/>
  <c r="L2176" i="6"/>
  <c r="L2175" i="6"/>
  <c r="L2174" i="6"/>
  <c r="S2174" i="6" s="1"/>
  <c r="L2173" i="6"/>
  <c r="L2172" i="6"/>
  <c r="S2172" i="6" s="1"/>
  <c r="L2171" i="6"/>
  <c r="L2170" i="6"/>
  <c r="S2170" i="6" s="1"/>
  <c r="L2169" i="6"/>
  <c r="L2168" i="6"/>
  <c r="S2168" i="6" s="1"/>
  <c r="L2167" i="6"/>
  <c r="L2166" i="6"/>
  <c r="S2166" i="6" s="1"/>
  <c r="L2165" i="6"/>
  <c r="L2164" i="6"/>
  <c r="S2164" i="6" s="1"/>
  <c r="L2163" i="6"/>
  <c r="L2162" i="6"/>
  <c r="L2161" i="6"/>
  <c r="L2160" i="6"/>
  <c r="S2160" i="6" s="1"/>
  <c r="L2159" i="6"/>
  <c r="L2158" i="6"/>
  <c r="S2158" i="6" s="1"/>
  <c r="L2157" i="6"/>
  <c r="L2156" i="6"/>
  <c r="S2156" i="6" s="1"/>
  <c r="L2155" i="6"/>
  <c r="L2154" i="6"/>
  <c r="S2154" i="6" s="1"/>
  <c r="L2153" i="6"/>
  <c r="L2152" i="6"/>
  <c r="S2152" i="6" s="1"/>
  <c r="L2151" i="6"/>
  <c r="L2150" i="6"/>
  <c r="S2150" i="6" s="1"/>
  <c r="L2149" i="6"/>
  <c r="L2148" i="6"/>
  <c r="S2148" i="6" s="1"/>
  <c r="L2147" i="6"/>
  <c r="L2146" i="6"/>
  <c r="L2145" i="6"/>
  <c r="L2144" i="6"/>
  <c r="S2144" i="6" s="1"/>
  <c r="L2143" i="6"/>
  <c r="L2142" i="6"/>
  <c r="S2142" i="6" s="1"/>
  <c r="L2141" i="6"/>
  <c r="L2140" i="6"/>
  <c r="S2140" i="6" s="1"/>
  <c r="L2139" i="6"/>
  <c r="L2138" i="6"/>
  <c r="S2138" i="6" s="1"/>
  <c r="L2137" i="6"/>
  <c r="L2136" i="6"/>
  <c r="S2136" i="6" s="1"/>
  <c r="L2135" i="6"/>
  <c r="L2134" i="6"/>
  <c r="S2134" i="6" s="1"/>
  <c r="L2133" i="6"/>
  <c r="L2132" i="6"/>
  <c r="S2132" i="6" s="1"/>
  <c r="L2131" i="6"/>
  <c r="L2130" i="6"/>
  <c r="S2130" i="6" s="1"/>
  <c r="L2129" i="6"/>
  <c r="L2128" i="6"/>
  <c r="S2128" i="6" s="1"/>
  <c r="L2127" i="6"/>
  <c r="L2126" i="6"/>
  <c r="L2125" i="6"/>
  <c r="L2124" i="6"/>
  <c r="S2124" i="6" s="1"/>
  <c r="L2123" i="6"/>
  <c r="L2122" i="6"/>
  <c r="S2122" i="6" s="1"/>
  <c r="L2121" i="6"/>
  <c r="L2120" i="6"/>
  <c r="S2120" i="6" s="1"/>
  <c r="L2119" i="6"/>
  <c r="L2118" i="6"/>
  <c r="S2118" i="6" s="1"/>
  <c r="L2117" i="6"/>
  <c r="L2116" i="6"/>
  <c r="S2116" i="6" s="1"/>
  <c r="L2115" i="6"/>
  <c r="L2114" i="6"/>
  <c r="S2114" i="6" s="1"/>
  <c r="L2113" i="6"/>
  <c r="L2112" i="6"/>
  <c r="S2112" i="6" s="1"/>
  <c r="L2111" i="6"/>
  <c r="L2110" i="6"/>
  <c r="S2110" i="6" s="1"/>
  <c r="L2109" i="6"/>
  <c r="L2108" i="6"/>
  <c r="S2108" i="6" s="1"/>
  <c r="L2107" i="6"/>
  <c r="L2106" i="6"/>
  <c r="S2106" i="6" s="1"/>
  <c r="L2105" i="6"/>
  <c r="L2104" i="6"/>
  <c r="S2104" i="6" s="1"/>
  <c r="L2103" i="6"/>
  <c r="L2102" i="6"/>
  <c r="S2102" i="6" s="1"/>
  <c r="L2101" i="6"/>
  <c r="L2100" i="6"/>
  <c r="S2100" i="6" s="1"/>
  <c r="L2099" i="6"/>
  <c r="L2098" i="6"/>
  <c r="S2098" i="6" s="1"/>
  <c r="L2097" i="6"/>
  <c r="L2096" i="6"/>
  <c r="S2096" i="6" s="1"/>
  <c r="L2095" i="6"/>
  <c r="L2094" i="6"/>
  <c r="S2094" i="6" s="1"/>
  <c r="L2093" i="6"/>
  <c r="L2092" i="6"/>
  <c r="S2092" i="6" s="1"/>
  <c r="L2091" i="6"/>
  <c r="L2090" i="6"/>
  <c r="S2090" i="6" s="1"/>
  <c r="L2089" i="6"/>
  <c r="L2088" i="6"/>
  <c r="S2088" i="6" s="1"/>
  <c r="L2087" i="6"/>
  <c r="L2086" i="6"/>
  <c r="S2086" i="6" s="1"/>
  <c r="L2085" i="6"/>
  <c r="S2085" i="6" s="1"/>
  <c r="L2084" i="6"/>
  <c r="S2084" i="6" s="1"/>
  <c r="L2083" i="6"/>
  <c r="L2082" i="6"/>
  <c r="S2082" i="6" s="1"/>
  <c r="L2081" i="6"/>
  <c r="S2081" i="6" s="1"/>
  <c r="L2080" i="6"/>
  <c r="S2080" i="6" s="1"/>
  <c r="L2079" i="6"/>
  <c r="L2078" i="6"/>
  <c r="S2078" i="6" s="1"/>
  <c r="L2077" i="6"/>
  <c r="L2076" i="6"/>
  <c r="L2075" i="6"/>
  <c r="S2075" i="6" s="1"/>
  <c r="L2074" i="6"/>
  <c r="S2074" i="6" s="1"/>
  <c r="L2073" i="6"/>
  <c r="L2072" i="6"/>
  <c r="S2072" i="6" s="1"/>
  <c r="L2071" i="6"/>
  <c r="L2070" i="6"/>
  <c r="S2070" i="6" s="1"/>
  <c r="L2069" i="6"/>
  <c r="L2068" i="6"/>
  <c r="S2068" i="6" s="1"/>
  <c r="L2067" i="6"/>
  <c r="L2066" i="6"/>
  <c r="S2066" i="6" s="1"/>
  <c r="L2065" i="6"/>
  <c r="L2064" i="6"/>
  <c r="L2063" i="6"/>
  <c r="L2062" i="6"/>
  <c r="L2061" i="6"/>
  <c r="L2060" i="6"/>
  <c r="L2059" i="6"/>
  <c r="L2058" i="6"/>
  <c r="S2058" i="6" s="1"/>
  <c r="L2057" i="6"/>
  <c r="L2056" i="6"/>
  <c r="S2056" i="6" s="1"/>
  <c r="L2055" i="6"/>
  <c r="L2054" i="6"/>
  <c r="S2054" i="6" s="1"/>
  <c r="L2053" i="6"/>
  <c r="L2052" i="6"/>
  <c r="L2051" i="6"/>
  <c r="L2050" i="6"/>
  <c r="L2049" i="6"/>
  <c r="L2048" i="6"/>
  <c r="S2048" i="6" s="1"/>
  <c r="L2047" i="6"/>
  <c r="L2046" i="6"/>
  <c r="L2045" i="6"/>
  <c r="L2044" i="6"/>
  <c r="S2044" i="6" s="1"/>
  <c r="L2043" i="6"/>
  <c r="L2042" i="6"/>
  <c r="L2041" i="6"/>
  <c r="L2040" i="6"/>
  <c r="L2039" i="6"/>
  <c r="L2038" i="6"/>
  <c r="L2037" i="6"/>
  <c r="L2036" i="6"/>
  <c r="L2035" i="6"/>
  <c r="L2034" i="6"/>
  <c r="L2033" i="6"/>
  <c r="L2032" i="6"/>
  <c r="S2032" i="6" s="1"/>
  <c r="L2031" i="6"/>
  <c r="L2030" i="6"/>
  <c r="S2030" i="6" s="1"/>
  <c r="L2029" i="6"/>
  <c r="L2028" i="6"/>
  <c r="L2027" i="6"/>
  <c r="L2026" i="6"/>
  <c r="L2025" i="6"/>
  <c r="L2024" i="6"/>
  <c r="L2023" i="6"/>
  <c r="L2022" i="6"/>
  <c r="L2021" i="6"/>
  <c r="L2020" i="6"/>
  <c r="L2019" i="6"/>
  <c r="L2018" i="6"/>
  <c r="L2017" i="6"/>
  <c r="L2016" i="6"/>
  <c r="L2015" i="6"/>
  <c r="L2014" i="6"/>
  <c r="L2013" i="6"/>
  <c r="L2012" i="6"/>
  <c r="L2011" i="6"/>
  <c r="L2010" i="6"/>
  <c r="L2009" i="6"/>
  <c r="L2008" i="6"/>
  <c r="L2007" i="6"/>
  <c r="L2006" i="6"/>
  <c r="L2005" i="6"/>
  <c r="L2004" i="6"/>
  <c r="L2003" i="6"/>
  <c r="L2002" i="6"/>
  <c r="L2001" i="6"/>
  <c r="L2000" i="6"/>
  <c r="L1999" i="6"/>
  <c r="L1998" i="6"/>
  <c r="L1997" i="6"/>
  <c r="L1996" i="6"/>
  <c r="L1995" i="6"/>
  <c r="L1994" i="6"/>
  <c r="L1993" i="6"/>
  <c r="L1992" i="6"/>
  <c r="L1991" i="6"/>
  <c r="L1990" i="6"/>
  <c r="L1989" i="6"/>
  <c r="L1988" i="6"/>
  <c r="L1987" i="6"/>
  <c r="L1986" i="6"/>
  <c r="L1985" i="6"/>
  <c r="L1984" i="6"/>
  <c r="L1983" i="6"/>
  <c r="L1982" i="6"/>
  <c r="L1981" i="6"/>
  <c r="L1980" i="6"/>
  <c r="L1979" i="6"/>
  <c r="L1978" i="6"/>
  <c r="L1977" i="6"/>
  <c r="L1976" i="6"/>
  <c r="L1975" i="6"/>
  <c r="L1974" i="6"/>
  <c r="S1974" i="6" s="1"/>
  <c r="L1973" i="6"/>
  <c r="L1972" i="6"/>
  <c r="L1971" i="6"/>
  <c r="L1970" i="6"/>
  <c r="L1969" i="6"/>
  <c r="L1968" i="6"/>
  <c r="L1967" i="6"/>
  <c r="L1966" i="6"/>
  <c r="L1965" i="6"/>
  <c r="L1964" i="6"/>
  <c r="L1963" i="6"/>
  <c r="L1962" i="6"/>
  <c r="L1961" i="6"/>
  <c r="L1960" i="6"/>
  <c r="L1959" i="6"/>
  <c r="L1958" i="6"/>
  <c r="L1957" i="6"/>
  <c r="L1956" i="6"/>
  <c r="L1955" i="6"/>
  <c r="L1954" i="6"/>
  <c r="L1953" i="6"/>
  <c r="L1952" i="6"/>
  <c r="L1951" i="6"/>
  <c r="L1950" i="6"/>
  <c r="L1949" i="6"/>
  <c r="L1948" i="6"/>
  <c r="L1947" i="6"/>
  <c r="L1946" i="6"/>
  <c r="L1945" i="6"/>
  <c r="L1944" i="6"/>
  <c r="L1943" i="6"/>
  <c r="L1942" i="6"/>
  <c r="L1941" i="6"/>
  <c r="L1940" i="6"/>
  <c r="L1939" i="6"/>
  <c r="L1938" i="6"/>
  <c r="L1937" i="6"/>
  <c r="L1936" i="6"/>
  <c r="L1935" i="6"/>
  <c r="L1934" i="6"/>
  <c r="L1933" i="6"/>
  <c r="L1932" i="6"/>
  <c r="L1931" i="6"/>
  <c r="L1930" i="6"/>
  <c r="L1929" i="6"/>
  <c r="L1928" i="6"/>
  <c r="L1927" i="6"/>
  <c r="L1926" i="6"/>
  <c r="L1925" i="6"/>
  <c r="L1924" i="6"/>
  <c r="L1923" i="6"/>
  <c r="L1922" i="6"/>
  <c r="L1921" i="6"/>
  <c r="L1920" i="6"/>
  <c r="L1919" i="6"/>
  <c r="L1918" i="6"/>
  <c r="L1916" i="6"/>
  <c r="L1915" i="6"/>
  <c r="L1914" i="6"/>
  <c r="L1913" i="6"/>
  <c r="L1912" i="6"/>
  <c r="L1911" i="6"/>
  <c r="L1910" i="6"/>
  <c r="L1909" i="6"/>
  <c r="L1908" i="6"/>
  <c r="L1907" i="6"/>
  <c r="L1906" i="6"/>
  <c r="L1905" i="6"/>
  <c r="L1904" i="6"/>
  <c r="L1903" i="6"/>
  <c r="L1902" i="6"/>
  <c r="L1901" i="6"/>
  <c r="L1900" i="6"/>
  <c r="L1899" i="6"/>
  <c r="L1898" i="6"/>
  <c r="L1897" i="6"/>
  <c r="L1895" i="6"/>
  <c r="L1894" i="6"/>
  <c r="L1893" i="6"/>
  <c r="L1892" i="6"/>
  <c r="L1891" i="6"/>
  <c r="L1890" i="6"/>
  <c r="L1889" i="6"/>
  <c r="L1888" i="6"/>
  <c r="L1887" i="6"/>
  <c r="L1886" i="6"/>
  <c r="L1885" i="6"/>
  <c r="L1884" i="6"/>
  <c r="L1883" i="6"/>
  <c r="L1882" i="6"/>
  <c r="L1881" i="6"/>
  <c r="L1880" i="6"/>
  <c r="L1879" i="6"/>
  <c r="L1878" i="6"/>
  <c r="S1878" i="6" s="1"/>
  <c r="L1877" i="6"/>
  <c r="L1876" i="6"/>
  <c r="S1876" i="6" s="1"/>
  <c r="L1875" i="6"/>
  <c r="S1875" i="6" s="1"/>
  <c r="L1874" i="6"/>
  <c r="L1873" i="6"/>
  <c r="S1873" i="6" s="1"/>
  <c r="L1872" i="6"/>
  <c r="L1871" i="6"/>
  <c r="L1870" i="6"/>
  <c r="L1869" i="6"/>
  <c r="L1868" i="6"/>
  <c r="S1868" i="6" s="1"/>
  <c r="L1867" i="6"/>
  <c r="L1866" i="6"/>
  <c r="L1865" i="6"/>
  <c r="L1864" i="6"/>
  <c r="L1863" i="6"/>
  <c r="S1863" i="6" s="1"/>
  <c r="L1862" i="6"/>
  <c r="L1861" i="6"/>
  <c r="L1860" i="6"/>
  <c r="L1859" i="6"/>
  <c r="L1858" i="6"/>
  <c r="L1857" i="6"/>
  <c r="L1856" i="6"/>
  <c r="L1855" i="6"/>
  <c r="L1854" i="6"/>
  <c r="L1853" i="6"/>
  <c r="L1852" i="6"/>
  <c r="L1851" i="6"/>
  <c r="L1850" i="6"/>
  <c r="L1849" i="6"/>
  <c r="L1848" i="6"/>
  <c r="L1847" i="6"/>
  <c r="L1846" i="6"/>
  <c r="L1845" i="6"/>
  <c r="L1844" i="6"/>
  <c r="L1843" i="6"/>
  <c r="L1842" i="6"/>
  <c r="L1841" i="6"/>
  <c r="L1840" i="6"/>
  <c r="L1839" i="6"/>
  <c r="L1838" i="6"/>
  <c r="L1837" i="6"/>
  <c r="L1836" i="6"/>
  <c r="L1835" i="6"/>
  <c r="L1834" i="6"/>
  <c r="L1833" i="6"/>
  <c r="L1832" i="6"/>
  <c r="L1831" i="6"/>
  <c r="K1831" i="6" s="1"/>
  <c r="L1830" i="6"/>
  <c r="S1830" i="6" s="1"/>
  <c r="L1829" i="6"/>
  <c r="L1828" i="6"/>
  <c r="S1828" i="6" s="1"/>
  <c r="L1827" i="6"/>
  <c r="L1826" i="6"/>
  <c r="S1826" i="6" s="1"/>
  <c r="L1825" i="6"/>
  <c r="L1824" i="6"/>
  <c r="S1824" i="6" s="1"/>
  <c r="L1823" i="6"/>
  <c r="L1822" i="6"/>
  <c r="S1822" i="6" s="1"/>
  <c r="L1821" i="6"/>
  <c r="L1820" i="6"/>
  <c r="S1820" i="6" s="1"/>
  <c r="L1819" i="6"/>
  <c r="L1818" i="6"/>
  <c r="S1818" i="6" s="1"/>
  <c r="L1817" i="6"/>
  <c r="L1816" i="6"/>
  <c r="S1816" i="6" s="1"/>
  <c r="L1815" i="6"/>
  <c r="L1814" i="6"/>
  <c r="S1814" i="6" s="1"/>
  <c r="L1813" i="6"/>
  <c r="L1812" i="6"/>
  <c r="S1812" i="6" s="1"/>
  <c r="L1811" i="6"/>
  <c r="L1810" i="6"/>
  <c r="S1810" i="6" s="1"/>
  <c r="L1809" i="6"/>
  <c r="L1808" i="6"/>
  <c r="S1808" i="6" s="1"/>
  <c r="L1807" i="6"/>
  <c r="L1806" i="6"/>
  <c r="S1806" i="6" s="1"/>
  <c r="L1805" i="6"/>
  <c r="L1804" i="6"/>
  <c r="S1804" i="6" s="1"/>
  <c r="L1803" i="6"/>
  <c r="L1802" i="6"/>
  <c r="S1802" i="6" s="1"/>
  <c r="L1801" i="6"/>
  <c r="L1800" i="6"/>
  <c r="S1800" i="6" s="1"/>
  <c r="L1799" i="6"/>
  <c r="L1798" i="6"/>
  <c r="S1798" i="6" s="1"/>
  <c r="L1797" i="6"/>
  <c r="L1796" i="6"/>
  <c r="S1796" i="6" s="1"/>
  <c r="L1795" i="6"/>
  <c r="L1794" i="6"/>
  <c r="S1794" i="6" s="1"/>
  <c r="L1793" i="6"/>
  <c r="L1792" i="6"/>
  <c r="S1792" i="6" s="1"/>
  <c r="L1791" i="6"/>
  <c r="L1790" i="6"/>
  <c r="S1790" i="6" s="1"/>
  <c r="L1789" i="6"/>
  <c r="L1788" i="6"/>
  <c r="S1788" i="6" s="1"/>
  <c r="L1787" i="6"/>
  <c r="L1786" i="6"/>
  <c r="S1786" i="6" s="1"/>
  <c r="L1785" i="6"/>
  <c r="L1784" i="6"/>
  <c r="S1784" i="6" s="1"/>
  <c r="L1783" i="6"/>
  <c r="L1782" i="6"/>
  <c r="S1782" i="6" s="1"/>
  <c r="L1781" i="6"/>
  <c r="L1780" i="6"/>
  <c r="S1780" i="6" s="1"/>
  <c r="L1779" i="6"/>
  <c r="L1778" i="6"/>
  <c r="S1778" i="6" s="1"/>
  <c r="L1777" i="6"/>
  <c r="L1776" i="6"/>
  <c r="S1776" i="6" s="1"/>
  <c r="L1775" i="6"/>
  <c r="L1774" i="6"/>
  <c r="S1774" i="6" s="1"/>
  <c r="L1773" i="6"/>
  <c r="L1772" i="6"/>
  <c r="S1772" i="6" s="1"/>
  <c r="L1771" i="6"/>
  <c r="L1770" i="6"/>
  <c r="S1770" i="6" s="1"/>
  <c r="L1769" i="6"/>
  <c r="L1768" i="6"/>
  <c r="S1768" i="6" s="1"/>
  <c r="L1767" i="6"/>
  <c r="L1766" i="6"/>
  <c r="S1766" i="6" s="1"/>
  <c r="L1765" i="6"/>
  <c r="L1764" i="6"/>
  <c r="S1764" i="6" s="1"/>
  <c r="L1763" i="6"/>
  <c r="L1762" i="6"/>
  <c r="S1762" i="6" s="1"/>
  <c r="L1761" i="6"/>
  <c r="L1760" i="6"/>
  <c r="S1760" i="6" s="1"/>
  <c r="L1759" i="6"/>
  <c r="L1758" i="6"/>
  <c r="S1758" i="6" s="1"/>
  <c r="L1757" i="6"/>
  <c r="L1756" i="6"/>
  <c r="S1756" i="6" s="1"/>
  <c r="L1755" i="6"/>
  <c r="L1754" i="6"/>
  <c r="S1754" i="6" s="1"/>
  <c r="L1753" i="6"/>
  <c r="L1752" i="6"/>
  <c r="S1752" i="6" s="1"/>
  <c r="L1751" i="6"/>
  <c r="L1750" i="6"/>
  <c r="S1750" i="6" s="1"/>
  <c r="L1749" i="6"/>
  <c r="L1748" i="6"/>
  <c r="S1748" i="6" s="1"/>
  <c r="L1747" i="6"/>
  <c r="L1746" i="6"/>
  <c r="S1746" i="6" s="1"/>
  <c r="L1745" i="6"/>
  <c r="L1744" i="6"/>
  <c r="S1744" i="6" s="1"/>
  <c r="L1743" i="6"/>
  <c r="L1742" i="6"/>
  <c r="S1742" i="6" s="1"/>
  <c r="L1741" i="6"/>
  <c r="L1740" i="6"/>
  <c r="S1740" i="6" s="1"/>
  <c r="L1739" i="6"/>
  <c r="L1738" i="6"/>
  <c r="S1738" i="6" s="1"/>
  <c r="L1737" i="6"/>
  <c r="L1736" i="6"/>
  <c r="S1736" i="6" s="1"/>
  <c r="L1735" i="6"/>
  <c r="L1734" i="6"/>
  <c r="S1734" i="6" s="1"/>
  <c r="L1733" i="6"/>
  <c r="L1732" i="6"/>
  <c r="S1732" i="6" s="1"/>
  <c r="L1731" i="6"/>
  <c r="L1730" i="6"/>
  <c r="S1730" i="6" s="1"/>
  <c r="L1729" i="6"/>
  <c r="L1728" i="6"/>
  <c r="S1728" i="6" s="1"/>
  <c r="L1727" i="6"/>
  <c r="L1726" i="6"/>
  <c r="S1726" i="6" s="1"/>
  <c r="L1725" i="6"/>
  <c r="L1724" i="6"/>
  <c r="S1724" i="6" s="1"/>
  <c r="L1723" i="6"/>
  <c r="L1722" i="6"/>
  <c r="S1722" i="6" s="1"/>
  <c r="L1721" i="6"/>
  <c r="L1720" i="6"/>
  <c r="S1720" i="6" s="1"/>
  <c r="L1719" i="6"/>
  <c r="L1718" i="6"/>
  <c r="S1718" i="6" s="1"/>
  <c r="L1717" i="6"/>
  <c r="L1716" i="6"/>
  <c r="S1716" i="6" s="1"/>
  <c r="L1715" i="6"/>
  <c r="L1714" i="6"/>
  <c r="S1714" i="6" s="1"/>
  <c r="L1713" i="6"/>
  <c r="L1712" i="6"/>
  <c r="S1712" i="6" s="1"/>
  <c r="L1711" i="6"/>
  <c r="L1710" i="6"/>
  <c r="S1710" i="6" s="1"/>
  <c r="L1709" i="6"/>
  <c r="L1708" i="6"/>
  <c r="S1708" i="6" s="1"/>
  <c r="L1707" i="6"/>
  <c r="L1706" i="6"/>
  <c r="S1706" i="6" s="1"/>
  <c r="L1705" i="6"/>
  <c r="L1704" i="6"/>
  <c r="S1704" i="6" s="1"/>
  <c r="L1703" i="6"/>
  <c r="L1702" i="6"/>
  <c r="S1702" i="6" s="1"/>
  <c r="L1701" i="6"/>
  <c r="L1700" i="6"/>
  <c r="S1700" i="6" s="1"/>
  <c r="L1699" i="6"/>
  <c r="L1698" i="6"/>
  <c r="S1698" i="6" s="1"/>
  <c r="L1697" i="6"/>
  <c r="L1696" i="6"/>
  <c r="S1696" i="6" s="1"/>
  <c r="L1695" i="6"/>
  <c r="L1694" i="6"/>
  <c r="S1694" i="6" s="1"/>
  <c r="L1693" i="6"/>
  <c r="L1692" i="6"/>
  <c r="S1692" i="6" s="1"/>
  <c r="L1691" i="6"/>
  <c r="L1690" i="6"/>
  <c r="S1690" i="6" s="1"/>
  <c r="L1689" i="6"/>
  <c r="L1688" i="6"/>
  <c r="S1688" i="6" s="1"/>
  <c r="L1687" i="6"/>
  <c r="L1686" i="6"/>
  <c r="S1686" i="6" s="1"/>
  <c r="L1685" i="6"/>
  <c r="L1684" i="6"/>
  <c r="S1684" i="6" s="1"/>
  <c r="L1683" i="6"/>
  <c r="L1682" i="6"/>
  <c r="S1682" i="6" s="1"/>
  <c r="L1681" i="6"/>
  <c r="L1680" i="6"/>
  <c r="S1680" i="6" s="1"/>
  <c r="L1679" i="6"/>
  <c r="L1678" i="6"/>
  <c r="S1678" i="6" s="1"/>
  <c r="L1677" i="6"/>
  <c r="L1676" i="6"/>
  <c r="S1676" i="6" s="1"/>
  <c r="L1675" i="6"/>
  <c r="L1674" i="6"/>
  <c r="S1674" i="6" s="1"/>
  <c r="L1673" i="6"/>
  <c r="L1672" i="6"/>
  <c r="S1672" i="6" s="1"/>
  <c r="L1671" i="6"/>
  <c r="L1670" i="6"/>
  <c r="S1670" i="6" s="1"/>
  <c r="L1669" i="6"/>
  <c r="L1668" i="6"/>
  <c r="S1668" i="6" s="1"/>
  <c r="L1667" i="6"/>
  <c r="L1666" i="6"/>
  <c r="S1666" i="6" s="1"/>
  <c r="L1665" i="6"/>
  <c r="L1664" i="6"/>
  <c r="S1664" i="6" s="1"/>
  <c r="L1663" i="6"/>
  <c r="L1662" i="6"/>
  <c r="S1662" i="6" s="1"/>
  <c r="L1661" i="6"/>
  <c r="L1660" i="6"/>
  <c r="S1660" i="6" s="1"/>
  <c r="L1659" i="6"/>
  <c r="L1658" i="6"/>
  <c r="S1658" i="6" s="1"/>
  <c r="L1657" i="6"/>
  <c r="L1656" i="6"/>
  <c r="S1656" i="6" s="1"/>
  <c r="L1655" i="6"/>
  <c r="L1654" i="6"/>
  <c r="S1654" i="6" s="1"/>
  <c r="L1653" i="6"/>
  <c r="L1652" i="6"/>
  <c r="S1652" i="6" s="1"/>
  <c r="L1651" i="6"/>
  <c r="L1650" i="6"/>
  <c r="S1650" i="6" s="1"/>
  <c r="L1649" i="6"/>
  <c r="L1648" i="6"/>
  <c r="S1648" i="6" s="1"/>
  <c r="L1647" i="6"/>
  <c r="L1646" i="6"/>
  <c r="S1646" i="6" s="1"/>
  <c r="L1645" i="6"/>
  <c r="L1644" i="6"/>
  <c r="S1644" i="6" s="1"/>
  <c r="L1643" i="6"/>
  <c r="L1642" i="6"/>
  <c r="S1642" i="6" s="1"/>
  <c r="L1641" i="6"/>
  <c r="S1641" i="6" s="1"/>
  <c r="L1640" i="6"/>
  <c r="S1640" i="6" s="1"/>
  <c r="L1639" i="6"/>
  <c r="L1638" i="6"/>
  <c r="S1638" i="6" s="1"/>
  <c r="L1637" i="6"/>
  <c r="L1636" i="6"/>
  <c r="S1636" i="6" s="1"/>
  <c r="L1635" i="6"/>
  <c r="L1634" i="6"/>
  <c r="S1634" i="6" s="1"/>
  <c r="L1633" i="6"/>
  <c r="L1632" i="6"/>
  <c r="S1632" i="6" s="1"/>
  <c r="L1631" i="6"/>
  <c r="L1630" i="6"/>
  <c r="S1630" i="6" s="1"/>
  <c r="L1629" i="6"/>
  <c r="L1628" i="6"/>
  <c r="S1628" i="6" s="1"/>
  <c r="L1627" i="6"/>
  <c r="L1626" i="6"/>
  <c r="S1626" i="6" s="1"/>
  <c r="L1625" i="6"/>
  <c r="L1624" i="6"/>
  <c r="S1624" i="6" s="1"/>
  <c r="L1623" i="6"/>
  <c r="L1622" i="6"/>
  <c r="S1622" i="6" s="1"/>
  <c r="L1621" i="6"/>
  <c r="L1620" i="6"/>
  <c r="S1620" i="6" s="1"/>
  <c r="L1619" i="6"/>
  <c r="L1618" i="6"/>
  <c r="S1618" i="6" s="1"/>
  <c r="L1617" i="6"/>
  <c r="K1617" i="6" s="1"/>
  <c r="L1616" i="6"/>
  <c r="S1616" i="6" s="1"/>
  <c r="L1615" i="6"/>
  <c r="L1614" i="6"/>
  <c r="S1614" i="6" s="1"/>
  <c r="L1613" i="6"/>
  <c r="L1612" i="6"/>
  <c r="S1612" i="6" s="1"/>
  <c r="L1611" i="6"/>
  <c r="L1610" i="6"/>
  <c r="S1610" i="6" s="1"/>
  <c r="L1609" i="6"/>
  <c r="L1608" i="6"/>
  <c r="S1608" i="6" s="1"/>
  <c r="L1607" i="6"/>
  <c r="L1606" i="6"/>
  <c r="S1606" i="6" s="1"/>
  <c r="L1605" i="6"/>
  <c r="L1604" i="6"/>
  <c r="S1604" i="6" s="1"/>
  <c r="L1603" i="6"/>
  <c r="L1602" i="6"/>
  <c r="S1602" i="6" s="1"/>
  <c r="L1601" i="6"/>
  <c r="L1600" i="6"/>
  <c r="S1600" i="6" s="1"/>
  <c r="L1599" i="6"/>
  <c r="L1598" i="6"/>
  <c r="S1598" i="6" s="1"/>
  <c r="L1597" i="6"/>
  <c r="L1596" i="6"/>
  <c r="S1596" i="6" s="1"/>
  <c r="L1595" i="6"/>
  <c r="L1594" i="6"/>
  <c r="S1594" i="6" s="1"/>
  <c r="L1593" i="6"/>
  <c r="L1592" i="6"/>
  <c r="S1592" i="6" s="1"/>
  <c r="L1591" i="6"/>
  <c r="L1590" i="6"/>
  <c r="S1590" i="6" s="1"/>
  <c r="L1589" i="6"/>
  <c r="L1588" i="6"/>
  <c r="S1588" i="6" s="1"/>
  <c r="L1587" i="6"/>
  <c r="L1586" i="6"/>
  <c r="S1586" i="6" s="1"/>
  <c r="L1585" i="6"/>
  <c r="L1584" i="6"/>
  <c r="S1584" i="6" s="1"/>
  <c r="L1583" i="6"/>
  <c r="L1582" i="6"/>
  <c r="S1582" i="6" s="1"/>
  <c r="L1581" i="6"/>
  <c r="L1580" i="6"/>
  <c r="S1580" i="6" s="1"/>
  <c r="L1579" i="6"/>
  <c r="L1578" i="6"/>
  <c r="S1578" i="6" s="1"/>
  <c r="L1577" i="6"/>
  <c r="L1576" i="6"/>
  <c r="S1576" i="6" s="1"/>
  <c r="L1575" i="6"/>
  <c r="L1574" i="6"/>
  <c r="S1574" i="6" s="1"/>
  <c r="L1573" i="6"/>
  <c r="L1572" i="6"/>
  <c r="S1572" i="6" s="1"/>
  <c r="L1571" i="6"/>
  <c r="L1570" i="6"/>
  <c r="S1570" i="6" s="1"/>
  <c r="L1569" i="6"/>
  <c r="L1568" i="6"/>
  <c r="S1568" i="6" s="1"/>
  <c r="L1567" i="6"/>
  <c r="L1566" i="6"/>
  <c r="S1566" i="6" s="1"/>
  <c r="L1565" i="6"/>
  <c r="L1564" i="6"/>
  <c r="S1564" i="6" s="1"/>
  <c r="L1563" i="6"/>
  <c r="L1562" i="6"/>
  <c r="S1562" i="6" s="1"/>
  <c r="L1561" i="6"/>
  <c r="L1560" i="6"/>
  <c r="S1560" i="6" s="1"/>
  <c r="L1559" i="6"/>
  <c r="L1558" i="6"/>
  <c r="S1558" i="6" s="1"/>
  <c r="L1557" i="6"/>
  <c r="L1556" i="6"/>
  <c r="S1556" i="6" s="1"/>
  <c r="L1555" i="6"/>
  <c r="L1554" i="6"/>
  <c r="S1554" i="6" s="1"/>
  <c r="L1553" i="6"/>
  <c r="L1552" i="6"/>
  <c r="S1552" i="6" s="1"/>
  <c r="L1551" i="6"/>
  <c r="L1550" i="6"/>
  <c r="S1550" i="6" s="1"/>
  <c r="L1549" i="6"/>
  <c r="L1548" i="6"/>
  <c r="S1548" i="6" s="1"/>
  <c r="L1547" i="6"/>
  <c r="L1546" i="6"/>
  <c r="S1546" i="6" s="1"/>
  <c r="L1545" i="6"/>
  <c r="L1544" i="6"/>
  <c r="S1544" i="6" s="1"/>
  <c r="L1543" i="6"/>
  <c r="L1542" i="6"/>
  <c r="S1542" i="6" s="1"/>
  <c r="L1541" i="6"/>
  <c r="L1540" i="6"/>
  <c r="S1540" i="6" s="1"/>
  <c r="L1539" i="6"/>
  <c r="L1538" i="6"/>
  <c r="S1538" i="6" s="1"/>
  <c r="L1537" i="6"/>
  <c r="L1536" i="6"/>
  <c r="S1536" i="6" s="1"/>
  <c r="L1535" i="6"/>
  <c r="L1534" i="6"/>
  <c r="S1534" i="6" s="1"/>
  <c r="L1533" i="6"/>
  <c r="L1532" i="6"/>
  <c r="S1532" i="6" s="1"/>
  <c r="L1531" i="6"/>
  <c r="L1530" i="6"/>
  <c r="S1530" i="6" s="1"/>
  <c r="L1529" i="6"/>
  <c r="L1528" i="6"/>
  <c r="S1528" i="6" s="1"/>
  <c r="L1527" i="6"/>
  <c r="L1526" i="6"/>
  <c r="S1526" i="6" s="1"/>
  <c r="L1525" i="6"/>
  <c r="L1524" i="6"/>
  <c r="S1524" i="6" s="1"/>
  <c r="L1523" i="6"/>
  <c r="L1522" i="6"/>
  <c r="S1522" i="6" s="1"/>
  <c r="L1521" i="6"/>
  <c r="L1520" i="6"/>
  <c r="S1520" i="6" s="1"/>
  <c r="L1519" i="6"/>
  <c r="L1518" i="6"/>
  <c r="S1518" i="6" s="1"/>
  <c r="L1517" i="6"/>
  <c r="L1516" i="6"/>
  <c r="S1516" i="6" s="1"/>
  <c r="L1515" i="6"/>
  <c r="L1514" i="6"/>
  <c r="S1514" i="6" s="1"/>
  <c r="L1513" i="6"/>
  <c r="L1512" i="6"/>
  <c r="S1512" i="6" s="1"/>
  <c r="L1511" i="6"/>
  <c r="L1510" i="6"/>
  <c r="S1510" i="6" s="1"/>
  <c r="L1509" i="6"/>
  <c r="L1508" i="6"/>
  <c r="S1508" i="6" s="1"/>
  <c r="L1507" i="6"/>
  <c r="L1506" i="6"/>
  <c r="S1506" i="6" s="1"/>
  <c r="L1505" i="6"/>
  <c r="L1504" i="6"/>
  <c r="S1504" i="6" s="1"/>
  <c r="L1503" i="6"/>
  <c r="L1502" i="6"/>
  <c r="S1502" i="6" s="1"/>
  <c r="L1501" i="6"/>
  <c r="L1500" i="6"/>
  <c r="S1500" i="6" s="1"/>
  <c r="L1499" i="6"/>
  <c r="L1498" i="6"/>
  <c r="S1498" i="6" s="1"/>
  <c r="L1497" i="6"/>
  <c r="L1496" i="6"/>
  <c r="S1496" i="6" s="1"/>
  <c r="L1495" i="6"/>
  <c r="L1494" i="6"/>
  <c r="S1494" i="6" s="1"/>
  <c r="L1493" i="6"/>
  <c r="L1492" i="6"/>
  <c r="S1492" i="6" s="1"/>
  <c r="L1491" i="6"/>
  <c r="L1490" i="6"/>
  <c r="S1490" i="6" s="1"/>
  <c r="L1489" i="6"/>
  <c r="L1488" i="6"/>
  <c r="S1488" i="6" s="1"/>
  <c r="L1487" i="6"/>
  <c r="L1486" i="6"/>
  <c r="S1486" i="6" s="1"/>
  <c r="L1485" i="6"/>
  <c r="L1484" i="6"/>
  <c r="S1484" i="6" s="1"/>
  <c r="L1483" i="6"/>
  <c r="L1482" i="6"/>
  <c r="S1482" i="6" s="1"/>
  <c r="L1481" i="6"/>
  <c r="L1480" i="6"/>
  <c r="S1480" i="6" s="1"/>
  <c r="L1479" i="6"/>
  <c r="L1478" i="6"/>
  <c r="S1478" i="6" s="1"/>
  <c r="L1477" i="6"/>
  <c r="L1476" i="6"/>
  <c r="S1476" i="6" s="1"/>
  <c r="L1475" i="6"/>
  <c r="L1474" i="6"/>
  <c r="S1474" i="6" s="1"/>
  <c r="L1473" i="6"/>
  <c r="L1472" i="6"/>
  <c r="S1472" i="6" s="1"/>
  <c r="L1471" i="6"/>
  <c r="L1470" i="6"/>
  <c r="S1470" i="6" s="1"/>
  <c r="L1469" i="6"/>
  <c r="L1468" i="6"/>
  <c r="S1468" i="6" s="1"/>
  <c r="L1467" i="6"/>
  <c r="L1466" i="6"/>
  <c r="S1466" i="6" s="1"/>
  <c r="L1465" i="6"/>
  <c r="L1464" i="6"/>
  <c r="S1464" i="6" s="1"/>
  <c r="L1463" i="6"/>
  <c r="L1462" i="6"/>
  <c r="S1462" i="6" s="1"/>
  <c r="L1461" i="6"/>
  <c r="L1460" i="6"/>
  <c r="S1460" i="6" s="1"/>
  <c r="L1459" i="6"/>
  <c r="L1458" i="6"/>
  <c r="S1458" i="6" s="1"/>
  <c r="L1457" i="6"/>
  <c r="L1456" i="6"/>
  <c r="S1456" i="6" s="1"/>
  <c r="L1455" i="6"/>
  <c r="L1454" i="6"/>
  <c r="S1454" i="6" s="1"/>
  <c r="L1453" i="6"/>
  <c r="L1452" i="6"/>
  <c r="S1452" i="6" s="1"/>
  <c r="L1451" i="6"/>
  <c r="L1450" i="6"/>
  <c r="S1450" i="6" s="1"/>
  <c r="L1449" i="6"/>
  <c r="L1448" i="6"/>
  <c r="S1448" i="6" s="1"/>
  <c r="L1447" i="6"/>
  <c r="L1446" i="6"/>
  <c r="S1446" i="6" s="1"/>
  <c r="L1445" i="6"/>
  <c r="L1444" i="6"/>
  <c r="S1444" i="6" s="1"/>
  <c r="L1443" i="6"/>
  <c r="L1442" i="6"/>
  <c r="S1442" i="6" s="1"/>
  <c r="L1441" i="6"/>
  <c r="L1440" i="6"/>
  <c r="S1440" i="6" s="1"/>
  <c r="L1439" i="6"/>
  <c r="L1438" i="6"/>
  <c r="S1438" i="6" s="1"/>
  <c r="L1437" i="6"/>
  <c r="L1436" i="6"/>
  <c r="S1436" i="6" s="1"/>
  <c r="L1435" i="6"/>
  <c r="L1434" i="6"/>
  <c r="S1434" i="6" s="1"/>
  <c r="L1433" i="6"/>
  <c r="L1432" i="6"/>
  <c r="S1432" i="6" s="1"/>
  <c r="L1431" i="6"/>
  <c r="L1430" i="6"/>
  <c r="S1430" i="6" s="1"/>
  <c r="L1429" i="6"/>
  <c r="L1428" i="6"/>
  <c r="S1428" i="6" s="1"/>
  <c r="L1427" i="6"/>
  <c r="L1426" i="6"/>
  <c r="S1426" i="6" s="1"/>
  <c r="L1425" i="6"/>
  <c r="L1424" i="6"/>
  <c r="S1424" i="6" s="1"/>
  <c r="L1423" i="6"/>
  <c r="L1422" i="6"/>
  <c r="S1422" i="6" s="1"/>
  <c r="L1421" i="6"/>
  <c r="L1420" i="6"/>
  <c r="S1420" i="6" s="1"/>
  <c r="L1419" i="6"/>
  <c r="L1418" i="6"/>
  <c r="S1418" i="6" s="1"/>
  <c r="L1417" i="6"/>
  <c r="L1416" i="6"/>
  <c r="S1416" i="6" s="1"/>
  <c r="L1415" i="6"/>
  <c r="L1414" i="6"/>
  <c r="S1414" i="6" s="1"/>
  <c r="L1413" i="6"/>
  <c r="L1412" i="6"/>
  <c r="S1412" i="6" s="1"/>
  <c r="L1411" i="6"/>
  <c r="L1410" i="6"/>
  <c r="S1410" i="6" s="1"/>
  <c r="L1409" i="6"/>
  <c r="L1408" i="6"/>
  <c r="S1408" i="6" s="1"/>
  <c r="L1407" i="6"/>
  <c r="L1406" i="6"/>
  <c r="L1405" i="6"/>
  <c r="K1405" i="6" s="1"/>
  <c r="L1404" i="6"/>
  <c r="S1404" i="6" s="1"/>
  <c r="L1403" i="6"/>
  <c r="K1403" i="6" s="1"/>
  <c r="L1402" i="6"/>
  <c r="L1401" i="6"/>
  <c r="K1401" i="6" s="1"/>
  <c r="L1400" i="6"/>
  <c r="S1400" i="6" s="1"/>
  <c r="L1399" i="6"/>
  <c r="K1399" i="6" s="1"/>
  <c r="L1398" i="6"/>
  <c r="S1398" i="6" s="1"/>
  <c r="L1397" i="6"/>
  <c r="L1396" i="6"/>
  <c r="S1396" i="6" s="1"/>
  <c r="L1395" i="6"/>
  <c r="L1394" i="6"/>
  <c r="S1394" i="6" s="1"/>
  <c r="L1393" i="6"/>
  <c r="L1392" i="6"/>
  <c r="S1392" i="6" s="1"/>
  <c r="L1391" i="6"/>
  <c r="L1390" i="6"/>
  <c r="S1390" i="6" s="1"/>
  <c r="L1389" i="6"/>
  <c r="L1388" i="6"/>
  <c r="S1388" i="6" s="1"/>
  <c r="L1387" i="6"/>
  <c r="K1387" i="6" s="1"/>
  <c r="L1386" i="6"/>
  <c r="S1386" i="6" s="1"/>
  <c r="L1385" i="6"/>
  <c r="L1384" i="6"/>
  <c r="S1384" i="6" s="1"/>
  <c r="L1383" i="6"/>
  <c r="L1382" i="6"/>
  <c r="S1382" i="6" s="1"/>
  <c r="L1381" i="6"/>
  <c r="L1380" i="6"/>
  <c r="S1380" i="6" s="1"/>
  <c r="L1379" i="6"/>
  <c r="L1378" i="6"/>
  <c r="S1378" i="6" s="1"/>
  <c r="L1377" i="6"/>
  <c r="L1376" i="6"/>
  <c r="S1376" i="6" s="1"/>
  <c r="L1375" i="6"/>
  <c r="L1374" i="6"/>
  <c r="S1374" i="6" s="1"/>
  <c r="L1373" i="6"/>
  <c r="L1372" i="6"/>
  <c r="S1372" i="6" s="1"/>
  <c r="L1371" i="6"/>
  <c r="L1370" i="6"/>
  <c r="S1370" i="6" s="1"/>
  <c r="L1369" i="6"/>
  <c r="L1368" i="6"/>
  <c r="L1367" i="6"/>
  <c r="K1367" i="6" s="1"/>
  <c r="L1366" i="6"/>
  <c r="S1366" i="6" s="1"/>
  <c r="L1365" i="6"/>
  <c r="L1364" i="6"/>
  <c r="S1364" i="6" s="1"/>
  <c r="L1363" i="6"/>
  <c r="K1363" i="6" s="1"/>
  <c r="L1362" i="6"/>
  <c r="S1362" i="6" s="1"/>
  <c r="L1361" i="6"/>
  <c r="L1360" i="6"/>
  <c r="L1359" i="6"/>
  <c r="K1359" i="6" s="1"/>
  <c r="L1358" i="6"/>
  <c r="S1358" i="6" s="1"/>
  <c r="L1357" i="6"/>
  <c r="K1357" i="6" s="1"/>
  <c r="L1356" i="6"/>
  <c r="L1355" i="6"/>
  <c r="K1355" i="6" s="1"/>
  <c r="L1354" i="6"/>
  <c r="S1354" i="6" s="1"/>
  <c r="L1353" i="6"/>
  <c r="L1352" i="6"/>
  <c r="S1352" i="6" s="1"/>
  <c r="L1351" i="6"/>
  <c r="K1351" i="6" s="1"/>
  <c r="L1350" i="6"/>
  <c r="S1350" i="6" s="1"/>
  <c r="L1349" i="6"/>
  <c r="K1349" i="6" s="1"/>
  <c r="L1348" i="6"/>
  <c r="S1348" i="6" s="1"/>
  <c r="L1347" i="6"/>
  <c r="L1346" i="6"/>
  <c r="S1346" i="6" s="1"/>
  <c r="L1345" i="6"/>
  <c r="L1344" i="6"/>
  <c r="L1343" i="6"/>
  <c r="K1343" i="6" s="1"/>
  <c r="L1342" i="6"/>
  <c r="S1342" i="6" s="1"/>
  <c r="L1341" i="6"/>
  <c r="L1340" i="6"/>
  <c r="S1340" i="6" s="1"/>
  <c r="L1339" i="6"/>
  <c r="K1339" i="6" s="1"/>
  <c r="L1338" i="6"/>
  <c r="L1337" i="6"/>
  <c r="L1336" i="6"/>
  <c r="S1336" i="6" s="1"/>
  <c r="L1335" i="6"/>
  <c r="L1334" i="6"/>
  <c r="S1334" i="6" s="1"/>
  <c r="L1333" i="6"/>
  <c r="L1332" i="6"/>
  <c r="L1331" i="6"/>
  <c r="L1330" i="6"/>
  <c r="S1330" i="6" s="1"/>
  <c r="L1329" i="6"/>
  <c r="K1329" i="6" s="1"/>
  <c r="L1328" i="6"/>
  <c r="S1328" i="6" s="1"/>
  <c r="L1327" i="6"/>
  <c r="L1326" i="6"/>
  <c r="S1326" i="6" s="1"/>
  <c r="L1325" i="6"/>
  <c r="K1325" i="6" s="1"/>
  <c r="L1324" i="6"/>
  <c r="S1324" i="6" s="1"/>
  <c r="L1323" i="6"/>
  <c r="L1322" i="6"/>
  <c r="L1321" i="6"/>
  <c r="K1321" i="6" s="1"/>
  <c r="L1320" i="6"/>
  <c r="S1320" i="6" s="1"/>
  <c r="L1319" i="6"/>
  <c r="K1319" i="6" s="1"/>
  <c r="L1318" i="6"/>
  <c r="L1317" i="6"/>
  <c r="L1316" i="6"/>
  <c r="L1315" i="6"/>
  <c r="L1314" i="6"/>
  <c r="L1313" i="6"/>
  <c r="L1312" i="6"/>
  <c r="L1311" i="6"/>
  <c r="L1310" i="6"/>
  <c r="L1309" i="6"/>
  <c r="L1308" i="6"/>
  <c r="L1307" i="6"/>
  <c r="L1306" i="6"/>
  <c r="L1305" i="6"/>
  <c r="L1304" i="6"/>
  <c r="L1303" i="6"/>
  <c r="L1302" i="6"/>
  <c r="L1301" i="6"/>
  <c r="L1300" i="6"/>
  <c r="L1299" i="6"/>
  <c r="L1298" i="6"/>
  <c r="L1297" i="6"/>
  <c r="L1296" i="6"/>
  <c r="L1295" i="6"/>
  <c r="L1294" i="6"/>
  <c r="L1293" i="6"/>
  <c r="L1292" i="6"/>
  <c r="L1291" i="6"/>
  <c r="L1290" i="6"/>
  <c r="L1289" i="6"/>
  <c r="L1288" i="6"/>
  <c r="L1287" i="6"/>
  <c r="L1286" i="6"/>
  <c r="L1285" i="6"/>
  <c r="L1284" i="6"/>
  <c r="L1283" i="6"/>
  <c r="L1282" i="6"/>
  <c r="L1281" i="6"/>
  <c r="S1281" i="6" s="1"/>
  <c r="L1280" i="6"/>
  <c r="S1280" i="6" s="1"/>
  <c r="L1279" i="6"/>
  <c r="L1278" i="6"/>
  <c r="S1278" i="6" s="1"/>
  <c r="L1277" i="6"/>
  <c r="L1276" i="6"/>
  <c r="S1276" i="6" s="1"/>
  <c r="L1275" i="6"/>
  <c r="L1274" i="6"/>
  <c r="S1274" i="6" s="1"/>
  <c r="L1273" i="6"/>
  <c r="L1272" i="6"/>
  <c r="S1272" i="6" s="1"/>
  <c r="L1271" i="6"/>
  <c r="L1270" i="6"/>
  <c r="S1270" i="6" s="1"/>
  <c r="L1269" i="6"/>
  <c r="L1268" i="6"/>
  <c r="S1268" i="6" s="1"/>
  <c r="L1267" i="6"/>
  <c r="S1267" i="6" s="1"/>
  <c r="L1266" i="6"/>
  <c r="S1266" i="6" s="1"/>
  <c r="L1265" i="6"/>
  <c r="L1264" i="6"/>
  <c r="S1264" i="6" s="1"/>
  <c r="L1263" i="6"/>
  <c r="L1262" i="6"/>
  <c r="S1262" i="6" s="1"/>
  <c r="L1261" i="6"/>
  <c r="L1260" i="6"/>
  <c r="S1260" i="6" s="1"/>
  <c r="L1259" i="6"/>
  <c r="L1258" i="6"/>
  <c r="S1258" i="6" s="1"/>
  <c r="L1257" i="6"/>
  <c r="L1256" i="6"/>
  <c r="S1256" i="6" s="1"/>
  <c r="L1255" i="6"/>
  <c r="L1254" i="6"/>
  <c r="S1254" i="6" s="1"/>
  <c r="L1253" i="6"/>
  <c r="L1252" i="6"/>
  <c r="L1251" i="6"/>
  <c r="L1250" i="6"/>
  <c r="S1250" i="6" s="1"/>
  <c r="L1249" i="6"/>
  <c r="L1248" i="6"/>
  <c r="S1248" i="6" s="1"/>
  <c r="L1247" i="6"/>
  <c r="L1246" i="6"/>
  <c r="S1246" i="6" s="1"/>
  <c r="L1245" i="6"/>
  <c r="L1244" i="6"/>
  <c r="S1244" i="6" s="1"/>
  <c r="L1243" i="6"/>
  <c r="L1242" i="6"/>
  <c r="L1241" i="6"/>
  <c r="L1240" i="6"/>
  <c r="S1240" i="6" s="1"/>
  <c r="L1239" i="6"/>
  <c r="S1239" i="6" s="1"/>
  <c r="L1238" i="6"/>
  <c r="S1238" i="6" s="1"/>
  <c r="L1237" i="6"/>
  <c r="L1236" i="6"/>
  <c r="S1236" i="6" s="1"/>
  <c r="L1235" i="6"/>
  <c r="L1234" i="6"/>
  <c r="L1233" i="6"/>
  <c r="S1233" i="6" s="1"/>
  <c r="L1232" i="6"/>
  <c r="L1231" i="6"/>
  <c r="S1231" i="6" s="1"/>
  <c r="L1230" i="6"/>
  <c r="L1229" i="6"/>
  <c r="L1228" i="6"/>
  <c r="S1228" i="6" s="1"/>
  <c r="L1227" i="6"/>
  <c r="L1226" i="6"/>
  <c r="L1225" i="6"/>
  <c r="L1224" i="6"/>
  <c r="L1223" i="6"/>
  <c r="L1222" i="6"/>
  <c r="L1221" i="6"/>
  <c r="L1220" i="6"/>
  <c r="S1220" i="6" s="1"/>
  <c r="L1219" i="6"/>
  <c r="L1218" i="6"/>
  <c r="S1218" i="6" s="1"/>
  <c r="L1217" i="6"/>
  <c r="L1216" i="6"/>
  <c r="S1216" i="6" s="1"/>
  <c r="L1215" i="6"/>
  <c r="L1214" i="6"/>
  <c r="S1214" i="6" s="1"/>
  <c r="L1213" i="6"/>
  <c r="L1212" i="6"/>
  <c r="L1211" i="6"/>
  <c r="L1210" i="6"/>
  <c r="S1210" i="6" s="1"/>
  <c r="L1209" i="6"/>
  <c r="L1208" i="6"/>
  <c r="S1208" i="6" s="1"/>
  <c r="L1207" i="6"/>
  <c r="L1206" i="6"/>
  <c r="L1205" i="6"/>
  <c r="L1204" i="6"/>
  <c r="S1204" i="6" s="1"/>
  <c r="L1203" i="6"/>
  <c r="K1203" i="6" s="1"/>
  <c r="L1202" i="6"/>
  <c r="L1201" i="6"/>
  <c r="K1201" i="6" s="1"/>
  <c r="L1200" i="6"/>
  <c r="S1200" i="6" s="1"/>
  <c r="L1199" i="6"/>
  <c r="L1198" i="6"/>
  <c r="L1197" i="6"/>
  <c r="L1196" i="6"/>
  <c r="S1196" i="6" s="1"/>
  <c r="L1195" i="6"/>
  <c r="L1194" i="6"/>
  <c r="S1194" i="6" s="1"/>
  <c r="L1193" i="6"/>
  <c r="L1192" i="6"/>
  <c r="S1192" i="6" s="1"/>
  <c r="L1191" i="6"/>
  <c r="L1190" i="6"/>
  <c r="S1190" i="6" s="1"/>
  <c r="L1189" i="6"/>
  <c r="L1188" i="6"/>
  <c r="L1187" i="6"/>
  <c r="K1187" i="6" s="1"/>
  <c r="L1186" i="6"/>
  <c r="S1186" i="6" s="1"/>
  <c r="L1185" i="6"/>
  <c r="K1185" i="6" s="1"/>
  <c r="L1184" i="6"/>
  <c r="L1183" i="6"/>
  <c r="L1182" i="6"/>
  <c r="L1181" i="6"/>
  <c r="K1181" i="6" s="1"/>
  <c r="L1180" i="6"/>
  <c r="L1179" i="6"/>
  <c r="K1179" i="6" s="1"/>
  <c r="L1178" i="6"/>
  <c r="L1177" i="6"/>
  <c r="L1176" i="6"/>
  <c r="S1176" i="6" s="1"/>
  <c r="L1175" i="6"/>
  <c r="K1175" i="6" s="1"/>
  <c r="L1174" i="6"/>
  <c r="L1173" i="6"/>
  <c r="L1172" i="6"/>
  <c r="L1171" i="6"/>
  <c r="L1170" i="6"/>
  <c r="S1170" i="6" s="1"/>
  <c r="L1169" i="6"/>
  <c r="L1168" i="6"/>
  <c r="S1168" i="6" s="1"/>
  <c r="L1167" i="6"/>
  <c r="L1166" i="6"/>
  <c r="L1165" i="6"/>
  <c r="L1164" i="6"/>
  <c r="S1164" i="6" s="1"/>
  <c r="L1163" i="6"/>
  <c r="L1162" i="6"/>
  <c r="S1162" i="6" s="1"/>
  <c r="L1161" i="6"/>
  <c r="K1161" i="6" s="1"/>
  <c r="L1160" i="6"/>
  <c r="L1159" i="6"/>
  <c r="K1159" i="6" s="1"/>
  <c r="L1158" i="6"/>
  <c r="S1158" i="6" s="1"/>
  <c r="L1157" i="6"/>
  <c r="K1157" i="6" s="1"/>
  <c r="L1156" i="6"/>
  <c r="L1155" i="6"/>
  <c r="K1155" i="6" s="1"/>
  <c r="L1154" i="6"/>
  <c r="L1153" i="6"/>
  <c r="K1153" i="6" s="1"/>
  <c r="L1152" i="6"/>
  <c r="L1151" i="6"/>
  <c r="K1151" i="6" s="1"/>
  <c r="L1150" i="6"/>
  <c r="L1149" i="6"/>
  <c r="K1149" i="6" s="1"/>
  <c r="L1148" i="6"/>
  <c r="S1148" i="6" s="1"/>
  <c r="L1147" i="6"/>
  <c r="L1146" i="6"/>
  <c r="S1146" i="6" s="1"/>
  <c r="L1145" i="6"/>
  <c r="K1145" i="6" s="1"/>
  <c r="L1144" i="6"/>
  <c r="L1143" i="6"/>
  <c r="L1142" i="6"/>
  <c r="S1142" i="6" s="1"/>
  <c r="L1141" i="6"/>
  <c r="L1140" i="6"/>
  <c r="L1139" i="6"/>
  <c r="K1139" i="6" s="1"/>
  <c r="L1138" i="6"/>
  <c r="L1137" i="6"/>
  <c r="K1137" i="6" s="1"/>
  <c r="L1136" i="6"/>
  <c r="S1136" i="6" s="1"/>
  <c r="L1135" i="6"/>
  <c r="K1135" i="6" s="1"/>
  <c r="L1134" i="6"/>
  <c r="L1133" i="6"/>
  <c r="K1133" i="6" s="1"/>
  <c r="L1132" i="6"/>
  <c r="L1131" i="6"/>
  <c r="K1131" i="6" s="1"/>
  <c r="L1130" i="6"/>
  <c r="L1129" i="6"/>
  <c r="L1128" i="6"/>
  <c r="S1128" i="6" s="1"/>
  <c r="L1127" i="6"/>
  <c r="K1127" i="6" s="1"/>
  <c r="L1126" i="6"/>
  <c r="S1126" i="6" s="1"/>
  <c r="L1125" i="6"/>
  <c r="K1125" i="6" s="1"/>
  <c r="L1124" i="6"/>
  <c r="L1123" i="6"/>
  <c r="K1123" i="6" s="1"/>
  <c r="L1122" i="6"/>
  <c r="L1121" i="6"/>
  <c r="L1120" i="6"/>
  <c r="S1120" i="6" s="1"/>
  <c r="L1119" i="6"/>
  <c r="L1118" i="6"/>
  <c r="S1118" i="6" s="1"/>
  <c r="L1117" i="6"/>
  <c r="K1117" i="6" s="1"/>
  <c r="L1116" i="6"/>
  <c r="S1116" i="6" s="1"/>
  <c r="L1115" i="6"/>
  <c r="L1114" i="6"/>
  <c r="S1114" i="6" s="1"/>
  <c r="L1113" i="6"/>
  <c r="S1113" i="6" s="1"/>
  <c r="L1112" i="6"/>
  <c r="S1112" i="6" s="1"/>
  <c r="L1111" i="6"/>
  <c r="L1110" i="6"/>
  <c r="L1109" i="6"/>
  <c r="L1108" i="6"/>
  <c r="S1108" i="6" s="1"/>
  <c r="L1107" i="6"/>
  <c r="L1106" i="6"/>
  <c r="L1105" i="6"/>
  <c r="L1104" i="6"/>
  <c r="L1103" i="6"/>
  <c r="K1103" i="6" s="1"/>
  <c r="L1102" i="6"/>
  <c r="L1101" i="6"/>
  <c r="L1100" i="6"/>
  <c r="S1100" i="6" s="1"/>
  <c r="L1099" i="6"/>
  <c r="L1098" i="6"/>
  <c r="S1098" i="6" s="1"/>
  <c r="L1097" i="6"/>
  <c r="L1096" i="6"/>
  <c r="L1095" i="6"/>
  <c r="L1094" i="6"/>
  <c r="L1093" i="6"/>
  <c r="L1092" i="6"/>
  <c r="S1092" i="6" s="1"/>
  <c r="L1091" i="6"/>
  <c r="K1091" i="6" s="1"/>
  <c r="L1090" i="6"/>
  <c r="S1090" i="6" s="1"/>
  <c r="L1089" i="6"/>
  <c r="L1088" i="6"/>
  <c r="L1087" i="6"/>
  <c r="L1086" i="6"/>
  <c r="L1085" i="6"/>
  <c r="L1084" i="6"/>
  <c r="S1084" i="6" s="1"/>
  <c r="L1083" i="6"/>
  <c r="L1082" i="6"/>
  <c r="S1082" i="6" s="1"/>
  <c r="L1081" i="6"/>
  <c r="L1080" i="6"/>
  <c r="S1080" i="6" s="1"/>
  <c r="L1079" i="6"/>
  <c r="L1078" i="6"/>
  <c r="S1078" i="6" s="1"/>
  <c r="L1077" i="6"/>
  <c r="L1076" i="6"/>
  <c r="S1076" i="6" s="1"/>
  <c r="L1075" i="6"/>
  <c r="L1074" i="6"/>
  <c r="S1074" i="6" s="1"/>
  <c r="L1073" i="6"/>
  <c r="L1072" i="6"/>
  <c r="S1072" i="6" s="1"/>
  <c r="L1071" i="6"/>
  <c r="L1070" i="6"/>
  <c r="S1070" i="6" s="1"/>
  <c r="L1069" i="6"/>
  <c r="L1068" i="6"/>
  <c r="S1068" i="6" s="1"/>
  <c r="L1067" i="6"/>
  <c r="L1066" i="6"/>
  <c r="S1066" i="6" s="1"/>
  <c r="L1065" i="6"/>
  <c r="L1064" i="6"/>
  <c r="S1064" i="6" s="1"/>
  <c r="L1063" i="6"/>
  <c r="L1062" i="6"/>
  <c r="S1062" i="6" s="1"/>
  <c r="L1061" i="6"/>
  <c r="L1060" i="6"/>
  <c r="S1060" i="6" s="1"/>
  <c r="L1059" i="6"/>
  <c r="L1058" i="6"/>
  <c r="S1058" i="6" s="1"/>
  <c r="L1057" i="6"/>
  <c r="S1057" i="6" s="1"/>
  <c r="L1056" i="6"/>
  <c r="S1056" i="6" s="1"/>
  <c r="L1055" i="6"/>
  <c r="L1054" i="6"/>
  <c r="L1053" i="6"/>
  <c r="L1052" i="6"/>
  <c r="S1052" i="6" s="1"/>
  <c r="L1051" i="6"/>
  <c r="K1051" i="6" s="1"/>
  <c r="L1050" i="6"/>
  <c r="L1049" i="6"/>
  <c r="K1049" i="6" s="1"/>
  <c r="L1048" i="6"/>
  <c r="L1047" i="6"/>
  <c r="K1047" i="6" s="1"/>
  <c r="L1046" i="6"/>
  <c r="S1046" i="6" s="1"/>
  <c r="L1045" i="6"/>
  <c r="K1045" i="6" s="1"/>
  <c r="L1044" i="6"/>
  <c r="S1044" i="6" s="1"/>
  <c r="L1043" i="6"/>
  <c r="L1042" i="6"/>
  <c r="S1042" i="6" s="1"/>
  <c r="L1041" i="6"/>
  <c r="L1040" i="6"/>
  <c r="S1040" i="6" s="1"/>
  <c r="L1039" i="6"/>
  <c r="L1038" i="6"/>
  <c r="S1038" i="6" s="1"/>
  <c r="L1037" i="6"/>
  <c r="L1036" i="6"/>
  <c r="S1036" i="6" s="1"/>
  <c r="L1035" i="6"/>
  <c r="L1034" i="6"/>
  <c r="S1034" i="6" s="1"/>
  <c r="L1033" i="6"/>
  <c r="L1032" i="6"/>
  <c r="S1032" i="6" s="1"/>
  <c r="L1031" i="6"/>
  <c r="L1030" i="6"/>
  <c r="S1030" i="6" s="1"/>
  <c r="L1029" i="6"/>
  <c r="K1029" i="6" s="1"/>
  <c r="L1028" i="6"/>
  <c r="S1028" i="6" s="1"/>
  <c r="L1027" i="6"/>
  <c r="L1026" i="6"/>
  <c r="L1025" i="6"/>
  <c r="L1024" i="6"/>
  <c r="S1024" i="6" s="1"/>
  <c r="L1023" i="6"/>
  <c r="L1022" i="6"/>
  <c r="S1022" i="6" s="1"/>
  <c r="L1021" i="6"/>
  <c r="L1020" i="6"/>
  <c r="S1020" i="6" s="1"/>
  <c r="L1019" i="6"/>
  <c r="L1018" i="6"/>
  <c r="S1018" i="6" s="1"/>
  <c r="L1017" i="6"/>
  <c r="K1017" i="6" s="1"/>
  <c r="L1016" i="6"/>
  <c r="S1016" i="6" s="1"/>
  <c r="L1015" i="6"/>
  <c r="L1014" i="6"/>
  <c r="S1014" i="6" s="1"/>
  <c r="L1013" i="6"/>
  <c r="L1012" i="6"/>
  <c r="S1012" i="6" s="1"/>
  <c r="L1011" i="6"/>
  <c r="L1010" i="6"/>
  <c r="S1010" i="6" s="1"/>
  <c r="L1009" i="6"/>
  <c r="L1008" i="6"/>
  <c r="S1008" i="6" s="1"/>
  <c r="L1007" i="6"/>
  <c r="L1006" i="6"/>
  <c r="S1006" i="6" s="1"/>
  <c r="L1005" i="6"/>
  <c r="L1004" i="6"/>
  <c r="S1004" i="6" s="1"/>
  <c r="L1003" i="6"/>
  <c r="L1002" i="6"/>
  <c r="S1002" i="6" s="1"/>
  <c r="L1001" i="6"/>
  <c r="L1000" i="6"/>
  <c r="S1000" i="6" s="1"/>
  <c r="L999" i="6"/>
  <c r="L998" i="6"/>
  <c r="S998" i="6" s="1"/>
  <c r="L997" i="6"/>
  <c r="L996" i="6"/>
  <c r="S996" i="6" s="1"/>
  <c r="L995" i="6"/>
  <c r="L994" i="6"/>
  <c r="S994" i="6" s="1"/>
  <c r="L993" i="6"/>
  <c r="L992" i="6"/>
  <c r="S992" i="6" s="1"/>
  <c r="L991" i="6"/>
  <c r="L990" i="6"/>
  <c r="S990" i="6" s="1"/>
  <c r="L989" i="6"/>
  <c r="L988" i="6"/>
  <c r="S988" i="6" s="1"/>
  <c r="L987" i="6"/>
  <c r="L986" i="6"/>
  <c r="S986" i="6" s="1"/>
  <c r="L985" i="6"/>
  <c r="L984" i="6"/>
  <c r="L983" i="6"/>
  <c r="L982" i="6"/>
  <c r="S982" i="6" s="1"/>
  <c r="L981" i="6"/>
  <c r="L980" i="6"/>
  <c r="S980" i="6" s="1"/>
  <c r="L979" i="6"/>
  <c r="L978" i="6"/>
  <c r="S978" i="6" s="1"/>
  <c r="L977" i="6"/>
  <c r="L976" i="6"/>
  <c r="S976" i="6" s="1"/>
  <c r="L975" i="6"/>
  <c r="L974" i="6"/>
  <c r="S974" i="6" s="1"/>
  <c r="L973" i="6"/>
  <c r="L972" i="6"/>
  <c r="S972" i="6" s="1"/>
  <c r="L971" i="6"/>
  <c r="L970" i="6"/>
  <c r="S970" i="6" s="1"/>
  <c r="L969" i="6"/>
  <c r="L968" i="6"/>
  <c r="S968" i="6" s="1"/>
  <c r="L967" i="6"/>
  <c r="L966" i="6"/>
  <c r="S966" i="6" s="1"/>
  <c r="L965" i="6"/>
  <c r="L964" i="6"/>
  <c r="S964" i="6" s="1"/>
  <c r="L963" i="6"/>
  <c r="L962" i="6"/>
  <c r="S962" i="6" s="1"/>
  <c r="L961" i="6"/>
  <c r="L960" i="6"/>
  <c r="S960" i="6" s="1"/>
  <c r="L959" i="6"/>
  <c r="L958" i="6"/>
  <c r="S958" i="6" s="1"/>
  <c r="L957" i="6"/>
  <c r="L956" i="6"/>
  <c r="S956" i="6" s="1"/>
  <c r="L955" i="6"/>
  <c r="L954" i="6"/>
  <c r="S954" i="6" s="1"/>
  <c r="L953" i="6"/>
  <c r="L952" i="6"/>
  <c r="S952" i="6" s="1"/>
  <c r="L951" i="6"/>
  <c r="L950" i="6"/>
  <c r="S950" i="6" s="1"/>
  <c r="L949" i="6"/>
  <c r="L948" i="6"/>
  <c r="S948" i="6" s="1"/>
  <c r="L947" i="6"/>
  <c r="L946" i="6"/>
  <c r="S946" i="6" s="1"/>
  <c r="L945" i="6"/>
  <c r="L944" i="6"/>
  <c r="S944" i="6" s="1"/>
  <c r="L943" i="6"/>
  <c r="L942" i="6"/>
  <c r="S942" i="6" s="1"/>
  <c r="L941" i="6"/>
  <c r="L940" i="6"/>
  <c r="S940" i="6" s="1"/>
  <c r="L939" i="6"/>
  <c r="L938" i="6"/>
  <c r="S938" i="6" s="1"/>
  <c r="L937" i="6"/>
  <c r="L936" i="6"/>
  <c r="L935" i="6"/>
  <c r="L934" i="6"/>
  <c r="S934" i="6" s="1"/>
  <c r="L933" i="6"/>
  <c r="L932" i="6"/>
  <c r="S932" i="6" s="1"/>
  <c r="L931" i="6"/>
  <c r="L930" i="6"/>
  <c r="S930" i="6" s="1"/>
  <c r="L929" i="6"/>
  <c r="L928" i="6"/>
  <c r="S928" i="6" s="1"/>
  <c r="L927" i="6"/>
  <c r="L926" i="6"/>
  <c r="S926" i="6" s="1"/>
  <c r="L925" i="6"/>
  <c r="L924" i="6"/>
  <c r="S924" i="6" s="1"/>
  <c r="L923" i="6"/>
  <c r="L922" i="6"/>
  <c r="S922" i="6" s="1"/>
  <c r="L921" i="6"/>
  <c r="L920" i="6"/>
  <c r="S920" i="6" s="1"/>
  <c r="L919" i="6"/>
  <c r="L918" i="6"/>
  <c r="S918" i="6" s="1"/>
  <c r="L917" i="6"/>
  <c r="S917" i="6" s="1"/>
  <c r="L916" i="6"/>
  <c r="S916" i="6" s="1"/>
  <c r="L915" i="6"/>
  <c r="L914" i="6"/>
  <c r="S914" i="6" s="1"/>
  <c r="L913" i="6"/>
  <c r="L912" i="6"/>
  <c r="S912" i="6" s="1"/>
  <c r="L911" i="6"/>
  <c r="L910" i="6"/>
  <c r="S910" i="6" s="1"/>
  <c r="L909" i="6"/>
  <c r="L908" i="6"/>
  <c r="S908" i="6" s="1"/>
  <c r="L907" i="6"/>
  <c r="S907" i="6" s="1"/>
  <c r="L906" i="6"/>
  <c r="S906" i="6" s="1"/>
  <c r="L905" i="6"/>
  <c r="L904" i="6"/>
  <c r="S904" i="6" s="1"/>
  <c r="L903" i="6"/>
  <c r="L902" i="6"/>
  <c r="S902" i="6" s="1"/>
  <c r="L901" i="6"/>
  <c r="S901" i="6" s="1"/>
  <c r="L900" i="6"/>
  <c r="L899" i="6"/>
  <c r="L898" i="6"/>
  <c r="S898" i="6" s="1"/>
  <c r="L897" i="6"/>
  <c r="L896" i="6"/>
  <c r="S896" i="6" s="1"/>
  <c r="L895" i="6"/>
  <c r="S895" i="6" s="1"/>
  <c r="L894" i="6"/>
  <c r="S894" i="6" s="1"/>
  <c r="L893" i="6"/>
  <c r="L892" i="6"/>
  <c r="L891" i="6"/>
  <c r="L890" i="6"/>
  <c r="L889" i="6"/>
  <c r="L888" i="6"/>
  <c r="S888" i="6" s="1"/>
  <c r="L887" i="6"/>
  <c r="L886" i="6"/>
  <c r="L885" i="6"/>
  <c r="L884" i="6"/>
  <c r="L883" i="6"/>
  <c r="L882" i="6"/>
  <c r="S882" i="6" s="1"/>
  <c r="L881" i="6"/>
  <c r="L880" i="6"/>
  <c r="S880" i="6" s="1"/>
  <c r="L879" i="6"/>
  <c r="L878" i="6"/>
  <c r="S878" i="6" s="1"/>
  <c r="L877" i="6"/>
  <c r="L876" i="6"/>
  <c r="L875" i="6"/>
  <c r="S875" i="6" s="1"/>
  <c r="L874" i="6"/>
  <c r="S874" i="6" s="1"/>
  <c r="L873" i="6"/>
  <c r="S873" i="6" s="1"/>
  <c r="L872" i="6"/>
  <c r="S872" i="6" s="1"/>
  <c r="L871" i="6"/>
  <c r="L870" i="6"/>
  <c r="L869" i="6"/>
  <c r="L868" i="6"/>
  <c r="S868" i="6" s="1"/>
  <c r="L867" i="6"/>
  <c r="L866" i="6"/>
  <c r="S866" i="6" s="1"/>
  <c r="L865" i="6"/>
  <c r="L864" i="6"/>
  <c r="S864" i="6" s="1"/>
  <c r="L863" i="6"/>
  <c r="L862" i="6"/>
  <c r="S862" i="6" s="1"/>
  <c r="L861" i="6"/>
  <c r="L860" i="6"/>
  <c r="S860" i="6" s="1"/>
  <c r="L859" i="6"/>
  <c r="K859" i="6" s="1"/>
  <c r="L858" i="6"/>
  <c r="L857" i="6"/>
  <c r="L856" i="6"/>
  <c r="S856" i="6" s="1"/>
  <c r="L855" i="6"/>
  <c r="L854" i="6"/>
  <c r="S854" i="6" s="1"/>
  <c r="L853" i="6"/>
  <c r="L852" i="6"/>
  <c r="S852" i="6" s="1"/>
  <c r="L851" i="6"/>
  <c r="L850" i="6"/>
  <c r="S850" i="6" s="1"/>
  <c r="L849" i="6"/>
  <c r="L848" i="6"/>
  <c r="S848" i="6" s="1"/>
  <c r="L847" i="6"/>
  <c r="L846" i="6"/>
  <c r="S846" i="6" s="1"/>
  <c r="L845" i="6"/>
  <c r="L844" i="6"/>
  <c r="S844" i="6" s="1"/>
  <c r="L843" i="6"/>
  <c r="L842" i="6"/>
  <c r="S842" i="6" s="1"/>
  <c r="L841" i="6"/>
  <c r="K841" i="6" s="1"/>
  <c r="L840" i="6"/>
  <c r="S840" i="6" s="1"/>
  <c r="L839" i="6"/>
  <c r="K839" i="6" s="1"/>
  <c r="L838" i="6"/>
  <c r="S838" i="6" s="1"/>
  <c r="L837" i="6"/>
  <c r="K837" i="6" s="1"/>
  <c r="L836" i="6"/>
  <c r="S836" i="6" s="1"/>
  <c r="L835" i="6"/>
  <c r="L834" i="6"/>
  <c r="S834" i="6" s="1"/>
  <c r="L833" i="6"/>
  <c r="K833" i="6" s="1"/>
  <c r="L832" i="6"/>
  <c r="L831" i="6"/>
  <c r="K831" i="6" s="1"/>
  <c r="L830" i="6"/>
  <c r="L829" i="6"/>
  <c r="L828" i="6"/>
  <c r="S828" i="6" s="1"/>
  <c r="L827" i="6"/>
  <c r="L826" i="6"/>
  <c r="L825" i="6"/>
  <c r="L824" i="6"/>
  <c r="S824" i="6" s="1"/>
  <c r="L823" i="6"/>
  <c r="K823" i="6" s="1"/>
  <c r="L822" i="6"/>
  <c r="S822" i="6" s="1"/>
  <c r="L821" i="6"/>
  <c r="L820" i="6"/>
  <c r="L819" i="6"/>
  <c r="K819" i="6" s="1"/>
  <c r="L818" i="6"/>
  <c r="S818" i="6" s="1"/>
  <c r="L817" i="6"/>
  <c r="L816" i="6"/>
  <c r="L815" i="6"/>
  <c r="K815" i="6" s="1"/>
  <c r="L814" i="6"/>
  <c r="S814" i="6" s="1"/>
  <c r="L813" i="6"/>
  <c r="K813" i="6" s="1"/>
  <c r="L812" i="6"/>
  <c r="L811" i="6"/>
  <c r="L810" i="6"/>
  <c r="L809" i="6"/>
  <c r="K809" i="6" s="1"/>
  <c r="L808" i="6"/>
  <c r="L807" i="6"/>
  <c r="K807" i="6" s="1"/>
  <c r="L806" i="6"/>
  <c r="L805" i="6"/>
  <c r="K805" i="6" s="1"/>
  <c r="L804" i="6"/>
  <c r="L803" i="6"/>
  <c r="K803" i="6" s="1"/>
  <c r="L802" i="6"/>
  <c r="L801" i="6"/>
  <c r="L800" i="6"/>
  <c r="S800" i="6" s="1"/>
  <c r="L799" i="6"/>
  <c r="L798" i="6"/>
  <c r="S798" i="6" s="1"/>
  <c r="L797" i="6"/>
  <c r="L796" i="6"/>
  <c r="L795" i="6"/>
  <c r="K795" i="6" s="1"/>
  <c r="L794" i="6"/>
  <c r="S794" i="6" s="1"/>
  <c r="L793" i="6"/>
  <c r="L792" i="6"/>
  <c r="S792" i="6" s="1"/>
  <c r="L791" i="6"/>
  <c r="K791" i="6" s="1"/>
  <c r="L790" i="6"/>
  <c r="S790" i="6" s="1"/>
  <c r="L789" i="6"/>
  <c r="L788" i="6"/>
  <c r="S788" i="6" s="1"/>
  <c r="L787" i="6"/>
  <c r="L786" i="6"/>
  <c r="S786" i="6" s="1"/>
  <c r="L785" i="6"/>
  <c r="L784" i="6"/>
  <c r="S784" i="6" s="1"/>
  <c r="L783" i="6"/>
  <c r="K783" i="6" s="1"/>
  <c r="L782" i="6"/>
  <c r="S782" i="6" s="1"/>
  <c r="L781" i="6"/>
  <c r="L780" i="6"/>
  <c r="L779" i="6"/>
  <c r="L778" i="6"/>
  <c r="L777" i="6"/>
  <c r="K777" i="6" s="1"/>
  <c r="L776" i="6"/>
  <c r="L775" i="6"/>
  <c r="K775" i="6" s="1"/>
  <c r="L774" i="6"/>
  <c r="S774" i="6" s="1"/>
  <c r="L773" i="6"/>
  <c r="K773" i="6" s="1"/>
  <c r="L772" i="6"/>
  <c r="S772" i="6" s="1"/>
  <c r="L771" i="6"/>
  <c r="L770" i="6"/>
  <c r="L769" i="6"/>
  <c r="K769" i="6" s="1"/>
  <c r="L768" i="6"/>
  <c r="L767" i="6"/>
  <c r="K767" i="6" s="1"/>
  <c r="L766" i="6"/>
  <c r="S766" i="6" s="1"/>
  <c r="L765" i="6"/>
  <c r="L764" i="6"/>
  <c r="S764" i="6" s="1"/>
  <c r="L763" i="6"/>
  <c r="K763" i="6" s="1"/>
  <c r="L762" i="6"/>
  <c r="L761" i="6"/>
  <c r="K761" i="6" s="1"/>
  <c r="L760" i="6"/>
  <c r="S760" i="6" s="1"/>
  <c r="L759" i="6"/>
  <c r="L758" i="6"/>
  <c r="L757" i="6"/>
  <c r="K757" i="6" s="1"/>
  <c r="L756" i="6"/>
  <c r="L755" i="6"/>
  <c r="L754" i="6"/>
  <c r="S754" i="6" s="1"/>
  <c r="L753" i="6"/>
  <c r="K753" i="6" s="1"/>
  <c r="L752" i="6"/>
  <c r="S752" i="6" s="1"/>
  <c r="L751" i="6"/>
  <c r="L750" i="6"/>
  <c r="L749" i="6"/>
  <c r="K749" i="6" s="1"/>
  <c r="L748" i="6"/>
  <c r="S748" i="6" s="1"/>
  <c r="L747" i="6"/>
  <c r="K747" i="6" s="1"/>
  <c r="L746" i="6"/>
  <c r="L745" i="6"/>
  <c r="K745" i="6" s="1"/>
  <c r="L744" i="6"/>
  <c r="S744" i="6" s="1"/>
  <c r="L743" i="6"/>
  <c r="K743" i="6" s="1"/>
  <c r="L742" i="6"/>
  <c r="L741" i="6"/>
  <c r="K741" i="6" s="1"/>
  <c r="L740" i="6"/>
  <c r="S740" i="6" s="1"/>
  <c r="L739" i="6"/>
  <c r="L738" i="6"/>
  <c r="S738" i="6" s="1"/>
  <c r="L737" i="6"/>
  <c r="L736" i="6"/>
  <c r="L735" i="6"/>
  <c r="K735" i="6" s="1"/>
  <c r="L734" i="6"/>
  <c r="L733" i="6"/>
  <c r="L732" i="6"/>
  <c r="S732" i="6" s="1"/>
  <c r="L731" i="6"/>
  <c r="L730" i="6"/>
  <c r="L729" i="6"/>
  <c r="K729" i="6" s="1"/>
  <c r="L728" i="6"/>
  <c r="L727" i="6"/>
  <c r="L726" i="6"/>
  <c r="S726" i="6" s="1"/>
  <c r="L725" i="6"/>
  <c r="S725" i="6" s="1"/>
  <c r="L724" i="6"/>
  <c r="S724" i="6" s="1"/>
  <c r="L723" i="6"/>
  <c r="L722" i="6"/>
  <c r="L721" i="6"/>
  <c r="L720" i="6"/>
  <c r="S720" i="6" s="1"/>
  <c r="L719" i="6"/>
  <c r="L718" i="6"/>
  <c r="S718" i="6" s="1"/>
  <c r="L717" i="6"/>
  <c r="L716" i="6"/>
  <c r="S716" i="6" s="1"/>
  <c r="L715" i="6"/>
  <c r="L714" i="6"/>
  <c r="L713" i="6"/>
  <c r="L712" i="6"/>
  <c r="S712" i="6" s="1"/>
  <c r="L711" i="6"/>
  <c r="S711" i="6" s="1"/>
  <c r="L710" i="6"/>
  <c r="L709" i="6"/>
  <c r="K709" i="6" s="1"/>
  <c r="L708" i="6"/>
  <c r="L707" i="6"/>
  <c r="L706" i="6"/>
  <c r="S706" i="6" s="1"/>
  <c r="L705" i="6"/>
  <c r="S705" i="6" s="1"/>
  <c r="L704" i="6"/>
  <c r="S704" i="6" s="1"/>
  <c r="L703" i="6"/>
  <c r="L702" i="6"/>
  <c r="S702" i="6" s="1"/>
  <c r="L701" i="6"/>
  <c r="L700" i="6"/>
  <c r="S700" i="6" s="1"/>
  <c r="L699" i="6"/>
  <c r="S699" i="6" s="1"/>
  <c r="L698" i="6"/>
  <c r="S698" i="6" s="1"/>
  <c r="L697" i="6"/>
  <c r="S697" i="6" s="1"/>
  <c r="L696" i="6"/>
  <c r="S696" i="6" s="1"/>
  <c r="L695" i="6"/>
  <c r="L694" i="6"/>
  <c r="S694" i="6" s="1"/>
  <c r="L693" i="6"/>
  <c r="S693" i="6" s="1"/>
  <c r="L692" i="6"/>
  <c r="L691" i="6"/>
  <c r="S691" i="6" s="1"/>
  <c r="L690" i="6"/>
  <c r="L689" i="6"/>
  <c r="L688" i="6"/>
  <c r="L687" i="6"/>
  <c r="L686" i="6"/>
  <c r="L685" i="6"/>
  <c r="S685" i="6" s="1"/>
  <c r="L684" i="6"/>
  <c r="L683" i="6"/>
  <c r="L682" i="6"/>
  <c r="S682" i="6" s="1"/>
  <c r="L681" i="6"/>
  <c r="S681" i="6" s="1"/>
  <c r="L680" i="6"/>
  <c r="S680" i="6" s="1"/>
  <c r="L679" i="6"/>
  <c r="S679" i="6" s="1"/>
  <c r="L678" i="6"/>
  <c r="S678" i="6" s="1"/>
  <c r="L677" i="6"/>
  <c r="S677" i="6" s="1"/>
  <c r="L676" i="6"/>
  <c r="S676" i="6" s="1"/>
  <c r="L675" i="6"/>
  <c r="S675" i="6" s="1"/>
  <c r="L674" i="6"/>
  <c r="L673" i="6"/>
  <c r="S673" i="6" s="1"/>
  <c r="L672" i="6"/>
  <c r="S672" i="6" s="1"/>
  <c r="L671" i="6"/>
  <c r="L670" i="6"/>
  <c r="S670" i="6" s="1"/>
  <c r="L669" i="6"/>
  <c r="L668" i="6"/>
  <c r="S668" i="6" s="1"/>
  <c r="L667" i="6"/>
  <c r="L666" i="6"/>
  <c r="S666" i="6" s="1"/>
  <c r="L665" i="6"/>
  <c r="S665" i="6" s="1"/>
  <c r="L664" i="6"/>
  <c r="S664" i="6" s="1"/>
  <c r="L663" i="6"/>
  <c r="S663" i="6" s="1"/>
  <c r="L662" i="6"/>
  <c r="S662" i="6" s="1"/>
  <c r="L661" i="6"/>
  <c r="S661" i="6" s="1"/>
  <c r="L660" i="6"/>
  <c r="S660" i="6" s="1"/>
  <c r="L659" i="6"/>
  <c r="S659" i="6" s="1"/>
  <c r="L658" i="6"/>
  <c r="L657" i="6"/>
  <c r="S657" i="6" s="1"/>
  <c r="L656" i="6"/>
  <c r="L655" i="6"/>
  <c r="S655" i="6" s="1"/>
  <c r="L654" i="6"/>
  <c r="S654" i="6" s="1"/>
  <c r="L653" i="6"/>
  <c r="L652" i="6"/>
  <c r="S652" i="6" s="1"/>
  <c r="L651" i="6"/>
  <c r="S651" i="6" s="1"/>
  <c r="L650" i="6"/>
  <c r="L649" i="6"/>
  <c r="S649" i="6" s="1"/>
  <c r="L648" i="6"/>
  <c r="S648" i="6" s="1"/>
  <c r="L647" i="6"/>
  <c r="L646" i="6"/>
  <c r="S646" i="6" s="1"/>
  <c r="L645" i="6"/>
  <c r="L644" i="6"/>
  <c r="L643" i="6"/>
  <c r="L642" i="6"/>
  <c r="L641" i="6"/>
  <c r="L640" i="6"/>
  <c r="S640" i="6" s="1"/>
  <c r="L639" i="6"/>
  <c r="S639" i="6" s="1"/>
  <c r="L638" i="6"/>
  <c r="L637" i="6"/>
  <c r="S637" i="6" s="1"/>
  <c r="L636" i="6"/>
  <c r="S636" i="6" s="1"/>
  <c r="L635" i="6"/>
  <c r="L634" i="6"/>
  <c r="S634" i="6" s="1"/>
  <c r="L633" i="6"/>
  <c r="S633" i="6" s="1"/>
  <c r="L632" i="6"/>
  <c r="S632" i="6" s="1"/>
  <c r="L631" i="6"/>
  <c r="S631" i="6" s="1"/>
  <c r="L630" i="6"/>
  <c r="L629" i="6"/>
  <c r="L628" i="6"/>
  <c r="S628" i="6" s="1"/>
  <c r="L627" i="6"/>
  <c r="L626" i="6"/>
  <c r="L625" i="6"/>
  <c r="L624" i="6"/>
  <c r="L623" i="6"/>
  <c r="S623" i="6" s="1"/>
  <c r="L622" i="6"/>
  <c r="S622" i="6" s="1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S607" i="6" s="1"/>
  <c r="L606" i="6"/>
  <c r="L605" i="6"/>
  <c r="L604" i="6"/>
  <c r="S604" i="6" s="1"/>
  <c r="L603" i="6"/>
  <c r="L602" i="6"/>
  <c r="L601" i="6"/>
  <c r="L600" i="6"/>
  <c r="S600" i="6" s="1"/>
  <c r="L599" i="6"/>
  <c r="L598" i="6"/>
  <c r="L597" i="6"/>
  <c r="L596" i="6"/>
  <c r="S596" i="6" s="1"/>
  <c r="L595" i="6"/>
  <c r="S595" i="6" s="1"/>
  <c r="L594" i="6"/>
  <c r="L593" i="6"/>
  <c r="L592" i="6"/>
  <c r="L591" i="6"/>
  <c r="L590" i="6"/>
  <c r="L589" i="6"/>
  <c r="L588" i="6"/>
  <c r="S588" i="6" s="1"/>
  <c r="L587" i="6"/>
  <c r="L586" i="6"/>
  <c r="L585" i="6"/>
  <c r="L584" i="6"/>
  <c r="L583" i="6"/>
  <c r="L582" i="6"/>
  <c r="L581" i="6"/>
  <c r="L580" i="6"/>
  <c r="S580" i="6" s="1"/>
  <c r="L579" i="6"/>
  <c r="L578" i="6"/>
  <c r="L577" i="6"/>
  <c r="L576" i="6"/>
  <c r="S576" i="6" s="1"/>
  <c r="L575" i="6"/>
  <c r="L574" i="6"/>
  <c r="L573" i="6"/>
  <c r="L572" i="6"/>
  <c r="L571" i="6"/>
  <c r="L570" i="6"/>
  <c r="S570" i="6" s="1"/>
  <c r="L569" i="6"/>
  <c r="L568" i="6"/>
  <c r="L567" i="6"/>
  <c r="L566" i="6"/>
  <c r="L565" i="6"/>
  <c r="L564" i="6"/>
  <c r="L563" i="6"/>
  <c r="S563" i="6" s="1"/>
  <c r="L562" i="6"/>
  <c r="L561" i="6"/>
  <c r="L560" i="6"/>
  <c r="L559" i="6"/>
  <c r="L558" i="6"/>
  <c r="L557" i="6"/>
  <c r="L556" i="6"/>
  <c r="S556" i="6" s="1"/>
  <c r="L555" i="6"/>
  <c r="L554" i="6"/>
  <c r="L553" i="6"/>
  <c r="L552" i="6"/>
  <c r="L551" i="6"/>
  <c r="L550" i="6"/>
  <c r="L549" i="6"/>
  <c r="L548" i="6"/>
  <c r="L547" i="6"/>
  <c r="L546" i="6"/>
  <c r="S546" i="6" s="1"/>
  <c r="L545" i="6"/>
  <c r="L544" i="6"/>
  <c r="L543" i="6"/>
  <c r="L542" i="6"/>
  <c r="L541" i="6"/>
  <c r="L540" i="6"/>
  <c r="S540" i="6" s="1"/>
  <c r="L539" i="6"/>
  <c r="L538" i="6"/>
  <c r="L537" i="6"/>
  <c r="L535" i="6"/>
  <c r="L534" i="6"/>
  <c r="L533" i="6"/>
  <c r="L532" i="6"/>
  <c r="L531" i="6"/>
  <c r="L530" i="6"/>
  <c r="L529" i="6"/>
  <c r="S529" i="6" s="1"/>
  <c r="L528" i="6"/>
  <c r="L527" i="6"/>
  <c r="L526" i="6"/>
  <c r="L525" i="6"/>
  <c r="L524" i="6"/>
  <c r="L523" i="6"/>
  <c r="L522" i="6"/>
  <c r="S522" i="6" s="1"/>
  <c r="L521" i="6"/>
  <c r="S521" i="6" s="1"/>
  <c r="L520" i="6"/>
  <c r="S520" i="6" s="1"/>
  <c r="L519" i="6"/>
  <c r="L518" i="6"/>
  <c r="L517" i="6"/>
  <c r="S517" i="6" s="1"/>
  <c r="L516" i="6"/>
  <c r="L515" i="6"/>
  <c r="L514" i="6"/>
  <c r="L513" i="6"/>
  <c r="S513" i="6" s="1"/>
  <c r="L512" i="6"/>
  <c r="L511" i="6"/>
  <c r="L510" i="6"/>
  <c r="L509" i="6"/>
  <c r="S509" i="6" s="1"/>
  <c r="L508" i="6"/>
  <c r="L507" i="6"/>
  <c r="L506" i="6"/>
  <c r="L505" i="6"/>
  <c r="S505" i="6" s="1"/>
  <c r="L504" i="6"/>
  <c r="L503" i="6"/>
  <c r="L502" i="6"/>
  <c r="L501" i="6"/>
  <c r="S501" i="6" s="1"/>
  <c r="L500" i="6"/>
  <c r="L499" i="6"/>
  <c r="L498" i="6"/>
  <c r="L497" i="6"/>
  <c r="S497" i="6" s="1"/>
  <c r="L496" i="6"/>
  <c r="L495" i="6"/>
  <c r="L494" i="6"/>
  <c r="L493" i="6"/>
  <c r="S493" i="6" s="1"/>
  <c r="L492" i="6"/>
  <c r="L491" i="6"/>
  <c r="L490" i="6"/>
  <c r="L489" i="6"/>
  <c r="S489" i="6" s="1"/>
  <c r="L488" i="6"/>
  <c r="L487" i="6"/>
  <c r="L486" i="6"/>
  <c r="L485" i="6"/>
  <c r="S485" i="6" s="1"/>
  <c r="L484" i="6"/>
  <c r="L483" i="6"/>
  <c r="L482" i="6"/>
  <c r="L481" i="6"/>
  <c r="S481" i="6" s="1"/>
  <c r="L480" i="6"/>
  <c r="L479" i="6"/>
  <c r="L478" i="6"/>
  <c r="L477" i="6"/>
  <c r="S477" i="6" s="1"/>
  <c r="L476" i="6"/>
  <c r="S476" i="6" s="1"/>
  <c r="L475" i="6"/>
  <c r="L474" i="6"/>
  <c r="L473" i="6"/>
  <c r="S473" i="6" s="1"/>
  <c r="L472" i="6"/>
  <c r="L471" i="6"/>
  <c r="L470" i="6"/>
  <c r="L469" i="6"/>
  <c r="S469" i="6" s="1"/>
  <c r="L468" i="6"/>
  <c r="L467" i="6"/>
  <c r="L466" i="6"/>
  <c r="L465" i="6"/>
  <c r="S465" i="6" s="1"/>
  <c r="L464" i="6"/>
  <c r="L463" i="6"/>
  <c r="L462" i="6"/>
  <c r="L461" i="6"/>
  <c r="S461" i="6" s="1"/>
  <c r="L460" i="6"/>
  <c r="L459" i="6"/>
  <c r="L458" i="6"/>
  <c r="L457" i="6"/>
  <c r="S457" i="6" s="1"/>
  <c r="L456" i="6"/>
  <c r="L455" i="6"/>
  <c r="L454" i="6"/>
  <c r="L453" i="6"/>
  <c r="S453" i="6" s="1"/>
  <c r="L452" i="6"/>
  <c r="L451" i="6"/>
  <c r="L450" i="6"/>
  <c r="L449" i="6"/>
  <c r="S449" i="6" s="1"/>
  <c r="L448" i="6"/>
  <c r="L447" i="6"/>
  <c r="L446" i="6"/>
  <c r="L445" i="6"/>
  <c r="S445" i="6" s="1"/>
  <c r="L444" i="6"/>
  <c r="L443" i="6"/>
  <c r="L442" i="6"/>
  <c r="L441" i="6"/>
  <c r="S441" i="6" s="1"/>
  <c r="L440" i="6"/>
  <c r="L439" i="6"/>
  <c r="L438" i="6"/>
  <c r="L437" i="6"/>
  <c r="S437" i="6" s="1"/>
  <c r="L436" i="6"/>
  <c r="L435" i="6"/>
  <c r="L434" i="6"/>
  <c r="L433" i="6"/>
  <c r="S433" i="6" s="1"/>
  <c r="L432" i="6"/>
  <c r="L431" i="6"/>
  <c r="L430" i="6"/>
  <c r="L429" i="6"/>
  <c r="S429" i="6" s="1"/>
  <c r="L428" i="6"/>
  <c r="L427" i="6"/>
  <c r="L426" i="6"/>
  <c r="L425" i="6"/>
  <c r="S425" i="6" s="1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S407" i="6" s="1"/>
  <c r="L406" i="6"/>
  <c r="L405" i="6"/>
  <c r="S405" i="6" s="1"/>
  <c r="L404" i="6"/>
  <c r="L403" i="6"/>
  <c r="S403" i="6" s="1"/>
  <c r="L402" i="6"/>
  <c r="L401" i="6"/>
  <c r="S401" i="6" s="1"/>
  <c r="L400" i="6"/>
  <c r="S400" i="6" s="1"/>
  <c r="L399" i="6"/>
  <c r="S399" i="6" s="1"/>
  <c r="L398" i="6"/>
  <c r="L397" i="6"/>
  <c r="S397" i="6" s="1"/>
  <c r="L396" i="6"/>
  <c r="L395" i="6"/>
  <c r="S395" i="6" s="1"/>
  <c r="L394" i="6"/>
  <c r="L393" i="6"/>
  <c r="S393" i="6" s="1"/>
  <c r="L392" i="6"/>
  <c r="L391" i="6"/>
  <c r="L390" i="6"/>
  <c r="L389" i="6"/>
  <c r="S389" i="6" s="1"/>
  <c r="L388" i="6"/>
  <c r="L387" i="6"/>
  <c r="L386" i="6"/>
  <c r="L385" i="6"/>
  <c r="S385" i="6" s="1"/>
  <c r="L384" i="6"/>
  <c r="L383" i="6"/>
  <c r="L382" i="6"/>
  <c r="L381" i="6"/>
  <c r="S381" i="6" s="1"/>
  <c r="L380" i="6"/>
  <c r="L379" i="6"/>
  <c r="L378" i="6"/>
  <c r="L377" i="6"/>
  <c r="S377" i="6" s="1"/>
  <c r="L376" i="6"/>
  <c r="L375" i="6"/>
  <c r="L374" i="6"/>
  <c r="L373" i="6"/>
  <c r="S373" i="6" s="1"/>
  <c r="L372" i="6"/>
  <c r="S372" i="6" s="1"/>
  <c r="L371" i="6"/>
  <c r="L370" i="6"/>
  <c r="L369" i="6"/>
  <c r="S369" i="6" s="1"/>
  <c r="L368" i="6"/>
  <c r="L367" i="6"/>
  <c r="L366" i="6"/>
  <c r="L365" i="6"/>
  <c r="S365" i="6" s="1"/>
  <c r="L364" i="6"/>
  <c r="L363" i="6"/>
  <c r="L362" i="6"/>
  <c r="L361" i="6"/>
  <c r="S361" i="6" s="1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S343" i="6" s="1"/>
  <c r="L342" i="6"/>
  <c r="L341" i="6"/>
  <c r="S341" i="6" s="1"/>
  <c r="L340" i="6"/>
  <c r="L339" i="6"/>
  <c r="S339" i="6" s="1"/>
  <c r="L338" i="6"/>
  <c r="L337" i="6"/>
  <c r="S337" i="6" s="1"/>
  <c r="L336" i="6"/>
  <c r="L335" i="6"/>
  <c r="S335" i="6" s="1"/>
  <c r="L334" i="6"/>
  <c r="L333" i="6"/>
  <c r="S333" i="6" s="1"/>
  <c r="L332" i="6"/>
  <c r="L331" i="6"/>
  <c r="S331" i="6" s="1"/>
  <c r="L330" i="6"/>
  <c r="L329" i="6"/>
  <c r="S329" i="6" s="1"/>
  <c r="L328" i="6"/>
  <c r="L327" i="6"/>
  <c r="S327" i="6" s="1"/>
  <c r="L326" i="6"/>
  <c r="L325" i="6"/>
  <c r="S325" i="6" s="1"/>
  <c r="L324" i="6"/>
  <c r="L323" i="6"/>
  <c r="L322" i="6"/>
  <c r="L321" i="6"/>
  <c r="S321" i="6" s="1"/>
  <c r="L320" i="6"/>
  <c r="L319" i="6"/>
  <c r="L318" i="6"/>
  <c r="L317" i="6"/>
  <c r="S317" i="6" s="1"/>
  <c r="L316" i="6"/>
  <c r="L315" i="6"/>
  <c r="L314" i="6"/>
  <c r="L313" i="6"/>
  <c r="S313" i="6" s="1"/>
  <c r="L312" i="6"/>
  <c r="L311" i="6"/>
  <c r="L310" i="6"/>
  <c r="L309" i="6"/>
  <c r="S309" i="6" s="1"/>
  <c r="L308" i="6"/>
  <c r="L307" i="6"/>
  <c r="L306" i="6"/>
  <c r="L305" i="6"/>
  <c r="S305" i="6" s="1"/>
  <c r="L304" i="6"/>
  <c r="L303" i="6"/>
  <c r="L302" i="6"/>
  <c r="L301" i="6"/>
  <c r="S301" i="6" s="1"/>
  <c r="L300" i="6"/>
  <c r="L299" i="6"/>
  <c r="L298" i="6"/>
  <c r="L297" i="6"/>
  <c r="S297" i="6" s="1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S279" i="6" s="1"/>
  <c r="L278" i="6"/>
  <c r="L277" i="6"/>
  <c r="S277" i="6" s="1"/>
  <c r="L276" i="6"/>
  <c r="L275" i="6"/>
  <c r="S275" i="6" s="1"/>
  <c r="L274" i="6"/>
  <c r="L273" i="6"/>
  <c r="S273" i="6" s="1"/>
  <c r="L272" i="6"/>
  <c r="L271" i="6"/>
  <c r="S271" i="6" s="1"/>
  <c r="L270" i="6"/>
  <c r="L269" i="6"/>
  <c r="S269" i="6" s="1"/>
  <c r="L268" i="6"/>
  <c r="S268" i="6" s="1"/>
  <c r="L267" i="6"/>
  <c r="S267" i="6" s="1"/>
  <c r="L266" i="6"/>
  <c r="L265" i="6"/>
  <c r="S265" i="6" s="1"/>
  <c r="L264" i="6"/>
  <c r="L263" i="6"/>
  <c r="L262" i="6"/>
  <c r="L261" i="6"/>
  <c r="S261" i="6" s="1"/>
  <c r="L260" i="6"/>
  <c r="L259" i="6"/>
  <c r="L258" i="6"/>
  <c r="L257" i="6"/>
  <c r="S257" i="6" s="1"/>
  <c r="L256" i="6"/>
  <c r="L255" i="6"/>
  <c r="L254" i="6"/>
  <c r="L253" i="6"/>
  <c r="S253" i="6" s="1"/>
  <c r="L252" i="6"/>
  <c r="L251" i="6"/>
  <c r="L250" i="6"/>
  <c r="L249" i="6"/>
  <c r="S249" i="6" s="1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S231" i="6" s="1"/>
  <c r="L230" i="6"/>
  <c r="L229" i="6"/>
  <c r="S229" i="6" s="1"/>
  <c r="L228" i="6"/>
  <c r="L227" i="6"/>
  <c r="S227" i="6" s="1"/>
  <c r="L226" i="6"/>
  <c r="L225" i="6"/>
  <c r="S225" i="6" s="1"/>
  <c r="L224" i="6"/>
  <c r="L223" i="6"/>
  <c r="S223" i="6" s="1"/>
  <c r="L222" i="6"/>
  <c r="L221" i="6"/>
  <c r="S221" i="6" s="1"/>
  <c r="L220" i="6"/>
  <c r="L219" i="6"/>
  <c r="S219" i="6" s="1"/>
  <c r="L218" i="6"/>
  <c r="L217" i="6"/>
  <c r="S217" i="6" s="1"/>
  <c r="L216" i="6"/>
  <c r="L215" i="6"/>
  <c r="L214" i="6"/>
  <c r="L213" i="6"/>
  <c r="S213" i="6" s="1"/>
  <c r="L212" i="6"/>
  <c r="L211" i="6"/>
  <c r="L210" i="6"/>
  <c r="L209" i="6"/>
  <c r="S209" i="6" s="1"/>
  <c r="L208" i="6"/>
  <c r="L207" i="6"/>
  <c r="L206" i="6"/>
  <c r="L205" i="6"/>
  <c r="S205" i="6" s="1"/>
  <c r="L204" i="6"/>
  <c r="L203" i="6"/>
  <c r="L202" i="6"/>
  <c r="L201" i="6"/>
  <c r="S201" i="6" s="1"/>
  <c r="L200" i="6"/>
  <c r="L199" i="6"/>
  <c r="L198" i="6"/>
  <c r="L197" i="6"/>
  <c r="S197" i="6" s="1"/>
  <c r="L196" i="6"/>
  <c r="L195" i="6"/>
  <c r="L194" i="6"/>
  <c r="L193" i="6"/>
  <c r="S193" i="6" s="1"/>
  <c r="L192" i="6"/>
  <c r="L191" i="6"/>
  <c r="S191" i="6" s="1"/>
  <c r="L190" i="6"/>
  <c r="L189" i="6"/>
  <c r="S189" i="6" s="1"/>
  <c r="L188" i="6"/>
  <c r="L187" i="6"/>
  <c r="S187" i="6" s="1"/>
  <c r="L186" i="6"/>
  <c r="L185" i="6"/>
  <c r="S185" i="6" s="1"/>
  <c r="L184" i="6"/>
  <c r="L183" i="6"/>
  <c r="L182" i="6"/>
  <c r="L181" i="6"/>
  <c r="S181" i="6" s="1"/>
  <c r="L180" i="6"/>
  <c r="L179" i="6"/>
  <c r="L178" i="6"/>
  <c r="L177" i="6"/>
  <c r="L176" i="6"/>
  <c r="L175" i="6"/>
  <c r="L174" i="6"/>
  <c r="L173" i="6"/>
  <c r="L172" i="6"/>
  <c r="L171" i="6"/>
  <c r="L170" i="6"/>
  <c r="L169" i="6"/>
  <c r="S169" i="6" s="1"/>
  <c r="L168" i="6"/>
  <c r="L167" i="6"/>
  <c r="L166" i="6"/>
  <c r="L165" i="6"/>
  <c r="S165" i="6" s="1"/>
  <c r="L164" i="6"/>
  <c r="S164" i="6" s="1"/>
  <c r="L163" i="6"/>
  <c r="L162" i="6"/>
  <c r="L161" i="6"/>
  <c r="S161" i="6" s="1"/>
  <c r="L160" i="6"/>
  <c r="L159" i="6"/>
  <c r="L158" i="6"/>
  <c r="L157" i="6"/>
  <c r="S157" i="6" s="1"/>
  <c r="L156" i="6"/>
  <c r="L155" i="6"/>
  <c r="L154" i="6"/>
  <c r="L153" i="6"/>
  <c r="L152" i="6"/>
  <c r="L151" i="6"/>
  <c r="L150" i="6"/>
  <c r="S150" i="6" s="1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I2898" i="6"/>
  <c r="K2896" i="6"/>
  <c r="K2895" i="6"/>
  <c r="K2894" i="6"/>
  <c r="K2893" i="6"/>
  <c r="K2892" i="6"/>
  <c r="K2891" i="6"/>
  <c r="K2890" i="6"/>
  <c r="K2889" i="6"/>
  <c r="K2888" i="6"/>
  <c r="K2887" i="6"/>
  <c r="K2886" i="6"/>
  <c r="K2885" i="6"/>
  <c r="K2884" i="6"/>
  <c r="K2883" i="6"/>
  <c r="K2882" i="6"/>
  <c r="K2881" i="6"/>
  <c r="K2880" i="6"/>
  <c r="K2879" i="6"/>
  <c r="K2878" i="6"/>
  <c r="K2877" i="6"/>
  <c r="K2876" i="6"/>
  <c r="K2875" i="6"/>
  <c r="K2874" i="6"/>
  <c r="K2873" i="6"/>
  <c r="K2872" i="6"/>
  <c r="K2871" i="6"/>
  <c r="K2870" i="6"/>
  <c r="K2869" i="6"/>
  <c r="K2868" i="6"/>
  <c r="K2867" i="6"/>
  <c r="K2866" i="6"/>
  <c r="K2865" i="6"/>
  <c r="K2864" i="6"/>
  <c r="K2863" i="6"/>
  <c r="K2862" i="6"/>
  <c r="K2861" i="6"/>
  <c r="K2860" i="6"/>
  <c r="K2859" i="6"/>
  <c r="K2858" i="6"/>
  <c r="K2857" i="6"/>
  <c r="K2856" i="6"/>
  <c r="K2855" i="6"/>
  <c r="K2854" i="6"/>
  <c r="K2853" i="6"/>
  <c r="K2852" i="6"/>
  <c r="K2851" i="6"/>
  <c r="K2850" i="6"/>
  <c r="K2849" i="6"/>
  <c r="K2848" i="6"/>
  <c r="K2847" i="6"/>
  <c r="K2846" i="6"/>
  <c r="K2845" i="6"/>
  <c r="K2844" i="6"/>
  <c r="K2843" i="6"/>
  <c r="K2842" i="6"/>
  <c r="K2841" i="6"/>
  <c r="K2840" i="6"/>
  <c r="K2839" i="6"/>
  <c r="K2838" i="6"/>
  <c r="K2837" i="6"/>
  <c r="K2836" i="6"/>
  <c r="K2835" i="6"/>
  <c r="K2834" i="6"/>
  <c r="K2833" i="6"/>
  <c r="K2832" i="6"/>
  <c r="K2831" i="6"/>
  <c r="K2830" i="6"/>
  <c r="K2829" i="6"/>
  <c r="K2828" i="6"/>
  <c r="K2827" i="6"/>
  <c r="K2826" i="6"/>
  <c r="K2825" i="6"/>
  <c r="K2824" i="6"/>
  <c r="K2823" i="6"/>
  <c r="K2822" i="6"/>
  <c r="K2821" i="6"/>
  <c r="K2820" i="6"/>
  <c r="K2819" i="6"/>
  <c r="K2818" i="6"/>
  <c r="K2817" i="6"/>
  <c r="K2816" i="6"/>
  <c r="K2815" i="6"/>
  <c r="K2814" i="6"/>
  <c r="K2813" i="6"/>
  <c r="K2812" i="6"/>
  <c r="K2811" i="6"/>
  <c r="K2810" i="6"/>
  <c r="K2809" i="6"/>
  <c r="K2808" i="6"/>
  <c r="K2807" i="6"/>
  <c r="K2806" i="6"/>
  <c r="K2805" i="6"/>
  <c r="K2804" i="6"/>
  <c r="K2803" i="6"/>
  <c r="K2802" i="6"/>
  <c r="K2801" i="6"/>
  <c r="K2800" i="6"/>
  <c r="K2799" i="6"/>
  <c r="K2798" i="6"/>
  <c r="K2797" i="6"/>
  <c r="K2796" i="6"/>
  <c r="K2795" i="6"/>
  <c r="K2794" i="6"/>
  <c r="K2793" i="6"/>
  <c r="K2792" i="6"/>
  <c r="K2791" i="6"/>
  <c r="K2790" i="6"/>
  <c r="K2789" i="6"/>
  <c r="K2788" i="6"/>
  <c r="K2787" i="6"/>
  <c r="K2786" i="6"/>
  <c r="K2785" i="6"/>
  <c r="K2784" i="6"/>
  <c r="K2783" i="6"/>
  <c r="K2782" i="6"/>
  <c r="K2781" i="6"/>
  <c r="K2780" i="6"/>
  <c r="K2779" i="6"/>
  <c r="K2778" i="6"/>
  <c r="K2777" i="6"/>
  <c r="K2776" i="6"/>
  <c r="K2775" i="6"/>
  <c r="K2774" i="6"/>
  <c r="K2773" i="6"/>
  <c r="K2772" i="6"/>
  <c r="K2771" i="6"/>
  <c r="K2770" i="6"/>
  <c r="K2769" i="6"/>
  <c r="K2768" i="6"/>
  <c r="K2767" i="6"/>
  <c r="K2766" i="6"/>
  <c r="K2765" i="6"/>
  <c r="K2764" i="6"/>
  <c r="K2763" i="6"/>
  <c r="K2762" i="6"/>
  <c r="K2761" i="6"/>
  <c r="K2760" i="6"/>
  <c r="K2759" i="6"/>
  <c r="K2758" i="6"/>
  <c r="K2757" i="6"/>
  <c r="K2756" i="6"/>
  <c r="K2755" i="6"/>
  <c r="K2754" i="6"/>
  <c r="K2753" i="6"/>
  <c r="K2752" i="6"/>
  <c r="K2751" i="6"/>
  <c r="K2750" i="6"/>
  <c r="K2749" i="6"/>
  <c r="K2748" i="6"/>
  <c r="K2747" i="6"/>
  <c r="K2746" i="6"/>
  <c r="K2745" i="6"/>
  <c r="K2744" i="6"/>
  <c r="K2743" i="6"/>
  <c r="K2742" i="6"/>
  <c r="K2741" i="6"/>
  <c r="K2740" i="6"/>
  <c r="K2739" i="6"/>
  <c r="K2738" i="6"/>
  <c r="K2737" i="6"/>
  <c r="K2736" i="6"/>
  <c r="K2735" i="6"/>
  <c r="K2734" i="6"/>
  <c r="K2733" i="6"/>
  <c r="K2732" i="6"/>
  <c r="K2731" i="6"/>
  <c r="K2730" i="6"/>
  <c r="K2729" i="6"/>
  <c r="K2728" i="6"/>
  <c r="K2727" i="6"/>
  <c r="K2726" i="6"/>
  <c r="K2725" i="6"/>
  <c r="K2724" i="6"/>
  <c r="K2723" i="6"/>
  <c r="K2722" i="6"/>
  <c r="K2721" i="6"/>
  <c r="K2720" i="6"/>
  <c r="K2719" i="6"/>
  <c r="K2718" i="6"/>
  <c r="K2717" i="6"/>
  <c r="K2716" i="6"/>
  <c r="K2715" i="6"/>
  <c r="K2714" i="6"/>
  <c r="K2713" i="6"/>
  <c r="K2712" i="6"/>
  <c r="K2711" i="6"/>
  <c r="K2710" i="6"/>
  <c r="K2709" i="6"/>
  <c r="K2708" i="6"/>
  <c r="K2707" i="6"/>
  <c r="K2706" i="6"/>
  <c r="K2705" i="6"/>
  <c r="K2704" i="6"/>
  <c r="K2703" i="6"/>
  <c r="K2702" i="6"/>
  <c r="K2701" i="6"/>
  <c r="K2700" i="6"/>
  <c r="K2699" i="6"/>
  <c r="K2698" i="6"/>
  <c r="K2697" i="6"/>
  <c r="K2696" i="6"/>
  <c r="K2695" i="6"/>
  <c r="K2694" i="6"/>
  <c r="K2693" i="6"/>
  <c r="K2692" i="6"/>
  <c r="K2691" i="6"/>
  <c r="K2690" i="6"/>
  <c r="K2689" i="6"/>
  <c r="K2688" i="6"/>
  <c r="K2687" i="6"/>
  <c r="K2686" i="6"/>
  <c r="K2685" i="6"/>
  <c r="K2684" i="6"/>
  <c r="K2683" i="6"/>
  <c r="K2682" i="6"/>
  <c r="K2681" i="6"/>
  <c r="K2680" i="6"/>
  <c r="K2679" i="6"/>
  <c r="K2678" i="6"/>
  <c r="K2677" i="6"/>
  <c r="K2676" i="6"/>
  <c r="K2675" i="6"/>
  <c r="K2674" i="6"/>
  <c r="K2673" i="6"/>
  <c r="K2672" i="6"/>
  <c r="K2671" i="6"/>
  <c r="K2670" i="6"/>
  <c r="K2669" i="6"/>
  <c r="K2668" i="6"/>
  <c r="K2667" i="6"/>
  <c r="K2666" i="6"/>
  <c r="K2665" i="6"/>
  <c r="K2664" i="6"/>
  <c r="K2663" i="6"/>
  <c r="K2662" i="6"/>
  <c r="K2661" i="6"/>
  <c r="K2660" i="6"/>
  <c r="K2659" i="6"/>
  <c r="K2658" i="6"/>
  <c r="K2657" i="6"/>
  <c r="K2656" i="6"/>
  <c r="K2655" i="6"/>
  <c r="K2654" i="6"/>
  <c r="K2653" i="6"/>
  <c r="K2652" i="6"/>
  <c r="K2651" i="6"/>
  <c r="K2650" i="6"/>
  <c r="K2649" i="6"/>
  <c r="K2648" i="6"/>
  <c r="K2647" i="6"/>
  <c r="K2646" i="6"/>
  <c r="K2645" i="6"/>
  <c r="K2644" i="6"/>
  <c r="K2643" i="6"/>
  <c r="K2642" i="6"/>
  <c r="K2641" i="6"/>
  <c r="K2640" i="6"/>
  <c r="K2639" i="6"/>
  <c r="K2638" i="6"/>
  <c r="K2637" i="6"/>
  <c r="K2636" i="6"/>
  <c r="K2635" i="6"/>
  <c r="K2634" i="6"/>
  <c r="K2633" i="6"/>
  <c r="K2632" i="6"/>
  <c r="K2631" i="6"/>
  <c r="K2630" i="6"/>
  <c r="K2629" i="6"/>
  <c r="K2628" i="6"/>
  <c r="K2627" i="6"/>
  <c r="K2626" i="6"/>
  <c r="K2625" i="6"/>
  <c r="K2624" i="6"/>
  <c r="K2623" i="6"/>
  <c r="K2622" i="6"/>
  <c r="K2621" i="6"/>
  <c r="K2620" i="6"/>
  <c r="K2619" i="6"/>
  <c r="K2618" i="6"/>
  <c r="K2617" i="6"/>
  <c r="K2616" i="6"/>
  <c r="K2615" i="6"/>
  <c r="K2614" i="6"/>
  <c r="K2613" i="6"/>
  <c r="K2612" i="6"/>
  <c r="K2611" i="6"/>
  <c r="K2610" i="6"/>
  <c r="K2609" i="6"/>
  <c r="K2608" i="6"/>
  <c r="K2607" i="6"/>
  <c r="K2606" i="6"/>
  <c r="K2605" i="6"/>
  <c r="K2604" i="6"/>
  <c r="K2603" i="6"/>
  <c r="K2602" i="6"/>
  <c r="K2601" i="6"/>
  <c r="K2600" i="6"/>
  <c r="K2599" i="6"/>
  <c r="K2598" i="6"/>
  <c r="K2597" i="6"/>
  <c r="K2596" i="6"/>
  <c r="K2595" i="6"/>
  <c r="K2594" i="6"/>
  <c r="K2593" i="6"/>
  <c r="K2592" i="6"/>
  <c r="K2591" i="6"/>
  <c r="K2590" i="6"/>
  <c r="K2589" i="6"/>
  <c r="K2588" i="6"/>
  <c r="K2587" i="6"/>
  <c r="K2586" i="6"/>
  <c r="K2585" i="6"/>
  <c r="K2584" i="6"/>
  <c r="K2583" i="6"/>
  <c r="K2582" i="6"/>
  <c r="K2581" i="6"/>
  <c r="K2580" i="6"/>
  <c r="K2579" i="6"/>
  <c r="K2578" i="6"/>
  <c r="K2576" i="6"/>
  <c r="K2574" i="6"/>
  <c r="K2573" i="6"/>
  <c r="K2572" i="6"/>
  <c r="K2570" i="6"/>
  <c r="K2568" i="6"/>
  <c r="K2566" i="6"/>
  <c r="K2564" i="6"/>
  <c r="K2562" i="6"/>
  <c r="K2560" i="6"/>
  <c r="K2558" i="6"/>
  <c r="K2557" i="6"/>
  <c r="K2556" i="6"/>
  <c r="K2554" i="6"/>
  <c r="K2552" i="6"/>
  <c r="K2550" i="6"/>
  <c r="K2548" i="6"/>
  <c r="K2546" i="6"/>
  <c r="K2544" i="6"/>
  <c r="K2542" i="6"/>
  <c r="K2540" i="6"/>
  <c r="K2539" i="6"/>
  <c r="K2538" i="6"/>
  <c r="K2536" i="6"/>
  <c r="K2534" i="6"/>
  <c r="K2532" i="6"/>
  <c r="K2530" i="6"/>
  <c r="K2528" i="6"/>
  <c r="K2526" i="6"/>
  <c r="K2524" i="6"/>
  <c r="K2522" i="6"/>
  <c r="K2520" i="6"/>
  <c r="K2518" i="6"/>
  <c r="K2517" i="6"/>
  <c r="K2516" i="6"/>
  <c r="K2514" i="6"/>
  <c r="K2512" i="6"/>
  <c r="K2510" i="6"/>
  <c r="K2508" i="6"/>
  <c r="K2507" i="6"/>
  <c r="K2506" i="6"/>
  <c r="K2504" i="6"/>
  <c r="K2503" i="6"/>
  <c r="K2502" i="6"/>
  <c r="K2500" i="6"/>
  <c r="K2499" i="6"/>
  <c r="K2498" i="6"/>
  <c r="K2496" i="6"/>
  <c r="K2494" i="6"/>
  <c r="K2492" i="6"/>
  <c r="K2490" i="6"/>
  <c r="K2489" i="6"/>
  <c r="K2488" i="6"/>
  <c r="K2486" i="6"/>
  <c r="K2485" i="6"/>
  <c r="K2484" i="6"/>
  <c r="K2482" i="6"/>
  <c r="K2480" i="6"/>
  <c r="K2478" i="6"/>
  <c r="K2476" i="6"/>
  <c r="K2474" i="6"/>
  <c r="K2473" i="6"/>
  <c r="K2472" i="6"/>
  <c r="K2470" i="6"/>
  <c r="K2468" i="6"/>
  <c r="K2467" i="6"/>
  <c r="K2466" i="6"/>
  <c r="K2464" i="6"/>
  <c r="K2462" i="6"/>
  <c r="K2461" i="6"/>
  <c r="K2460" i="6"/>
  <c r="K2458" i="6"/>
  <c r="K2456" i="6"/>
  <c r="K2454" i="6"/>
  <c r="K2452" i="6"/>
  <c r="K2450" i="6"/>
  <c r="K2448" i="6"/>
  <c r="K2446" i="6"/>
  <c r="K2444" i="6"/>
  <c r="K2443" i="6"/>
  <c r="K2442" i="6"/>
  <c r="K2440" i="6"/>
  <c r="K2438" i="6"/>
  <c r="K2436" i="6"/>
  <c r="K2434" i="6"/>
  <c r="K2432" i="6"/>
  <c r="K2430" i="6"/>
  <c r="K2428" i="6"/>
  <c r="K2427" i="6"/>
  <c r="K2426" i="6"/>
  <c r="K2424" i="6"/>
  <c r="K2423" i="6"/>
  <c r="K2422" i="6"/>
  <c r="K2420" i="6"/>
  <c r="K2418" i="6"/>
  <c r="K2416" i="6"/>
  <c r="K2415" i="6"/>
  <c r="K2414" i="6"/>
  <c r="K2412" i="6"/>
  <c r="K2411" i="6"/>
  <c r="K2410" i="6"/>
  <c r="K2409" i="6"/>
  <c r="K2408" i="6"/>
  <c r="K2407" i="6"/>
  <c r="K2406" i="6"/>
  <c r="K2405" i="6"/>
  <c r="K2404" i="6"/>
  <c r="K2402" i="6"/>
  <c r="K2401" i="6"/>
  <c r="K2400" i="6"/>
  <c r="K2398" i="6"/>
  <c r="K2397" i="6"/>
  <c r="K2396" i="6"/>
  <c r="K2394" i="6"/>
  <c r="K2392" i="6"/>
  <c r="K2390" i="6"/>
  <c r="K2389" i="6"/>
  <c r="K2388" i="6"/>
  <c r="K2386" i="6"/>
  <c r="K2385" i="6"/>
  <c r="K2384" i="6"/>
  <c r="K2382" i="6"/>
  <c r="K2381" i="6"/>
  <c r="K2380" i="6"/>
  <c r="K2378" i="6"/>
  <c r="K2376" i="6"/>
  <c r="K2374" i="6"/>
  <c r="K2372" i="6"/>
  <c r="K2370" i="6"/>
  <c r="K2368" i="6"/>
  <c r="K2367" i="6"/>
  <c r="K2366" i="6"/>
  <c r="K2364" i="6"/>
  <c r="K2362" i="6"/>
  <c r="K2360" i="6"/>
  <c r="K2358" i="6"/>
  <c r="K2357" i="6"/>
  <c r="K2356" i="6"/>
  <c r="K2355" i="6"/>
  <c r="K2354" i="6"/>
  <c r="K2353" i="6"/>
  <c r="K2352" i="6"/>
  <c r="K2350" i="6"/>
  <c r="K2348" i="6"/>
  <c r="K2347" i="6"/>
  <c r="K2346" i="6"/>
  <c r="K2344" i="6"/>
  <c r="K2343" i="6"/>
  <c r="K2342" i="6"/>
  <c r="K2340" i="6"/>
  <c r="K2339" i="6"/>
  <c r="K2338" i="6"/>
  <c r="K2336" i="6"/>
  <c r="K2335" i="6"/>
  <c r="K2334" i="6"/>
  <c r="K2332" i="6"/>
  <c r="K2331" i="6"/>
  <c r="K2330" i="6"/>
  <c r="K2328" i="6"/>
  <c r="K2326" i="6"/>
  <c r="K2325" i="6"/>
  <c r="K2324" i="6"/>
  <c r="K2322" i="6"/>
  <c r="K2320" i="6"/>
  <c r="K2319" i="6"/>
  <c r="K2318" i="6"/>
  <c r="K2316" i="6"/>
  <c r="K2314" i="6"/>
  <c r="K2312" i="6"/>
  <c r="K2310" i="6"/>
  <c r="K2308" i="6"/>
  <c r="K2307" i="6"/>
  <c r="K2306" i="6"/>
  <c r="K2304" i="6"/>
  <c r="K2302" i="6"/>
  <c r="K2301" i="6"/>
  <c r="K2300" i="6"/>
  <c r="K2298" i="6"/>
  <c r="K2296" i="6"/>
  <c r="K2295" i="6"/>
  <c r="K2294" i="6"/>
  <c r="K2292" i="6"/>
  <c r="K2290" i="6"/>
  <c r="K2288" i="6"/>
  <c r="K2286" i="6"/>
  <c r="K2284" i="6"/>
  <c r="K2283" i="6"/>
  <c r="K2282" i="6"/>
  <c r="K2280" i="6"/>
  <c r="K2279" i="6"/>
  <c r="K2278" i="6"/>
  <c r="K2276" i="6"/>
  <c r="K2275" i="6"/>
  <c r="K2274" i="6"/>
  <c r="K2272" i="6"/>
  <c r="K2270" i="6"/>
  <c r="K2268" i="6"/>
  <c r="K2267" i="6"/>
  <c r="K2266" i="6"/>
  <c r="K2265" i="6"/>
  <c r="K2264" i="6"/>
  <c r="K2263" i="6"/>
  <c r="K2262" i="6"/>
  <c r="K2260" i="6"/>
  <c r="K2258" i="6"/>
  <c r="K2257" i="6"/>
  <c r="K2256" i="6"/>
  <c r="K2254" i="6"/>
  <c r="K2252" i="6"/>
  <c r="K2250" i="6"/>
  <c r="K2248" i="6"/>
  <c r="K2247" i="6"/>
  <c r="K2246" i="6"/>
  <c r="K2244" i="6"/>
  <c r="K2242" i="6"/>
  <c r="K2240" i="6"/>
  <c r="K2238" i="6"/>
  <c r="K2236" i="6"/>
  <c r="K2235" i="6"/>
  <c r="K2234" i="6"/>
  <c r="K2232" i="6"/>
  <c r="K2231" i="6"/>
  <c r="K2230" i="6"/>
  <c r="K2228" i="6"/>
  <c r="K2227" i="6"/>
  <c r="K2226" i="6"/>
  <c r="K2224" i="6"/>
  <c r="K2222" i="6"/>
  <c r="K2221" i="6"/>
  <c r="K2220" i="6"/>
  <c r="K2218" i="6"/>
  <c r="K2216" i="6"/>
  <c r="K2215" i="6"/>
  <c r="K2214" i="6"/>
  <c r="K2213" i="6"/>
  <c r="K2212" i="6"/>
  <c r="K2210" i="6"/>
  <c r="K2208" i="6"/>
  <c r="K2206" i="6"/>
  <c r="K2205" i="6"/>
  <c r="K2204" i="6"/>
  <c r="K2202" i="6"/>
  <c r="K2200" i="6"/>
  <c r="K2198" i="6"/>
  <c r="K2196" i="6"/>
  <c r="K2194" i="6"/>
  <c r="K2192" i="6"/>
  <c r="K2190" i="6"/>
  <c r="K2188" i="6"/>
  <c r="K2186" i="6"/>
  <c r="K2184" i="6"/>
  <c r="K2183" i="6"/>
  <c r="K2182" i="6"/>
  <c r="K2180" i="6"/>
  <c r="K2178" i="6"/>
  <c r="K2176" i="6"/>
  <c r="K2174" i="6"/>
  <c r="K2172" i="6"/>
  <c r="K2170" i="6"/>
  <c r="K2168" i="6"/>
  <c r="K2166" i="6"/>
  <c r="K2164" i="6"/>
  <c r="K2162" i="6"/>
  <c r="K2160" i="6"/>
  <c r="K2158" i="6"/>
  <c r="K2157" i="6"/>
  <c r="K2156" i="6"/>
  <c r="K2155" i="6"/>
  <c r="K2154" i="6"/>
  <c r="K2153" i="6"/>
  <c r="K2152" i="6"/>
  <c r="K2150" i="6"/>
  <c r="K2148" i="6"/>
  <c r="K2146" i="6"/>
  <c r="K2144" i="6"/>
  <c r="K2142" i="6"/>
  <c r="K2140" i="6"/>
  <c r="K2138" i="6"/>
  <c r="K2136" i="6"/>
  <c r="K2134" i="6"/>
  <c r="K2132" i="6"/>
  <c r="K2130" i="6"/>
  <c r="K2128" i="6"/>
  <c r="K2126" i="6"/>
  <c r="K2124" i="6"/>
  <c r="K2122" i="6"/>
  <c r="K2120" i="6"/>
  <c r="K2118" i="6"/>
  <c r="K2116" i="6"/>
  <c r="K2114" i="6"/>
  <c r="K2112" i="6"/>
  <c r="K2110" i="6"/>
  <c r="K2108" i="6"/>
  <c r="K2106" i="6"/>
  <c r="K2104" i="6"/>
  <c r="K2102" i="6"/>
  <c r="K2100" i="6"/>
  <c r="K2098" i="6"/>
  <c r="K2096" i="6"/>
  <c r="K2094" i="6"/>
  <c r="K2092" i="6"/>
  <c r="K2090" i="6"/>
  <c r="K2088" i="6"/>
  <c r="K2086" i="6"/>
  <c r="K2085" i="6"/>
  <c r="K2084" i="6"/>
  <c r="K2082" i="6"/>
  <c r="K2081" i="6"/>
  <c r="K2080" i="6"/>
  <c r="K2078" i="6"/>
  <c r="K2077" i="6"/>
  <c r="K2076" i="6"/>
  <c r="K2075" i="6"/>
  <c r="K2074" i="6"/>
  <c r="K2072" i="6"/>
  <c r="K2070" i="6"/>
  <c r="K2069" i="6"/>
  <c r="K2068" i="6"/>
  <c r="K2067" i="6"/>
  <c r="K2066" i="6"/>
  <c r="K2065" i="6"/>
  <c r="K2064" i="6"/>
  <c r="K2062" i="6"/>
  <c r="K2060" i="6"/>
  <c r="K2059" i="6"/>
  <c r="K2058" i="6"/>
  <c r="K2057" i="6"/>
  <c r="K2056" i="6"/>
  <c r="K2054" i="6"/>
  <c r="K2053" i="6"/>
  <c r="K2052" i="6"/>
  <c r="K2050" i="6"/>
  <c r="K2049" i="6"/>
  <c r="K2048" i="6"/>
  <c r="K2046" i="6"/>
  <c r="K2045" i="6"/>
  <c r="K2044" i="6"/>
  <c r="K2043" i="6"/>
  <c r="K2042" i="6"/>
  <c r="K2041" i="6"/>
  <c r="K2040" i="6"/>
  <c r="K2038" i="6"/>
  <c r="K2037" i="6"/>
  <c r="K2036" i="6"/>
  <c r="K2035" i="6"/>
  <c r="K2034" i="6"/>
  <c r="K2033" i="6"/>
  <c r="K2032" i="6"/>
  <c r="K2030" i="6"/>
  <c r="K2029" i="6"/>
  <c r="K2028" i="6"/>
  <c r="K2027" i="6"/>
  <c r="K2026" i="6"/>
  <c r="K2025" i="6"/>
  <c r="K2024" i="6"/>
  <c r="K2023" i="6"/>
  <c r="K2022" i="6"/>
  <c r="K2021" i="6"/>
  <c r="K2020" i="6"/>
  <c r="K2019" i="6"/>
  <c r="K2018" i="6"/>
  <c r="K2017" i="6"/>
  <c r="K2016" i="6"/>
  <c r="K2015" i="6"/>
  <c r="K2014" i="6"/>
  <c r="K2013" i="6"/>
  <c r="K2012" i="6"/>
  <c r="K2011" i="6"/>
  <c r="K2010" i="6"/>
  <c r="K2009" i="6"/>
  <c r="K2008" i="6"/>
  <c r="K2007" i="6"/>
  <c r="K2006" i="6"/>
  <c r="K2005" i="6"/>
  <c r="K2004" i="6"/>
  <c r="K2003" i="6"/>
  <c r="K2002" i="6"/>
  <c r="K2001" i="6"/>
  <c r="K2000" i="6"/>
  <c r="K1999" i="6"/>
  <c r="K1998" i="6"/>
  <c r="K1997" i="6"/>
  <c r="K1996" i="6"/>
  <c r="K1995" i="6"/>
  <c r="K1994" i="6"/>
  <c r="K1993" i="6"/>
  <c r="K1992" i="6"/>
  <c r="K1991" i="6"/>
  <c r="K1990" i="6"/>
  <c r="K1989" i="6"/>
  <c r="K1988" i="6"/>
  <c r="K1987" i="6"/>
  <c r="K1986" i="6"/>
  <c r="K1985" i="6"/>
  <c r="K1984" i="6"/>
  <c r="K1983" i="6"/>
  <c r="K1982" i="6"/>
  <c r="K1981" i="6"/>
  <c r="K1980" i="6"/>
  <c r="K1979" i="6"/>
  <c r="K1978" i="6"/>
  <c r="K1977" i="6"/>
  <c r="K1976" i="6"/>
  <c r="K1975" i="6"/>
  <c r="K1974" i="6"/>
  <c r="K1973" i="6"/>
  <c r="K1972" i="6"/>
  <c r="K1971" i="6"/>
  <c r="K1970" i="6"/>
  <c r="K1969" i="6"/>
  <c r="K1968" i="6"/>
  <c r="K1967" i="6"/>
  <c r="K1966" i="6"/>
  <c r="K1965" i="6"/>
  <c r="K1964" i="6"/>
  <c r="K1963" i="6"/>
  <c r="K1962" i="6"/>
  <c r="K1961" i="6"/>
  <c r="K1960" i="6"/>
  <c r="K1959" i="6"/>
  <c r="K1958" i="6"/>
  <c r="K1957" i="6"/>
  <c r="K1956" i="6"/>
  <c r="K1955" i="6"/>
  <c r="K1954" i="6"/>
  <c r="K1953" i="6"/>
  <c r="K1952" i="6"/>
  <c r="K1951" i="6"/>
  <c r="K1950" i="6"/>
  <c r="K1949" i="6"/>
  <c r="K1948" i="6"/>
  <c r="K1947" i="6"/>
  <c r="K1946" i="6"/>
  <c r="K1945" i="6"/>
  <c r="K1944" i="6"/>
  <c r="K1943" i="6"/>
  <c r="K1942" i="6"/>
  <c r="K1941" i="6"/>
  <c r="K1940" i="6"/>
  <c r="K1939" i="6"/>
  <c r="K1938" i="6"/>
  <c r="K1937" i="6"/>
  <c r="K1936" i="6"/>
  <c r="K1935" i="6"/>
  <c r="K1934" i="6"/>
  <c r="K1933" i="6"/>
  <c r="K1932" i="6"/>
  <c r="K1931" i="6"/>
  <c r="K1930" i="6"/>
  <c r="K1929" i="6"/>
  <c r="K1928" i="6"/>
  <c r="K1927" i="6"/>
  <c r="K1926" i="6"/>
  <c r="K1925" i="6"/>
  <c r="K1924" i="6"/>
  <c r="K1923" i="6"/>
  <c r="K1922" i="6"/>
  <c r="K1921" i="6"/>
  <c r="K1920" i="6"/>
  <c r="K1919" i="6"/>
  <c r="K1918" i="6"/>
  <c r="K1917" i="6"/>
  <c r="K1916" i="6"/>
  <c r="K1915" i="6"/>
  <c r="K1914" i="6"/>
  <c r="K1913" i="6"/>
  <c r="K1912" i="6"/>
  <c r="K1911" i="6"/>
  <c r="K1910" i="6"/>
  <c r="K1909" i="6"/>
  <c r="K1908" i="6"/>
  <c r="K1907" i="6"/>
  <c r="K1906" i="6"/>
  <c r="K1905" i="6"/>
  <c r="K1904" i="6"/>
  <c r="K1903" i="6"/>
  <c r="K1902" i="6"/>
  <c r="K1901" i="6"/>
  <c r="K1900" i="6"/>
  <c r="K1899" i="6"/>
  <c r="K1898" i="6"/>
  <c r="K1897" i="6"/>
  <c r="K1896" i="6"/>
  <c r="K1895" i="6"/>
  <c r="K1894" i="6"/>
  <c r="K1893" i="6"/>
  <c r="K1892" i="6"/>
  <c r="K1891" i="6"/>
  <c r="K1890" i="6"/>
  <c r="K1889" i="6"/>
  <c r="K1888" i="6"/>
  <c r="K1887" i="6"/>
  <c r="K1886" i="6"/>
  <c r="K1885" i="6"/>
  <c r="K1884" i="6"/>
  <c r="K1883" i="6"/>
  <c r="K1882" i="6"/>
  <c r="K1881" i="6"/>
  <c r="K1880" i="6"/>
  <c r="K1879" i="6"/>
  <c r="K1878" i="6"/>
  <c r="K1877" i="6"/>
  <c r="K1876" i="6"/>
  <c r="K1875" i="6"/>
  <c r="K1874" i="6"/>
  <c r="K1873" i="6"/>
  <c r="K1872" i="6"/>
  <c r="K1871" i="6"/>
  <c r="K1870" i="6"/>
  <c r="K1869" i="6"/>
  <c r="K1868" i="6"/>
  <c r="K1867" i="6"/>
  <c r="K1866" i="6"/>
  <c r="K1865" i="6"/>
  <c r="K1864" i="6"/>
  <c r="K1863" i="6"/>
  <c r="K1862" i="6"/>
  <c r="K1861" i="6"/>
  <c r="K1860" i="6"/>
  <c r="K1859" i="6"/>
  <c r="K1858" i="6"/>
  <c r="K1857" i="6"/>
  <c r="K1856" i="6"/>
  <c r="K1855" i="6"/>
  <c r="K1854" i="6"/>
  <c r="K1853" i="6"/>
  <c r="K1852" i="6"/>
  <c r="K1851" i="6"/>
  <c r="K1850" i="6"/>
  <c r="K1849" i="6"/>
  <c r="K1848" i="6"/>
  <c r="K1847" i="6"/>
  <c r="K1846" i="6"/>
  <c r="K1845" i="6"/>
  <c r="K1844" i="6"/>
  <c r="K1843" i="6"/>
  <c r="K1842" i="6"/>
  <c r="K1841" i="6"/>
  <c r="K1840" i="6"/>
  <c r="K1839" i="6"/>
  <c r="K1838" i="6"/>
  <c r="K1837" i="6"/>
  <c r="K1836" i="6"/>
  <c r="K1835" i="6"/>
  <c r="K1834" i="6"/>
  <c r="K1833" i="6"/>
  <c r="K1832" i="6"/>
  <c r="K1830" i="6"/>
  <c r="K1828" i="6"/>
  <c r="K1826" i="6"/>
  <c r="K1824" i="6"/>
  <c r="K1822" i="6"/>
  <c r="K1820" i="6"/>
  <c r="K1818" i="6"/>
  <c r="K1816" i="6"/>
  <c r="K1814" i="6"/>
  <c r="K1812" i="6"/>
  <c r="K1810" i="6"/>
  <c r="K1808" i="6"/>
  <c r="K1806" i="6"/>
  <c r="K1804" i="6"/>
  <c r="K1802" i="6"/>
  <c r="K1800" i="6"/>
  <c r="K1798" i="6"/>
  <c r="K1796" i="6"/>
  <c r="K1794" i="6"/>
  <c r="K1792" i="6"/>
  <c r="K1790" i="6"/>
  <c r="K1788" i="6"/>
  <c r="K1786" i="6"/>
  <c r="K1784" i="6"/>
  <c r="K1782" i="6"/>
  <c r="K1780" i="6"/>
  <c r="K1778" i="6"/>
  <c r="K1776" i="6"/>
  <c r="K1774" i="6"/>
  <c r="K1772" i="6"/>
  <c r="K1770" i="6"/>
  <c r="K1768" i="6"/>
  <c r="K1766" i="6"/>
  <c r="K1764" i="6"/>
  <c r="K1762" i="6"/>
  <c r="K1760" i="6"/>
  <c r="K1758" i="6"/>
  <c r="K1756" i="6"/>
  <c r="K1754" i="6"/>
  <c r="K1752" i="6"/>
  <c r="K1750" i="6"/>
  <c r="K1748" i="6"/>
  <c r="K1746" i="6"/>
  <c r="K1744" i="6"/>
  <c r="K1742" i="6"/>
  <c r="K1740" i="6"/>
  <c r="K1738" i="6"/>
  <c r="K1736" i="6"/>
  <c r="K1734" i="6"/>
  <c r="K1732" i="6"/>
  <c r="K1730" i="6"/>
  <c r="K1728" i="6"/>
  <c r="K1726" i="6"/>
  <c r="K1724" i="6"/>
  <c r="K1722" i="6"/>
  <c r="K1720" i="6"/>
  <c r="K1718" i="6"/>
  <c r="K1716" i="6"/>
  <c r="K1714" i="6"/>
  <c r="K1712" i="6"/>
  <c r="K1710" i="6"/>
  <c r="K1708" i="6"/>
  <c r="K1706" i="6"/>
  <c r="K1704" i="6"/>
  <c r="K1702" i="6"/>
  <c r="K1700" i="6"/>
  <c r="K1698" i="6"/>
  <c r="K1696" i="6"/>
  <c r="K1694" i="6"/>
  <c r="K1692" i="6"/>
  <c r="K1690" i="6"/>
  <c r="K1688" i="6"/>
  <c r="K1686" i="6"/>
  <c r="K1684" i="6"/>
  <c r="K1682" i="6"/>
  <c r="K1680" i="6"/>
  <c r="K1678" i="6"/>
  <c r="K1676" i="6"/>
  <c r="K1674" i="6"/>
  <c r="K1672" i="6"/>
  <c r="K1670" i="6"/>
  <c r="K1668" i="6"/>
  <c r="K1666" i="6"/>
  <c r="K1664" i="6"/>
  <c r="K1662" i="6"/>
  <c r="K1660" i="6"/>
  <c r="K1658" i="6"/>
  <c r="K1656" i="6"/>
  <c r="K1654" i="6"/>
  <c r="K1652" i="6"/>
  <c r="K1650" i="6"/>
  <c r="K1648" i="6"/>
  <c r="K1646" i="6"/>
  <c r="K1644" i="6"/>
  <c r="K1642" i="6"/>
  <c r="K1641" i="6"/>
  <c r="K1640" i="6"/>
  <c r="K1638" i="6"/>
  <c r="K1636" i="6"/>
  <c r="K1634" i="6"/>
  <c r="K1632" i="6"/>
  <c r="K1630" i="6"/>
  <c r="K1628" i="6"/>
  <c r="K1626" i="6"/>
  <c r="K1624" i="6"/>
  <c r="K1622" i="6"/>
  <c r="K1620" i="6"/>
  <c r="K1618" i="6"/>
  <c r="K1616" i="6"/>
  <c r="K1614" i="6"/>
  <c r="K1612" i="6"/>
  <c r="K1610" i="6"/>
  <c r="K1608" i="6"/>
  <c r="K1606" i="6"/>
  <c r="K1604" i="6"/>
  <c r="K1602" i="6"/>
  <c r="K1600" i="6"/>
  <c r="K1598" i="6"/>
  <c r="K1596" i="6"/>
  <c r="K1594" i="6"/>
  <c r="K1592" i="6"/>
  <c r="K1590" i="6"/>
  <c r="K1588" i="6"/>
  <c r="K1586" i="6"/>
  <c r="K1584" i="6"/>
  <c r="K1582" i="6"/>
  <c r="K1580" i="6"/>
  <c r="K1578" i="6"/>
  <c r="K1576" i="6"/>
  <c r="K1574" i="6"/>
  <c r="K1572" i="6"/>
  <c r="K1570" i="6"/>
  <c r="K1568" i="6"/>
  <c r="K1566" i="6"/>
  <c r="K1564" i="6"/>
  <c r="K1562" i="6"/>
  <c r="K1560" i="6"/>
  <c r="K1558" i="6"/>
  <c r="K1556" i="6"/>
  <c r="K1554" i="6"/>
  <c r="K1552" i="6"/>
  <c r="K1550" i="6"/>
  <c r="K1548" i="6"/>
  <c r="K1546" i="6"/>
  <c r="K1544" i="6"/>
  <c r="K1542" i="6"/>
  <c r="K1540" i="6"/>
  <c r="K1538" i="6"/>
  <c r="K1536" i="6"/>
  <c r="K1534" i="6"/>
  <c r="K1532" i="6"/>
  <c r="K1530" i="6"/>
  <c r="K1528" i="6"/>
  <c r="K1526" i="6"/>
  <c r="K1524" i="6"/>
  <c r="K1522" i="6"/>
  <c r="K1520" i="6"/>
  <c r="K1518" i="6"/>
  <c r="K1516" i="6"/>
  <c r="K1514" i="6"/>
  <c r="K1512" i="6"/>
  <c r="K1510" i="6"/>
  <c r="K1508" i="6"/>
  <c r="K1506" i="6"/>
  <c r="K1504" i="6"/>
  <c r="K1502" i="6"/>
  <c r="K1500" i="6"/>
  <c r="K1498" i="6"/>
  <c r="K1496" i="6"/>
  <c r="K1494" i="6"/>
  <c r="K1492" i="6"/>
  <c r="K1490" i="6"/>
  <c r="K1488" i="6"/>
  <c r="K1486" i="6"/>
  <c r="K1484" i="6"/>
  <c r="K1482" i="6"/>
  <c r="K1480" i="6"/>
  <c r="K1478" i="6"/>
  <c r="K1476" i="6"/>
  <c r="K1474" i="6"/>
  <c r="K1472" i="6"/>
  <c r="K1470" i="6"/>
  <c r="K1468" i="6"/>
  <c r="K1466" i="6"/>
  <c r="K1464" i="6"/>
  <c r="K1462" i="6"/>
  <c r="K1460" i="6"/>
  <c r="K1458" i="6"/>
  <c r="K1456" i="6"/>
  <c r="K1454" i="6"/>
  <c r="K1452" i="6"/>
  <c r="K1450" i="6"/>
  <c r="K1448" i="6"/>
  <c r="K1446" i="6"/>
  <c r="K1444" i="6"/>
  <c r="K1442" i="6"/>
  <c r="K1440" i="6"/>
  <c r="K1438" i="6"/>
  <c r="K1436" i="6"/>
  <c r="K1434" i="6"/>
  <c r="K1432" i="6"/>
  <c r="K1430" i="6"/>
  <c r="K1428" i="6"/>
  <c r="K1426" i="6"/>
  <c r="K1424" i="6"/>
  <c r="K1422" i="6"/>
  <c r="K1420" i="6"/>
  <c r="K1418" i="6"/>
  <c r="K1416" i="6"/>
  <c r="K1414" i="6"/>
  <c r="K1412" i="6"/>
  <c r="K1410" i="6"/>
  <c r="K1408" i="6"/>
  <c r="K1406" i="6"/>
  <c r="K1404" i="6"/>
  <c r="K1402" i="6"/>
  <c r="K1400" i="6"/>
  <c r="K1398" i="6"/>
  <c r="K1396" i="6"/>
  <c r="K1394" i="6"/>
  <c r="K1392" i="6"/>
  <c r="K1390" i="6"/>
  <c r="K1388" i="6"/>
  <c r="K1386" i="6"/>
  <c r="K1384" i="6"/>
  <c r="K1382" i="6"/>
  <c r="K1380" i="6"/>
  <c r="K1378" i="6"/>
  <c r="K1376" i="6"/>
  <c r="K1374" i="6"/>
  <c r="K1372" i="6"/>
  <c r="K1370" i="6"/>
  <c r="K1368" i="6"/>
  <c r="K1366" i="6"/>
  <c r="K1364" i="6"/>
  <c r="K1362" i="6"/>
  <c r="K1360" i="6"/>
  <c r="K1358" i="6"/>
  <c r="K1356" i="6"/>
  <c r="K1354" i="6"/>
  <c r="K1352" i="6"/>
  <c r="K1350" i="6"/>
  <c r="K1348" i="6"/>
  <c r="K1346" i="6"/>
  <c r="K1344" i="6"/>
  <c r="K1342" i="6"/>
  <c r="K1340" i="6"/>
  <c r="K1338" i="6"/>
  <c r="K1336" i="6"/>
  <c r="K1334" i="6"/>
  <c r="K1332" i="6"/>
  <c r="K1330" i="6"/>
  <c r="K1328" i="6"/>
  <c r="K1326" i="6"/>
  <c r="K1324" i="6"/>
  <c r="K1322" i="6"/>
  <c r="K1320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0" i="6"/>
  <c r="K1278" i="6"/>
  <c r="K1276" i="6"/>
  <c r="K1274" i="6"/>
  <c r="K1272" i="6"/>
  <c r="K1270" i="6"/>
  <c r="K1268" i="6"/>
  <c r="K1267" i="6"/>
  <c r="K1266" i="6"/>
  <c r="K1264" i="6"/>
  <c r="K1262" i="6"/>
  <c r="K1260" i="6"/>
  <c r="K1258" i="6"/>
  <c r="K1256" i="6"/>
  <c r="K1254" i="6"/>
  <c r="K1253" i="6"/>
  <c r="K1252" i="6"/>
  <c r="K1250" i="6"/>
  <c r="K1248" i="6"/>
  <c r="K1247" i="6"/>
  <c r="K1246" i="6"/>
  <c r="K1245" i="6"/>
  <c r="K1244" i="6"/>
  <c r="K1243" i="6"/>
  <c r="K1242" i="6"/>
  <c r="K1241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8" i="6"/>
  <c r="K1216" i="6"/>
  <c r="K1214" i="6"/>
  <c r="K1212" i="6"/>
  <c r="K1210" i="6"/>
  <c r="K1208" i="6"/>
  <c r="K1206" i="6"/>
  <c r="K1204" i="6"/>
  <c r="K1202" i="6"/>
  <c r="K1200" i="6"/>
  <c r="K1198" i="6"/>
  <c r="K1196" i="6"/>
  <c r="K1194" i="6"/>
  <c r="K1192" i="6"/>
  <c r="K1190" i="6"/>
  <c r="K1188" i="6"/>
  <c r="K1186" i="6"/>
  <c r="K1184" i="6"/>
  <c r="K1182" i="6"/>
  <c r="K1180" i="6"/>
  <c r="K1178" i="6"/>
  <c r="K1177" i="6"/>
  <c r="K1176" i="6"/>
  <c r="K1174" i="6"/>
  <c r="K1172" i="6"/>
  <c r="K1170" i="6"/>
  <c r="K1168" i="6"/>
  <c r="K1166" i="6"/>
  <c r="K1164" i="6"/>
  <c r="K1162" i="6"/>
  <c r="K1160" i="6"/>
  <c r="K1158" i="6"/>
  <c r="K1156" i="6"/>
  <c r="K1154" i="6"/>
  <c r="K1152" i="6"/>
  <c r="K1150" i="6"/>
  <c r="K1148" i="6"/>
  <c r="K1146" i="6"/>
  <c r="K1144" i="6"/>
  <c r="K1143" i="6"/>
  <c r="K1142" i="6"/>
  <c r="K1140" i="6"/>
  <c r="K1138" i="6"/>
  <c r="K1136" i="6"/>
  <c r="K1134" i="6"/>
  <c r="K1132" i="6"/>
  <c r="K1130" i="6"/>
  <c r="K1128" i="6"/>
  <c r="K1126" i="6"/>
  <c r="K1124" i="6"/>
  <c r="K1122" i="6"/>
  <c r="K1120" i="6"/>
  <c r="K1118" i="6"/>
  <c r="K1116" i="6"/>
  <c r="K1114" i="6"/>
  <c r="K1113" i="6"/>
  <c r="K1112" i="6"/>
  <c r="K1110" i="6"/>
  <c r="K1108" i="6"/>
  <c r="K1106" i="6"/>
  <c r="K1105" i="6"/>
  <c r="K1104" i="6"/>
  <c r="K1102" i="6"/>
  <c r="K1100" i="6"/>
  <c r="K1098" i="6"/>
  <c r="K1096" i="6"/>
  <c r="K1094" i="6"/>
  <c r="K1092" i="6"/>
  <c r="K1090" i="6"/>
  <c r="K1088" i="6"/>
  <c r="K1086" i="6"/>
  <c r="K1084" i="6"/>
  <c r="K1082" i="6"/>
  <c r="K1080" i="6"/>
  <c r="K1079" i="6"/>
  <c r="K1078" i="6"/>
  <c r="K1076" i="6"/>
  <c r="K1074" i="6"/>
  <c r="K1072" i="6"/>
  <c r="K1070" i="6"/>
  <c r="K1068" i="6"/>
  <c r="K1066" i="6"/>
  <c r="K1064" i="6"/>
  <c r="K1062" i="6"/>
  <c r="K1060" i="6"/>
  <c r="K1058" i="6"/>
  <c r="K1057" i="6"/>
  <c r="K1056" i="6"/>
  <c r="K1054" i="6"/>
  <c r="K1052" i="6"/>
  <c r="K1050" i="6"/>
  <c r="K1048" i="6"/>
  <c r="K1046" i="6"/>
  <c r="K1044" i="6"/>
  <c r="K1042" i="6"/>
  <c r="K1040" i="6"/>
  <c r="K1038" i="6"/>
  <c r="K1036" i="6"/>
  <c r="K1034" i="6"/>
  <c r="K1032" i="6"/>
  <c r="K1030" i="6"/>
  <c r="K1028" i="6"/>
  <c r="K1026" i="6"/>
  <c r="K1024" i="6"/>
  <c r="K1022" i="6"/>
  <c r="K1020" i="6"/>
  <c r="K1018" i="6"/>
  <c r="K1016" i="6"/>
  <c r="K1014" i="6"/>
  <c r="K1012" i="6"/>
  <c r="K1010" i="6"/>
  <c r="K1008" i="6"/>
  <c r="K1006" i="6"/>
  <c r="K1004" i="6"/>
  <c r="K1002" i="6"/>
  <c r="K1000" i="6"/>
  <c r="K998" i="6"/>
  <c r="K996" i="6"/>
  <c r="K994" i="6"/>
  <c r="K992" i="6"/>
  <c r="K990" i="6"/>
  <c r="K988" i="6"/>
  <c r="K986" i="6"/>
  <c r="K984" i="6"/>
  <c r="K982" i="6"/>
  <c r="K980" i="6"/>
  <c r="K978" i="6"/>
  <c r="K976" i="6"/>
  <c r="K974" i="6"/>
  <c r="K972" i="6"/>
  <c r="K970" i="6"/>
  <c r="K968" i="6"/>
  <c r="K966" i="6"/>
  <c r="K964" i="6"/>
  <c r="K962" i="6"/>
  <c r="K960" i="6"/>
  <c r="K958" i="6"/>
  <c r="K956" i="6"/>
  <c r="K954" i="6"/>
  <c r="K952" i="6"/>
  <c r="K950" i="6"/>
  <c r="K948" i="6"/>
  <c r="K946" i="6"/>
  <c r="K944" i="6"/>
  <c r="K942" i="6"/>
  <c r="K940" i="6"/>
  <c r="K938" i="6"/>
  <c r="K936" i="6"/>
  <c r="K934" i="6"/>
  <c r="K932" i="6"/>
  <c r="K930" i="6"/>
  <c r="K928" i="6"/>
  <c r="K926" i="6"/>
  <c r="K924" i="6"/>
  <c r="K922" i="6"/>
  <c r="K920" i="6"/>
  <c r="K918" i="6"/>
  <c r="K917" i="6"/>
  <c r="K916" i="6"/>
  <c r="K914" i="6"/>
  <c r="K912" i="6"/>
  <c r="K910" i="6"/>
  <c r="K908" i="6"/>
  <c r="K907" i="6"/>
  <c r="K906" i="6"/>
  <c r="K904" i="6"/>
  <c r="K902" i="6"/>
  <c r="K901" i="6"/>
  <c r="K900" i="6"/>
  <c r="K899" i="6"/>
  <c r="K898" i="6"/>
  <c r="K897" i="6"/>
  <c r="K896" i="6"/>
  <c r="K895" i="6"/>
  <c r="K894" i="6"/>
  <c r="K892" i="6"/>
  <c r="K890" i="6"/>
  <c r="K888" i="6"/>
  <c r="K887" i="6"/>
  <c r="K886" i="6"/>
  <c r="K884" i="6"/>
  <c r="K883" i="6"/>
  <c r="K882" i="6"/>
  <c r="K880" i="6"/>
  <c r="K879" i="6"/>
  <c r="K878" i="6"/>
  <c r="K876" i="6"/>
  <c r="K875" i="6"/>
  <c r="K874" i="6"/>
  <c r="K873" i="6"/>
  <c r="K872" i="6"/>
  <c r="K871" i="6"/>
  <c r="K870" i="6"/>
  <c r="K869" i="6"/>
  <c r="K868" i="6"/>
  <c r="K866" i="6"/>
  <c r="K864" i="6"/>
  <c r="K862" i="6"/>
  <c r="K860" i="6"/>
  <c r="K858" i="6"/>
  <c r="K856" i="6"/>
  <c r="K854" i="6"/>
  <c r="K852" i="6"/>
  <c r="K850" i="6"/>
  <c r="K848" i="6"/>
  <c r="K846" i="6"/>
  <c r="K844" i="6"/>
  <c r="K842" i="6"/>
  <c r="K840" i="6"/>
  <c r="K838" i="6"/>
  <c r="K836" i="6"/>
  <c r="K834" i="6"/>
  <c r="K832" i="6"/>
  <c r="K830" i="6"/>
  <c r="K828" i="6"/>
  <c r="K826" i="6"/>
  <c r="K824" i="6"/>
  <c r="K822" i="6"/>
  <c r="K820" i="6"/>
  <c r="K818" i="6"/>
  <c r="K816" i="6"/>
  <c r="K814" i="6"/>
  <c r="K812" i="6"/>
  <c r="K810" i="6"/>
  <c r="K808" i="6"/>
  <c r="K806" i="6"/>
  <c r="K804" i="6"/>
  <c r="K802" i="6"/>
  <c r="K800" i="6"/>
  <c r="K798" i="6"/>
  <c r="K796" i="6"/>
  <c r="K794" i="6"/>
  <c r="K792" i="6"/>
  <c r="K790" i="6"/>
  <c r="K788" i="6"/>
  <c r="K786" i="6"/>
  <c r="K784" i="6"/>
  <c r="K782" i="6"/>
  <c r="K780" i="6"/>
  <c r="K778" i="6"/>
  <c r="K776" i="6"/>
  <c r="K774" i="6"/>
  <c r="K772" i="6"/>
  <c r="K770" i="6"/>
  <c r="K768" i="6"/>
  <c r="K766" i="6"/>
  <c r="K764" i="6"/>
  <c r="K762" i="6"/>
  <c r="K760" i="6"/>
  <c r="K758" i="6"/>
  <c r="K756" i="6"/>
  <c r="K754" i="6"/>
  <c r="K752" i="6"/>
  <c r="K750" i="6"/>
  <c r="K748" i="6"/>
  <c r="K746" i="6"/>
  <c r="K744" i="6"/>
  <c r="K742" i="6"/>
  <c r="K740" i="6"/>
  <c r="K738" i="6"/>
  <c r="K736" i="6"/>
  <c r="K734" i="6"/>
  <c r="K732" i="6"/>
  <c r="K730" i="6"/>
  <c r="K728" i="6"/>
  <c r="K726" i="6"/>
  <c r="K725" i="6"/>
  <c r="K724" i="6"/>
  <c r="K722" i="6"/>
  <c r="K720" i="6"/>
  <c r="K718" i="6"/>
  <c r="K716" i="6"/>
  <c r="K714" i="6"/>
  <c r="K712" i="6"/>
  <c r="K711" i="6"/>
  <c r="K710" i="6"/>
  <c r="K708" i="6"/>
  <c r="K707" i="6"/>
  <c r="K706" i="6"/>
  <c r="K705" i="6"/>
  <c r="K704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4" i="6"/>
  <c r="K633" i="6"/>
  <c r="K632" i="6"/>
  <c r="K631" i="6"/>
  <c r="K630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4" i="6"/>
  <c r="K613" i="6"/>
  <c r="K612" i="6"/>
  <c r="K611" i="6"/>
  <c r="K610" i="6"/>
  <c r="K609" i="6"/>
  <c r="K608" i="6"/>
  <c r="K607" i="6"/>
  <c r="K606" i="6"/>
  <c r="K604" i="6"/>
  <c r="K603" i="6"/>
  <c r="K602" i="6"/>
  <c r="K601" i="6"/>
  <c r="K600" i="6"/>
  <c r="K599" i="6"/>
  <c r="K598" i="6"/>
  <c r="K597" i="6"/>
  <c r="K596" i="6"/>
  <c r="K595" i="6"/>
  <c r="K594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4" i="6"/>
  <c r="K543" i="6"/>
  <c r="K542" i="6"/>
  <c r="K540" i="6"/>
  <c r="K539" i="6"/>
  <c r="K538" i="6"/>
  <c r="K537" i="6"/>
  <c r="K536" i="6"/>
  <c r="L536" i="6" s="1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7" i="6"/>
  <c r="K513" i="6"/>
  <c r="K509" i="6"/>
  <c r="K505" i="6"/>
  <c r="K501" i="6"/>
  <c r="K497" i="6"/>
  <c r="K493" i="6"/>
  <c r="K489" i="6"/>
  <c r="K485" i="6"/>
  <c r="K481" i="6"/>
  <c r="K477" i="6"/>
  <c r="K476" i="6"/>
  <c r="K473" i="6"/>
  <c r="K469" i="6"/>
  <c r="K465" i="6"/>
  <c r="K461" i="6"/>
  <c r="K457" i="6"/>
  <c r="K453" i="6"/>
  <c r="K449" i="6"/>
  <c r="K445" i="6"/>
  <c r="K441" i="6"/>
  <c r="K437" i="6"/>
  <c r="K433" i="6"/>
  <c r="K429" i="6"/>
  <c r="K425" i="6"/>
  <c r="K407" i="6"/>
  <c r="K405" i="6"/>
  <c r="K403" i="6"/>
  <c r="K401" i="6"/>
  <c r="K400" i="6"/>
  <c r="K399" i="6"/>
  <c r="K397" i="6"/>
  <c r="K395" i="6"/>
  <c r="K393" i="6"/>
  <c r="K389" i="6"/>
  <c r="K385" i="6"/>
  <c r="K381" i="6"/>
  <c r="K377" i="6"/>
  <c r="K373" i="6"/>
  <c r="K372" i="6"/>
  <c r="K369" i="6"/>
  <c r="K365" i="6"/>
  <c r="K361" i="6"/>
  <c r="K343" i="6"/>
  <c r="K341" i="6"/>
  <c r="K339" i="6"/>
  <c r="K337" i="6"/>
  <c r="K335" i="6"/>
  <c r="K333" i="6"/>
  <c r="K331" i="6"/>
  <c r="K329" i="6"/>
  <c r="K327" i="6"/>
  <c r="K325" i="6"/>
  <c r="K321" i="6"/>
  <c r="K317" i="6"/>
  <c r="K313" i="6"/>
  <c r="K309" i="6"/>
  <c r="K305" i="6"/>
  <c r="K301" i="6"/>
  <c r="K297" i="6"/>
  <c r="K279" i="6"/>
  <c r="K277" i="6"/>
  <c r="K275" i="6"/>
  <c r="K273" i="6"/>
  <c r="K271" i="6"/>
  <c r="K269" i="6"/>
  <c r="K268" i="6"/>
  <c r="K267" i="6"/>
  <c r="K265" i="6"/>
  <c r="K261" i="6"/>
  <c r="K257" i="6"/>
  <c r="K253" i="6"/>
  <c r="K249" i="6"/>
  <c r="K231" i="6"/>
  <c r="K229" i="6"/>
  <c r="K227" i="6"/>
  <c r="K225" i="6"/>
  <c r="K223" i="6"/>
  <c r="K221" i="6"/>
  <c r="K219" i="6"/>
  <c r="K217" i="6"/>
  <c r="K213" i="6"/>
  <c r="K209" i="6"/>
  <c r="K205" i="6"/>
  <c r="K201" i="6"/>
  <c r="K197" i="6"/>
  <c r="K193" i="6"/>
  <c r="K191" i="6"/>
  <c r="K189" i="6"/>
  <c r="K187" i="6"/>
  <c r="K185" i="6"/>
  <c r="K181" i="6"/>
  <c r="K169" i="6"/>
  <c r="K165" i="6"/>
  <c r="K164" i="6"/>
  <c r="K161" i="6"/>
  <c r="K157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L22" i="6"/>
  <c r="K22" i="6"/>
  <c r="R21" i="6"/>
  <c r="K21" i="6"/>
  <c r="R20" i="6"/>
  <c r="K20" i="6"/>
  <c r="R19" i="6"/>
  <c r="K19" i="6"/>
  <c r="R18" i="6"/>
  <c r="R17" i="6"/>
  <c r="K17" i="6"/>
  <c r="R16" i="6"/>
  <c r="K16" i="6"/>
  <c r="R15" i="6"/>
  <c r="K15" i="6"/>
  <c r="R14" i="6"/>
  <c r="K14" i="6"/>
  <c r="R13" i="6"/>
  <c r="K13" i="6"/>
  <c r="R12" i="6"/>
  <c r="K12" i="6"/>
  <c r="R11" i="6"/>
  <c r="K11" i="6"/>
  <c r="R10" i="6"/>
  <c r="K10" i="6"/>
  <c r="R9" i="6"/>
  <c r="K9" i="6"/>
  <c r="R8" i="6"/>
  <c r="K8" i="6"/>
  <c r="R7" i="6"/>
  <c r="K7" i="6"/>
  <c r="R6" i="6"/>
  <c r="K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R5" i="6"/>
  <c r="K5" i="6"/>
  <c r="A5" i="6"/>
  <c r="R4" i="6"/>
  <c r="K4" i="6"/>
  <c r="K156" i="6" l="1"/>
  <c r="S156" i="6"/>
  <c r="K172" i="6"/>
  <c r="S172" i="6"/>
  <c r="K180" i="6"/>
  <c r="S180" i="6"/>
  <c r="K196" i="6"/>
  <c r="S196" i="6"/>
  <c r="K204" i="6"/>
  <c r="S204" i="6"/>
  <c r="K208" i="6"/>
  <c r="S208" i="6"/>
  <c r="K220" i="6"/>
  <c r="S220" i="6"/>
  <c r="K228" i="6"/>
  <c r="S228" i="6"/>
  <c r="K236" i="6"/>
  <c r="S236" i="6"/>
  <c r="K244" i="6"/>
  <c r="S244" i="6"/>
  <c r="K252" i="6"/>
  <c r="S252" i="6"/>
  <c r="K260" i="6"/>
  <c r="S260" i="6"/>
  <c r="K264" i="6"/>
  <c r="S264" i="6"/>
  <c r="K276" i="6"/>
  <c r="S276" i="6"/>
  <c r="K284" i="6"/>
  <c r="S284" i="6"/>
  <c r="K292" i="6"/>
  <c r="S292" i="6"/>
  <c r="K300" i="6"/>
  <c r="S300" i="6"/>
  <c r="K308" i="6"/>
  <c r="S308" i="6"/>
  <c r="K312" i="6"/>
  <c r="S312" i="6"/>
  <c r="K320" i="6"/>
  <c r="S320" i="6"/>
  <c r="K332" i="6"/>
  <c r="S332" i="6"/>
  <c r="K340" i="6"/>
  <c r="S340" i="6"/>
  <c r="K348" i="6"/>
  <c r="S348" i="6"/>
  <c r="K356" i="6"/>
  <c r="S356" i="6"/>
  <c r="K364" i="6"/>
  <c r="S364" i="6"/>
  <c r="K380" i="6"/>
  <c r="S380" i="6"/>
  <c r="K388" i="6"/>
  <c r="S388" i="6"/>
  <c r="K408" i="6"/>
  <c r="S408" i="6"/>
  <c r="K416" i="6"/>
  <c r="S416" i="6"/>
  <c r="K424" i="6"/>
  <c r="S424" i="6"/>
  <c r="K432" i="6"/>
  <c r="S432" i="6"/>
  <c r="K440" i="6"/>
  <c r="S440" i="6"/>
  <c r="K448" i="6"/>
  <c r="S448" i="6"/>
  <c r="K456" i="6"/>
  <c r="S456" i="6"/>
  <c r="K468" i="6"/>
  <c r="S468" i="6"/>
  <c r="K472" i="6"/>
  <c r="S472" i="6"/>
  <c r="K480" i="6"/>
  <c r="S480" i="6"/>
  <c r="K488" i="6"/>
  <c r="S488" i="6"/>
  <c r="K500" i="6"/>
  <c r="S500" i="6"/>
  <c r="K508" i="6"/>
  <c r="S508" i="6"/>
  <c r="K541" i="6"/>
  <c r="S541" i="6"/>
  <c r="K605" i="6"/>
  <c r="S605" i="6"/>
  <c r="K629" i="6"/>
  <c r="S629" i="6"/>
  <c r="K713" i="6"/>
  <c r="S713" i="6"/>
  <c r="K765" i="6"/>
  <c r="S765" i="6"/>
  <c r="K781" i="6"/>
  <c r="S781" i="6"/>
  <c r="K785" i="6"/>
  <c r="S785" i="6"/>
  <c r="K793" i="6"/>
  <c r="S793" i="6"/>
  <c r="K821" i="6"/>
  <c r="S821" i="6"/>
  <c r="K829" i="6"/>
  <c r="S829" i="6"/>
  <c r="K845" i="6"/>
  <c r="S845" i="6"/>
  <c r="K849" i="6"/>
  <c r="S849" i="6"/>
  <c r="K857" i="6"/>
  <c r="S857" i="6"/>
  <c r="K865" i="6"/>
  <c r="S865" i="6"/>
  <c r="K877" i="6"/>
  <c r="S877" i="6"/>
  <c r="K885" i="6"/>
  <c r="S885" i="6"/>
  <c r="K893" i="6"/>
  <c r="S893" i="6"/>
  <c r="K905" i="6"/>
  <c r="S905" i="6"/>
  <c r="K929" i="6"/>
  <c r="S929" i="6"/>
  <c r="K937" i="6"/>
  <c r="S937" i="6"/>
  <c r="K945" i="6"/>
  <c r="S945" i="6"/>
  <c r="K953" i="6"/>
  <c r="S953" i="6"/>
  <c r="K957" i="6"/>
  <c r="S957" i="6"/>
  <c r="K965" i="6"/>
  <c r="S965" i="6"/>
  <c r="K973" i="6"/>
  <c r="S973" i="6"/>
  <c r="K981" i="6"/>
  <c r="S981" i="6"/>
  <c r="K989" i="6"/>
  <c r="S989" i="6"/>
  <c r="K997" i="6"/>
  <c r="S997" i="6"/>
  <c r="K1005" i="6"/>
  <c r="S1005" i="6"/>
  <c r="K1013" i="6"/>
  <c r="S1013" i="6"/>
  <c r="K1021" i="6"/>
  <c r="S1021" i="6"/>
  <c r="K1025" i="6"/>
  <c r="S1025" i="6"/>
  <c r="K1033" i="6"/>
  <c r="S1033" i="6"/>
  <c r="K1041" i="6"/>
  <c r="S1041" i="6"/>
  <c r="K1053" i="6"/>
  <c r="S1053" i="6"/>
  <c r="K1061" i="6"/>
  <c r="S1061" i="6"/>
  <c r="K1069" i="6"/>
  <c r="S1069" i="6"/>
  <c r="K1077" i="6"/>
  <c r="S1077" i="6"/>
  <c r="K1085" i="6"/>
  <c r="S1085" i="6"/>
  <c r="K1093" i="6"/>
  <c r="S1093" i="6"/>
  <c r="K1101" i="6"/>
  <c r="S1101" i="6"/>
  <c r="K1109" i="6"/>
  <c r="S1109" i="6"/>
  <c r="K1129" i="6"/>
  <c r="S1129" i="6"/>
  <c r="K1141" i="6"/>
  <c r="S1141" i="6"/>
  <c r="K1165" i="6"/>
  <c r="S1165" i="6"/>
  <c r="K1173" i="6"/>
  <c r="S1173" i="6"/>
  <c r="K1189" i="6"/>
  <c r="S1189" i="6"/>
  <c r="K1197" i="6"/>
  <c r="S1197" i="6"/>
  <c r="K1205" i="6"/>
  <c r="S1205" i="6"/>
  <c r="K1213" i="6"/>
  <c r="S1213" i="6"/>
  <c r="K1249" i="6"/>
  <c r="S1249" i="6"/>
  <c r="K1257" i="6"/>
  <c r="S1257" i="6"/>
  <c r="K1265" i="6"/>
  <c r="S1265" i="6"/>
  <c r="K1273" i="6"/>
  <c r="S1273" i="6"/>
  <c r="K1277" i="6"/>
  <c r="S1277" i="6"/>
  <c r="K1337" i="6"/>
  <c r="S1337" i="6"/>
  <c r="K1353" i="6"/>
  <c r="S1353" i="6"/>
  <c r="K1361" i="6"/>
  <c r="S1361" i="6"/>
  <c r="K1369" i="6"/>
  <c r="S1369" i="6"/>
  <c r="K1377" i="6"/>
  <c r="S1377" i="6"/>
  <c r="K1385" i="6"/>
  <c r="S1385" i="6"/>
  <c r="K1393" i="6"/>
  <c r="S1393" i="6"/>
  <c r="K1413" i="6"/>
  <c r="S1413" i="6"/>
  <c r="K1421" i="6"/>
  <c r="S1421" i="6"/>
  <c r="K1429" i="6"/>
  <c r="S1429" i="6"/>
  <c r="K1437" i="6"/>
  <c r="S1437" i="6"/>
  <c r="K1445" i="6"/>
  <c r="S1445" i="6"/>
  <c r="K1453" i="6"/>
  <c r="S1453" i="6"/>
  <c r="K1461" i="6"/>
  <c r="S1461" i="6"/>
  <c r="K1469" i="6"/>
  <c r="S1469" i="6"/>
  <c r="K1477" i="6"/>
  <c r="S1477" i="6"/>
  <c r="K1481" i="6"/>
  <c r="S1481" i="6"/>
  <c r="K1489" i="6"/>
  <c r="S1489" i="6"/>
  <c r="K1497" i="6"/>
  <c r="S1497" i="6"/>
  <c r="K1509" i="6"/>
  <c r="S1509" i="6"/>
  <c r="K1517" i="6"/>
  <c r="S1517" i="6"/>
  <c r="K1525" i="6"/>
  <c r="S1525" i="6"/>
  <c r="K1533" i="6"/>
  <c r="S1533" i="6"/>
  <c r="K1541" i="6"/>
  <c r="S1541" i="6"/>
  <c r="K1549" i="6"/>
  <c r="S1549" i="6"/>
  <c r="K1557" i="6"/>
  <c r="S1557" i="6"/>
  <c r="K1565" i="6"/>
  <c r="S1565" i="6"/>
  <c r="K1573" i="6"/>
  <c r="S1573" i="6"/>
  <c r="K1581" i="6"/>
  <c r="S1581" i="6"/>
  <c r="K1589" i="6"/>
  <c r="S1589" i="6"/>
  <c r="K1597" i="6"/>
  <c r="S1597" i="6"/>
  <c r="K1605" i="6"/>
  <c r="S1605" i="6"/>
  <c r="K1613" i="6"/>
  <c r="S1613" i="6"/>
  <c r="K1621" i="6"/>
  <c r="S1621" i="6"/>
  <c r="K1629" i="6"/>
  <c r="S1629" i="6"/>
  <c r="K1653" i="6"/>
  <c r="S1653" i="6"/>
  <c r="K1661" i="6"/>
  <c r="S1661" i="6"/>
  <c r="K1665" i="6"/>
  <c r="S1665" i="6"/>
  <c r="K1677" i="6"/>
  <c r="S1677" i="6"/>
  <c r="K1685" i="6"/>
  <c r="S1685" i="6"/>
  <c r="K1693" i="6"/>
  <c r="S1693" i="6"/>
  <c r="K1701" i="6"/>
  <c r="S1701" i="6"/>
  <c r="K1709" i="6"/>
  <c r="S1709" i="6"/>
  <c r="K1717" i="6"/>
  <c r="S1717" i="6"/>
  <c r="K1725" i="6"/>
  <c r="S1725" i="6"/>
  <c r="K1733" i="6"/>
  <c r="S1733" i="6"/>
  <c r="K1741" i="6"/>
  <c r="S1741" i="6"/>
  <c r="K1745" i="6"/>
  <c r="S1745" i="6"/>
  <c r="K1753" i="6"/>
  <c r="S1753" i="6"/>
  <c r="K1761" i="6"/>
  <c r="S1761" i="6"/>
  <c r="K1773" i="6"/>
  <c r="S1773" i="6"/>
  <c r="K1781" i="6"/>
  <c r="S1781" i="6"/>
  <c r="K1789" i="6"/>
  <c r="S1789" i="6"/>
  <c r="K1797" i="6"/>
  <c r="S1797" i="6"/>
  <c r="K1805" i="6"/>
  <c r="S1805" i="6"/>
  <c r="K1813" i="6"/>
  <c r="S1813" i="6"/>
  <c r="K1821" i="6"/>
  <c r="S1821" i="6"/>
  <c r="K1825" i="6"/>
  <c r="S1825" i="6"/>
  <c r="K2031" i="6"/>
  <c r="S2031" i="6"/>
  <c r="K2039" i="6"/>
  <c r="S2039" i="6"/>
  <c r="K2047" i="6"/>
  <c r="S2047" i="6"/>
  <c r="K2055" i="6"/>
  <c r="S2055" i="6"/>
  <c r="K2063" i="6"/>
  <c r="S2063" i="6"/>
  <c r="K2083" i="6"/>
  <c r="S2083" i="6"/>
  <c r="K2091" i="6"/>
  <c r="S2091" i="6"/>
  <c r="K2099" i="6"/>
  <c r="S2099" i="6"/>
  <c r="K2103" i="6"/>
  <c r="S2103" i="6"/>
  <c r="K2111" i="6"/>
  <c r="S2111" i="6"/>
  <c r="K2123" i="6"/>
  <c r="S2123" i="6"/>
  <c r="K2131" i="6"/>
  <c r="S2131" i="6"/>
  <c r="K2139" i="6"/>
  <c r="S2139" i="6"/>
  <c r="K2147" i="6"/>
  <c r="S2147" i="6"/>
  <c r="K2159" i="6"/>
  <c r="S2159" i="6"/>
  <c r="K2167" i="6"/>
  <c r="S2167" i="6"/>
  <c r="K2179" i="6"/>
  <c r="S2179" i="6"/>
  <c r="K2187" i="6"/>
  <c r="S2187" i="6"/>
  <c r="K2195" i="6"/>
  <c r="S2195" i="6"/>
  <c r="K2203" i="6"/>
  <c r="S2203" i="6"/>
  <c r="K2211" i="6"/>
  <c r="S2211" i="6"/>
  <c r="K2219" i="6"/>
  <c r="S2219" i="6"/>
  <c r="K2299" i="6"/>
  <c r="S2299" i="6"/>
  <c r="K2315" i="6"/>
  <c r="S2315" i="6"/>
  <c r="K2323" i="6"/>
  <c r="S2323" i="6"/>
  <c r="K2351" i="6"/>
  <c r="S2351" i="6"/>
  <c r="K2359" i="6"/>
  <c r="S2359" i="6"/>
  <c r="K2375" i="6"/>
  <c r="S2375" i="6"/>
  <c r="K2387" i="6"/>
  <c r="S2387" i="6"/>
  <c r="K2395" i="6"/>
  <c r="S2395" i="6"/>
  <c r="K2403" i="6"/>
  <c r="S2403" i="6"/>
  <c r="K2435" i="6"/>
  <c r="S2435" i="6"/>
  <c r="K2451" i="6"/>
  <c r="S2451" i="6"/>
  <c r="K2459" i="6"/>
  <c r="S2459" i="6"/>
  <c r="K2475" i="6"/>
  <c r="S2475" i="6"/>
  <c r="K2487" i="6"/>
  <c r="S2487" i="6"/>
  <c r="K2495" i="6"/>
  <c r="S2495" i="6"/>
  <c r="K2511" i="6"/>
  <c r="S2511" i="6"/>
  <c r="K2519" i="6"/>
  <c r="S2519" i="6"/>
  <c r="K2531" i="6"/>
  <c r="S2531" i="6"/>
  <c r="K2543" i="6"/>
  <c r="S2543" i="6"/>
  <c r="K2551" i="6"/>
  <c r="S2551" i="6"/>
  <c r="K2555" i="6"/>
  <c r="S2555" i="6"/>
  <c r="K2563" i="6"/>
  <c r="S2563" i="6"/>
  <c r="K2575" i="6"/>
  <c r="S2575" i="6"/>
  <c r="K153" i="6"/>
  <c r="S153" i="6"/>
  <c r="K173" i="6"/>
  <c r="S173" i="6"/>
  <c r="K237" i="6"/>
  <c r="S237" i="6"/>
  <c r="K245" i="6"/>
  <c r="S245" i="6"/>
  <c r="K285" i="6"/>
  <c r="S285" i="6"/>
  <c r="K345" i="6"/>
  <c r="S345" i="6"/>
  <c r="K353" i="6"/>
  <c r="S353" i="6"/>
  <c r="K409" i="6"/>
  <c r="S409" i="6"/>
  <c r="K417" i="6"/>
  <c r="S417" i="6"/>
  <c r="K154" i="6"/>
  <c r="S154" i="6"/>
  <c r="K158" i="6"/>
  <c r="S158" i="6"/>
  <c r="K162" i="6"/>
  <c r="S162" i="6"/>
  <c r="K166" i="6"/>
  <c r="S166" i="6"/>
  <c r="K170" i="6"/>
  <c r="S170" i="6"/>
  <c r="K174" i="6"/>
  <c r="S174" i="6"/>
  <c r="K178" i="6"/>
  <c r="S178" i="6"/>
  <c r="K182" i="6"/>
  <c r="S182" i="6"/>
  <c r="K186" i="6"/>
  <c r="S186" i="6"/>
  <c r="K190" i="6"/>
  <c r="S190" i="6"/>
  <c r="K194" i="6"/>
  <c r="S194" i="6"/>
  <c r="K198" i="6"/>
  <c r="S198" i="6"/>
  <c r="K202" i="6"/>
  <c r="S202" i="6"/>
  <c r="K206" i="6"/>
  <c r="S206" i="6"/>
  <c r="K210" i="6"/>
  <c r="S210" i="6"/>
  <c r="K214" i="6"/>
  <c r="S214" i="6"/>
  <c r="K218" i="6"/>
  <c r="S218" i="6"/>
  <c r="K222" i="6"/>
  <c r="S222" i="6"/>
  <c r="K226" i="6"/>
  <c r="S226" i="6"/>
  <c r="K230" i="6"/>
  <c r="S230" i="6"/>
  <c r="K234" i="6"/>
  <c r="S234" i="6"/>
  <c r="K238" i="6"/>
  <c r="S238" i="6"/>
  <c r="K242" i="6"/>
  <c r="S242" i="6"/>
  <c r="K246" i="6"/>
  <c r="S246" i="6"/>
  <c r="K250" i="6"/>
  <c r="S250" i="6"/>
  <c r="K254" i="6"/>
  <c r="S254" i="6"/>
  <c r="K258" i="6"/>
  <c r="S258" i="6"/>
  <c r="K262" i="6"/>
  <c r="S262" i="6"/>
  <c r="K266" i="6"/>
  <c r="S266" i="6"/>
  <c r="K270" i="6"/>
  <c r="S270" i="6"/>
  <c r="K274" i="6"/>
  <c r="S274" i="6"/>
  <c r="K278" i="6"/>
  <c r="S278" i="6"/>
  <c r="K282" i="6"/>
  <c r="S282" i="6"/>
  <c r="K286" i="6"/>
  <c r="S286" i="6"/>
  <c r="K290" i="6"/>
  <c r="S290" i="6"/>
  <c r="K294" i="6"/>
  <c r="S294" i="6"/>
  <c r="K298" i="6"/>
  <c r="S298" i="6"/>
  <c r="K302" i="6"/>
  <c r="S302" i="6"/>
  <c r="K306" i="6"/>
  <c r="S306" i="6"/>
  <c r="K310" i="6"/>
  <c r="S310" i="6"/>
  <c r="K314" i="6"/>
  <c r="S314" i="6"/>
  <c r="K318" i="6"/>
  <c r="S318" i="6"/>
  <c r="K322" i="6"/>
  <c r="S322" i="6"/>
  <c r="K326" i="6"/>
  <c r="S326" i="6"/>
  <c r="K330" i="6"/>
  <c r="S330" i="6"/>
  <c r="K334" i="6"/>
  <c r="S334" i="6"/>
  <c r="K338" i="6"/>
  <c r="S338" i="6"/>
  <c r="K342" i="6"/>
  <c r="S342" i="6"/>
  <c r="K346" i="6"/>
  <c r="S346" i="6"/>
  <c r="K350" i="6"/>
  <c r="S350" i="6"/>
  <c r="K354" i="6"/>
  <c r="S354" i="6"/>
  <c r="K358" i="6"/>
  <c r="S358" i="6"/>
  <c r="K362" i="6"/>
  <c r="S362" i="6"/>
  <c r="K366" i="6"/>
  <c r="S366" i="6"/>
  <c r="K370" i="6"/>
  <c r="S370" i="6"/>
  <c r="K374" i="6"/>
  <c r="S374" i="6"/>
  <c r="K378" i="6"/>
  <c r="S378" i="6"/>
  <c r="K382" i="6"/>
  <c r="S382" i="6"/>
  <c r="K386" i="6"/>
  <c r="S386" i="6"/>
  <c r="K390" i="6"/>
  <c r="S390" i="6"/>
  <c r="K394" i="6"/>
  <c r="S394" i="6"/>
  <c r="K398" i="6"/>
  <c r="S398" i="6"/>
  <c r="K402" i="6"/>
  <c r="S402" i="6"/>
  <c r="K406" i="6"/>
  <c r="S406" i="6"/>
  <c r="K410" i="6"/>
  <c r="S410" i="6"/>
  <c r="K414" i="6"/>
  <c r="S414" i="6"/>
  <c r="K418" i="6"/>
  <c r="S418" i="6"/>
  <c r="K422" i="6"/>
  <c r="S422" i="6"/>
  <c r="K426" i="6"/>
  <c r="S426" i="6"/>
  <c r="K430" i="6"/>
  <c r="S430" i="6"/>
  <c r="K434" i="6"/>
  <c r="S434" i="6"/>
  <c r="K438" i="6"/>
  <c r="S438" i="6"/>
  <c r="K442" i="6"/>
  <c r="S442" i="6"/>
  <c r="K446" i="6"/>
  <c r="S446" i="6"/>
  <c r="K450" i="6"/>
  <c r="S450" i="6"/>
  <c r="K454" i="6"/>
  <c r="S454" i="6"/>
  <c r="K458" i="6"/>
  <c r="S458" i="6"/>
  <c r="K462" i="6"/>
  <c r="S462" i="6"/>
  <c r="K466" i="6"/>
  <c r="S466" i="6"/>
  <c r="K470" i="6"/>
  <c r="S470" i="6"/>
  <c r="K474" i="6"/>
  <c r="S474" i="6"/>
  <c r="K478" i="6"/>
  <c r="S478" i="6"/>
  <c r="K482" i="6"/>
  <c r="S482" i="6"/>
  <c r="K486" i="6"/>
  <c r="S486" i="6"/>
  <c r="K490" i="6"/>
  <c r="S490" i="6"/>
  <c r="K494" i="6"/>
  <c r="S494" i="6"/>
  <c r="K498" i="6"/>
  <c r="S498" i="6"/>
  <c r="K502" i="6"/>
  <c r="S502" i="6"/>
  <c r="K506" i="6"/>
  <c r="S506" i="6"/>
  <c r="K510" i="6"/>
  <c r="S510" i="6"/>
  <c r="K514" i="6"/>
  <c r="S514" i="6"/>
  <c r="K518" i="6"/>
  <c r="S518" i="6"/>
  <c r="K571" i="6"/>
  <c r="S571" i="6"/>
  <c r="K615" i="6"/>
  <c r="S615" i="6"/>
  <c r="K635" i="6"/>
  <c r="S635" i="6"/>
  <c r="K703" i="6"/>
  <c r="S703" i="6"/>
  <c r="K715" i="6"/>
  <c r="S715" i="6"/>
  <c r="K719" i="6"/>
  <c r="S719" i="6"/>
  <c r="K723" i="6"/>
  <c r="S723" i="6"/>
  <c r="K727" i="6"/>
  <c r="S727" i="6"/>
  <c r="K731" i="6"/>
  <c r="S731" i="6"/>
  <c r="K739" i="6"/>
  <c r="S739" i="6"/>
  <c r="K751" i="6"/>
  <c r="S751" i="6"/>
  <c r="K755" i="6"/>
  <c r="S755" i="6"/>
  <c r="K759" i="6"/>
  <c r="S759" i="6"/>
  <c r="K771" i="6"/>
  <c r="S771" i="6"/>
  <c r="K779" i="6"/>
  <c r="S779" i="6"/>
  <c r="K787" i="6"/>
  <c r="S787" i="6"/>
  <c r="K799" i="6"/>
  <c r="S799" i="6"/>
  <c r="K811" i="6"/>
  <c r="S811" i="6"/>
  <c r="K827" i="6"/>
  <c r="S827" i="6"/>
  <c r="K835" i="6"/>
  <c r="S835" i="6"/>
  <c r="K843" i="6"/>
  <c r="S843" i="6"/>
  <c r="K847" i="6"/>
  <c r="S847" i="6"/>
  <c r="K851" i="6"/>
  <c r="S851" i="6"/>
  <c r="K855" i="6"/>
  <c r="S855" i="6"/>
  <c r="K863" i="6"/>
  <c r="S863" i="6"/>
  <c r="K867" i="6"/>
  <c r="S867" i="6"/>
  <c r="K891" i="6"/>
  <c r="S891" i="6"/>
  <c r="K903" i="6"/>
  <c r="S903" i="6"/>
  <c r="K911" i="6"/>
  <c r="S911" i="6"/>
  <c r="K915" i="6"/>
  <c r="S915" i="6"/>
  <c r="K919" i="6"/>
  <c r="S919" i="6"/>
  <c r="K923" i="6"/>
  <c r="S923" i="6"/>
  <c r="K927" i="6"/>
  <c r="S927" i="6"/>
  <c r="K931" i="6"/>
  <c r="S931" i="6"/>
  <c r="K935" i="6"/>
  <c r="S935" i="6"/>
  <c r="K939" i="6"/>
  <c r="S939" i="6"/>
  <c r="K943" i="6"/>
  <c r="S943" i="6"/>
  <c r="K947" i="6"/>
  <c r="S947" i="6"/>
  <c r="K951" i="6"/>
  <c r="S951" i="6"/>
  <c r="K955" i="6"/>
  <c r="S955" i="6"/>
  <c r="K959" i="6"/>
  <c r="S959" i="6"/>
  <c r="K963" i="6"/>
  <c r="S963" i="6"/>
  <c r="K967" i="6"/>
  <c r="S967" i="6"/>
  <c r="K971" i="6"/>
  <c r="S971" i="6"/>
  <c r="K975" i="6"/>
  <c r="S975" i="6"/>
  <c r="K979" i="6"/>
  <c r="S979" i="6"/>
  <c r="K983" i="6"/>
  <c r="S983" i="6"/>
  <c r="K987" i="6"/>
  <c r="S987" i="6"/>
  <c r="K991" i="6"/>
  <c r="S991" i="6"/>
  <c r="K995" i="6"/>
  <c r="S995" i="6"/>
  <c r="K999" i="6"/>
  <c r="S999" i="6"/>
  <c r="K1003" i="6"/>
  <c r="S1003" i="6"/>
  <c r="K1007" i="6"/>
  <c r="S1007" i="6"/>
  <c r="K1011" i="6"/>
  <c r="S1011" i="6"/>
  <c r="K1015" i="6"/>
  <c r="S1015" i="6"/>
  <c r="K1019" i="6"/>
  <c r="S1019" i="6"/>
  <c r="K1023" i="6"/>
  <c r="S1023" i="6"/>
  <c r="K1027" i="6"/>
  <c r="S1027" i="6"/>
  <c r="K1031" i="6"/>
  <c r="S1031" i="6"/>
  <c r="K1035" i="6"/>
  <c r="S1035" i="6"/>
  <c r="K1039" i="6"/>
  <c r="S1039" i="6"/>
  <c r="K1043" i="6"/>
  <c r="S1043" i="6"/>
  <c r="K1055" i="6"/>
  <c r="S1055" i="6"/>
  <c r="K1059" i="6"/>
  <c r="S1059" i="6"/>
  <c r="K1063" i="6"/>
  <c r="S1063" i="6"/>
  <c r="K1067" i="6"/>
  <c r="S1067" i="6"/>
  <c r="K1071" i="6"/>
  <c r="S1071" i="6"/>
  <c r="K1075" i="6"/>
  <c r="S1075" i="6"/>
  <c r="K1083" i="6"/>
  <c r="S1083" i="6"/>
  <c r="K1087" i="6"/>
  <c r="S1087" i="6"/>
  <c r="K1095" i="6"/>
  <c r="S1095" i="6"/>
  <c r="K1099" i="6"/>
  <c r="S1099" i="6"/>
  <c r="K1107" i="6"/>
  <c r="S1107" i="6"/>
  <c r="K1111" i="6"/>
  <c r="S1111" i="6"/>
  <c r="K1115" i="6"/>
  <c r="S1115" i="6"/>
  <c r="K1119" i="6"/>
  <c r="S1119" i="6"/>
  <c r="K1147" i="6"/>
  <c r="S1147" i="6"/>
  <c r="K1163" i="6"/>
  <c r="S1163" i="6"/>
  <c r="K1167" i="6"/>
  <c r="S1167" i="6"/>
  <c r="K1171" i="6"/>
  <c r="S1171" i="6"/>
  <c r="K1183" i="6"/>
  <c r="S1183" i="6"/>
  <c r="K1191" i="6"/>
  <c r="S1191" i="6"/>
  <c r="K1195" i="6"/>
  <c r="S1195" i="6"/>
  <c r="K1199" i="6"/>
  <c r="S1199" i="6"/>
  <c r="K1207" i="6"/>
  <c r="S1207" i="6"/>
  <c r="K1211" i="6"/>
  <c r="S1211" i="6"/>
  <c r="K1215" i="6"/>
  <c r="S1215" i="6"/>
  <c r="K1219" i="6"/>
  <c r="S1219" i="6"/>
  <c r="K1251" i="6"/>
  <c r="S1251" i="6"/>
  <c r="K1255" i="6"/>
  <c r="S1255" i="6"/>
  <c r="K1259" i="6"/>
  <c r="S1259" i="6"/>
  <c r="K1263" i="6"/>
  <c r="S1263" i="6"/>
  <c r="K1271" i="6"/>
  <c r="S1271" i="6"/>
  <c r="K1275" i="6"/>
  <c r="S1275" i="6"/>
  <c r="K1279" i="6"/>
  <c r="S1279" i="6"/>
  <c r="K1323" i="6"/>
  <c r="S1323" i="6"/>
  <c r="K1327" i="6"/>
  <c r="S1327" i="6"/>
  <c r="K1331" i="6"/>
  <c r="S1331" i="6"/>
  <c r="K1335" i="6"/>
  <c r="S1335" i="6"/>
  <c r="K1347" i="6"/>
  <c r="S1347" i="6"/>
  <c r="K1371" i="6"/>
  <c r="S1371" i="6"/>
  <c r="K1375" i="6"/>
  <c r="S1375" i="6"/>
  <c r="K1379" i="6"/>
  <c r="S1379" i="6"/>
  <c r="K1383" i="6"/>
  <c r="S1383" i="6"/>
  <c r="K1391" i="6"/>
  <c r="S1391" i="6"/>
  <c r="K1395" i="6"/>
  <c r="S1395" i="6"/>
  <c r="K1407" i="6"/>
  <c r="S1407" i="6"/>
  <c r="K1411" i="6"/>
  <c r="S1411" i="6"/>
  <c r="K1415" i="6"/>
  <c r="S1415" i="6"/>
  <c r="K1419" i="6"/>
  <c r="S1419" i="6"/>
  <c r="K1423" i="6"/>
  <c r="S1423" i="6"/>
  <c r="K1427" i="6"/>
  <c r="S1427" i="6"/>
  <c r="K1431" i="6"/>
  <c r="S1431" i="6"/>
  <c r="K1435" i="6"/>
  <c r="S1435" i="6"/>
  <c r="K1439" i="6"/>
  <c r="S1439" i="6"/>
  <c r="K1443" i="6"/>
  <c r="S1443" i="6"/>
  <c r="K1447" i="6"/>
  <c r="S1447" i="6"/>
  <c r="K1451" i="6"/>
  <c r="S1451" i="6"/>
  <c r="K1455" i="6"/>
  <c r="S1455" i="6"/>
  <c r="K1459" i="6"/>
  <c r="S1459" i="6"/>
  <c r="K1463" i="6"/>
  <c r="S1463" i="6"/>
  <c r="K1467" i="6"/>
  <c r="S1467" i="6"/>
  <c r="K1471" i="6"/>
  <c r="S1471" i="6"/>
  <c r="K1475" i="6"/>
  <c r="S1475" i="6"/>
  <c r="K1479" i="6"/>
  <c r="S1479" i="6"/>
  <c r="K1483" i="6"/>
  <c r="S1483" i="6"/>
  <c r="K1487" i="6"/>
  <c r="S1487" i="6"/>
  <c r="K1491" i="6"/>
  <c r="S1491" i="6"/>
  <c r="K1495" i="6"/>
  <c r="S1495" i="6"/>
  <c r="K1499" i="6"/>
  <c r="S1499" i="6"/>
  <c r="K1503" i="6"/>
  <c r="S1503" i="6"/>
  <c r="K1507" i="6"/>
  <c r="S1507" i="6"/>
  <c r="K1511" i="6"/>
  <c r="S1511" i="6"/>
  <c r="K1515" i="6"/>
  <c r="S1515" i="6"/>
  <c r="K1519" i="6"/>
  <c r="S1519" i="6"/>
  <c r="K1523" i="6"/>
  <c r="S1523" i="6"/>
  <c r="K1527" i="6"/>
  <c r="S1527" i="6"/>
  <c r="K1531" i="6"/>
  <c r="S1531" i="6"/>
  <c r="K1535" i="6"/>
  <c r="S1535" i="6"/>
  <c r="K1539" i="6"/>
  <c r="S1539" i="6"/>
  <c r="K1543" i="6"/>
  <c r="S1543" i="6"/>
  <c r="K1547" i="6"/>
  <c r="S1547" i="6"/>
  <c r="K1551" i="6"/>
  <c r="S1551" i="6"/>
  <c r="K1555" i="6"/>
  <c r="S1555" i="6"/>
  <c r="K1559" i="6"/>
  <c r="S1559" i="6"/>
  <c r="K1563" i="6"/>
  <c r="S1563" i="6"/>
  <c r="K1567" i="6"/>
  <c r="S1567" i="6"/>
  <c r="K1571" i="6"/>
  <c r="S1571" i="6"/>
  <c r="K1575" i="6"/>
  <c r="S1575" i="6"/>
  <c r="K1579" i="6"/>
  <c r="S1579" i="6"/>
  <c r="K1583" i="6"/>
  <c r="S1583" i="6"/>
  <c r="K1587" i="6"/>
  <c r="S1587" i="6"/>
  <c r="K1591" i="6"/>
  <c r="S1591" i="6"/>
  <c r="K1595" i="6"/>
  <c r="S1595" i="6"/>
  <c r="K1599" i="6"/>
  <c r="S1599" i="6"/>
  <c r="K1603" i="6"/>
  <c r="S1603" i="6"/>
  <c r="K1607" i="6"/>
  <c r="S1607" i="6"/>
  <c r="K1611" i="6"/>
  <c r="S1611" i="6"/>
  <c r="K1615" i="6"/>
  <c r="S1615" i="6"/>
  <c r="K1619" i="6"/>
  <c r="S1619" i="6"/>
  <c r="K1623" i="6"/>
  <c r="S1623" i="6"/>
  <c r="K1627" i="6"/>
  <c r="S1627" i="6"/>
  <c r="K1631" i="6"/>
  <c r="S1631" i="6"/>
  <c r="K1635" i="6"/>
  <c r="S1635" i="6"/>
  <c r="K1639" i="6"/>
  <c r="S1639" i="6"/>
  <c r="K1643" i="6"/>
  <c r="S1643" i="6"/>
  <c r="K1647" i="6"/>
  <c r="S1647" i="6"/>
  <c r="K1651" i="6"/>
  <c r="S1651" i="6"/>
  <c r="K1655" i="6"/>
  <c r="S1655" i="6"/>
  <c r="K1659" i="6"/>
  <c r="S1659" i="6"/>
  <c r="K1663" i="6"/>
  <c r="S1663" i="6"/>
  <c r="K1667" i="6"/>
  <c r="S1667" i="6"/>
  <c r="K1671" i="6"/>
  <c r="S1671" i="6"/>
  <c r="K1675" i="6"/>
  <c r="S1675" i="6"/>
  <c r="K1679" i="6"/>
  <c r="S1679" i="6"/>
  <c r="K1683" i="6"/>
  <c r="S1683" i="6"/>
  <c r="K1687" i="6"/>
  <c r="S1687" i="6"/>
  <c r="K1691" i="6"/>
  <c r="S1691" i="6"/>
  <c r="K1695" i="6"/>
  <c r="S1695" i="6"/>
  <c r="K1699" i="6"/>
  <c r="S1699" i="6"/>
  <c r="K1703" i="6"/>
  <c r="S1703" i="6"/>
  <c r="K1707" i="6"/>
  <c r="S1707" i="6"/>
  <c r="K1711" i="6"/>
  <c r="S1711" i="6"/>
  <c r="K1715" i="6"/>
  <c r="S1715" i="6"/>
  <c r="K1719" i="6"/>
  <c r="S1719" i="6"/>
  <c r="K1723" i="6"/>
  <c r="S1723" i="6"/>
  <c r="K1727" i="6"/>
  <c r="S1727" i="6"/>
  <c r="K1731" i="6"/>
  <c r="S1731" i="6"/>
  <c r="K1735" i="6"/>
  <c r="S1735" i="6"/>
  <c r="K1739" i="6"/>
  <c r="S1739" i="6"/>
  <c r="K1743" i="6"/>
  <c r="S1743" i="6"/>
  <c r="K1747" i="6"/>
  <c r="S1747" i="6"/>
  <c r="K1751" i="6"/>
  <c r="S1751" i="6"/>
  <c r="K1755" i="6"/>
  <c r="S1755" i="6"/>
  <c r="K1759" i="6"/>
  <c r="S1759" i="6"/>
  <c r="K1763" i="6"/>
  <c r="S1763" i="6"/>
  <c r="K1767" i="6"/>
  <c r="S1767" i="6"/>
  <c r="K1771" i="6"/>
  <c r="S1771" i="6"/>
  <c r="K1775" i="6"/>
  <c r="S1775" i="6"/>
  <c r="K1779" i="6"/>
  <c r="S1779" i="6"/>
  <c r="K1783" i="6"/>
  <c r="S1783" i="6"/>
  <c r="K1787" i="6"/>
  <c r="S1787" i="6"/>
  <c r="K1791" i="6"/>
  <c r="S1791" i="6"/>
  <c r="K1795" i="6"/>
  <c r="S1795" i="6"/>
  <c r="K1799" i="6"/>
  <c r="S1799" i="6"/>
  <c r="K1803" i="6"/>
  <c r="S1803" i="6"/>
  <c r="K1807" i="6"/>
  <c r="S1807" i="6"/>
  <c r="K1811" i="6"/>
  <c r="S1811" i="6"/>
  <c r="K1815" i="6"/>
  <c r="S1815" i="6"/>
  <c r="K1819" i="6"/>
  <c r="S1819" i="6"/>
  <c r="K1823" i="6"/>
  <c r="S1823" i="6"/>
  <c r="K1827" i="6"/>
  <c r="S1827" i="6"/>
  <c r="K2061" i="6"/>
  <c r="S2061" i="6"/>
  <c r="K2073" i="6"/>
  <c r="S2073" i="6"/>
  <c r="K2089" i="6"/>
  <c r="S2089" i="6"/>
  <c r="K2093" i="6"/>
  <c r="S2093" i="6"/>
  <c r="K2097" i="6"/>
  <c r="S2097" i="6"/>
  <c r="K2101" i="6"/>
  <c r="S2101" i="6"/>
  <c r="K2105" i="6"/>
  <c r="S2105" i="6"/>
  <c r="K2109" i="6"/>
  <c r="S2109" i="6"/>
  <c r="K2113" i="6"/>
  <c r="S2113" i="6"/>
  <c r="K2117" i="6"/>
  <c r="S2117" i="6"/>
  <c r="K2121" i="6"/>
  <c r="S2121" i="6"/>
  <c r="K2125" i="6"/>
  <c r="S2125" i="6"/>
  <c r="K2129" i="6"/>
  <c r="S2129" i="6"/>
  <c r="K2133" i="6"/>
  <c r="S2133" i="6"/>
  <c r="K2137" i="6"/>
  <c r="S2137" i="6"/>
  <c r="K2141" i="6"/>
  <c r="S2141" i="6"/>
  <c r="K2145" i="6"/>
  <c r="S2145" i="6"/>
  <c r="K2149" i="6"/>
  <c r="S2149" i="6"/>
  <c r="K2161" i="6"/>
  <c r="S2161" i="6"/>
  <c r="K2165" i="6"/>
  <c r="S2165" i="6"/>
  <c r="K2169" i="6"/>
  <c r="S2169" i="6"/>
  <c r="K2173" i="6"/>
  <c r="S2173" i="6"/>
  <c r="K2177" i="6"/>
  <c r="S2177" i="6"/>
  <c r="K2181" i="6"/>
  <c r="S2181" i="6"/>
  <c r="K2185" i="6"/>
  <c r="S2185" i="6"/>
  <c r="K2189" i="6"/>
  <c r="S2189" i="6"/>
  <c r="K2193" i="6"/>
  <c r="S2193" i="6"/>
  <c r="K2197" i="6"/>
  <c r="S2197" i="6"/>
  <c r="K2201" i="6"/>
  <c r="S2201" i="6"/>
  <c r="K2209" i="6"/>
  <c r="S2209" i="6"/>
  <c r="K2217" i="6"/>
  <c r="S2217" i="6"/>
  <c r="K2225" i="6"/>
  <c r="S2225" i="6"/>
  <c r="K2229" i="6"/>
  <c r="S2229" i="6"/>
  <c r="K2233" i="6"/>
  <c r="S2233" i="6"/>
  <c r="K2237" i="6"/>
  <c r="S2237" i="6"/>
  <c r="K2241" i="6"/>
  <c r="S2241" i="6"/>
  <c r="K2245" i="6"/>
  <c r="S2245" i="6"/>
  <c r="K2249" i="6"/>
  <c r="S2249" i="6"/>
  <c r="K2253" i="6"/>
  <c r="S2253" i="6"/>
  <c r="K2261" i="6"/>
  <c r="S2261" i="6"/>
  <c r="K2269" i="6"/>
  <c r="S2269" i="6"/>
  <c r="K2273" i="6"/>
  <c r="S2273" i="6"/>
  <c r="K2277" i="6"/>
  <c r="S2277" i="6"/>
  <c r="K2281" i="6"/>
  <c r="S2281" i="6"/>
  <c r="K2285" i="6"/>
  <c r="S2285" i="6"/>
  <c r="K2289" i="6"/>
  <c r="S2289" i="6"/>
  <c r="K2293" i="6"/>
  <c r="S2293" i="6"/>
  <c r="K2297" i="6"/>
  <c r="S2297" i="6"/>
  <c r="K2305" i="6"/>
  <c r="S2305" i="6"/>
  <c r="K2309" i="6"/>
  <c r="S2309" i="6"/>
  <c r="K2313" i="6"/>
  <c r="S2313" i="6"/>
  <c r="K2317" i="6"/>
  <c r="S2317" i="6"/>
  <c r="K2321" i="6"/>
  <c r="S2321" i="6"/>
  <c r="K2329" i="6"/>
  <c r="S2329" i="6"/>
  <c r="K2333" i="6"/>
  <c r="S2333" i="6"/>
  <c r="K2337" i="6"/>
  <c r="S2337" i="6"/>
  <c r="K2341" i="6"/>
  <c r="S2341" i="6"/>
  <c r="K2345" i="6"/>
  <c r="S2345" i="6"/>
  <c r="K2349" i="6"/>
  <c r="S2349" i="6"/>
  <c r="K2361" i="6"/>
  <c r="S2361" i="6"/>
  <c r="K2365" i="6"/>
  <c r="S2365" i="6"/>
  <c r="K2369" i="6"/>
  <c r="S2369" i="6"/>
  <c r="K2373" i="6"/>
  <c r="S2373" i="6"/>
  <c r="K2377" i="6"/>
  <c r="S2377" i="6"/>
  <c r="K2393" i="6"/>
  <c r="S2393" i="6"/>
  <c r="K2413" i="6"/>
  <c r="S2413" i="6"/>
  <c r="K2417" i="6"/>
  <c r="S2417" i="6"/>
  <c r="K2421" i="6"/>
  <c r="S2421" i="6"/>
  <c r="K2425" i="6"/>
  <c r="S2425" i="6"/>
  <c r="K2429" i="6"/>
  <c r="S2429" i="6"/>
  <c r="K2433" i="6"/>
  <c r="S2433" i="6"/>
  <c r="K2437" i="6"/>
  <c r="S2437" i="6"/>
  <c r="K2441" i="6"/>
  <c r="S2441" i="6"/>
  <c r="K2445" i="6"/>
  <c r="S2445" i="6"/>
  <c r="K2449" i="6"/>
  <c r="S2449" i="6"/>
  <c r="K2453" i="6"/>
  <c r="S2453" i="6"/>
  <c r="K2457" i="6"/>
  <c r="S2457" i="6"/>
  <c r="K2465" i="6"/>
  <c r="S2465" i="6"/>
  <c r="K2469" i="6"/>
  <c r="S2469" i="6"/>
  <c r="K2477" i="6"/>
  <c r="S2477" i="6"/>
  <c r="K2481" i="6"/>
  <c r="S2481" i="6"/>
  <c r="K2493" i="6"/>
  <c r="S2493" i="6"/>
  <c r="K2497" i="6"/>
  <c r="S2497" i="6"/>
  <c r="K2501" i="6"/>
  <c r="S2501" i="6"/>
  <c r="K2505" i="6"/>
  <c r="S2505" i="6"/>
  <c r="K2509" i="6"/>
  <c r="S2509" i="6"/>
  <c r="K2513" i="6"/>
  <c r="S2513" i="6"/>
  <c r="K2521" i="6"/>
  <c r="S2521" i="6"/>
  <c r="K2525" i="6"/>
  <c r="S2525" i="6"/>
  <c r="K2529" i="6"/>
  <c r="S2529" i="6"/>
  <c r="K2533" i="6"/>
  <c r="S2533" i="6"/>
  <c r="K2537" i="6"/>
  <c r="S2537" i="6"/>
  <c r="K2541" i="6"/>
  <c r="S2541" i="6"/>
  <c r="K2545" i="6"/>
  <c r="S2545" i="6"/>
  <c r="K2549" i="6"/>
  <c r="S2549" i="6"/>
  <c r="K2553" i="6"/>
  <c r="S2553" i="6"/>
  <c r="K2561" i="6"/>
  <c r="S2561" i="6"/>
  <c r="K2565" i="6"/>
  <c r="S2565" i="6"/>
  <c r="K2569" i="6"/>
  <c r="S2569" i="6"/>
  <c r="K2577" i="6"/>
  <c r="S2577" i="6"/>
  <c r="K152" i="6"/>
  <c r="S152" i="6"/>
  <c r="K160" i="6"/>
  <c r="S160" i="6"/>
  <c r="K168" i="6"/>
  <c r="S168" i="6"/>
  <c r="K176" i="6"/>
  <c r="S176" i="6"/>
  <c r="K184" i="6"/>
  <c r="S184" i="6"/>
  <c r="K188" i="6"/>
  <c r="S188" i="6"/>
  <c r="K192" i="6"/>
  <c r="S192" i="6"/>
  <c r="K200" i="6"/>
  <c r="S200" i="6"/>
  <c r="K212" i="6"/>
  <c r="S212" i="6"/>
  <c r="K216" i="6"/>
  <c r="S216" i="6"/>
  <c r="K224" i="6"/>
  <c r="S224" i="6"/>
  <c r="K232" i="6"/>
  <c r="S232" i="6"/>
  <c r="K240" i="6"/>
  <c r="S240" i="6"/>
  <c r="K248" i="6"/>
  <c r="S248" i="6"/>
  <c r="K256" i="6"/>
  <c r="S256" i="6"/>
  <c r="K272" i="6"/>
  <c r="S272" i="6"/>
  <c r="K280" i="6"/>
  <c r="S280" i="6"/>
  <c r="K288" i="6"/>
  <c r="S288" i="6"/>
  <c r="K296" i="6"/>
  <c r="S296" i="6"/>
  <c r="K304" i="6"/>
  <c r="S304" i="6"/>
  <c r="K316" i="6"/>
  <c r="S316" i="6"/>
  <c r="K324" i="6"/>
  <c r="S324" i="6"/>
  <c r="K328" i="6"/>
  <c r="S328" i="6"/>
  <c r="K336" i="6"/>
  <c r="S336" i="6"/>
  <c r="K344" i="6"/>
  <c r="S344" i="6"/>
  <c r="K352" i="6"/>
  <c r="S352" i="6"/>
  <c r="K360" i="6"/>
  <c r="S360" i="6"/>
  <c r="K368" i="6"/>
  <c r="S368" i="6"/>
  <c r="K376" i="6"/>
  <c r="S376" i="6"/>
  <c r="K384" i="6"/>
  <c r="S384" i="6"/>
  <c r="K392" i="6"/>
  <c r="S392" i="6"/>
  <c r="K396" i="6"/>
  <c r="S396" i="6"/>
  <c r="K404" i="6"/>
  <c r="S404" i="6"/>
  <c r="K412" i="6"/>
  <c r="S412" i="6"/>
  <c r="K420" i="6"/>
  <c r="S420" i="6"/>
  <c r="K428" i="6"/>
  <c r="S428" i="6"/>
  <c r="K436" i="6"/>
  <c r="S436" i="6"/>
  <c r="K444" i="6"/>
  <c r="S444" i="6"/>
  <c r="K452" i="6"/>
  <c r="S452" i="6"/>
  <c r="K460" i="6"/>
  <c r="S460" i="6"/>
  <c r="K464" i="6"/>
  <c r="S464" i="6"/>
  <c r="K484" i="6"/>
  <c r="S484" i="6"/>
  <c r="K492" i="6"/>
  <c r="S492" i="6"/>
  <c r="K496" i="6"/>
  <c r="S496" i="6"/>
  <c r="K504" i="6"/>
  <c r="S504" i="6"/>
  <c r="K512" i="6"/>
  <c r="S512" i="6"/>
  <c r="K516" i="6"/>
  <c r="S516" i="6"/>
  <c r="K545" i="6"/>
  <c r="S545" i="6"/>
  <c r="K593" i="6"/>
  <c r="S593" i="6"/>
  <c r="K717" i="6"/>
  <c r="S717" i="6"/>
  <c r="K721" i="6"/>
  <c r="S721" i="6"/>
  <c r="K733" i="6"/>
  <c r="S733" i="6"/>
  <c r="K737" i="6"/>
  <c r="S737" i="6"/>
  <c r="K789" i="6"/>
  <c r="S789" i="6"/>
  <c r="K797" i="6"/>
  <c r="S797" i="6"/>
  <c r="K801" i="6"/>
  <c r="S801" i="6"/>
  <c r="K817" i="6"/>
  <c r="S817" i="6"/>
  <c r="K825" i="6"/>
  <c r="S825" i="6"/>
  <c r="K853" i="6"/>
  <c r="S853" i="6"/>
  <c r="K861" i="6"/>
  <c r="S861" i="6"/>
  <c r="K881" i="6"/>
  <c r="S881" i="6"/>
  <c r="K889" i="6"/>
  <c r="S889" i="6"/>
  <c r="K909" i="6"/>
  <c r="S909" i="6"/>
  <c r="K913" i="6"/>
  <c r="S913" i="6"/>
  <c r="K921" i="6"/>
  <c r="S921" i="6"/>
  <c r="K925" i="6"/>
  <c r="S925" i="6"/>
  <c r="K933" i="6"/>
  <c r="S933" i="6"/>
  <c r="K941" i="6"/>
  <c r="S941" i="6"/>
  <c r="K949" i="6"/>
  <c r="S949" i="6"/>
  <c r="K961" i="6"/>
  <c r="S961" i="6"/>
  <c r="K969" i="6"/>
  <c r="S969" i="6"/>
  <c r="K977" i="6"/>
  <c r="S977" i="6"/>
  <c r="K985" i="6"/>
  <c r="S985" i="6"/>
  <c r="K993" i="6"/>
  <c r="S993" i="6"/>
  <c r="K1001" i="6"/>
  <c r="S1001" i="6"/>
  <c r="K1009" i="6"/>
  <c r="S1009" i="6"/>
  <c r="K1037" i="6"/>
  <c r="S1037" i="6"/>
  <c r="K1065" i="6"/>
  <c r="S1065" i="6"/>
  <c r="K1073" i="6"/>
  <c r="S1073" i="6"/>
  <c r="K1081" i="6"/>
  <c r="S1081" i="6"/>
  <c r="K1089" i="6"/>
  <c r="S1089" i="6"/>
  <c r="K1097" i="6"/>
  <c r="S1097" i="6"/>
  <c r="K1121" i="6"/>
  <c r="S1121" i="6"/>
  <c r="K1169" i="6"/>
  <c r="S1169" i="6"/>
  <c r="K1193" i="6"/>
  <c r="S1193" i="6"/>
  <c r="K1209" i="6"/>
  <c r="S1209" i="6"/>
  <c r="K1217" i="6"/>
  <c r="S1217" i="6"/>
  <c r="K1261" i="6"/>
  <c r="S1261" i="6"/>
  <c r="K1269" i="6"/>
  <c r="S1269" i="6"/>
  <c r="K1333" i="6"/>
  <c r="S1333" i="6"/>
  <c r="K1341" i="6"/>
  <c r="S1341" i="6"/>
  <c r="K1345" i="6"/>
  <c r="S1345" i="6"/>
  <c r="K1365" i="6"/>
  <c r="S1365" i="6"/>
  <c r="K1373" i="6"/>
  <c r="S1373" i="6"/>
  <c r="K1381" i="6"/>
  <c r="S1381" i="6"/>
  <c r="K1389" i="6"/>
  <c r="S1389" i="6"/>
  <c r="K1397" i="6"/>
  <c r="S1397" i="6"/>
  <c r="K1409" i="6"/>
  <c r="S1409" i="6"/>
  <c r="K1417" i="6"/>
  <c r="S1417" i="6"/>
  <c r="K1425" i="6"/>
  <c r="S1425" i="6"/>
  <c r="K1433" i="6"/>
  <c r="S1433" i="6"/>
  <c r="K1441" i="6"/>
  <c r="S1441" i="6"/>
  <c r="K1449" i="6"/>
  <c r="S1449" i="6"/>
  <c r="K1457" i="6"/>
  <c r="S1457" i="6"/>
  <c r="K1465" i="6"/>
  <c r="S1465" i="6"/>
  <c r="K1473" i="6"/>
  <c r="S1473" i="6"/>
  <c r="K1485" i="6"/>
  <c r="S1485" i="6"/>
  <c r="K1493" i="6"/>
  <c r="S1493" i="6"/>
  <c r="K1501" i="6"/>
  <c r="S1501" i="6"/>
  <c r="K1505" i="6"/>
  <c r="S1505" i="6"/>
  <c r="K1513" i="6"/>
  <c r="S1513" i="6"/>
  <c r="K1521" i="6"/>
  <c r="S1521" i="6"/>
  <c r="K1529" i="6"/>
  <c r="S1529" i="6"/>
  <c r="K1537" i="6"/>
  <c r="S1537" i="6"/>
  <c r="K1545" i="6"/>
  <c r="S1545" i="6"/>
  <c r="K1553" i="6"/>
  <c r="S1553" i="6"/>
  <c r="K1561" i="6"/>
  <c r="S1561" i="6"/>
  <c r="K1569" i="6"/>
  <c r="S1569" i="6"/>
  <c r="K1577" i="6"/>
  <c r="S1577" i="6"/>
  <c r="K1585" i="6"/>
  <c r="S1585" i="6"/>
  <c r="K1593" i="6"/>
  <c r="S1593" i="6"/>
  <c r="K1601" i="6"/>
  <c r="S1601" i="6"/>
  <c r="K1609" i="6"/>
  <c r="S1609" i="6"/>
  <c r="K1625" i="6"/>
  <c r="S1625" i="6"/>
  <c r="K1633" i="6"/>
  <c r="S1633" i="6"/>
  <c r="K1637" i="6"/>
  <c r="S1637" i="6"/>
  <c r="K1645" i="6"/>
  <c r="S1645" i="6"/>
  <c r="K1649" i="6"/>
  <c r="S1649" i="6"/>
  <c r="K1657" i="6"/>
  <c r="S1657" i="6"/>
  <c r="K1669" i="6"/>
  <c r="S1669" i="6"/>
  <c r="K1673" i="6"/>
  <c r="S1673" i="6"/>
  <c r="K1681" i="6"/>
  <c r="S1681" i="6"/>
  <c r="K1689" i="6"/>
  <c r="S1689" i="6"/>
  <c r="K1697" i="6"/>
  <c r="S1697" i="6"/>
  <c r="K1705" i="6"/>
  <c r="S1705" i="6"/>
  <c r="K1713" i="6"/>
  <c r="S1713" i="6"/>
  <c r="K1721" i="6"/>
  <c r="S1721" i="6"/>
  <c r="K1729" i="6"/>
  <c r="S1729" i="6"/>
  <c r="K1737" i="6"/>
  <c r="S1737" i="6"/>
  <c r="K1749" i="6"/>
  <c r="S1749" i="6"/>
  <c r="K1757" i="6"/>
  <c r="S1757" i="6"/>
  <c r="K1765" i="6"/>
  <c r="S1765" i="6"/>
  <c r="K1769" i="6"/>
  <c r="S1769" i="6"/>
  <c r="K1777" i="6"/>
  <c r="S1777" i="6"/>
  <c r="K1785" i="6"/>
  <c r="S1785" i="6"/>
  <c r="K1793" i="6"/>
  <c r="S1793" i="6"/>
  <c r="K1801" i="6"/>
  <c r="S1801" i="6"/>
  <c r="K1809" i="6"/>
  <c r="S1809" i="6"/>
  <c r="K1817" i="6"/>
  <c r="S1817" i="6"/>
  <c r="K1829" i="6"/>
  <c r="S1829" i="6"/>
  <c r="K2051" i="6"/>
  <c r="S2051" i="6"/>
  <c r="K2071" i="6"/>
  <c r="S2071" i="6"/>
  <c r="K2079" i="6"/>
  <c r="S2079" i="6"/>
  <c r="K2087" i="6"/>
  <c r="S2087" i="6"/>
  <c r="K2095" i="6"/>
  <c r="S2095" i="6"/>
  <c r="K2107" i="6"/>
  <c r="S2107" i="6"/>
  <c r="K2115" i="6"/>
  <c r="S2115" i="6"/>
  <c r="K2119" i="6"/>
  <c r="S2119" i="6"/>
  <c r="K2127" i="6"/>
  <c r="S2127" i="6"/>
  <c r="K2135" i="6"/>
  <c r="S2135" i="6"/>
  <c r="K2143" i="6"/>
  <c r="S2143" i="6"/>
  <c r="K2151" i="6"/>
  <c r="S2151" i="6"/>
  <c r="K2163" i="6"/>
  <c r="S2163" i="6"/>
  <c r="K2171" i="6"/>
  <c r="S2171" i="6"/>
  <c r="K2175" i="6"/>
  <c r="S2175" i="6"/>
  <c r="K2191" i="6"/>
  <c r="S2191" i="6"/>
  <c r="K2199" i="6"/>
  <c r="S2199" i="6"/>
  <c r="K2207" i="6"/>
  <c r="S2207" i="6"/>
  <c r="K2223" i="6"/>
  <c r="S2223" i="6"/>
  <c r="K2239" i="6"/>
  <c r="S2239" i="6"/>
  <c r="K2243" i="6"/>
  <c r="S2243" i="6"/>
  <c r="K2251" i="6"/>
  <c r="S2251" i="6"/>
  <c r="K2255" i="6"/>
  <c r="S2255" i="6"/>
  <c r="K2259" i="6"/>
  <c r="S2259" i="6"/>
  <c r="K2271" i="6"/>
  <c r="S2271" i="6"/>
  <c r="K2287" i="6"/>
  <c r="S2287" i="6"/>
  <c r="K2291" i="6"/>
  <c r="S2291" i="6"/>
  <c r="K2303" i="6"/>
  <c r="S2303" i="6"/>
  <c r="K2311" i="6"/>
  <c r="S2311" i="6"/>
  <c r="K2327" i="6"/>
  <c r="S2327" i="6"/>
  <c r="K2363" i="6"/>
  <c r="S2363" i="6"/>
  <c r="K2371" i="6"/>
  <c r="S2371" i="6"/>
  <c r="K2379" i="6"/>
  <c r="S2379" i="6"/>
  <c r="K2383" i="6"/>
  <c r="S2383" i="6"/>
  <c r="K2391" i="6"/>
  <c r="S2391" i="6"/>
  <c r="K2399" i="6"/>
  <c r="S2399" i="6"/>
  <c r="K2419" i="6"/>
  <c r="S2419" i="6"/>
  <c r="K2431" i="6"/>
  <c r="S2431" i="6"/>
  <c r="K2439" i="6"/>
  <c r="S2439" i="6"/>
  <c r="K2447" i="6"/>
  <c r="S2447" i="6"/>
  <c r="K2455" i="6"/>
  <c r="S2455" i="6"/>
  <c r="K2463" i="6"/>
  <c r="S2463" i="6"/>
  <c r="K2471" i="6"/>
  <c r="S2471" i="6"/>
  <c r="K2479" i="6"/>
  <c r="S2479" i="6"/>
  <c r="K2483" i="6"/>
  <c r="S2483" i="6"/>
  <c r="K2491" i="6"/>
  <c r="S2491" i="6"/>
  <c r="K2515" i="6"/>
  <c r="S2515" i="6"/>
  <c r="K2523" i="6"/>
  <c r="S2523" i="6"/>
  <c r="K2527" i="6"/>
  <c r="S2527" i="6"/>
  <c r="K2535" i="6"/>
  <c r="S2535" i="6"/>
  <c r="K2547" i="6"/>
  <c r="S2547" i="6"/>
  <c r="K2559" i="6"/>
  <c r="S2559" i="6"/>
  <c r="K2567" i="6"/>
  <c r="S2567" i="6"/>
  <c r="K2571" i="6"/>
  <c r="S2571" i="6"/>
  <c r="K177" i="6"/>
  <c r="S177" i="6"/>
  <c r="K233" i="6"/>
  <c r="S233" i="6"/>
  <c r="K241" i="6"/>
  <c r="S241" i="6"/>
  <c r="K281" i="6"/>
  <c r="S281" i="6"/>
  <c r="K289" i="6"/>
  <c r="S289" i="6"/>
  <c r="K293" i="6"/>
  <c r="S293" i="6"/>
  <c r="K349" i="6"/>
  <c r="S349" i="6"/>
  <c r="K357" i="6"/>
  <c r="S357" i="6"/>
  <c r="K413" i="6"/>
  <c r="S413" i="6"/>
  <c r="K421" i="6"/>
  <c r="S421" i="6"/>
  <c r="K151" i="6"/>
  <c r="S151" i="6"/>
  <c r="K155" i="6"/>
  <c r="S155" i="6"/>
  <c r="K159" i="6"/>
  <c r="S159" i="6"/>
  <c r="K163" i="6"/>
  <c r="S163" i="6"/>
  <c r="K167" i="6"/>
  <c r="S167" i="6"/>
  <c r="K171" i="6"/>
  <c r="S171" i="6"/>
  <c r="K175" i="6"/>
  <c r="S175" i="6"/>
  <c r="K179" i="6"/>
  <c r="S179" i="6"/>
  <c r="K183" i="6"/>
  <c r="S183" i="6"/>
  <c r="K195" i="6"/>
  <c r="S195" i="6"/>
  <c r="K199" i="6"/>
  <c r="S199" i="6"/>
  <c r="K203" i="6"/>
  <c r="S203" i="6"/>
  <c r="K207" i="6"/>
  <c r="S207" i="6"/>
  <c r="K211" i="6"/>
  <c r="S211" i="6"/>
  <c r="K215" i="6"/>
  <c r="S215" i="6"/>
  <c r="K235" i="6"/>
  <c r="S235" i="6"/>
  <c r="K239" i="6"/>
  <c r="S239" i="6"/>
  <c r="K243" i="6"/>
  <c r="S243" i="6"/>
  <c r="K247" i="6"/>
  <c r="S247" i="6"/>
  <c r="K251" i="6"/>
  <c r="S251" i="6"/>
  <c r="K255" i="6"/>
  <c r="S255" i="6"/>
  <c r="K259" i="6"/>
  <c r="S259" i="6"/>
  <c r="K263" i="6"/>
  <c r="S263" i="6"/>
  <c r="K283" i="6"/>
  <c r="S283" i="6"/>
  <c r="K287" i="6"/>
  <c r="S287" i="6"/>
  <c r="K291" i="6"/>
  <c r="S291" i="6"/>
  <c r="K295" i="6"/>
  <c r="S295" i="6"/>
  <c r="K299" i="6"/>
  <c r="S299" i="6"/>
  <c r="K303" i="6"/>
  <c r="S303" i="6"/>
  <c r="K307" i="6"/>
  <c r="S307" i="6"/>
  <c r="K311" i="6"/>
  <c r="S311" i="6"/>
  <c r="K315" i="6"/>
  <c r="S315" i="6"/>
  <c r="K319" i="6"/>
  <c r="S319" i="6"/>
  <c r="K323" i="6"/>
  <c r="S323" i="6"/>
  <c r="K347" i="6"/>
  <c r="S347" i="6"/>
  <c r="K351" i="6"/>
  <c r="S351" i="6"/>
  <c r="K355" i="6"/>
  <c r="S355" i="6"/>
  <c r="K359" i="6"/>
  <c r="S359" i="6"/>
  <c r="K363" i="6"/>
  <c r="S363" i="6"/>
  <c r="K367" i="6"/>
  <c r="S367" i="6"/>
  <c r="K371" i="6"/>
  <c r="S371" i="6"/>
  <c r="K375" i="6"/>
  <c r="S375" i="6"/>
  <c r="K379" i="6"/>
  <c r="S379" i="6"/>
  <c r="K383" i="6"/>
  <c r="S383" i="6"/>
  <c r="K387" i="6"/>
  <c r="S387" i="6"/>
  <c r="K391" i="6"/>
  <c r="S391" i="6"/>
  <c r="K411" i="6"/>
  <c r="S411" i="6"/>
  <c r="K415" i="6"/>
  <c r="S415" i="6"/>
  <c r="K419" i="6"/>
  <c r="S419" i="6"/>
  <c r="K423" i="6"/>
  <c r="S423" i="6"/>
  <c r="K427" i="6"/>
  <c r="S427" i="6"/>
  <c r="K431" i="6"/>
  <c r="S431" i="6"/>
  <c r="K435" i="6"/>
  <c r="S435" i="6"/>
  <c r="K439" i="6"/>
  <c r="S439" i="6"/>
  <c r="K443" i="6"/>
  <c r="S443" i="6"/>
  <c r="K447" i="6"/>
  <c r="S447" i="6"/>
  <c r="K451" i="6"/>
  <c r="S451" i="6"/>
  <c r="K455" i="6"/>
  <c r="S455" i="6"/>
  <c r="K459" i="6"/>
  <c r="S459" i="6"/>
  <c r="K463" i="6"/>
  <c r="S463" i="6"/>
  <c r="K467" i="6"/>
  <c r="S467" i="6"/>
  <c r="K471" i="6"/>
  <c r="S471" i="6"/>
  <c r="K475" i="6"/>
  <c r="S475" i="6"/>
  <c r="K479" i="6"/>
  <c r="S479" i="6"/>
  <c r="K483" i="6"/>
  <c r="S483" i="6"/>
  <c r="K487" i="6"/>
  <c r="S487" i="6"/>
  <c r="K491" i="6"/>
  <c r="S491" i="6"/>
  <c r="K495" i="6"/>
  <c r="S495" i="6"/>
  <c r="K499" i="6"/>
  <c r="S499" i="6"/>
  <c r="K503" i="6"/>
  <c r="S503" i="6"/>
  <c r="K507" i="6"/>
  <c r="S507" i="6"/>
  <c r="K511" i="6"/>
  <c r="S511" i="6"/>
  <c r="K515" i="6"/>
  <c r="S515" i="6"/>
  <c r="K519" i="6"/>
  <c r="S519" i="6"/>
  <c r="S4" i="6"/>
  <c r="S7" i="6"/>
  <c r="S9" i="6"/>
  <c r="S11" i="6"/>
  <c r="S13" i="6"/>
  <c r="S15" i="6"/>
  <c r="S17" i="6"/>
  <c r="S19" i="6"/>
  <c r="S21" i="6"/>
  <c r="Q51" i="6"/>
  <c r="Q115" i="6"/>
  <c r="Q131" i="6"/>
  <c r="Q531" i="6"/>
  <c r="Q579" i="6"/>
  <c r="Q595" i="6"/>
  <c r="Q611" i="6"/>
  <c r="Q643" i="6"/>
  <c r="Q659" i="6"/>
  <c r="Q675" i="6"/>
  <c r="Q707" i="6"/>
  <c r="Q1283" i="6"/>
  <c r="Q35" i="6"/>
  <c r="Q67" i="6"/>
  <c r="Q83" i="6"/>
  <c r="Q99" i="6"/>
  <c r="S6" i="6"/>
  <c r="S8" i="6"/>
  <c r="S10" i="6"/>
  <c r="S12" i="6"/>
  <c r="S14" i="6"/>
  <c r="S16" i="6"/>
  <c r="S20" i="6"/>
  <c r="Q563" i="6"/>
  <c r="Q627" i="6"/>
  <c r="Q691" i="6"/>
  <c r="Q2162" i="6"/>
  <c r="Q2290" i="6"/>
  <c r="Q2610" i="6"/>
  <c r="Q2642" i="6"/>
  <c r="Q2658" i="6"/>
  <c r="Q2674" i="6"/>
  <c r="Q2690" i="6"/>
  <c r="Q2706" i="6"/>
  <c r="Q2722" i="6"/>
  <c r="Q2738" i="6"/>
  <c r="Q2754" i="6"/>
  <c r="Q2770" i="6"/>
  <c r="Q2786" i="6"/>
  <c r="Q2802" i="6"/>
  <c r="Q2818" i="6"/>
  <c r="Q2834" i="6"/>
  <c r="Q2850" i="6"/>
  <c r="Q2866" i="6"/>
  <c r="Q2882" i="6"/>
  <c r="Q25" i="6"/>
  <c r="Q29" i="6"/>
  <c r="Q33" i="6"/>
  <c r="Q37" i="6"/>
  <c r="Q41" i="6"/>
  <c r="Q45" i="6"/>
  <c r="Q49" i="6"/>
  <c r="Q53" i="6"/>
  <c r="Q57" i="6"/>
  <c r="Q61" i="6"/>
  <c r="Q65" i="6"/>
  <c r="Q69" i="6"/>
  <c r="Q73" i="6"/>
  <c r="Q77" i="6"/>
  <c r="Q81" i="6"/>
  <c r="Q85" i="6"/>
  <c r="Q89" i="6"/>
  <c r="Q93" i="6"/>
  <c r="Q97" i="6"/>
  <c r="Q101" i="6"/>
  <c r="Q105" i="6"/>
  <c r="Q109" i="6"/>
  <c r="Q113" i="6"/>
  <c r="Q1846" i="6"/>
  <c r="Q1910" i="6"/>
  <c r="Q1942" i="6"/>
  <c r="Q2006" i="6"/>
  <c r="Q2038" i="6"/>
  <c r="Q547" i="6"/>
  <c r="Q1235" i="6"/>
  <c r="Q119" i="6"/>
  <c r="Q123" i="6"/>
  <c r="Q127" i="6"/>
  <c r="Q135" i="6"/>
  <c r="Q527" i="6"/>
  <c r="Q535" i="6"/>
  <c r="Q539" i="6"/>
  <c r="Q543" i="6"/>
  <c r="Q551" i="6"/>
  <c r="Q555" i="6"/>
  <c r="Q559" i="6"/>
  <c r="Q567" i="6"/>
  <c r="Q575" i="6"/>
  <c r="Q583" i="6"/>
  <c r="Q587" i="6"/>
  <c r="Q591" i="6"/>
  <c r="Q599" i="6"/>
  <c r="Q603" i="6"/>
  <c r="Q607" i="6"/>
  <c r="Q619" i="6"/>
  <c r="Q623" i="6"/>
  <c r="Q631" i="6"/>
  <c r="Q639" i="6"/>
  <c r="Q647" i="6"/>
  <c r="Q651" i="6"/>
  <c r="Q655" i="6"/>
  <c r="Q663" i="6"/>
  <c r="Q667" i="6"/>
  <c r="Q671" i="6"/>
  <c r="Q679" i="6"/>
  <c r="Q683" i="6"/>
  <c r="Q687" i="6"/>
  <c r="Q695" i="6"/>
  <c r="Q699" i="6"/>
  <c r="Q711" i="6"/>
  <c r="Q1143" i="6"/>
  <c r="Q1223" i="6"/>
  <c r="Q1227" i="6"/>
  <c r="Q1231" i="6"/>
  <c r="Q1239" i="6"/>
  <c r="Q1243" i="6"/>
  <c r="Q1287" i="6"/>
  <c r="Q122" i="6"/>
  <c r="Q130" i="6"/>
  <c r="Q138" i="6"/>
  <c r="Q1862" i="6"/>
  <c r="Q1886" i="6"/>
  <c r="Q1894" i="6"/>
  <c r="Q1926" i="6"/>
  <c r="Q1950" i="6"/>
  <c r="Q1966" i="6"/>
  <c r="Q1990" i="6"/>
  <c r="Q2014" i="6"/>
  <c r="Q2078" i="6"/>
  <c r="Q2146" i="6"/>
  <c r="Q2178" i="6"/>
  <c r="Q2402" i="6"/>
  <c r="Q2594" i="6"/>
  <c r="Q116" i="6"/>
  <c r="Q23" i="6"/>
  <c r="Q27" i="6"/>
  <c r="Q31" i="6"/>
  <c r="Q39" i="6"/>
  <c r="Q43" i="6"/>
  <c r="Q47" i="6"/>
  <c r="Q55" i="6"/>
  <c r="Q59" i="6"/>
  <c r="Q63" i="6"/>
  <c r="Q71" i="6"/>
  <c r="Q75" i="6"/>
  <c r="Q79" i="6"/>
  <c r="Q87" i="6"/>
  <c r="Q91" i="6"/>
  <c r="Q95" i="6"/>
  <c r="Q103" i="6"/>
  <c r="Q107" i="6"/>
  <c r="Q111" i="6"/>
  <c r="Q120" i="6"/>
  <c r="Q124" i="6"/>
  <c r="Q128" i="6"/>
  <c r="Q132" i="6"/>
  <c r="Q136" i="6"/>
  <c r="Q524" i="6"/>
  <c r="Q528" i="6"/>
  <c r="Q532" i="6"/>
  <c r="Q536" i="6"/>
  <c r="Q544" i="6"/>
  <c r="Q548" i="6"/>
  <c r="Q552" i="6"/>
  <c r="Q560" i="6"/>
  <c r="Q564" i="6"/>
  <c r="Q568" i="6"/>
  <c r="Q572" i="6"/>
  <c r="Q576" i="6"/>
  <c r="Q584" i="6"/>
  <c r="Q588" i="6"/>
  <c r="Q592" i="6"/>
  <c r="Q596" i="6"/>
  <c r="Q600" i="6"/>
  <c r="Q604" i="6"/>
  <c r="Q608" i="6"/>
  <c r="Q612" i="6"/>
  <c r="Q616" i="6"/>
  <c r="Q620" i="6"/>
  <c r="Q624" i="6"/>
  <c r="Q632" i="6"/>
  <c r="Q636" i="6"/>
  <c r="Q640" i="6"/>
  <c r="Q644" i="6"/>
  <c r="Q648" i="6"/>
  <c r="Q652" i="6"/>
  <c r="Q656" i="6"/>
  <c r="Q660" i="6"/>
  <c r="Q664" i="6"/>
  <c r="Q668" i="6"/>
  <c r="Q676" i="6"/>
  <c r="Q680" i="6"/>
  <c r="Q684" i="6"/>
  <c r="Q688" i="6"/>
  <c r="Q692" i="6"/>
  <c r="Q696" i="6"/>
  <c r="Q700" i="6"/>
  <c r="Q704" i="6"/>
  <c r="Q708" i="6"/>
  <c r="Q816" i="6"/>
  <c r="Q828" i="6"/>
  <c r="Q844" i="6"/>
  <c r="Q908" i="6"/>
  <c r="Q1104" i="6"/>
  <c r="Q1120" i="6"/>
  <c r="Q1224" i="6"/>
  <c r="Q1228" i="6"/>
  <c r="Q1232" i="6"/>
  <c r="Q1236" i="6"/>
  <c r="Q1240" i="6"/>
  <c r="Q1244" i="6"/>
  <c r="Q1248" i="6"/>
  <c r="Q1252" i="6"/>
  <c r="Q1284" i="6"/>
  <c r="Q1368" i="6"/>
  <c r="Q1844" i="6"/>
  <c r="Q1848" i="6"/>
  <c r="Q1852" i="6"/>
  <c r="Q1856" i="6"/>
  <c r="Q1860" i="6"/>
  <c r="Q1864" i="6"/>
  <c r="Q1872" i="6"/>
  <c r="Q1880" i="6"/>
  <c r="Q1888" i="6"/>
  <c r="Q1892" i="6"/>
  <c r="Q1896" i="6"/>
  <c r="Q1900" i="6"/>
  <c r="Q1904" i="6"/>
  <c r="Q1908" i="6"/>
  <c r="Q1912" i="6"/>
  <c r="Q1916" i="6"/>
  <c r="Q1920" i="6"/>
  <c r="Q1924" i="6"/>
  <c r="Q1928" i="6"/>
  <c r="Q1932" i="6"/>
  <c r="Q1936" i="6"/>
  <c r="Q1940" i="6"/>
  <c r="Q1944" i="6"/>
  <c r="Q1948" i="6"/>
  <c r="Q1952" i="6"/>
  <c r="Q1956" i="6"/>
  <c r="Q1960" i="6"/>
  <c r="Q1964" i="6"/>
  <c r="Q1968" i="6"/>
  <c r="Q1972" i="6"/>
  <c r="Q1976" i="6"/>
  <c r="Q1980" i="6"/>
  <c r="Q1984" i="6"/>
  <c r="Q1988" i="6"/>
  <c r="Q1992" i="6"/>
  <c r="Q1996" i="6"/>
  <c r="Q2000" i="6"/>
  <c r="Q2004" i="6"/>
  <c r="Q2008" i="6"/>
  <c r="Q2012" i="6"/>
  <c r="Q2016" i="6"/>
  <c r="Q2020" i="6"/>
  <c r="Q2024" i="6"/>
  <c r="Q2028" i="6"/>
  <c r="Q2036" i="6"/>
  <c r="Q2040" i="6"/>
  <c r="Q2052" i="6"/>
  <c r="Q2060" i="6"/>
  <c r="Q2064" i="6"/>
  <c r="Q2076" i="6"/>
  <c r="Q2080" i="6"/>
  <c r="Q2176" i="6"/>
  <c r="Q2184" i="6"/>
  <c r="Q2224" i="6"/>
  <c r="Q2268" i="6"/>
  <c r="Q2276" i="6"/>
  <c r="Q2288" i="6"/>
  <c r="Q2300" i="6"/>
  <c r="Q2316" i="6"/>
  <c r="Q2324" i="6"/>
  <c r="Q2328" i="6"/>
  <c r="Q2332" i="6"/>
  <c r="Q2364" i="6"/>
  <c r="Q2368" i="6"/>
  <c r="Q118" i="6"/>
  <c r="Q126" i="6"/>
  <c r="Q134" i="6"/>
  <c r="Q1854" i="6"/>
  <c r="Q1870" i="6"/>
  <c r="Q1902" i="6"/>
  <c r="Q1918" i="6"/>
  <c r="Q1934" i="6"/>
  <c r="Q1958" i="6"/>
  <c r="Q1982" i="6"/>
  <c r="Q1998" i="6"/>
  <c r="Q2022" i="6"/>
  <c r="Q2046" i="6"/>
  <c r="Q2062" i="6"/>
  <c r="Q2626" i="6"/>
  <c r="S5" i="6"/>
  <c r="Q24" i="6"/>
  <c r="Q28" i="6"/>
  <c r="Q32" i="6"/>
  <c r="Q36" i="6"/>
  <c r="Q40" i="6"/>
  <c r="Q44" i="6"/>
  <c r="Q48" i="6"/>
  <c r="Q52" i="6"/>
  <c r="Q56" i="6"/>
  <c r="Q60" i="6"/>
  <c r="Q64" i="6"/>
  <c r="Q68" i="6"/>
  <c r="Q72" i="6"/>
  <c r="Q76" i="6"/>
  <c r="Q80" i="6"/>
  <c r="Q84" i="6"/>
  <c r="Q88" i="6"/>
  <c r="Q92" i="6"/>
  <c r="Q96" i="6"/>
  <c r="Q100" i="6"/>
  <c r="Q104" i="6"/>
  <c r="Q108" i="6"/>
  <c r="Q112" i="6"/>
  <c r="Q117" i="6"/>
  <c r="Q121" i="6"/>
  <c r="Q125" i="6"/>
  <c r="Q129" i="6"/>
  <c r="Q133" i="6"/>
  <c r="Q137" i="6"/>
  <c r="Q525" i="6"/>
  <c r="Q529" i="6"/>
  <c r="Q533" i="6"/>
  <c r="Q537" i="6"/>
  <c r="Q549" i="6"/>
  <c r="Q553" i="6"/>
  <c r="Q557" i="6"/>
  <c r="Q561" i="6"/>
  <c r="Q565" i="6"/>
  <c r="Q569" i="6"/>
  <c r="Q573" i="6"/>
  <c r="Q577" i="6"/>
  <c r="Q581" i="6"/>
  <c r="Q585" i="6"/>
  <c r="Q589" i="6"/>
  <c r="Q597" i="6"/>
  <c r="Q601" i="6"/>
  <c r="Q609" i="6"/>
  <c r="Q613" i="6"/>
  <c r="Q617" i="6"/>
  <c r="Q621" i="6"/>
  <c r="Q625" i="6"/>
  <c r="Q633" i="6"/>
  <c r="Q637" i="6"/>
  <c r="Q641" i="6"/>
  <c r="Q645" i="6"/>
  <c r="Q649" i="6"/>
  <c r="Q653" i="6"/>
  <c r="Q657" i="6"/>
  <c r="Q665" i="6"/>
  <c r="Q669" i="6"/>
  <c r="Q673" i="6"/>
  <c r="Q677" i="6"/>
  <c r="Q681" i="6"/>
  <c r="Q689" i="6"/>
  <c r="Q693" i="6"/>
  <c r="Q697" i="6"/>
  <c r="Q701" i="6"/>
  <c r="Q917" i="6"/>
  <c r="Q1177" i="6"/>
  <c r="Q1221" i="6"/>
  <c r="Q1225" i="6"/>
  <c r="Q1229" i="6"/>
  <c r="Q1233" i="6"/>
  <c r="Q1237" i="6"/>
  <c r="Q1241" i="6"/>
  <c r="Q1245" i="6"/>
  <c r="Q1249" i="6"/>
  <c r="Q1253" i="6"/>
  <c r="Q1285" i="6"/>
  <c r="Q1845" i="6"/>
  <c r="Q1849" i="6"/>
  <c r="Q1853" i="6"/>
  <c r="Q1857" i="6"/>
  <c r="Q1861" i="6"/>
  <c r="Q1865" i="6"/>
  <c r="Q1869" i="6"/>
  <c r="Q1877" i="6"/>
  <c r="Q1881" i="6"/>
  <c r="Q1889" i="6"/>
  <c r="Q1893" i="6"/>
  <c r="Q1897" i="6"/>
  <c r="Q1901" i="6"/>
  <c r="Q1905" i="6"/>
  <c r="Q1909" i="6"/>
  <c r="Q1913" i="6"/>
  <c r="Q1917" i="6"/>
  <c r="Q1921" i="6"/>
  <c r="Q1925" i="6"/>
  <c r="Q1929" i="6"/>
  <c r="Q1933" i="6"/>
  <c r="Q1937" i="6"/>
  <c r="Q1941" i="6"/>
  <c r="Q1945" i="6"/>
  <c r="Q1949" i="6"/>
  <c r="Q1953" i="6"/>
  <c r="Q1957" i="6"/>
  <c r="Q1961" i="6"/>
  <c r="Q1965" i="6"/>
  <c r="Q1969" i="6"/>
  <c r="Q1973" i="6"/>
  <c r="Q1977" i="6"/>
  <c r="Q1981" i="6"/>
  <c r="Q1985" i="6"/>
  <c r="Q1989" i="6"/>
  <c r="Q1993" i="6"/>
  <c r="Q1997" i="6"/>
  <c r="Q2001" i="6"/>
  <c r="Q2005" i="6"/>
  <c r="Q2009" i="6"/>
  <c r="Q2013" i="6"/>
  <c r="Q2017" i="6"/>
  <c r="Q2021" i="6"/>
  <c r="Q2025" i="6"/>
  <c r="Q2029" i="6"/>
  <c r="Q2033" i="6"/>
  <c r="Q2037" i="6"/>
  <c r="Q2041" i="6"/>
  <c r="Q2045" i="6"/>
  <c r="Q2049" i="6"/>
  <c r="Q2053" i="6"/>
  <c r="Q2057" i="6"/>
  <c r="Q2065" i="6"/>
  <c r="Q2069" i="6"/>
  <c r="Q2077" i="6"/>
  <c r="Q2081" i="6"/>
  <c r="Q2157" i="6"/>
  <c r="Q2213" i="6"/>
  <c r="Q2221" i="6"/>
  <c r="Q2257" i="6"/>
  <c r="Q2265" i="6"/>
  <c r="Q2301" i="6"/>
  <c r="Q2325" i="6"/>
  <c r="Q2353" i="6"/>
  <c r="Q2357" i="6"/>
  <c r="Q2389" i="6"/>
  <c r="Q2401" i="6"/>
  <c r="Q2461" i="6"/>
  <c r="Q2581" i="6"/>
  <c r="Q2585" i="6"/>
  <c r="Q2589" i="6"/>
  <c r="Q2593" i="6"/>
  <c r="Q2601" i="6"/>
  <c r="Q2605" i="6"/>
  <c r="Q2609" i="6"/>
  <c r="Q2613" i="6"/>
  <c r="Q2617" i="6"/>
  <c r="Q2621" i="6"/>
  <c r="Q2625" i="6"/>
  <c r="Q2629" i="6"/>
  <c r="Q2633" i="6"/>
  <c r="Q2637" i="6"/>
  <c r="Q2641" i="6"/>
  <c r="Q2645" i="6"/>
  <c r="Q2649" i="6"/>
  <c r="Q2653" i="6"/>
  <c r="Q2657" i="6"/>
  <c r="Q2661" i="6"/>
  <c r="Q2665" i="6"/>
  <c r="Q2669" i="6"/>
  <c r="Q2673" i="6"/>
  <c r="Q2677" i="6"/>
  <c r="Q2681" i="6"/>
  <c r="Q2685" i="6"/>
  <c r="Q2689" i="6"/>
  <c r="Q2693" i="6"/>
  <c r="Q2697" i="6"/>
  <c r="Q2701" i="6"/>
  <c r="Q2705" i="6"/>
  <c r="Q2709" i="6"/>
  <c r="Q2713" i="6"/>
  <c r="Q2717" i="6"/>
  <c r="Q2721" i="6"/>
  <c r="Q2725" i="6"/>
  <c r="Q2729" i="6"/>
  <c r="Q2733" i="6"/>
  <c r="Q2737" i="6"/>
  <c r="Q2741" i="6"/>
  <c r="Q2745" i="6"/>
  <c r="Q2749" i="6"/>
  <c r="Q2753" i="6"/>
  <c r="Q2757" i="6"/>
  <c r="Q2761" i="6"/>
  <c r="Q2765" i="6"/>
  <c r="Q2769" i="6"/>
  <c r="Q2773" i="6"/>
  <c r="Q2777" i="6"/>
  <c r="Q2781" i="6"/>
  <c r="Q2785" i="6"/>
  <c r="Q2789" i="6"/>
  <c r="Q2793" i="6"/>
  <c r="Q2797" i="6"/>
  <c r="Q2801" i="6"/>
  <c r="Q2805" i="6"/>
  <c r="Q2809" i="6"/>
  <c r="Q2813" i="6"/>
  <c r="Q2817" i="6"/>
  <c r="Q2821" i="6"/>
  <c r="Q2825" i="6"/>
  <c r="Q2829" i="6"/>
  <c r="Q2833" i="6"/>
  <c r="Q2837" i="6"/>
  <c r="Q2841" i="6"/>
  <c r="Q2845" i="6"/>
  <c r="Q2849" i="6"/>
  <c r="Q2853" i="6"/>
  <c r="Q2857" i="6"/>
  <c r="Q2861" i="6"/>
  <c r="Q2865" i="6"/>
  <c r="Q2869" i="6"/>
  <c r="Q2873" i="6"/>
  <c r="Q2877" i="6"/>
  <c r="Q2881" i="6"/>
  <c r="Q2885" i="6"/>
  <c r="Q2889" i="6"/>
  <c r="Q2893" i="6"/>
  <c r="Q526" i="6"/>
  <c r="Q530" i="6"/>
  <c r="Q534" i="6"/>
  <c r="Q538" i="6"/>
  <c r="Q542" i="6"/>
  <c r="Q550" i="6"/>
  <c r="Q554" i="6"/>
  <c r="Q558" i="6"/>
  <c r="Q562" i="6"/>
  <c r="Q566" i="6"/>
  <c r="Q574" i="6"/>
  <c r="Q578" i="6"/>
  <c r="Q582" i="6"/>
  <c r="Q586" i="6"/>
  <c r="Q590" i="6"/>
  <c r="Q594" i="6"/>
  <c r="Q598" i="6"/>
  <c r="Q602" i="6"/>
  <c r="Q606" i="6"/>
  <c r="Q610" i="6"/>
  <c r="Q614" i="6"/>
  <c r="Q618" i="6"/>
  <c r="Q622" i="6"/>
  <c r="Q626" i="6"/>
  <c r="Q630" i="6"/>
  <c r="Q638" i="6"/>
  <c r="Q642" i="6"/>
  <c r="Q646" i="6"/>
  <c r="Q650" i="6"/>
  <c r="Q654" i="6"/>
  <c r="Q658" i="6"/>
  <c r="Q662" i="6"/>
  <c r="Q666" i="6"/>
  <c r="Q674" i="6"/>
  <c r="Q678" i="6"/>
  <c r="Q682" i="6"/>
  <c r="Q686" i="6"/>
  <c r="Q690" i="6"/>
  <c r="Q698" i="6"/>
  <c r="Q702" i="6"/>
  <c r="Q710" i="6"/>
  <c r="Q746" i="6"/>
  <c r="Q818" i="6"/>
  <c r="Q938" i="6"/>
  <c r="Q1094" i="6"/>
  <c r="Q1174" i="6"/>
  <c r="Q1198" i="6"/>
  <c r="Q1202" i="6"/>
  <c r="Q1222" i="6"/>
  <c r="Q1226" i="6"/>
  <c r="Q1230" i="6"/>
  <c r="Q1234" i="6"/>
  <c r="Q1238" i="6"/>
  <c r="Q1242" i="6"/>
  <c r="Q1250" i="6"/>
  <c r="Q1282" i="6"/>
  <c r="Q1286" i="6"/>
  <c r="Q1850" i="6"/>
  <c r="Q1858" i="6"/>
  <c r="Q1866" i="6"/>
  <c r="Q1874" i="6"/>
  <c r="Q1882" i="6"/>
  <c r="Q1890" i="6"/>
  <c r="Q1898" i="6"/>
  <c r="Q1906" i="6"/>
  <c r="Q1914" i="6"/>
  <c r="Q1922" i="6"/>
  <c r="Q1930" i="6"/>
  <c r="Q1938" i="6"/>
  <c r="Q1946" i="6"/>
  <c r="Q1954" i="6"/>
  <c r="Q1962" i="6"/>
  <c r="Q1970" i="6"/>
  <c r="Q1978" i="6"/>
  <c r="Q1986" i="6"/>
  <c r="Q1994" i="6"/>
  <c r="Q2002" i="6"/>
  <c r="Q2010" i="6"/>
  <c r="Q2018" i="6"/>
  <c r="Q2026" i="6"/>
  <c r="Q2034" i="6"/>
  <c r="Q2042" i="6"/>
  <c r="Q2050" i="6"/>
  <c r="Q2074" i="6"/>
  <c r="Q2126" i="6"/>
  <c r="Q2198" i="6"/>
  <c r="Q2230" i="6"/>
  <c r="Q2238" i="6"/>
  <c r="Q2294" i="6"/>
  <c r="Q2298" i="6"/>
  <c r="Q2330" i="6"/>
  <c r="Q2334" i="6"/>
  <c r="Q2406" i="6"/>
  <c r="Q2410" i="6"/>
  <c r="Q2430" i="6"/>
  <c r="Q2458" i="6"/>
  <c r="Q2502" i="6"/>
  <c r="Q2582" i="6"/>
  <c r="Q2586" i="6"/>
  <c r="Q2590" i="6"/>
  <c r="Q2598" i="6"/>
  <c r="Q2602" i="6"/>
  <c r="Q2606" i="6"/>
  <c r="Q2614" i="6"/>
  <c r="Q2618" i="6"/>
  <c r="Q2622" i="6"/>
  <c r="Q2630" i="6"/>
  <c r="Q2634" i="6"/>
  <c r="Q2638" i="6"/>
  <c r="Q2646" i="6"/>
  <c r="Q2650" i="6"/>
  <c r="Q2654" i="6"/>
  <c r="Q2662" i="6"/>
  <c r="Q2666" i="6"/>
  <c r="Q2670" i="6"/>
  <c r="Q2678" i="6"/>
  <c r="Q2682" i="6"/>
  <c r="Q2686" i="6"/>
  <c r="Q2694" i="6"/>
  <c r="Q2698" i="6"/>
  <c r="Q2702" i="6"/>
  <c r="Q2710" i="6"/>
  <c r="Q2714" i="6"/>
  <c r="Q2718" i="6"/>
  <c r="Q2726" i="6"/>
  <c r="Q2730" i="6"/>
  <c r="Q2734" i="6"/>
  <c r="Q2742" i="6"/>
  <c r="Q2746" i="6"/>
  <c r="Q2750" i="6"/>
  <c r="Q2758" i="6"/>
  <c r="Q2762" i="6"/>
  <c r="Q2766" i="6"/>
  <c r="Q2774" i="6"/>
  <c r="Q2778" i="6"/>
  <c r="Q2782" i="6"/>
  <c r="Q2790" i="6"/>
  <c r="Q2794" i="6"/>
  <c r="Q2798" i="6"/>
  <c r="Q2806" i="6"/>
  <c r="Q2810" i="6"/>
  <c r="Q2814" i="6"/>
  <c r="Q2822" i="6"/>
  <c r="Q2826" i="6"/>
  <c r="Q2830" i="6"/>
  <c r="Q2838" i="6"/>
  <c r="Q2842" i="6"/>
  <c r="Q2846" i="6"/>
  <c r="Q2854" i="6"/>
  <c r="Q2858" i="6"/>
  <c r="Q2862" i="6"/>
  <c r="Q2870" i="6"/>
  <c r="Q2874" i="6"/>
  <c r="Q2878" i="6"/>
  <c r="Q2886" i="6"/>
  <c r="Q2890" i="6"/>
  <c r="Q2894" i="6"/>
  <c r="Q26" i="6"/>
  <c r="Q30" i="6"/>
  <c r="Q34" i="6"/>
  <c r="Q38" i="6"/>
  <c r="Q42" i="6"/>
  <c r="Q46" i="6"/>
  <c r="Q50" i="6"/>
  <c r="Q54" i="6"/>
  <c r="Q58" i="6"/>
  <c r="Q62" i="6"/>
  <c r="Q66" i="6"/>
  <c r="Q70" i="6"/>
  <c r="Q74" i="6"/>
  <c r="Q78" i="6"/>
  <c r="Q82" i="6"/>
  <c r="Q86" i="6"/>
  <c r="Q90" i="6"/>
  <c r="Q94" i="6"/>
  <c r="Q98" i="6"/>
  <c r="Q102" i="6"/>
  <c r="Q106" i="6"/>
  <c r="Q110" i="6"/>
  <c r="Q114" i="6"/>
  <c r="Q1847" i="6"/>
  <c r="Q1851" i="6"/>
  <c r="Q1855" i="6"/>
  <c r="Q1859" i="6"/>
  <c r="Q1867" i="6"/>
  <c r="Q1871" i="6"/>
  <c r="Q1879" i="6"/>
  <c r="Q1883" i="6"/>
  <c r="Q1887" i="6"/>
  <c r="Q1891" i="6"/>
  <c r="Q1895" i="6"/>
  <c r="Q1899" i="6"/>
  <c r="Q1903" i="6"/>
  <c r="Q1907" i="6"/>
  <c r="Q1911" i="6"/>
  <c r="Q1915" i="6"/>
  <c r="Q1919" i="6"/>
  <c r="Q1923" i="6"/>
  <c r="Q1927" i="6"/>
  <c r="Q1931" i="6"/>
  <c r="Q1935" i="6"/>
  <c r="Q1939" i="6"/>
  <c r="Q1943" i="6"/>
  <c r="Q1947" i="6"/>
  <c r="Q1951" i="6"/>
  <c r="Q1955" i="6"/>
  <c r="Q1959" i="6"/>
  <c r="Q1963" i="6"/>
  <c r="Q1967" i="6"/>
  <c r="Q1971" i="6"/>
  <c r="Q1975" i="6"/>
  <c r="Q1979" i="6"/>
  <c r="Q1983" i="6"/>
  <c r="Q1987" i="6"/>
  <c r="Q1991" i="6"/>
  <c r="Q1995" i="6"/>
  <c r="Q1999" i="6"/>
  <c r="Q2003" i="6"/>
  <c r="Q2007" i="6"/>
  <c r="Q2011" i="6"/>
  <c r="Q2015" i="6"/>
  <c r="Q2019" i="6"/>
  <c r="Q2023" i="6"/>
  <c r="Q2027" i="6"/>
  <c r="Q2035" i="6"/>
  <c r="Q2043" i="6"/>
  <c r="Q2059" i="6"/>
  <c r="Q2067" i="6"/>
  <c r="Q2155" i="6"/>
  <c r="Q2183" i="6"/>
  <c r="Q2215" i="6"/>
  <c r="Q2231" i="6"/>
  <c r="Q2247" i="6"/>
  <c r="Q2263" i="6"/>
  <c r="Q2295" i="6"/>
  <c r="Q2307" i="6"/>
  <c r="Q2319" i="6"/>
  <c r="Q2331" i="6"/>
  <c r="Q2335" i="6"/>
  <c r="Q2339" i="6"/>
  <c r="Q2343" i="6"/>
  <c r="Q2355" i="6"/>
  <c r="Q2407" i="6"/>
  <c r="Q2411" i="6"/>
  <c r="Q2423" i="6"/>
  <c r="Q2427" i="6"/>
  <c r="Q2443" i="6"/>
  <c r="Q2467" i="6"/>
  <c r="Q2499" i="6"/>
  <c r="Q2503" i="6"/>
  <c r="Q2507" i="6"/>
  <c r="Q2579" i="6"/>
  <c r="Q2583" i="6"/>
  <c r="Q2587" i="6"/>
  <c r="Q2591" i="6"/>
  <c r="Q2595" i="6"/>
  <c r="Q2599" i="6"/>
  <c r="Q2603" i="6"/>
  <c r="Q2607" i="6"/>
  <c r="Q2611" i="6"/>
  <c r="Q2615" i="6"/>
  <c r="Q2619" i="6"/>
  <c r="Q2623" i="6"/>
  <c r="Q2627" i="6"/>
  <c r="Q2631" i="6"/>
  <c r="Q2635" i="6"/>
  <c r="Q2639" i="6"/>
  <c r="Q2643" i="6"/>
  <c r="Q2647" i="6"/>
  <c r="Q2651" i="6"/>
  <c r="Q2655" i="6"/>
  <c r="Q2659" i="6"/>
  <c r="Q2663" i="6"/>
  <c r="Q2667" i="6"/>
  <c r="Q2671" i="6"/>
  <c r="Q2675" i="6"/>
  <c r="Q2679" i="6"/>
  <c r="Q2683" i="6"/>
  <c r="Q2687" i="6"/>
  <c r="Q2691" i="6"/>
  <c r="Q2695" i="6"/>
  <c r="Q2699" i="6"/>
  <c r="Q2703" i="6"/>
  <c r="Q2707" i="6"/>
  <c r="Q2711" i="6"/>
  <c r="Q2715" i="6"/>
  <c r="Q2719" i="6"/>
  <c r="Q2723" i="6"/>
  <c r="Q2727" i="6"/>
  <c r="Q2731" i="6"/>
  <c r="Q2735" i="6"/>
  <c r="Q2739" i="6"/>
  <c r="Q2743" i="6"/>
  <c r="Q2747" i="6"/>
  <c r="Q2751" i="6"/>
  <c r="Q2755" i="6"/>
  <c r="Q2759" i="6"/>
  <c r="Q2763" i="6"/>
  <c r="Q2767" i="6"/>
  <c r="Q2771" i="6"/>
  <c r="Q2775" i="6"/>
  <c r="Q2779" i="6"/>
  <c r="Q2783" i="6"/>
  <c r="Q2787" i="6"/>
  <c r="Q2791" i="6"/>
  <c r="Q2795" i="6"/>
  <c r="Q2799" i="6"/>
  <c r="Q2803" i="6"/>
  <c r="Q2807" i="6"/>
  <c r="Q2811" i="6"/>
  <c r="Q2815" i="6"/>
  <c r="Q2819" i="6"/>
  <c r="Q2823" i="6"/>
  <c r="Q2827" i="6"/>
  <c r="Q2831" i="6"/>
  <c r="Q2835" i="6"/>
  <c r="Q2839" i="6"/>
  <c r="Q2843" i="6"/>
  <c r="Q2847" i="6"/>
  <c r="Q2851" i="6"/>
  <c r="Q2855" i="6"/>
  <c r="Q2859" i="6"/>
  <c r="Q2863" i="6"/>
  <c r="Q2867" i="6"/>
  <c r="Q2871" i="6"/>
  <c r="Q2875" i="6"/>
  <c r="Q2879" i="6"/>
  <c r="Q2883" i="6"/>
  <c r="Q2887" i="6"/>
  <c r="Q2891" i="6"/>
  <c r="Q2895" i="6"/>
  <c r="Q2404" i="6"/>
  <c r="Q2408" i="6"/>
  <c r="Q2460" i="6"/>
  <c r="Q2508" i="6"/>
  <c r="Q2532" i="6"/>
  <c r="Q2580" i="6"/>
  <c r="Q2584" i="6"/>
  <c r="Q2588" i="6"/>
  <c r="Q2592" i="6"/>
  <c r="Q2596" i="6"/>
  <c r="Q2600" i="6"/>
  <c r="Q2604" i="6"/>
  <c r="Q2608" i="6"/>
  <c r="Q2612" i="6"/>
  <c r="Q2616" i="6"/>
  <c r="Q2620" i="6"/>
  <c r="Q2624" i="6"/>
  <c r="Q2628" i="6"/>
  <c r="Q2632" i="6"/>
  <c r="Q2636" i="6"/>
  <c r="Q2640" i="6"/>
  <c r="Q2644" i="6"/>
  <c r="Q2648" i="6"/>
  <c r="Q2652" i="6"/>
  <c r="Q2656" i="6"/>
  <c r="Q2660" i="6"/>
  <c r="Q2664" i="6"/>
  <c r="Q2668" i="6"/>
  <c r="Q2672" i="6"/>
  <c r="Q2676" i="6"/>
  <c r="Q2680" i="6"/>
  <c r="Q2684" i="6"/>
  <c r="Q2688" i="6"/>
  <c r="Q2692" i="6"/>
  <c r="Q2696" i="6"/>
  <c r="Q2700" i="6"/>
  <c r="Q2704" i="6"/>
  <c r="Q2708" i="6"/>
  <c r="Q2712" i="6"/>
  <c r="Q2716" i="6"/>
  <c r="Q2720" i="6"/>
  <c r="Q2724" i="6"/>
  <c r="Q2728" i="6"/>
  <c r="Q2732" i="6"/>
  <c r="Q2736" i="6"/>
  <c r="Q2740" i="6"/>
  <c r="Q2744" i="6"/>
  <c r="Q2748" i="6"/>
  <c r="Q2752" i="6"/>
  <c r="Q2756" i="6"/>
  <c r="Q2760" i="6"/>
  <c r="Q2764" i="6"/>
  <c r="Q2768" i="6"/>
  <c r="Q2772" i="6"/>
  <c r="Q2776" i="6"/>
  <c r="Q2780" i="6"/>
  <c r="Q2784" i="6"/>
  <c r="Q2788" i="6"/>
  <c r="Q2792" i="6"/>
  <c r="Q2796" i="6"/>
  <c r="Q2800" i="6"/>
  <c r="Q2804" i="6"/>
  <c r="Q2808" i="6"/>
  <c r="Q2812" i="6"/>
  <c r="Q2816" i="6"/>
  <c r="Q2820" i="6"/>
  <c r="Q2824" i="6"/>
  <c r="Q2828" i="6"/>
  <c r="Q2832" i="6"/>
  <c r="Q2836" i="6"/>
  <c r="Q2840" i="6"/>
  <c r="Q2844" i="6"/>
  <c r="Q2848" i="6"/>
  <c r="Q2852" i="6"/>
  <c r="Q2856" i="6"/>
  <c r="Q2860" i="6"/>
  <c r="Q2864" i="6"/>
  <c r="Q2868" i="6"/>
  <c r="Q2872" i="6"/>
  <c r="Q2876" i="6"/>
  <c r="Q2880" i="6"/>
  <c r="Q2884" i="6"/>
  <c r="Q2888" i="6"/>
  <c r="Q2892" i="6"/>
  <c r="Q2896" i="6"/>
  <c r="A2892" i="6"/>
  <c r="A2893" i="6" s="1"/>
  <c r="A2894" i="6"/>
  <c r="H2898" i="6"/>
  <c r="L2898" i="6"/>
  <c r="K18" i="6"/>
  <c r="S18" i="6" s="1"/>
  <c r="K1281" i="6"/>
  <c r="K569" i="1"/>
  <c r="O1313" i="1"/>
  <c r="K1300" i="1"/>
  <c r="L1300" i="1"/>
  <c r="H2926" i="1"/>
  <c r="J2045" i="1"/>
  <c r="J2898" i="6" l="1"/>
  <c r="K2898" i="6"/>
  <c r="H2045" i="1"/>
  <c r="N2003" i="1" l="1"/>
  <c r="H1326" i="1"/>
  <c r="O1280" i="1"/>
  <c r="O1279" i="1"/>
  <c r="O1293" i="1"/>
  <c r="H1315" i="1"/>
  <c r="H1314" i="1"/>
  <c r="O621" i="1"/>
  <c r="O1019" i="1"/>
  <c r="H602" i="1"/>
  <c r="H2745" i="1"/>
  <c r="J117" i="1"/>
  <c r="K2645" i="1"/>
  <c r="J2046" i="1"/>
  <c r="J2090" i="1"/>
  <c r="J1281" i="1"/>
  <c r="J1280" i="1"/>
  <c r="J1279" i="1"/>
  <c r="J569" i="1"/>
  <c r="J570" i="1"/>
  <c r="J586" i="1"/>
  <c r="J585" i="1"/>
  <c r="J584" i="1"/>
  <c r="J582" i="1"/>
  <c r="J577" i="1"/>
  <c r="J576" i="1"/>
  <c r="J575" i="1"/>
  <c r="J571" i="1"/>
  <c r="J572" i="1"/>
  <c r="J556" i="1"/>
  <c r="J623" i="1"/>
  <c r="J616" i="1"/>
  <c r="J602" i="1"/>
  <c r="J600" i="1"/>
  <c r="J595" i="1"/>
  <c r="J594" i="1"/>
  <c r="J592" i="1"/>
  <c r="J588" i="1"/>
  <c r="J581" i="1"/>
  <c r="J580" i="1"/>
  <c r="J137" i="1"/>
  <c r="J105" i="1"/>
  <c r="J116" i="1"/>
  <c r="J118" i="1"/>
  <c r="J134" i="1"/>
  <c r="J123" i="1"/>
  <c r="J100" i="1"/>
  <c r="J95" i="1"/>
  <c r="J59" i="1"/>
  <c r="O2645" i="1" l="1"/>
  <c r="N1271" i="1"/>
  <c r="N565" i="1"/>
  <c r="L55" i="1"/>
  <c r="R2929" i="1" l="1"/>
  <c r="K2929" i="1"/>
  <c r="L2929" i="1"/>
  <c r="N2929" i="1"/>
  <c r="P2929" i="1"/>
  <c r="S2929" i="1" l="1"/>
  <c r="K2928" i="1"/>
  <c r="L2928" i="1"/>
  <c r="N2928" i="1"/>
  <c r="P2928" i="1"/>
  <c r="Q2928" i="1" l="1"/>
  <c r="O2928" i="1"/>
  <c r="R2928" i="1" l="1"/>
  <c r="S2928" i="1" s="1"/>
  <c r="P2927" i="1" l="1"/>
  <c r="N2927" i="1"/>
  <c r="L2927" i="1"/>
  <c r="K2927" i="1"/>
  <c r="O2927" i="1" l="1"/>
  <c r="Q2927" i="1"/>
  <c r="L2743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J2581" i="1" s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J2415" i="1" s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J1650" i="1" s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J1440" i="1" s="1"/>
  <c r="L1439" i="1"/>
  <c r="J1439" i="1" s="1"/>
  <c r="L1438" i="1"/>
  <c r="J1438" i="1" s="1"/>
  <c r="L1437" i="1"/>
  <c r="L1436" i="1"/>
  <c r="J1436" i="1" s="1"/>
  <c r="L1435" i="1"/>
  <c r="J1435" i="1" s="1"/>
  <c r="L1434" i="1"/>
  <c r="J1434" i="1" s="1"/>
  <c r="L1433" i="1"/>
  <c r="L1432" i="1"/>
  <c r="J1432" i="1" s="1"/>
  <c r="L1431" i="1"/>
  <c r="L1430" i="1"/>
  <c r="L1429" i="1"/>
  <c r="L1428" i="1"/>
  <c r="L1427" i="1"/>
  <c r="L1426" i="1"/>
  <c r="L1425" i="1"/>
  <c r="L1424" i="1"/>
  <c r="L1423" i="1"/>
  <c r="L1422" i="1"/>
  <c r="L1421" i="1"/>
  <c r="J1421" i="1" s="1"/>
  <c r="L1420" i="1"/>
  <c r="J1420" i="1" s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J1403" i="1" s="1"/>
  <c r="L1402" i="1"/>
  <c r="J1402" i="1" s="1"/>
  <c r="L1401" i="1"/>
  <c r="L1400" i="1"/>
  <c r="J1400" i="1" s="1"/>
  <c r="L1399" i="1"/>
  <c r="J1399" i="1" s="1"/>
  <c r="L1398" i="1"/>
  <c r="L1397" i="1"/>
  <c r="L1396" i="1"/>
  <c r="J1396" i="1" s="1"/>
  <c r="L1395" i="1"/>
  <c r="L1394" i="1"/>
  <c r="L1393" i="1"/>
  <c r="J1393" i="1" s="1"/>
  <c r="L1392" i="1"/>
  <c r="J1392" i="1" s="1"/>
  <c r="L1391" i="1"/>
  <c r="L1390" i="1"/>
  <c r="J1390" i="1" s="1"/>
  <c r="L1389" i="1"/>
  <c r="J1389" i="1" s="1"/>
  <c r="L1388" i="1"/>
  <c r="J1388" i="1" s="1"/>
  <c r="L1387" i="1"/>
  <c r="L1386" i="1"/>
  <c r="L1385" i="1"/>
  <c r="L1384" i="1"/>
  <c r="J1384" i="1" s="1"/>
  <c r="L1383" i="1"/>
  <c r="L1382" i="1"/>
  <c r="J1382" i="1" s="1"/>
  <c r="L1381" i="1"/>
  <c r="L1380" i="1"/>
  <c r="L1379" i="1"/>
  <c r="L1378" i="1"/>
  <c r="L1377" i="1"/>
  <c r="J1377" i="1" s="1"/>
  <c r="L1376" i="1"/>
  <c r="J1376" i="1" s="1"/>
  <c r="L1375" i="1"/>
  <c r="L1374" i="1"/>
  <c r="L1373" i="1"/>
  <c r="L1372" i="1"/>
  <c r="J1372" i="1" s="1"/>
  <c r="L1371" i="1"/>
  <c r="J1371" i="1" s="1"/>
  <c r="L1370" i="1"/>
  <c r="L1369" i="1"/>
  <c r="L1368" i="1"/>
  <c r="L1367" i="1"/>
  <c r="L1366" i="1"/>
  <c r="L1365" i="1"/>
  <c r="J1365" i="1" s="1"/>
  <c r="L1364" i="1"/>
  <c r="L1363" i="1"/>
  <c r="L1362" i="1"/>
  <c r="J1362" i="1" s="1"/>
  <c r="L1361" i="1"/>
  <c r="L1360" i="1"/>
  <c r="L1359" i="1"/>
  <c r="L1358" i="1"/>
  <c r="J1358" i="1" s="1"/>
  <c r="L1357" i="1"/>
  <c r="L1356" i="1"/>
  <c r="L1355" i="1"/>
  <c r="J1355" i="1" s="1"/>
  <c r="L1354" i="1"/>
  <c r="J1354" i="1" s="1"/>
  <c r="L1353" i="1"/>
  <c r="J1353" i="1" s="1"/>
  <c r="L1352" i="1"/>
  <c r="J1352" i="1" s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299" i="1"/>
  <c r="L1298" i="1"/>
  <c r="L1297" i="1"/>
  <c r="L1296" i="1"/>
  <c r="L1295" i="1"/>
  <c r="L1294" i="1"/>
  <c r="L1293" i="1"/>
  <c r="L1292" i="1"/>
  <c r="L1291" i="1"/>
  <c r="L1290" i="1"/>
  <c r="J1290" i="1" s="1"/>
  <c r="L1289" i="1"/>
  <c r="L1288" i="1"/>
  <c r="L1287" i="1"/>
  <c r="L1286" i="1"/>
  <c r="L1285" i="1"/>
  <c r="L1284" i="1"/>
  <c r="L1283" i="1"/>
  <c r="J1283" i="1" s="1"/>
  <c r="L1282" i="1"/>
  <c r="J1282" i="1" s="1"/>
  <c r="L1281" i="1"/>
  <c r="L1280" i="1"/>
  <c r="L1279" i="1"/>
  <c r="L1278" i="1"/>
  <c r="L57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J233" i="1" s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R2927" i="1" l="1"/>
  <c r="S2927" i="1" s="1"/>
  <c r="J187" i="1"/>
  <c r="K187" i="1" s="1"/>
  <c r="J195" i="1"/>
  <c r="K195" i="1" s="1"/>
  <c r="J207" i="1"/>
  <c r="K207" i="1" s="1"/>
  <c r="J215" i="1"/>
  <c r="K215" i="1" s="1"/>
  <c r="J227" i="1"/>
  <c r="K227" i="1" s="1"/>
  <c r="J235" i="1"/>
  <c r="K235" i="1" s="1"/>
  <c r="J243" i="1"/>
  <c r="K243" i="1" s="1"/>
  <c r="J251" i="1"/>
  <c r="K251" i="1" s="1"/>
  <c r="J259" i="1"/>
  <c r="K259" i="1" s="1"/>
  <c r="J271" i="1"/>
  <c r="K271" i="1" s="1"/>
  <c r="J283" i="1"/>
  <c r="K283" i="1" s="1"/>
  <c r="J295" i="1"/>
  <c r="K295" i="1" s="1"/>
  <c r="J303" i="1"/>
  <c r="K303" i="1" s="1"/>
  <c r="J307" i="1"/>
  <c r="K307" i="1" s="1"/>
  <c r="J319" i="1"/>
  <c r="K319" i="1" s="1"/>
  <c r="J331" i="1"/>
  <c r="K331" i="1" s="1"/>
  <c r="J339" i="1"/>
  <c r="K339" i="1" s="1"/>
  <c r="J347" i="1"/>
  <c r="K347" i="1" s="1"/>
  <c r="J355" i="1"/>
  <c r="K355" i="1" s="1"/>
  <c r="J367" i="1"/>
  <c r="K367" i="1" s="1"/>
  <c r="J375" i="1"/>
  <c r="K375" i="1" s="1"/>
  <c r="J387" i="1"/>
  <c r="K387" i="1" s="1"/>
  <c r="J391" i="1"/>
  <c r="K391" i="1" s="1"/>
  <c r="J403" i="1"/>
  <c r="K403" i="1" s="1"/>
  <c r="J415" i="1"/>
  <c r="K415" i="1" s="1"/>
  <c r="J423" i="1"/>
  <c r="K423" i="1" s="1"/>
  <c r="J431" i="1"/>
  <c r="K431" i="1" s="1"/>
  <c r="J439" i="1"/>
  <c r="K439" i="1" s="1"/>
  <c r="J447" i="1"/>
  <c r="K447" i="1" s="1"/>
  <c r="J463" i="1"/>
  <c r="K463" i="1" s="1"/>
  <c r="J467" i="1"/>
  <c r="K467" i="1" s="1"/>
  <c r="J479" i="1"/>
  <c r="K479" i="1" s="1"/>
  <c r="J491" i="1"/>
  <c r="K491" i="1" s="1"/>
  <c r="J503" i="1"/>
  <c r="K503" i="1" s="1"/>
  <c r="J511" i="1"/>
  <c r="K511" i="1" s="1"/>
  <c r="J523" i="1"/>
  <c r="K523" i="1" s="1"/>
  <c r="J531" i="1"/>
  <c r="K531" i="1" s="1"/>
  <c r="J539" i="1"/>
  <c r="K539" i="1" s="1"/>
  <c r="J547" i="1"/>
  <c r="K547" i="1" s="1"/>
  <c r="J626" i="1"/>
  <c r="J638" i="1"/>
  <c r="J742" i="1"/>
  <c r="J766" i="1"/>
  <c r="J778" i="1"/>
  <c r="J786" i="1"/>
  <c r="J798" i="1"/>
  <c r="J810" i="1"/>
  <c r="J822" i="1"/>
  <c r="J826" i="1"/>
  <c r="J838" i="1"/>
  <c r="J846" i="1"/>
  <c r="J858" i="1"/>
  <c r="J866" i="1"/>
  <c r="J878" i="1"/>
  <c r="J890" i="1"/>
  <c r="J898" i="1"/>
  <c r="J910" i="1"/>
  <c r="J918" i="1"/>
  <c r="J942" i="1"/>
  <c r="J954" i="1"/>
  <c r="J962" i="1"/>
  <c r="J974" i="1"/>
  <c r="J982" i="1"/>
  <c r="J994" i="1"/>
  <c r="J1006" i="1"/>
  <c r="J1022" i="1"/>
  <c r="J1030" i="1"/>
  <c r="J1042" i="1"/>
  <c r="J1050" i="1"/>
  <c r="J1058" i="1"/>
  <c r="J1066" i="1"/>
  <c r="J1078" i="1"/>
  <c r="J1086" i="1"/>
  <c r="J1098" i="1"/>
  <c r="J1106" i="1"/>
  <c r="J1114" i="1"/>
  <c r="J1126" i="1"/>
  <c r="J1146" i="1"/>
  <c r="J1158" i="1"/>
  <c r="J1166" i="1"/>
  <c r="J1178" i="1"/>
  <c r="J1186" i="1"/>
  <c r="J1198" i="1"/>
  <c r="J1222" i="1"/>
  <c r="J1234" i="1"/>
  <c r="J1242" i="1"/>
  <c r="J1298" i="1"/>
  <c r="J1303" i="1"/>
  <c r="J1373" i="1"/>
  <c r="J1385" i="1"/>
  <c r="J1397" i="1"/>
  <c r="J1405" i="1"/>
  <c r="J1417" i="1"/>
  <c r="J1425" i="1"/>
  <c r="J1437" i="1"/>
  <c r="J1445" i="1"/>
  <c r="J1457" i="1"/>
  <c r="J1465" i="1"/>
  <c r="J1477" i="1"/>
  <c r="J1489" i="1"/>
  <c r="J1501" i="1"/>
  <c r="J1513" i="1"/>
  <c r="J1521" i="1"/>
  <c r="J1529" i="1"/>
  <c r="J1541" i="1"/>
  <c r="J1549" i="1"/>
  <c r="J1561" i="1"/>
  <c r="J1569" i="1"/>
  <c r="J1577" i="1"/>
  <c r="J1589" i="1"/>
  <c r="J1597" i="1"/>
  <c r="J1609" i="1"/>
  <c r="J1617" i="1"/>
  <c r="J1629" i="1"/>
  <c r="J1637" i="1"/>
  <c r="J1645" i="1"/>
  <c r="J1657" i="1"/>
  <c r="J1665" i="1"/>
  <c r="J1673" i="1"/>
  <c r="J1685" i="1"/>
  <c r="J1693" i="1"/>
  <c r="J1701" i="1"/>
  <c r="J1713" i="1"/>
  <c r="J1717" i="1"/>
  <c r="J1725" i="1"/>
  <c r="J1729" i="1"/>
  <c r="J1733" i="1"/>
  <c r="J191" i="1"/>
  <c r="K191" i="1" s="1"/>
  <c r="J203" i="1"/>
  <c r="K203" i="1" s="1"/>
  <c r="J211" i="1"/>
  <c r="K211" i="1" s="1"/>
  <c r="J223" i="1"/>
  <c r="K223" i="1" s="1"/>
  <c r="J231" i="1"/>
  <c r="K231" i="1" s="1"/>
  <c r="J239" i="1"/>
  <c r="K239" i="1" s="1"/>
  <c r="J255" i="1"/>
  <c r="K255" i="1" s="1"/>
  <c r="J263" i="1"/>
  <c r="K263" i="1" s="1"/>
  <c r="J275" i="1"/>
  <c r="K275" i="1" s="1"/>
  <c r="J279" i="1"/>
  <c r="K279" i="1" s="1"/>
  <c r="J291" i="1"/>
  <c r="K291" i="1" s="1"/>
  <c r="J299" i="1"/>
  <c r="K299" i="1" s="1"/>
  <c r="J311" i="1"/>
  <c r="K311" i="1" s="1"/>
  <c r="J323" i="1"/>
  <c r="K323" i="1" s="1"/>
  <c r="J327" i="1"/>
  <c r="K327" i="1" s="1"/>
  <c r="J343" i="1"/>
  <c r="K343" i="1" s="1"/>
  <c r="J351" i="1"/>
  <c r="K351" i="1" s="1"/>
  <c r="J363" i="1"/>
  <c r="K363" i="1" s="1"/>
  <c r="J371" i="1"/>
  <c r="K371" i="1" s="1"/>
  <c r="J383" i="1"/>
  <c r="K383" i="1" s="1"/>
  <c r="J395" i="1"/>
  <c r="K395" i="1" s="1"/>
  <c r="J407" i="1"/>
  <c r="K407" i="1" s="1"/>
  <c r="J411" i="1"/>
  <c r="K411" i="1" s="1"/>
  <c r="J419" i="1"/>
  <c r="K419" i="1" s="1"/>
  <c r="J435" i="1"/>
  <c r="K435" i="1" s="1"/>
  <c r="J443" i="1"/>
  <c r="K443" i="1" s="1"/>
  <c r="J455" i="1"/>
  <c r="K455" i="1" s="1"/>
  <c r="J459" i="1"/>
  <c r="K459" i="1" s="1"/>
  <c r="J471" i="1"/>
  <c r="K471" i="1" s="1"/>
  <c r="J483" i="1"/>
  <c r="K483" i="1" s="1"/>
  <c r="J487" i="1"/>
  <c r="K487" i="1" s="1"/>
  <c r="J499" i="1"/>
  <c r="K499" i="1" s="1"/>
  <c r="J507" i="1"/>
  <c r="K507" i="1" s="1"/>
  <c r="J519" i="1"/>
  <c r="K519" i="1" s="1"/>
  <c r="J527" i="1"/>
  <c r="K527" i="1" s="1"/>
  <c r="J543" i="1"/>
  <c r="K543" i="1" s="1"/>
  <c r="J551" i="1"/>
  <c r="K551" i="1" s="1"/>
  <c r="J574" i="1"/>
  <c r="J578" i="1"/>
  <c r="J746" i="1"/>
  <c r="J754" i="1"/>
  <c r="J762" i="1"/>
  <c r="J774" i="1"/>
  <c r="J782" i="1"/>
  <c r="J790" i="1"/>
  <c r="J802" i="1"/>
  <c r="J806" i="1"/>
  <c r="J818" i="1"/>
  <c r="J830" i="1"/>
  <c r="J842" i="1"/>
  <c r="J850" i="1"/>
  <c r="J862" i="1"/>
  <c r="J874" i="1"/>
  <c r="J882" i="1"/>
  <c r="J894" i="1"/>
  <c r="J922" i="1"/>
  <c r="J966" i="1"/>
  <c r="J978" i="1"/>
  <c r="J986" i="1"/>
  <c r="J998" i="1"/>
  <c r="J1010" i="1"/>
  <c r="J1018" i="1"/>
  <c r="J1026" i="1"/>
  <c r="J1038" i="1"/>
  <c r="J1046" i="1"/>
  <c r="J1062" i="1"/>
  <c r="J1070" i="1"/>
  <c r="J1082" i="1"/>
  <c r="J1094" i="1"/>
  <c r="J1102" i="1"/>
  <c r="J1118" i="1"/>
  <c r="J1130" i="1"/>
  <c r="J1142" i="1"/>
  <c r="J1150" i="1"/>
  <c r="J1162" i="1"/>
  <c r="J1170" i="1"/>
  <c r="J1182" i="1"/>
  <c r="J1190" i="1"/>
  <c r="J1202" i="1"/>
  <c r="J1206" i="1"/>
  <c r="J1218" i="1"/>
  <c r="J1226" i="1"/>
  <c r="J1230" i="1"/>
  <c r="J1246" i="1"/>
  <c r="J1250" i="1"/>
  <c r="J1294" i="1"/>
  <c r="J1307" i="1"/>
  <c r="J1361" i="1"/>
  <c r="J1369" i="1"/>
  <c r="J1381" i="1"/>
  <c r="J1413" i="1"/>
  <c r="J1433" i="1"/>
  <c r="J1441" i="1"/>
  <c r="J1453" i="1"/>
  <c r="J1461" i="1"/>
  <c r="J1473" i="1"/>
  <c r="J1481" i="1"/>
  <c r="J1493" i="1"/>
  <c r="J1497" i="1"/>
  <c r="J1509" i="1"/>
  <c r="J1517" i="1"/>
  <c r="J1533" i="1"/>
  <c r="J1545" i="1"/>
  <c r="J1553" i="1"/>
  <c r="J1565" i="1"/>
  <c r="J1573" i="1"/>
  <c r="J1585" i="1"/>
  <c r="J1593" i="1"/>
  <c r="J1601" i="1"/>
  <c r="J1613" i="1"/>
  <c r="J1621" i="1"/>
  <c r="J1633" i="1"/>
  <c r="J1641" i="1"/>
  <c r="J1653" i="1"/>
  <c r="J1661" i="1"/>
  <c r="J1669" i="1"/>
  <c r="J1681" i="1"/>
  <c r="J1689" i="1"/>
  <c r="J1697" i="1"/>
  <c r="J1709" i="1"/>
  <c r="J1721" i="1"/>
  <c r="J1737" i="1"/>
  <c r="J199" i="1"/>
  <c r="K199" i="1" s="1"/>
  <c r="J219" i="1"/>
  <c r="K219" i="1" s="1"/>
  <c r="J247" i="1"/>
  <c r="K247" i="1" s="1"/>
  <c r="J267" i="1"/>
  <c r="K267" i="1" s="1"/>
  <c r="J287" i="1"/>
  <c r="K287" i="1" s="1"/>
  <c r="J315" i="1"/>
  <c r="K315" i="1" s="1"/>
  <c r="J335" i="1"/>
  <c r="K335" i="1" s="1"/>
  <c r="J359" i="1"/>
  <c r="K359" i="1" s="1"/>
  <c r="J379" i="1"/>
  <c r="K379" i="1" s="1"/>
  <c r="J399" i="1"/>
  <c r="K399" i="1" s="1"/>
  <c r="J427" i="1"/>
  <c r="K427" i="1" s="1"/>
  <c r="J451" i="1"/>
  <c r="K451" i="1" s="1"/>
  <c r="J475" i="1"/>
  <c r="K475" i="1" s="1"/>
  <c r="J495" i="1"/>
  <c r="K495" i="1" s="1"/>
  <c r="J515" i="1"/>
  <c r="K515" i="1" s="1"/>
  <c r="J535" i="1"/>
  <c r="K535" i="1" s="1"/>
  <c r="J662" i="1"/>
  <c r="J750" i="1"/>
  <c r="J770" i="1"/>
  <c r="J794" i="1"/>
  <c r="J814" i="1"/>
  <c r="J834" i="1"/>
  <c r="J854" i="1"/>
  <c r="J870" i="1"/>
  <c r="J886" i="1"/>
  <c r="J914" i="1"/>
  <c r="J926" i="1"/>
  <c r="J938" i="1"/>
  <c r="J946" i="1"/>
  <c r="J958" i="1"/>
  <c r="J970" i="1"/>
  <c r="J990" i="1"/>
  <c r="J1002" i="1"/>
  <c r="J1014" i="1"/>
  <c r="J1034" i="1"/>
  <c r="J1054" i="1"/>
  <c r="J1074" i="1"/>
  <c r="J1090" i="1"/>
  <c r="J1110" i="1"/>
  <c r="J1122" i="1"/>
  <c r="J1134" i="1"/>
  <c r="J1154" i="1"/>
  <c r="J1174" i="1"/>
  <c r="J1194" i="1"/>
  <c r="J1214" i="1"/>
  <c r="J1238" i="1"/>
  <c r="J1311" i="1"/>
  <c r="J1357" i="1"/>
  <c r="J1409" i="1"/>
  <c r="J1429" i="1"/>
  <c r="J1449" i="1"/>
  <c r="J1469" i="1"/>
  <c r="J1485" i="1"/>
  <c r="J1505" i="1"/>
  <c r="J1525" i="1"/>
  <c r="J1537" i="1"/>
  <c r="J1557" i="1"/>
  <c r="J1581" i="1"/>
  <c r="J1605" i="1"/>
  <c r="J1625" i="1"/>
  <c r="J1649" i="1"/>
  <c r="J1677" i="1"/>
  <c r="J1705" i="1"/>
  <c r="J1741" i="1"/>
  <c r="J1749" i="1"/>
  <c r="J1765" i="1"/>
  <c r="J1777" i="1"/>
  <c r="J1789" i="1"/>
  <c r="J1801" i="1"/>
  <c r="J1813" i="1"/>
  <c r="J1833" i="1"/>
  <c r="J1845" i="1"/>
  <c r="J1857" i="1"/>
  <c r="J2080" i="1"/>
  <c r="J2088" i="1"/>
  <c r="J2124" i="1"/>
  <c r="J2136" i="1"/>
  <c r="J2148" i="1"/>
  <c r="J2168" i="1"/>
  <c r="J2200" i="1"/>
  <c r="J2208" i="1"/>
  <c r="J2220" i="1"/>
  <c r="J2228" i="1"/>
  <c r="J2240" i="1"/>
  <c r="J2252" i="1"/>
  <c r="J2276" i="1"/>
  <c r="J2292" i="1"/>
  <c r="J2384" i="1"/>
  <c r="J2392" i="1"/>
  <c r="J2408" i="1"/>
  <c r="J2424" i="1"/>
  <c r="J2472" i="1"/>
  <c r="J2480" i="1"/>
  <c r="J2492" i="1"/>
  <c r="J2512" i="1"/>
  <c r="J2544" i="1"/>
  <c r="J2556" i="1"/>
  <c r="J2564" i="1"/>
  <c r="J2576" i="1"/>
  <c r="J2588" i="1"/>
  <c r="J2600" i="1"/>
  <c r="J184" i="1"/>
  <c r="J188" i="1"/>
  <c r="K188" i="1" s="1"/>
  <c r="J192" i="1"/>
  <c r="K192" i="1" s="1"/>
  <c r="J196" i="1"/>
  <c r="K196" i="1" s="1"/>
  <c r="J200" i="1"/>
  <c r="K200" i="1" s="1"/>
  <c r="J204" i="1"/>
  <c r="K204" i="1" s="1"/>
  <c r="J208" i="1"/>
  <c r="K208" i="1" s="1"/>
  <c r="J212" i="1"/>
  <c r="K212" i="1" s="1"/>
  <c r="J216" i="1"/>
  <c r="K216" i="1" s="1"/>
  <c r="J220" i="1"/>
  <c r="K220" i="1" s="1"/>
  <c r="J224" i="1"/>
  <c r="K224" i="1" s="1"/>
  <c r="J228" i="1"/>
  <c r="K228" i="1" s="1"/>
  <c r="J232" i="1"/>
  <c r="K232" i="1" s="1"/>
  <c r="J236" i="1"/>
  <c r="K236" i="1" s="1"/>
  <c r="J240" i="1"/>
  <c r="K240" i="1" s="1"/>
  <c r="J244" i="1"/>
  <c r="K244" i="1" s="1"/>
  <c r="J248" i="1"/>
  <c r="K248" i="1" s="1"/>
  <c r="J252" i="1"/>
  <c r="K252" i="1" s="1"/>
  <c r="J256" i="1"/>
  <c r="K256" i="1" s="1"/>
  <c r="J260" i="1"/>
  <c r="K260" i="1" s="1"/>
  <c r="J264" i="1"/>
  <c r="K264" i="1" s="1"/>
  <c r="J268" i="1"/>
  <c r="K268" i="1" s="1"/>
  <c r="J272" i="1"/>
  <c r="K272" i="1" s="1"/>
  <c r="J276" i="1"/>
  <c r="K276" i="1" s="1"/>
  <c r="J280" i="1"/>
  <c r="K280" i="1" s="1"/>
  <c r="J284" i="1"/>
  <c r="K284" i="1" s="1"/>
  <c r="J288" i="1"/>
  <c r="K288" i="1" s="1"/>
  <c r="J292" i="1"/>
  <c r="K292" i="1" s="1"/>
  <c r="J296" i="1"/>
  <c r="K296" i="1" s="1"/>
  <c r="J300" i="1"/>
  <c r="K300" i="1" s="1"/>
  <c r="J304" i="1"/>
  <c r="K304" i="1" s="1"/>
  <c r="J308" i="1"/>
  <c r="K308" i="1" s="1"/>
  <c r="J312" i="1"/>
  <c r="K312" i="1" s="1"/>
  <c r="J316" i="1"/>
  <c r="K316" i="1" s="1"/>
  <c r="J320" i="1"/>
  <c r="K320" i="1" s="1"/>
  <c r="J324" i="1"/>
  <c r="K324" i="1" s="1"/>
  <c r="J328" i="1"/>
  <c r="K328" i="1" s="1"/>
  <c r="J332" i="1"/>
  <c r="K332" i="1" s="1"/>
  <c r="J336" i="1"/>
  <c r="K336" i="1" s="1"/>
  <c r="J340" i="1"/>
  <c r="K340" i="1" s="1"/>
  <c r="J344" i="1"/>
  <c r="K344" i="1" s="1"/>
  <c r="J348" i="1"/>
  <c r="K348" i="1" s="1"/>
  <c r="J352" i="1"/>
  <c r="K352" i="1" s="1"/>
  <c r="J356" i="1"/>
  <c r="K356" i="1" s="1"/>
  <c r="J360" i="1"/>
  <c r="K360" i="1" s="1"/>
  <c r="J364" i="1"/>
  <c r="K364" i="1" s="1"/>
  <c r="J368" i="1"/>
  <c r="K368" i="1" s="1"/>
  <c r="J372" i="1"/>
  <c r="K372" i="1" s="1"/>
  <c r="J376" i="1"/>
  <c r="K376" i="1" s="1"/>
  <c r="J380" i="1"/>
  <c r="K380" i="1" s="1"/>
  <c r="J384" i="1"/>
  <c r="K384" i="1" s="1"/>
  <c r="J388" i="1"/>
  <c r="K388" i="1" s="1"/>
  <c r="J392" i="1"/>
  <c r="K392" i="1" s="1"/>
  <c r="J396" i="1"/>
  <c r="K396" i="1" s="1"/>
  <c r="J400" i="1"/>
  <c r="K400" i="1" s="1"/>
  <c r="J404" i="1"/>
  <c r="K404" i="1" s="1"/>
  <c r="J408" i="1"/>
  <c r="K408" i="1" s="1"/>
  <c r="J412" i="1"/>
  <c r="K412" i="1" s="1"/>
  <c r="J416" i="1"/>
  <c r="K416" i="1" s="1"/>
  <c r="J420" i="1"/>
  <c r="K420" i="1" s="1"/>
  <c r="J424" i="1"/>
  <c r="K424" i="1" s="1"/>
  <c r="J428" i="1"/>
  <c r="K428" i="1" s="1"/>
  <c r="J432" i="1"/>
  <c r="K432" i="1" s="1"/>
  <c r="J436" i="1"/>
  <c r="K436" i="1" s="1"/>
  <c r="J440" i="1"/>
  <c r="K440" i="1" s="1"/>
  <c r="J444" i="1"/>
  <c r="K444" i="1" s="1"/>
  <c r="J448" i="1"/>
  <c r="K448" i="1" s="1"/>
  <c r="J452" i="1"/>
  <c r="K452" i="1" s="1"/>
  <c r="J456" i="1"/>
  <c r="K456" i="1" s="1"/>
  <c r="J460" i="1"/>
  <c r="K460" i="1" s="1"/>
  <c r="J464" i="1"/>
  <c r="K464" i="1" s="1"/>
  <c r="J468" i="1"/>
  <c r="K468" i="1" s="1"/>
  <c r="J472" i="1"/>
  <c r="K472" i="1" s="1"/>
  <c r="J476" i="1"/>
  <c r="K476" i="1" s="1"/>
  <c r="J480" i="1"/>
  <c r="K480" i="1" s="1"/>
  <c r="J484" i="1"/>
  <c r="K484" i="1" s="1"/>
  <c r="J488" i="1"/>
  <c r="K488" i="1" s="1"/>
  <c r="J492" i="1"/>
  <c r="K492" i="1" s="1"/>
  <c r="J496" i="1"/>
  <c r="K496" i="1" s="1"/>
  <c r="J500" i="1"/>
  <c r="K500" i="1" s="1"/>
  <c r="J504" i="1"/>
  <c r="K504" i="1" s="1"/>
  <c r="J508" i="1"/>
  <c r="K508" i="1" s="1"/>
  <c r="J512" i="1"/>
  <c r="K512" i="1" s="1"/>
  <c r="J516" i="1"/>
  <c r="K516" i="1" s="1"/>
  <c r="J520" i="1"/>
  <c r="K520" i="1" s="1"/>
  <c r="J524" i="1"/>
  <c r="K524" i="1" s="1"/>
  <c r="J528" i="1"/>
  <c r="K528" i="1" s="1"/>
  <c r="J532" i="1"/>
  <c r="K532" i="1" s="1"/>
  <c r="J536" i="1"/>
  <c r="K536" i="1" s="1"/>
  <c r="J540" i="1"/>
  <c r="K540" i="1" s="1"/>
  <c r="J544" i="1"/>
  <c r="K544" i="1" s="1"/>
  <c r="J548" i="1"/>
  <c r="K548" i="1" s="1"/>
  <c r="J552" i="1"/>
  <c r="K552" i="1" s="1"/>
  <c r="J579" i="1"/>
  <c r="J603" i="1"/>
  <c r="J667" i="1"/>
  <c r="J703" i="1"/>
  <c r="J727" i="1"/>
  <c r="J739" i="1"/>
  <c r="J747" i="1"/>
  <c r="J751" i="1"/>
  <c r="J755" i="1"/>
  <c r="J759" i="1"/>
  <c r="J763" i="1"/>
  <c r="J767" i="1"/>
  <c r="J771" i="1"/>
  <c r="J775" i="1"/>
  <c r="J783" i="1"/>
  <c r="J787" i="1"/>
  <c r="J791" i="1"/>
  <c r="J795" i="1"/>
  <c r="J799" i="1"/>
  <c r="J803" i="1"/>
  <c r="J807" i="1"/>
  <c r="J811" i="1"/>
  <c r="J815" i="1"/>
  <c r="J819" i="1"/>
  <c r="J823" i="1"/>
  <c r="J827" i="1"/>
  <c r="J831" i="1"/>
  <c r="J835" i="1"/>
  <c r="J839" i="1"/>
  <c r="J843" i="1"/>
  <c r="J847" i="1"/>
  <c r="J855" i="1"/>
  <c r="J859" i="1"/>
  <c r="J863" i="1"/>
  <c r="J867" i="1"/>
  <c r="J871" i="1"/>
  <c r="J875" i="1"/>
  <c r="J879" i="1"/>
  <c r="J883" i="1"/>
  <c r="J887" i="1"/>
  <c r="J891" i="1"/>
  <c r="J895" i="1"/>
  <c r="J899" i="1"/>
  <c r="J907" i="1"/>
  <c r="J927" i="1"/>
  <c r="J931" i="1"/>
  <c r="J935" i="1"/>
  <c r="J939" i="1"/>
  <c r="J943" i="1"/>
  <c r="J947" i="1"/>
  <c r="J951" i="1"/>
  <c r="J955" i="1"/>
  <c r="J959" i="1"/>
  <c r="J963" i="1"/>
  <c r="J967" i="1"/>
  <c r="J975" i="1"/>
  <c r="J979" i="1"/>
  <c r="J983" i="1"/>
  <c r="J987" i="1"/>
  <c r="J991" i="1"/>
  <c r="J995" i="1"/>
  <c r="J999" i="1"/>
  <c r="J1003" i="1"/>
  <c r="J1007" i="1"/>
  <c r="J1011" i="1"/>
  <c r="J1015" i="1"/>
  <c r="J1019" i="1"/>
  <c r="J1023" i="1"/>
  <c r="J1027" i="1"/>
  <c r="J1031" i="1"/>
  <c r="J1035" i="1"/>
  <c r="J1039" i="1"/>
  <c r="J1043" i="1"/>
  <c r="J1047" i="1"/>
  <c r="J1051" i="1"/>
  <c r="J1055" i="1"/>
  <c r="J1059" i="1"/>
  <c r="J1063" i="1"/>
  <c r="J1067" i="1"/>
  <c r="J1071" i="1"/>
  <c r="J1075" i="1"/>
  <c r="J1079" i="1"/>
  <c r="J1083" i="1"/>
  <c r="J1087" i="1"/>
  <c r="J1091" i="1"/>
  <c r="J1095" i="1"/>
  <c r="J1099" i="1"/>
  <c r="J1103" i="1"/>
  <c r="J1107" i="1"/>
  <c r="J1111" i="1"/>
  <c r="J1115" i="1"/>
  <c r="J1119" i="1"/>
  <c r="J1123" i="1"/>
  <c r="J1131" i="1"/>
  <c r="J1135" i="1"/>
  <c r="J1139" i="1"/>
  <c r="J1143" i="1"/>
  <c r="J1147" i="1"/>
  <c r="J1151" i="1"/>
  <c r="J1159" i="1"/>
  <c r="J1163" i="1"/>
  <c r="J1167" i="1"/>
  <c r="J1171" i="1"/>
  <c r="J1175" i="1"/>
  <c r="J1179" i="1"/>
  <c r="J1183" i="1"/>
  <c r="J1187" i="1"/>
  <c r="J1191" i="1"/>
  <c r="J1195" i="1"/>
  <c r="J1199" i="1"/>
  <c r="J1203" i="1"/>
  <c r="J1211" i="1"/>
  <c r="J1215" i="1"/>
  <c r="J1219" i="1"/>
  <c r="J1223" i="1"/>
  <c r="J1227" i="1"/>
  <c r="J1239" i="1"/>
  <c r="J1243" i="1"/>
  <c r="J1247" i="1"/>
  <c r="J1251" i="1"/>
  <c r="J1287" i="1"/>
  <c r="J1291" i="1"/>
  <c r="J1295" i="1"/>
  <c r="J1299" i="1"/>
  <c r="J1304" i="1"/>
  <c r="J1308" i="1"/>
  <c r="J1312" i="1"/>
  <c r="J1366" i="1"/>
  <c r="J1370" i="1"/>
  <c r="J1374" i="1"/>
  <c r="J1378" i="1"/>
  <c r="J1386" i="1"/>
  <c r="J1394" i="1"/>
  <c r="J1398" i="1"/>
  <c r="J1406" i="1"/>
  <c r="J1410" i="1"/>
  <c r="J1414" i="1"/>
  <c r="J1418" i="1"/>
  <c r="J1422" i="1"/>
  <c r="J1426" i="1"/>
  <c r="J1430" i="1"/>
  <c r="J1442" i="1"/>
  <c r="J1446" i="1"/>
  <c r="J1450" i="1"/>
  <c r="J1454" i="1"/>
  <c r="J1458" i="1"/>
  <c r="J1462" i="1"/>
  <c r="J1466" i="1"/>
  <c r="J1470" i="1"/>
  <c r="J1474" i="1"/>
  <c r="J1478" i="1"/>
  <c r="J1482" i="1"/>
  <c r="J1486" i="1"/>
  <c r="J1490" i="1"/>
  <c r="J1494" i="1"/>
  <c r="J1498" i="1"/>
  <c r="J1502" i="1"/>
  <c r="J1506" i="1"/>
  <c r="J1510" i="1"/>
  <c r="J1514" i="1"/>
  <c r="J1518" i="1"/>
  <c r="J1522" i="1"/>
  <c r="J1526" i="1"/>
  <c r="J1530" i="1"/>
  <c r="J1534" i="1"/>
  <c r="J1538" i="1"/>
  <c r="J1542" i="1"/>
  <c r="J1546" i="1"/>
  <c r="J1550" i="1"/>
  <c r="J1554" i="1"/>
  <c r="J1558" i="1"/>
  <c r="J1562" i="1"/>
  <c r="J1566" i="1"/>
  <c r="J1570" i="1"/>
  <c r="J1574" i="1"/>
  <c r="J1578" i="1"/>
  <c r="J1582" i="1"/>
  <c r="J1586" i="1"/>
  <c r="J1590" i="1"/>
  <c r="J1594" i="1"/>
  <c r="J1598" i="1"/>
  <c r="J1602" i="1"/>
  <c r="J1606" i="1"/>
  <c r="J1610" i="1"/>
  <c r="J1614" i="1"/>
  <c r="J1618" i="1"/>
  <c r="J1622" i="1"/>
  <c r="J1626" i="1"/>
  <c r="J1630" i="1"/>
  <c r="J1634" i="1"/>
  <c r="J1638" i="1"/>
  <c r="J1642" i="1"/>
  <c r="J1646" i="1"/>
  <c r="J1654" i="1"/>
  <c r="J1658" i="1"/>
  <c r="J1662" i="1"/>
  <c r="J1666" i="1"/>
  <c r="J1670" i="1"/>
  <c r="J1674" i="1"/>
  <c r="J1678" i="1"/>
  <c r="J1682" i="1"/>
  <c r="J1686" i="1"/>
  <c r="J1690" i="1"/>
  <c r="J1694" i="1"/>
  <c r="J1698" i="1"/>
  <c r="J1702" i="1"/>
  <c r="J1706" i="1"/>
  <c r="J1710" i="1"/>
  <c r="J1714" i="1"/>
  <c r="J1718" i="1"/>
  <c r="J1722" i="1"/>
  <c r="J1726" i="1"/>
  <c r="J1730" i="1"/>
  <c r="J1734" i="1"/>
  <c r="J1738" i="1"/>
  <c r="J1742" i="1"/>
  <c r="J1746" i="1"/>
  <c r="J1750" i="1"/>
  <c r="J1754" i="1"/>
  <c r="J1758" i="1"/>
  <c r="J1762" i="1"/>
  <c r="J1766" i="1"/>
  <c r="J1770" i="1"/>
  <c r="J1774" i="1"/>
  <c r="J1778" i="1"/>
  <c r="J1782" i="1"/>
  <c r="J1786" i="1"/>
  <c r="J1790" i="1"/>
  <c r="J1794" i="1"/>
  <c r="J1798" i="1"/>
  <c r="J1802" i="1"/>
  <c r="J1806" i="1"/>
  <c r="J1810" i="1"/>
  <c r="J1814" i="1"/>
  <c r="J1818" i="1"/>
  <c r="J1822" i="1"/>
  <c r="J1826" i="1"/>
  <c r="J1830" i="1"/>
  <c r="J1834" i="1"/>
  <c r="J1838" i="1"/>
  <c r="J1842" i="1"/>
  <c r="J1846" i="1"/>
  <c r="J1850" i="1"/>
  <c r="J1854" i="1"/>
  <c r="J1858" i="1"/>
  <c r="J1862" i="1"/>
  <c r="J2065" i="1"/>
  <c r="J2077" i="1"/>
  <c r="J2081" i="1"/>
  <c r="J2089" i="1"/>
  <c r="J2101" i="1"/>
  <c r="J2105" i="1"/>
  <c r="J2117" i="1"/>
  <c r="J2121" i="1"/>
  <c r="J2125" i="1"/>
  <c r="J2129" i="1"/>
  <c r="J2133" i="1"/>
  <c r="J2137" i="1"/>
  <c r="J2141" i="1"/>
  <c r="J2145" i="1"/>
  <c r="J2149" i="1"/>
  <c r="J2153" i="1"/>
  <c r="J2157" i="1"/>
  <c r="J2161" i="1"/>
  <c r="J2165" i="1"/>
  <c r="J2169" i="1"/>
  <c r="J2173" i="1"/>
  <c r="J2177" i="1"/>
  <c r="J2181" i="1"/>
  <c r="J2185" i="1"/>
  <c r="J2189" i="1"/>
  <c r="J2193" i="1"/>
  <c r="J2197" i="1"/>
  <c r="J2201" i="1"/>
  <c r="J2205" i="1"/>
  <c r="J2213" i="1"/>
  <c r="J2221" i="1"/>
  <c r="J2225" i="1"/>
  <c r="J2229" i="1"/>
  <c r="J2233" i="1"/>
  <c r="J2237" i="1"/>
  <c r="J2241" i="1"/>
  <c r="J2245" i="1"/>
  <c r="J2249" i="1"/>
  <c r="J2253" i="1"/>
  <c r="J2261" i="1"/>
  <c r="J2265" i="1"/>
  <c r="J2269" i="1"/>
  <c r="J2273" i="1"/>
  <c r="J2277" i="1"/>
  <c r="J2281" i="1"/>
  <c r="J2285" i="1"/>
  <c r="J2289" i="1"/>
  <c r="J2293" i="1"/>
  <c r="J2297" i="1"/>
  <c r="J2305" i="1"/>
  <c r="J2313" i="1"/>
  <c r="J2317" i="1"/>
  <c r="J2325" i="1"/>
  <c r="J2329" i="1"/>
  <c r="J2337" i="1"/>
  <c r="J2345" i="1"/>
  <c r="J2353" i="1"/>
  <c r="J2369" i="1"/>
  <c r="J2373" i="1"/>
  <c r="J2377" i="1"/>
  <c r="J2381" i="1"/>
  <c r="J2385" i="1"/>
  <c r="J2393" i="1"/>
  <c r="J2409" i="1"/>
  <c r="J2413" i="1"/>
  <c r="J2417" i="1"/>
  <c r="J2421" i="1"/>
  <c r="J2425" i="1"/>
  <c r="J2429" i="1"/>
  <c r="J2433" i="1"/>
  <c r="J2445" i="1"/>
  <c r="J2449" i="1"/>
  <c r="J2453" i="1"/>
  <c r="J2457" i="1"/>
  <c r="J2461" i="1"/>
  <c r="J2465" i="1"/>
  <c r="J2469" i="1"/>
  <c r="J2473" i="1"/>
  <c r="J2477" i="1"/>
  <c r="J2481" i="1"/>
  <c r="J2485" i="1"/>
  <c r="J2489" i="1"/>
  <c r="J2497" i="1"/>
  <c r="J2501" i="1"/>
  <c r="J2505" i="1"/>
  <c r="J2509" i="1"/>
  <c r="J2513" i="1"/>
  <c r="J2517" i="1"/>
  <c r="J2521" i="1"/>
  <c r="J2525" i="1"/>
  <c r="J2533" i="1"/>
  <c r="J2537" i="1"/>
  <c r="J2545" i="1"/>
  <c r="J2553" i="1"/>
  <c r="J2557" i="1"/>
  <c r="J2561" i="1"/>
  <c r="J2569" i="1"/>
  <c r="J2573" i="1"/>
  <c r="J2577" i="1"/>
  <c r="J2585" i="1"/>
  <c r="J2589" i="1"/>
  <c r="J2593" i="1"/>
  <c r="J2597" i="1"/>
  <c r="J2601" i="1"/>
  <c r="J2605" i="1"/>
  <c r="J2609" i="1"/>
  <c r="J1745" i="1"/>
  <c r="J1757" i="1"/>
  <c r="J1769" i="1"/>
  <c r="J1781" i="1"/>
  <c r="J1793" i="1"/>
  <c r="J1805" i="1"/>
  <c r="J1817" i="1"/>
  <c r="J1825" i="1"/>
  <c r="J1837" i="1"/>
  <c r="J1849" i="1"/>
  <c r="J1861" i="1"/>
  <c r="J2064" i="1"/>
  <c r="J2072" i="1"/>
  <c r="J2084" i="1"/>
  <c r="J2096" i="1"/>
  <c r="J2104" i="1"/>
  <c r="J2116" i="1"/>
  <c r="J2132" i="1"/>
  <c r="J2144" i="1"/>
  <c r="J2156" i="1"/>
  <c r="J2160" i="1"/>
  <c r="J2176" i="1"/>
  <c r="J2184" i="1"/>
  <c r="J2196" i="1"/>
  <c r="J2212" i="1"/>
  <c r="J2224" i="1"/>
  <c r="J2236" i="1"/>
  <c r="J2244" i="1"/>
  <c r="J2288" i="1"/>
  <c r="J2324" i="1"/>
  <c r="J2332" i="1"/>
  <c r="J2344" i="1"/>
  <c r="J2360" i="1"/>
  <c r="J2396" i="1"/>
  <c r="J2404" i="1"/>
  <c r="J2416" i="1"/>
  <c r="J2428" i="1"/>
  <c r="J2452" i="1"/>
  <c r="J2464" i="1"/>
  <c r="J2488" i="1"/>
  <c r="J2496" i="1"/>
  <c r="J2504" i="1"/>
  <c r="J2516" i="1"/>
  <c r="J2524" i="1"/>
  <c r="J2552" i="1"/>
  <c r="J2584" i="1"/>
  <c r="J2596" i="1"/>
  <c r="J2604" i="1"/>
  <c r="J185" i="1"/>
  <c r="K185" i="1" s="1"/>
  <c r="J189" i="1"/>
  <c r="K189" i="1" s="1"/>
  <c r="J193" i="1"/>
  <c r="K193" i="1" s="1"/>
  <c r="J197" i="1"/>
  <c r="K197" i="1" s="1"/>
  <c r="J201" i="1"/>
  <c r="K201" i="1" s="1"/>
  <c r="J205" i="1"/>
  <c r="K205" i="1" s="1"/>
  <c r="J209" i="1"/>
  <c r="K209" i="1" s="1"/>
  <c r="J213" i="1"/>
  <c r="K213" i="1" s="1"/>
  <c r="J217" i="1"/>
  <c r="K217" i="1" s="1"/>
  <c r="J221" i="1"/>
  <c r="K221" i="1" s="1"/>
  <c r="J225" i="1"/>
  <c r="K225" i="1" s="1"/>
  <c r="J229" i="1"/>
  <c r="K229" i="1" s="1"/>
  <c r="K233" i="1"/>
  <c r="J237" i="1"/>
  <c r="K237" i="1" s="1"/>
  <c r="J241" i="1"/>
  <c r="K241" i="1" s="1"/>
  <c r="J245" i="1"/>
  <c r="K245" i="1" s="1"/>
  <c r="J249" i="1"/>
  <c r="K249" i="1" s="1"/>
  <c r="J253" i="1"/>
  <c r="K253" i="1" s="1"/>
  <c r="J257" i="1"/>
  <c r="K257" i="1" s="1"/>
  <c r="J261" i="1"/>
  <c r="K261" i="1" s="1"/>
  <c r="J265" i="1"/>
  <c r="K265" i="1" s="1"/>
  <c r="J269" i="1"/>
  <c r="K269" i="1" s="1"/>
  <c r="J273" i="1"/>
  <c r="K273" i="1" s="1"/>
  <c r="J277" i="1"/>
  <c r="K277" i="1" s="1"/>
  <c r="J281" i="1"/>
  <c r="K281" i="1" s="1"/>
  <c r="J285" i="1"/>
  <c r="K285" i="1" s="1"/>
  <c r="J289" i="1"/>
  <c r="K289" i="1" s="1"/>
  <c r="J293" i="1"/>
  <c r="K293" i="1" s="1"/>
  <c r="J297" i="1"/>
  <c r="K297" i="1" s="1"/>
  <c r="J301" i="1"/>
  <c r="K301" i="1" s="1"/>
  <c r="J305" i="1"/>
  <c r="K305" i="1" s="1"/>
  <c r="J309" i="1"/>
  <c r="K309" i="1" s="1"/>
  <c r="J313" i="1"/>
  <c r="K313" i="1" s="1"/>
  <c r="J317" i="1"/>
  <c r="K317" i="1" s="1"/>
  <c r="J321" i="1"/>
  <c r="K321" i="1" s="1"/>
  <c r="J325" i="1"/>
  <c r="K325" i="1" s="1"/>
  <c r="J329" i="1"/>
  <c r="K329" i="1" s="1"/>
  <c r="J333" i="1"/>
  <c r="K333" i="1" s="1"/>
  <c r="J337" i="1"/>
  <c r="K337" i="1" s="1"/>
  <c r="J341" i="1"/>
  <c r="K341" i="1" s="1"/>
  <c r="J345" i="1"/>
  <c r="K345" i="1" s="1"/>
  <c r="J349" i="1"/>
  <c r="K349" i="1" s="1"/>
  <c r="J353" i="1"/>
  <c r="K353" i="1" s="1"/>
  <c r="J357" i="1"/>
  <c r="K357" i="1" s="1"/>
  <c r="J361" i="1"/>
  <c r="K361" i="1" s="1"/>
  <c r="J365" i="1"/>
  <c r="K365" i="1" s="1"/>
  <c r="J369" i="1"/>
  <c r="K369" i="1" s="1"/>
  <c r="J373" i="1"/>
  <c r="K373" i="1" s="1"/>
  <c r="J377" i="1"/>
  <c r="K377" i="1" s="1"/>
  <c r="J381" i="1"/>
  <c r="K381" i="1" s="1"/>
  <c r="J385" i="1"/>
  <c r="K385" i="1" s="1"/>
  <c r="J389" i="1"/>
  <c r="K389" i="1" s="1"/>
  <c r="J393" i="1"/>
  <c r="K393" i="1" s="1"/>
  <c r="J397" i="1"/>
  <c r="K397" i="1" s="1"/>
  <c r="J401" i="1"/>
  <c r="K401" i="1" s="1"/>
  <c r="J405" i="1"/>
  <c r="K405" i="1" s="1"/>
  <c r="J409" i="1"/>
  <c r="K409" i="1" s="1"/>
  <c r="J413" i="1"/>
  <c r="K413" i="1" s="1"/>
  <c r="J417" i="1"/>
  <c r="K417" i="1" s="1"/>
  <c r="J421" i="1"/>
  <c r="K421" i="1" s="1"/>
  <c r="J425" i="1"/>
  <c r="K425" i="1" s="1"/>
  <c r="J429" i="1"/>
  <c r="K429" i="1" s="1"/>
  <c r="J433" i="1"/>
  <c r="K433" i="1" s="1"/>
  <c r="J437" i="1"/>
  <c r="K437" i="1" s="1"/>
  <c r="J441" i="1"/>
  <c r="K441" i="1" s="1"/>
  <c r="J445" i="1"/>
  <c r="K445" i="1" s="1"/>
  <c r="J449" i="1"/>
  <c r="K449" i="1" s="1"/>
  <c r="J453" i="1"/>
  <c r="K453" i="1" s="1"/>
  <c r="J457" i="1"/>
  <c r="K457" i="1" s="1"/>
  <c r="J461" i="1"/>
  <c r="K461" i="1" s="1"/>
  <c r="J465" i="1"/>
  <c r="K465" i="1" s="1"/>
  <c r="J469" i="1"/>
  <c r="K469" i="1" s="1"/>
  <c r="J473" i="1"/>
  <c r="K473" i="1" s="1"/>
  <c r="J477" i="1"/>
  <c r="K477" i="1" s="1"/>
  <c r="J481" i="1"/>
  <c r="K481" i="1" s="1"/>
  <c r="J485" i="1"/>
  <c r="K485" i="1" s="1"/>
  <c r="J489" i="1"/>
  <c r="K489" i="1" s="1"/>
  <c r="J493" i="1"/>
  <c r="K493" i="1" s="1"/>
  <c r="J497" i="1"/>
  <c r="K497" i="1" s="1"/>
  <c r="J501" i="1"/>
  <c r="K501" i="1" s="1"/>
  <c r="J505" i="1"/>
  <c r="K505" i="1" s="1"/>
  <c r="J509" i="1"/>
  <c r="K509" i="1" s="1"/>
  <c r="J513" i="1"/>
  <c r="K513" i="1" s="1"/>
  <c r="J517" i="1"/>
  <c r="K517" i="1" s="1"/>
  <c r="J521" i="1"/>
  <c r="K521" i="1" s="1"/>
  <c r="J525" i="1"/>
  <c r="K525" i="1" s="1"/>
  <c r="J529" i="1"/>
  <c r="K529" i="1" s="1"/>
  <c r="J533" i="1"/>
  <c r="K533" i="1" s="1"/>
  <c r="J537" i="1"/>
  <c r="K537" i="1" s="1"/>
  <c r="J541" i="1"/>
  <c r="K541" i="1" s="1"/>
  <c r="J545" i="1"/>
  <c r="K545" i="1" s="1"/>
  <c r="J549" i="1"/>
  <c r="K549" i="1" s="1"/>
  <c r="J604" i="1"/>
  <c r="J648" i="1"/>
  <c r="J668" i="1"/>
  <c r="J736" i="1"/>
  <c r="J748" i="1"/>
  <c r="J752" i="1"/>
  <c r="J756" i="1"/>
  <c r="J760" i="1"/>
  <c r="J764" i="1"/>
  <c r="J768" i="1"/>
  <c r="J772" i="1"/>
  <c r="J776" i="1"/>
  <c r="J780" i="1"/>
  <c r="J784" i="1"/>
  <c r="J788" i="1"/>
  <c r="J792" i="1"/>
  <c r="J796" i="1"/>
  <c r="J800" i="1"/>
  <c r="J804" i="1"/>
  <c r="J808" i="1"/>
  <c r="J812" i="1"/>
  <c r="J816" i="1"/>
  <c r="J820" i="1"/>
  <c r="J824" i="1"/>
  <c r="J828" i="1"/>
  <c r="J832" i="1"/>
  <c r="J836" i="1"/>
  <c r="J840" i="1"/>
  <c r="J844" i="1"/>
  <c r="J848" i="1"/>
  <c r="J852" i="1"/>
  <c r="J856" i="1"/>
  <c r="J860" i="1"/>
  <c r="J864" i="1"/>
  <c r="J868" i="1"/>
  <c r="J872" i="1"/>
  <c r="J876" i="1"/>
  <c r="J880" i="1"/>
  <c r="J884" i="1"/>
  <c r="J888" i="1"/>
  <c r="J892" i="1"/>
  <c r="J896" i="1"/>
  <c r="J900" i="1"/>
  <c r="J924" i="1"/>
  <c r="J936" i="1"/>
  <c r="J944" i="1"/>
  <c r="J948" i="1"/>
  <c r="J952" i="1"/>
  <c r="J956" i="1"/>
  <c r="J960" i="1"/>
  <c r="J964" i="1"/>
  <c r="J968" i="1"/>
  <c r="J972" i="1"/>
  <c r="J976" i="1"/>
  <c r="J980" i="1"/>
  <c r="J984" i="1"/>
  <c r="J988" i="1"/>
  <c r="J992" i="1"/>
  <c r="J996" i="1"/>
  <c r="J1000" i="1"/>
  <c r="J1004" i="1"/>
  <c r="J1008" i="1"/>
  <c r="J1012" i="1"/>
  <c r="J1016" i="1"/>
  <c r="J1020" i="1"/>
  <c r="J1024" i="1"/>
  <c r="J1028" i="1"/>
  <c r="J1032" i="1"/>
  <c r="J1036" i="1"/>
  <c r="J1040" i="1"/>
  <c r="J1044" i="1"/>
  <c r="J1048" i="1"/>
  <c r="J1052" i="1"/>
  <c r="J1056" i="1"/>
  <c r="J1060" i="1"/>
  <c r="J1064" i="1"/>
  <c r="J1068" i="1"/>
  <c r="J1072" i="1"/>
  <c r="J1076" i="1"/>
  <c r="J1080" i="1"/>
  <c r="J1084" i="1"/>
  <c r="J1088" i="1"/>
  <c r="J1092" i="1"/>
  <c r="J1096" i="1"/>
  <c r="J1100" i="1"/>
  <c r="J1104" i="1"/>
  <c r="J1108" i="1"/>
  <c r="J1116" i="1"/>
  <c r="J1120" i="1"/>
  <c r="J1124" i="1"/>
  <c r="J1128" i="1"/>
  <c r="J1132" i="1"/>
  <c r="J1136" i="1"/>
  <c r="J1140" i="1"/>
  <c r="J1144" i="1"/>
  <c r="J1148" i="1"/>
  <c r="J1152" i="1"/>
  <c r="J1156" i="1"/>
  <c r="J1160" i="1"/>
  <c r="J1164" i="1"/>
  <c r="J1168" i="1"/>
  <c r="J1172" i="1"/>
  <c r="J1180" i="1"/>
  <c r="J1184" i="1"/>
  <c r="J1188" i="1"/>
  <c r="J1192" i="1"/>
  <c r="J1196" i="1"/>
  <c r="J1200" i="1"/>
  <c r="J1204" i="1"/>
  <c r="J1208" i="1"/>
  <c r="J1212" i="1"/>
  <c r="J1216" i="1"/>
  <c r="J1220" i="1"/>
  <c r="J1224" i="1"/>
  <c r="J1228" i="1"/>
  <c r="J1232" i="1"/>
  <c r="J1236" i="1"/>
  <c r="J1240" i="1"/>
  <c r="J1244" i="1"/>
  <c r="J1248" i="1"/>
  <c r="J1252" i="1"/>
  <c r="J1284" i="1"/>
  <c r="J1288" i="1"/>
  <c r="J1292" i="1"/>
  <c r="J1296" i="1"/>
  <c r="J1301" i="1"/>
  <c r="J1305" i="1"/>
  <c r="J1309" i="1"/>
  <c r="J1313" i="1"/>
  <c r="J1359" i="1"/>
  <c r="J1363" i="1"/>
  <c r="J1367" i="1"/>
  <c r="J1375" i="1"/>
  <c r="J1379" i="1"/>
  <c r="J1383" i="1"/>
  <c r="J1387" i="1"/>
  <c r="J1391" i="1"/>
  <c r="J1395" i="1"/>
  <c r="J1407" i="1"/>
  <c r="J1411" i="1"/>
  <c r="J1415" i="1"/>
  <c r="J1419" i="1"/>
  <c r="J1423" i="1"/>
  <c r="J1427" i="1"/>
  <c r="J1431" i="1"/>
  <c r="J1443" i="1"/>
  <c r="J1447" i="1"/>
  <c r="J1451" i="1"/>
  <c r="J1455" i="1"/>
  <c r="J1459" i="1"/>
  <c r="J1463" i="1"/>
  <c r="J1467" i="1"/>
  <c r="J1471" i="1"/>
  <c r="J1475" i="1"/>
  <c r="J1479" i="1"/>
  <c r="J1483" i="1"/>
  <c r="J1487" i="1"/>
  <c r="J1491" i="1"/>
  <c r="J1495" i="1"/>
  <c r="J1499" i="1"/>
  <c r="J1503" i="1"/>
  <c r="J1507" i="1"/>
  <c r="J1511" i="1"/>
  <c r="J1515" i="1"/>
  <c r="J1519" i="1"/>
  <c r="J1523" i="1"/>
  <c r="J1527" i="1"/>
  <c r="J1531" i="1"/>
  <c r="J1535" i="1"/>
  <c r="J1539" i="1"/>
  <c r="J1543" i="1"/>
  <c r="J1547" i="1"/>
  <c r="J1551" i="1"/>
  <c r="J1555" i="1"/>
  <c r="J1559" i="1"/>
  <c r="J1563" i="1"/>
  <c r="J1567" i="1"/>
  <c r="J1571" i="1"/>
  <c r="J1575" i="1"/>
  <c r="J1579" i="1"/>
  <c r="J1583" i="1"/>
  <c r="J1587" i="1"/>
  <c r="J1591" i="1"/>
  <c r="J1595" i="1"/>
  <c r="J1599" i="1"/>
  <c r="J1603" i="1"/>
  <c r="J1607" i="1"/>
  <c r="J1611" i="1"/>
  <c r="J1615" i="1"/>
  <c r="J1619" i="1"/>
  <c r="J1623" i="1"/>
  <c r="J1627" i="1"/>
  <c r="J1631" i="1"/>
  <c r="J1635" i="1"/>
  <c r="J1639" i="1"/>
  <c r="J1643" i="1"/>
  <c r="J1647" i="1"/>
  <c r="J1651" i="1"/>
  <c r="J1655" i="1"/>
  <c r="J1659" i="1"/>
  <c r="J1663" i="1"/>
  <c r="J1667" i="1"/>
  <c r="J1671" i="1"/>
  <c r="J1675" i="1"/>
  <c r="J1679" i="1"/>
  <c r="J1683" i="1"/>
  <c r="J1687" i="1"/>
  <c r="J1691" i="1"/>
  <c r="J1695" i="1"/>
  <c r="J1699" i="1"/>
  <c r="J1703" i="1"/>
  <c r="J1707" i="1"/>
  <c r="J1711" i="1"/>
  <c r="J1715" i="1"/>
  <c r="J1719" i="1"/>
  <c r="J1723" i="1"/>
  <c r="J1727" i="1"/>
  <c r="J1731" i="1"/>
  <c r="J1735" i="1"/>
  <c r="J1739" i="1"/>
  <c r="J1743" i="1"/>
  <c r="J1747" i="1"/>
  <c r="J1751" i="1"/>
  <c r="J1755" i="1"/>
  <c r="J1759" i="1"/>
  <c r="J1763" i="1"/>
  <c r="J1767" i="1"/>
  <c r="J1771" i="1"/>
  <c r="J1775" i="1"/>
  <c r="J1779" i="1"/>
  <c r="J1783" i="1"/>
  <c r="J1787" i="1"/>
  <c r="J1791" i="1"/>
  <c r="J1795" i="1"/>
  <c r="J1799" i="1"/>
  <c r="J1803" i="1"/>
  <c r="J1807" i="1"/>
  <c r="J1811" i="1"/>
  <c r="J1815" i="1"/>
  <c r="J1819" i="1"/>
  <c r="J1823" i="1"/>
  <c r="J1827" i="1"/>
  <c r="J1831" i="1"/>
  <c r="J1835" i="1"/>
  <c r="J1839" i="1"/>
  <c r="J1843" i="1"/>
  <c r="J1847" i="1"/>
  <c r="J1851" i="1"/>
  <c r="J1855" i="1"/>
  <c r="J1859" i="1"/>
  <c r="J1863" i="1"/>
  <c r="J2094" i="1"/>
  <c r="J2106" i="1"/>
  <c r="J2122" i="1"/>
  <c r="J2126" i="1"/>
  <c r="J2130" i="1"/>
  <c r="J2134" i="1"/>
  <c r="J2138" i="1"/>
  <c r="J2142" i="1"/>
  <c r="J2146" i="1"/>
  <c r="J2150" i="1"/>
  <c r="J2154" i="1"/>
  <c r="J2158" i="1"/>
  <c r="J2162" i="1"/>
  <c r="J2166" i="1"/>
  <c r="J2170" i="1"/>
  <c r="J2174" i="1"/>
  <c r="J2178" i="1"/>
  <c r="J2182" i="1"/>
  <c r="J2194" i="1"/>
  <c r="J2198" i="1"/>
  <c r="J2202" i="1"/>
  <c r="J2206" i="1"/>
  <c r="J2210" i="1"/>
  <c r="J2214" i="1"/>
  <c r="J2218" i="1"/>
  <c r="J2222" i="1"/>
  <c r="J2226" i="1"/>
  <c r="J2230" i="1"/>
  <c r="J2234" i="1"/>
  <c r="J2242" i="1"/>
  <c r="J2250" i="1"/>
  <c r="J2258" i="1"/>
  <c r="J2262" i="1"/>
  <c r="J2266" i="1"/>
  <c r="J2270" i="1"/>
  <c r="J2274" i="1"/>
  <c r="J2278" i="1"/>
  <c r="J2282" i="1"/>
  <c r="J2286" i="1"/>
  <c r="J2294" i="1"/>
  <c r="J2302" i="1"/>
  <c r="J2306" i="1"/>
  <c r="J2310" i="1"/>
  <c r="J2314" i="1"/>
  <c r="J2318" i="1"/>
  <c r="J2322" i="1"/>
  <c r="J2326" i="1"/>
  <c r="J2330" i="1"/>
  <c r="J2338" i="1"/>
  <c r="J2342" i="1"/>
  <c r="J2346" i="1"/>
  <c r="J2350" i="1"/>
  <c r="J2354" i="1"/>
  <c r="J2362" i="1"/>
  <c r="J2366" i="1"/>
  <c r="J2370" i="1"/>
  <c r="J2374" i="1"/>
  <c r="J2378" i="1"/>
  <c r="J2382" i="1"/>
  <c r="J2394" i="1"/>
  <c r="J2398" i="1"/>
  <c r="J2402" i="1"/>
  <c r="J2406" i="1"/>
  <c r="J2410" i="1"/>
  <c r="J2418" i="1"/>
  <c r="J2426" i="1"/>
  <c r="J2438" i="1"/>
  <c r="J2442" i="1"/>
  <c r="J2446" i="1"/>
  <c r="J2450" i="1"/>
  <c r="J2454" i="1"/>
  <c r="J2458" i="1"/>
  <c r="J2462" i="1"/>
  <c r="J2466" i="1"/>
  <c r="J2470" i="1"/>
  <c r="J2474" i="1"/>
  <c r="J2478" i="1"/>
  <c r="J2482" i="1"/>
  <c r="J2486" i="1"/>
  <c r="J2490" i="1"/>
  <c r="J2498" i="1"/>
  <c r="J2502" i="1"/>
  <c r="J2510" i="1"/>
  <c r="J2514" i="1"/>
  <c r="J2518" i="1"/>
  <c r="J2522" i="1"/>
  <c r="J2526" i="1"/>
  <c r="J2530" i="1"/>
  <c r="J2534" i="1"/>
  <c r="J2538" i="1"/>
  <c r="J2542" i="1"/>
  <c r="J2546" i="1"/>
  <c r="J2554" i="1"/>
  <c r="J2558" i="1"/>
  <c r="J2562" i="1"/>
  <c r="J2566" i="1"/>
  <c r="J2570" i="1"/>
  <c r="J2574" i="1"/>
  <c r="J2578" i="1"/>
  <c r="J2582" i="1"/>
  <c r="J2586" i="1"/>
  <c r="J2590" i="1"/>
  <c r="J2594" i="1"/>
  <c r="J2598" i="1"/>
  <c r="J2602" i="1"/>
  <c r="J2606" i="1"/>
  <c r="J2610" i="1"/>
  <c r="J1753" i="1"/>
  <c r="J1761" i="1"/>
  <c r="J1773" i="1"/>
  <c r="J1785" i="1"/>
  <c r="J1797" i="1"/>
  <c r="J1809" i="1"/>
  <c r="J1821" i="1"/>
  <c r="J1829" i="1"/>
  <c r="J1841" i="1"/>
  <c r="J1853" i="1"/>
  <c r="J2112" i="1"/>
  <c r="J2120" i="1"/>
  <c r="J2128" i="1"/>
  <c r="J2140" i="1"/>
  <c r="J2152" i="1"/>
  <c r="J2164" i="1"/>
  <c r="J2172" i="1"/>
  <c r="J2180" i="1"/>
  <c r="J2192" i="1"/>
  <c r="J2204" i="1"/>
  <c r="J2232" i="1"/>
  <c r="J2256" i="1"/>
  <c r="J2272" i="1"/>
  <c r="J2284" i="1"/>
  <c r="J2304" i="1"/>
  <c r="J2320" i="1"/>
  <c r="J2336" i="1"/>
  <c r="J2348" i="1"/>
  <c r="J2356" i="1"/>
  <c r="J2412" i="1"/>
  <c r="J2420" i="1"/>
  <c r="J2432" i="1"/>
  <c r="J2436" i="1"/>
  <c r="J2468" i="1"/>
  <c r="J2484" i="1"/>
  <c r="J2508" i="1"/>
  <c r="J2520" i="1"/>
  <c r="J2528" i="1"/>
  <c r="J2548" i="1"/>
  <c r="J2560" i="1"/>
  <c r="J2568" i="1"/>
  <c r="J2580" i="1"/>
  <c r="J2592" i="1"/>
  <c r="J2608" i="1"/>
  <c r="J186" i="1"/>
  <c r="K186" i="1" s="1"/>
  <c r="J190" i="1"/>
  <c r="K190" i="1" s="1"/>
  <c r="J194" i="1"/>
  <c r="K194" i="1" s="1"/>
  <c r="J198" i="1"/>
  <c r="K198" i="1" s="1"/>
  <c r="J202" i="1"/>
  <c r="K202" i="1" s="1"/>
  <c r="J206" i="1"/>
  <c r="K206" i="1" s="1"/>
  <c r="J210" i="1"/>
  <c r="K210" i="1" s="1"/>
  <c r="J214" i="1"/>
  <c r="K214" i="1" s="1"/>
  <c r="J218" i="1"/>
  <c r="K218" i="1" s="1"/>
  <c r="J222" i="1"/>
  <c r="K222" i="1" s="1"/>
  <c r="J226" i="1"/>
  <c r="K226" i="1" s="1"/>
  <c r="J230" i="1"/>
  <c r="K230" i="1" s="1"/>
  <c r="J234" i="1"/>
  <c r="K234" i="1" s="1"/>
  <c r="J238" i="1"/>
  <c r="K238" i="1" s="1"/>
  <c r="J242" i="1"/>
  <c r="K242" i="1" s="1"/>
  <c r="J246" i="1"/>
  <c r="K246" i="1" s="1"/>
  <c r="J250" i="1"/>
  <c r="K250" i="1" s="1"/>
  <c r="J254" i="1"/>
  <c r="K254" i="1" s="1"/>
  <c r="J258" i="1"/>
  <c r="K258" i="1" s="1"/>
  <c r="J262" i="1"/>
  <c r="K262" i="1" s="1"/>
  <c r="J266" i="1"/>
  <c r="K266" i="1" s="1"/>
  <c r="J270" i="1"/>
  <c r="K270" i="1" s="1"/>
  <c r="J274" i="1"/>
  <c r="K274" i="1" s="1"/>
  <c r="J278" i="1"/>
  <c r="K278" i="1" s="1"/>
  <c r="J282" i="1"/>
  <c r="K282" i="1" s="1"/>
  <c r="J286" i="1"/>
  <c r="K286" i="1" s="1"/>
  <c r="J290" i="1"/>
  <c r="K290" i="1" s="1"/>
  <c r="J294" i="1"/>
  <c r="K294" i="1" s="1"/>
  <c r="J298" i="1"/>
  <c r="K298" i="1" s="1"/>
  <c r="J302" i="1"/>
  <c r="K302" i="1" s="1"/>
  <c r="J306" i="1"/>
  <c r="K306" i="1" s="1"/>
  <c r="J310" i="1"/>
  <c r="K310" i="1" s="1"/>
  <c r="J314" i="1"/>
  <c r="K314" i="1" s="1"/>
  <c r="J318" i="1"/>
  <c r="K318" i="1" s="1"/>
  <c r="J322" i="1"/>
  <c r="K322" i="1" s="1"/>
  <c r="J326" i="1"/>
  <c r="K326" i="1" s="1"/>
  <c r="J330" i="1"/>
  <c r="K330" i="1" s="1"/>
  <c r="J334" i="1"/>
  <c r="K334" i="1" s="1"/>
  <c r="J338" i="1"/>
  <c r="K338" i="1" s="1"/>
  <c r="J342" i="1"/>
  <c r="K342" i="1" s="1"/>
  <c r="J346" i="1"/>
  <c r="K346" i="1" s="1"/>
  <c r="J350" i="1"/>
  <c r="K350" i="1" s="1"/>
  <c r="J354" i="1"/>
  <c r="K354" i="1" s="1"/>
  <c r="J358" i="1"/>
  <c r="K358" i="1" s="1"/>
  <c r="J362" i="1"/>
  <c r="K362" i="1" s="1"/>
  <c r="J366" i="1"/>
  <c r="K366" i="1" s="1"/>
  <c r="J370" i="1"/>
  <c r="K370" i="1" s="1"/>
  <c r="J374" i="1"/>
  <c r="K374" i="1" s="1"/>
  <c r="J378" i="1"/>
  <c r="K378" i="1" s="1"/>
  <c r="J382" i="1"/>
  <c r="K382" i="1" s="1"/>
  <c r="J386" i="1"/>
  <c r="K386" i="1" s="1"/>
  <c r="J390" i="1"/>
  <c r="K390" i="1" s="1"/>
  <c r="J394" i="1"/>
  <c r="K394" i="1" s="1"/>
  <c r="J398" i="1"/>
  <c r="K398" i="1" s="1"/>
  <c r="J402" i="1"/>
  <c r="K402" i="1" s="1"/>
  <c r="J406" i="1"/>
  <c r="K406" i="1" s="1"/>
  <c r="J410" i="1"/>
  <c r="K410" i="1" s="1"/>
  <c r="J414" i="1"/>
  <c r="K414" i="1" s="1"/>
  <c r="J418" i="1"/>
  <c r="K418" i="1" s="1"/>
  <c r="J422" i="1"/>
  <c r="K422" i="1" s="1"/>
  <c r="J426" i="1"/>
  <c r="K426" i="1" s="1"/>
  <c r="J430" i="1"/>
  <c r="K430" i="1" s="1"/>
  <c r="J434" i="1"/>
  <c r="K434" i="1" s="1"/>
  <c r="J438" i="1"/>
  <c r="K438" i="1" s="1"/>
  <c r="J442" i="1"/>
  <c r="K442" i="1" s="1"/>
  <c r="J446" i="1"/>
  <c r="K446" i="1" s="1"/>
  <c r="J450" i="1"/>
  <c r="K450" i="1" s="1"/>
  <c r="J454" i="1"/>
  <c r="K454" i="1" s="1"/>
  <c r="J458" i="1"/>
  <c r="K458" i="1" s="1"/>
  <c r="J462" i="1"/>
  <c r="K462" i="1" s="1"/>
  <c r="J466" i="1"/>
  <c r="K466" i="1" s="1"/>
  <c r="J470" i="1"/>
  <c r="K470" i="1" s="1"/>
  <c r="J474" i="1"/>
  <c r="K474" i="1" s="1"/>
  <c r="J478" i="1"/>
  <c r="K478" i="1" s="1"/>
  <c r="J482" i="1"/>
  <c r="K482" i="1" s="1"/>
  <c r="J486" i="1"/>
  <c r="K486" i="1" s="1"/>
  <c r="J490" i="1"/>
  <c r="K490" i="1" s="1"/>
  <c r="J494" i="1"/>
  <c r="K494" i="1" s="1"/>
  <c r="J498" i="1"/>
  <c r="K498" i="1" s="1"/>
  <c r="J502" i="1"/>
  <c r="K502" i="1" s="1"/>
  <c r="J506" i="1"/>
  <c r="K506" i="1" s="1"/>
  <c r="J510" i="1"/>
  <c r="K510" i="1" s="1"/>
  <c r="J514" i="1"/>
  <c r="K514" i="1" s="1"/>
  <c r="J518" i="1"/>
  <c r="K518" i="1" s="1"/>
  <c r="J522" i="1"/>
  <c r="K522" i="1" s="1"/>
  <c r="J526" i="1"/>
  <c r="K526" i="1" s="1"/>
  <c r="J530" i="1"/>
  <c r="K530" i="1" s="1"/>
  <c r="J534" i="1"/>
  <c r="K534" i="1" s="1"/>
  <c r="J538" i="1"/>
  <c r="K538" i="1" s="1"/>
  <c r="J542" i="1"/>
  <c r="K542" i="1" s="1"/>
  <c r="J546" i="1"/>
  <c r="K546" i="1" s="1"/>
  <c r="J550" i="1"/>
  <c r="K550" i="1" s="1"/>
  <c r="J573" i="1"/>
  <c r="J589" i="1"/>
  <c r="J613" i="1"/>
  <c r="J661" i="1"/>
  <c r="J705" i="1"/>
  <c r="J745" i="1"/>
  <c r="J749" i="1"/>
  <c r="J753" i="1"/>
  <c r="J757" i="1"/>
  <c r="J761" i="1"/>
  <c r="J765" i="1"/>
  <c r="J769" i="1"/>
  <c r="J773" i="1"/>
  <c r="J777" i="1"/>
  <c r="J781" i="1"/>
  <c r="J785" i="1"/>
  <c r="J789" i="1"/>
  <c r="J793" i="1"/>
  <c r="J797" i="1"/>
  <c r="J801" i="1"/>
  <c r="J805" i="1"/>
  <c r="J809" i="1"/>
  <c r="J813" i="1"/>
  <c r="J817" i="1"/>
  <c r="J821" i="1"/>
  <c r="J825" i="1"/>
  <c r="J829" i="1"/>
  <c r="J833" i="1"/>
  <c r="J837" i="1"/>
  <c r="J841" i="1"/>
  <c r="J845" i="1"/>
  <c r="J853" i="1"/>
  <c r="J857" i="1"/>
  <c r="J865" i="1"/>
  <c r="J869" i="1"/>
  <c r="J873" i="1"/>
  <c r="J881" i="1"/>
  <c r="J885" i="1"/>
  <c r="J889" i="1"/>
  <c r="J893" i="1"/>
  <c r="J897" i="1"/>
  <c r="J921" i="1"/>
  <c r="J937" i="1"/>
  <c r="J945" i="1"/>
  <c r="J949" i="1"/>
  <c r="J953" i="1"/>
  <c r="J957" i="1"/>
  <c r="J961" i="1"/>
  <c r="J965" i="1"/>
  <c r="J969" i="1"/>
  <c r="J973" i="1"/>
  <c r="J977" i="1"/>
  <c r="J981" i="1"/>
  <c r="J985" i="1"/>
  <c r="J989" i="1"/>
  <c r="J993" i="1"/>
  <c r="J997" i="1"/>
  <c r="J1001" i="1"/>
  <c r="J1005" i="1"/>
  <c r="J1009" i="1"/>
  <c r="J1013" i="1"/>
  <c r="J1017" i="1"/>
  <c r="J1021" i="1"/>
  <c r="J1025" i="1"/>
  <c r="J1029" i="1"/>
  <c r="J1033" i="1"/>
  <c r="J1037" i="1"/>
  <c r="J1041" i="1"/>
  <c r="J1045" i="1"/>
  <c r="J1049" i="1"/>
  <c r="J1053" i="1"/>
  <c r="J1057" i="1"/>
  <c r="J1061" i="1"/>
  <c r="J1065" i="1"/>
  <c r="J1069" i="1"/>
  <c r="J1073" i="1"/>
  <c r="J1077" i="1"/>
  <c r="J1081" i="1"/>
  <c r="J1085" i="1"/>
  <c r="J1089" i="1"/>
  <c r="J1093" i="1"/>
  <c r="J1097" i="1"/>
  <c r="J1101" i="1"/>
  <c r="J1105" i="1"/>
  <c r="J1109" i="1"/>
  <c r="J1113" i="1"/>
  <c r="J1117" i="1"/>
  <c r="J1121" i="1"/>
  <c r="J1125" i="1"/>
  <c r="J1129" i="1"/>
  <c r="J1133" i="1"/>
  <c r="J1141" i="1"/>
  <c r="J1145" i="1"/>
  <c r="J1149" i="1"/>
  <c r="J1157" i="1"/>
  <c r="J1161" i="1"/>
  <c r="J1165" i="1"/>
  <c r="J1169" i="1"/>
  <c r="J1173" i="1"/>
  <c r="J1177" i="1"/>
  <c r="J1181" i="1"/>
  <c r="J1185" i="1"/>
  <c r="J1189" i="1"/>
  <c r="J1193" i="1"/>
  <c r="J1197" i="1"/>
  <c r="J1201" i="1"/>
  <c r="J1205" i="1"/>
  <c r="J1209" i="1"/>
  <c r="J1213" i="1"/>
  <c r="J1217" i="1"/>
  <c r="J1221" i="1"/>
  <c r="J1225" i="1"/>
  <c r="J1229" i="1"/>
  <c r="J1233" i="1"/>
  <c r="J1237" i="1"/>
  <c r="J1241" i="1"/>
  <c r="J1245" i="1"/>
  <c r="J1249" i="1"/>
  <c r="J1253" i="1"/>
  <c r="J1289" i="1"/>
  <c r="J1293" i="1"/>
  <c r="J1297" i="1"/>
  <c r="J1302" i="1"/>
  <c r="J1306" i="1"/>
  <c r="J1310" i="1"/>
  <c r="J1314" i="1"/>
  <c r="J1356" i="1"/>
  <c r="J1360" i="1"/>
  <c r="J1364" i="1"/>
  <c r="J1368" i="1"/>
  <c r="J1380" i="1"/>
  <c r="J1404" i="1"/>
  <c r="J1408" i="1"/>
  <c r="J1412" i="1"/>
  <c r="J1416" i="1"/>
  <c r="J1424" i="1"/>
  <c r="J1428" i="1"/>
  <c r="J1444" i="1"/>
  <c r="J1448" i="1"/>
  <c r="J1452" i="1"/>
  <c r="J1456" i="1"/>
  <c r="J1460" i="1"/>
  <c r="J1464" i="1"/>
  <c r="J1468" i="1"/>
  <c r="J1472" i="1"/>
  <c r="J1476" i="1"/>
  <c r="J1480" i="1"/>
  <c r="J1484" i="1"/>
  <c r="J1488" i="1"/>
  <c r="J1492" i="1"/>
  <c r="J1496" i="1"/>
  <c r="J1500" i="1"/>
  <c r="J1504" i="1"/>
  <c r="J1508" i="1"/>
  <c r="J1512" i="1"/>
  <c r="J1516" i="1"/>
  <c r="J1520" i="1"/>
  <c r="J1524" i="1"/>
  <c r="J1528" i="1"/>
  <c r="J1532" i="1"/>
  <c r="J1536" i="1"/>
  <c r="J1540" i="1"/>
  <c r="J1544" i="1"/>
  <c r="J1548" i="1"/>
  <c r="J1552" i="1"/>
  <c r="J1556" i="1"/>
  <c r="J1560" i="1"/>
  <c r="J1564" i="1"/>
  <c r="J1568" i="1"/>
  <c r="J1572" i="1"/>
  <c r="J1576" i="1"/>
  <c r="J1580" i="1"/>
  <c r="J1584" i="1"/>
  <c r="J1588" i="1"/>
  <c r="J1592" i="1"/>
  <c r="J1596" i="1"/>
  <c r="J1600" i="1"/>
  <c r="J1604" i="1"/>
  <c r="J1608" i="1"/>
  <c r="J1612" i="1"/>
  <c r="J1616" i="1"/>
  <c r="J1620" i="1"/>
  <c r="J1624" i="1"/>
  <c r="J1628" i="1"/>
  <c r="J1632" i="1"/>
  <c r="J1636" i="1"/>
  <c r="J1640" i="1"/>
  <c r="J1644" i="1"/>
  <c r="J1648" i="1"/>
  <c r="J1652" i="1"/>
  <c r="J1656" i="1"/>
  <c r="J1660" i="1"/>
  <c r="J1664" i="1"/>
  <c r="J1668" i="1"/>
  <c r="J1672" i="1"/>
  <c r="J1676" i="1"/>
  <c r="J1680" i="1"/>
  <c r="J1684" i="1"/>
  <c r="J1688" i="1"/>
  <c r="J1692" i="1"/>
  <c r="J1696" i="1"/>
  <c r="J1700" i="1"/>
  <c r="J1704" i="1"/>
  <c r="J1708" i="1"/>
  <c r="J1712" i="1"/>
  <c r="J1716" i="1"/>
  <c r="J1720" i="1"/>
  <c r="J1724" i="1"/>
  <c r="J1728" i="1"/>
  <c r="J1732" i="1"/>
  <c r="J1736" i="1"/>
  <c r="J1740" i="1"/>
  <c r="J1744" i="1"/>
  <c r="J1748" i="1"/>
  <c r="J1752" i="1"/>
  <c r="J1756" i="1"/>
  <c r="J1760" i="1"/>
  <c r="J1764" i="1"/>
  <c r="J1768" i="1"/>
  <c r="J1772" i="1"/>
  <c r="J1776" i="1"/>
  <c r="J1780" i="1"/>
  <c r="J1784" i="1"/>
  <c r="J1788" i="1"/>
  <c r="J1792" i="1"/>
  <c r="J1796" i="1"/>
  <c r="J1800" i="1"/>
  <c r="J1804" i="1"/>
  <c r="J1808" i="1"/>
  <c r="J1812" i="1"/>
  <c r="J1816" i="1"/>
  <c r="J1820" i="1"/>
  <c r="J1824" i="1"/>
  <c r="J1828" i="1"/>
  <c r="J1832" i="1"/>
  <c r="J1836" i="1"/>
  <c r="J1840" i="1"/>
  <c r="J1844" i="1"/>
  <c r="J1848" i="1"/>
  <c r="J1852" i="1"/>
  <c r="J1856" i="1"/>
  <c r="J1860" i="1"/>
  <c r="J1864" i="1"/>
  <c r="J2063" i="1"/>
  <c r="J2087" i="1"/>
  <c r="J2091" i="1"/>
  <c r="J2099" i="1"/>
  <c r="J2103" i="1"/>
  <c r="J2115" i="1"/>
  <c r="J2123" i="1"/>
  <c r="J2127" i="1"/>
  <c r="J2131" i="1"/>
  <c r="J2135" i="1"/>
  <c r="J2139" i="1"/>
  <c r="J2143" i="1"/>
  <c r="J2147" i="1"/>
  <c r="J2151" i="1"/>
  <c r="J2155" i="1"/>
  <c r="J2163" i="1"/>
  <c r="J2167" i="1"/>
  <c r="J2171" i="1"/>
  <c r="J2175" i="1"/>
  <c r="J2183" i="1"/>
  <c r="J2187" i="1"/>
  <c r="J2191" i="1"/>
  <c r="J2199" i="1"/>
  <c r="J2203" i="1"/>
  <c r="J2207" i="1"/>
  <c r="J2215" i="1"/>
  <c r="J2219" i="1"/>
  <c r="J2223" i="1"/>
  <c r="J2227" i="1"/>
  <c r="J2235" i="1"/>
  <c r="J2239" i="1"/>
  <c r="J2243" i="1"/>
  <c r="J2247" i="1"/>
  <c r="J2251" i="1"/>
  <c r="J2255" i="1"/>
  <c r="J2259" i="1"/>
  <c r="J2267" i="1"/>
  <c r="J2275" i="1"/>
  <c r="J2279" i="1"/>
  <c r="J2283" i="1"/>
  <c r="J2287" i="1"/>
  <c r="J2291" i="1"/>
  <c r="J2295" i="1"/>
  <c r="J2299" i="1"/>
  <c r="J2303" i="1"/>
  <c r="J2307" i="1"/>
  <c r="J2311" i="1"/>
  <c r="J2315" i="1"/>
  <c r="J2319" i="1"/>
  <c r="J2335" i="1"/>
  <c r="J2339" i="1"/>
  <c r="J2343" i="1"/>
  <c r="J2347" i="1"/>
  <c r="J2351" i="1"/>
  <c r="J2355" i="1"/>
  <c r="J2359" i="1"/>
  <c r="J2371" i="1"/>
  <c r="J2379" i="1"/>
  <c r="J2383" i="1"/>
  <c r="J2387" i="1"/>
  <c r="J2391" i="1"/>
  <c r="J2395" i="1"/>
  <c r="J2399" i="1"/>
  <c r="J2403" i="1"/>
  <c r="J2407" i="1"/>
  <c r="J2411" i="1"/>
  <c r="J2419" i="1"/>
  <c r="J2423" i="1"/>
  <c r="J2427" i="1"/>
  <c r="J2447" i="1"/>
  <c r="J2451" i="1"/>
  <c r="J2455" i="1"/>
  <c r="J2459" i="1"/>
  <c r="J2467" i="1"/>
  <c r="J2471" i="1"/>
  <c r="J2475" i="1"/>
  <c r="J2483" i="1"/>
  <c r="J2487" i="1"/>
  <c r="J2495" i="1"/>
  <c r="J2499" i="1"/>
  <c r="J2503" i="1"/>
  <c r="J2507" i="1"/>
  <c r="J2511" i="1"/>
  <c r="J2519" i="1"/>
  <c r="J2523" i="1"/>
  <c r="J2527" i="1"/>
  <c r="J2531" i="1"/>
  <c r="J2539" i="1"/>
  <c r="J2547" i="1"/>
  <c r="J2551" i="1"/>
  <c r="J2555" i="1"/>
  <c r="J2559" i="1"/>
  <c r="J2563" i="1"/>
  <c r="J2567" i="1"/>
  <c r="J2571" i="1"/>
  <c r="J2575" i="1"/>
  <c r="J2579" i="1"/>
  <c r="J2583" i="1"/>
  <c r="J2587" i="1"/>
  <c r="J2591" i="1"/>
  <c r="J2595" i="1"/>
  <c r="J2599" i="1"/>
  <c r="J2603" i="1"/>
  <c r="J2607" i="1"/>
  <c r="J2611" i="1"/>
  <c r="L59" i="1"/>
  <c r="L58" i="1"/>
  <c r="P1273" i="1" l="1"/>
  <c r="N1273" i="1"/>
  <c r="P1272" i="1"/>
  <c r="N1272" i="1"/>
  <c r="L1272" i="1"/>
  <c r="P1271" i="1"/>
  <c r="L1271" i="1"/>
  <c r="S1271" i="1" l="1"/>
  <c r="S1272" i="1"/>
  <c r="R1272" i="1"/>
  <c r="L1273" i="1"/>
  <c r="S1273" i="1" s="1"/>
  <c r="R1271" i="1" l="1"/>
  <c r="R1273" i="1"/>
  <c r="J3219" i="1"/>
  <c r="I3219" i="1"/>
  <c r="H3219" i="1"/>
  <c r="P3217" i="1"/>
  <c r="N3217" i="1"/>
  <c r="K3217" i="1"/>
  <c r="P3216" i="1"/>
  <c r="N3216" i="1"/>
  <c r="K3216" i="1"/>
  <c r="P3215" i="1"/>
  <c r="N3215" i="1"/>
  <c r="K3215" i="1"/>
  <c r="P3214" i="1"/>
  <c r="N3214" i="1"/>
  <c r="K3214" i="1"/>
  <c r="P3213" i="1"/>
  <c r="N3213" i="1"/>
  <c r="K3213" i="1"/>
  <c r="P3212" i="1"/>
  <c r="N3212" i="1"/>
  <c r="K3212" i="1"/>
  <c r="P3211" i="1"/>
  <c r="N3211" i="1"/>
  <c r="K3211" i="1"/>
  <c r="P3210" i="1"/>
  <c r="N3210" i="1"/>
  <c r="K3210" i="1"/>
  <c r="P3209" i="1"/>
  <c r="N3209" i="1"/>
  <c r="K3209" i="1"/>
  <c r="P3208" i="1"/>
  <c r="N3208" i="1"/>
  <c r="K3208" i="1"/>
  <c r="P3207" i="1"/>
  <c r="N3207" i="1"/>
  <c r="K3207" i="1"/>
  <c r="P3206" i="1"/>
  <c r="N3206" i="1"/>
  <c r="K3206" i="1"/>
  <c r="P3205" i="1"/>
  <c r="N3205" i="1"/>
  <c r="K3205" i="1"/>
  <c r="P3204" i="1"/>
  <c r="N3204" i="1"/>
  <c r="K3204" i="1"/>
  <c r="P3203" i="1"/>
  <c r="N3203" i="1"/>
  <c r="K3203" i="1"/>
  <c r="P3202" i="1"/>
  <c r="N3202" i="1"/>
  <c r="K3202" i="1"/>
  <c r="P3201" i="1"/>
  <c r="N3201" i="1"/>
  <c r="K3201" i="1"/>
  <c r="P3200" i="1"/>
  <c r="N3200" i="1"/>
  <c r="K3200" i="1"/>
  <c r="P3199" i="1"/>
  <c r="N3199" i="1"/>
  <c r="K3199" i="1"/>
  <c r="P3198" i="1"/>
  <c r="N3198" i="1"/>
  <c r="K3198" i="1"/>
  <c r="P3197" i="1"/>
  <c r="N3197" i="1"/>
  <c r="K3197" i="1"/>
  <c r="P3196" i="1"/>
  <c r="N3196" i="1"/>
  <c r="K3196" i="1"/>
  <c r="P3195" i="1"/>
  <c r="N3195" i="1"/>
  <c r="K3195" i="1"/>
  <c r="P3194" i="1"/>
  <c r="N3194" i="1"/>
  <c r="K3194" i="1"/>
  <c r="P3193" i="1"/>
  <c r="N3193" i="1"/>
  <c r="K3193" i="1"/>
  <c r="P3192" i="1"/>
  <c r="N3192" i="1"/>
  <c r="K3192" i="1"/>
  <c r="P3191" i="1"/>
  <c r="N3191" i="1"/>
  <c r="K3191" i="1"/>
  <c r="P3190" i="1"/>
  <c r="N3190" i="1"/>
  <c r="K3190" i="1"/>
  <c r="P3189" i="1"/>
  <c r="N3189" i="1"/>
  <c r="K3189" i="1"/>
  <c r="P3188" i="1"/>
  <c r="N3188" i="1"/>
  <c r="K3188" i="1"/>
  <c r="P3187" i="1"/>
  <c r="N3187" i="1"/>
  <c r="K3187" i="1"/>
  <c r="P3186" i="1"/>
  <c r="N3186" i="1"/>
  <c r="K3186" i="1"/>
  <c r="P3185" i="1"/>
  <c r="N3185" i="1"/>
  <c r="K3185" i="1"/>
  <c r="P3184" i="1"/>
  <c r="N3184" i="1"/>
  <c r="K3184" i="1"/>
  <c r="P3183" i="1"/>
  <c r="N3183" i="1"/>
  <c r="K3183" i="1"/>
  <c r="P3182" i="1"/>
  <c r="N3182" i="1"/>
  <c r="K3182" i="1"/>
  <c r="P3181" i="1"/>
  <c r="N3181" i="1"/>
  <c r="K3181" i="1"/>
  <c r="P3180" i="1"/>
  <c r="N3180" i="1"/>
  <c r="K3180" i="1"/>
  <c r="P3179" i="1"/>
  <c r="N3179" i="1"/>
  <c r="K3179" i="1"/>
  <c r="P3178" i="1"/>
  <c r="N3178" i="1"/>
  <c r="K3178" i="1"/>
  <c r="P3177" i="1"/>
  <c r="N3177" i="1"/>
  <c r="K3177" i="1"/>
  <c r="P3176" i="1"/>
  <c r="N3176" i="1"/>
  <c r="K3176" i="1"/>
  <c r="P3175" i="1"/>
  <c r="N3175" i="1"/>
  <c r="K3175" i="1"/>
  <c r="P3174" i="1"/>
  <c r="N3174" i="1"/>
  <c r="K3174" i="1"/>
  <c r="P3173" i="1"/>
  <c r="N3173" i="1"/>
  <c r="K3173" i="1"/>
  <c r="P3172" i="1"/>
  <c r="N3172" i="1"/>
  <c r="K3172" i="1"/>
  <c r="P3171" i="1"/>
  <c r="N3171" i="1"/>
  <c r="K3171" i="1"/>
  <c r="P3170" i="1"/>
  <c r="N3170" i="1"/>
  <c r="K3170" i="1"/>
  <c r="P3169" i="1"/>
  <c r="N3169" i="1"/>
  <c r="K3169" i="1"/>
  <c r="P3168" i="1"/>
  <c r="N3168" i="1"/>
  <c r="K3168" i="1"/>
  <c r="P3167" i="1"/>
  <c r="N3167" i="1"/>
  <c r="K3167" i="1"/>
  <c r="P3166" i="1"/>
  <c r="N3166" i="1"/>
  <c r="K3166" i="1"/>
  <c r="P3165" i="1"/>
  <c r="N3165" i="1"/>
  <c r="K3165" i="1"/>
  <c r="P3164" i="1"/>
  <c r="N3164" i="1"/>
  <c r="K3164" i="1"/>
  <c r="P3163" i="1"/>
  <c r="N3163" i="1"/>
  <c r="K3163" i="1"/>
  <c r="P3162" i="1"/>
  <c r="N3162" i="1"/>
  <c r="K3162" i="1"/>
  <c r="P3161" i="1"/>
  <c r="N3161" i="1"/>
  <c r="K3161" i="1"/>
  <c r="P3160" i="1"/>
  <c r="N3160" i="1"/>
  <c r="K3160" i="1"/>
  <c r="P3159" i="1"/>
  <c r="N3159" i="1"/>
  <c r="K3159" i="1"/>
  <c r="P3158" i="1"/>
  <c r="N3158" i="1"/>
  <c r="K3158" i="1"/>
  <c r="P3157" i="1"/>
  <c r="N3157" i="1"/>
  <c r="K3157" i="1"/>
  <c r="P3156" i="1"/>
  <c r="N3156" i="1"/>
  <c r="K3156" i="1"/>
  <c r="P3155" i="1"/>
  <c r="N3155" i="1"/>
  <c r="K3155" i="1"/>
  <c r="P3154" i="1"/>
  <c r="N3154" i="1"/>
  <c r="K3154" i="1"/>
  <c r="P3153" i="1"/>
  <c r="N3153" i="1"/>
  <c r="K3153" i="1"/>
  <c r="P3152" i="1"/>
  <c r="N3152" i="1"/>
  <c r="K3152" i="1"/>
  <c r="P3151" i="1"/>
  <c r="N3151" i="1"/>
  <c r="K3151" i="1"/>
  <c r="P3150" i="1"/>
  <c r="N3150" i="1"/>
  <c r="K3150" i="1"/>
  <c r="P3149" i="1"/>
  <c r="N3149" i="1"/>
  <c r="K3149" i="1"/>
  <c r="P3148" i="1"/>
  <c r="N3148" i="1"/>
  <c r="K3148" i="1"/>
  <c r="P3147" i="1"/>
  <c r="N3147" i="1"/>
  <c r="K3147" i="1"/>
  <c r="P3146" i="1"/>
  <c r="N3146" i="1"/>
  <c r="K3146" i="1"/>
  <c r="P3145" i="1"/>
  <c r="N3145" i="1"/>
  <c r="K3145" i="1"/>
  <c r="P3144" i="1"/>
  <c r="N3144" i="1"/>
  <c r="K3144" i="1"/>
  <c r="P3143" i="1"/>
  <c r="N3143" i="1"/>
  <c r="K3143" i="1"/>
  <c r="P3142" i="1"/>
  <c r="N3142" i="1"/>
  <c r="K3142" i="1"/>
  <c r="P3141" i="1"/>
  <c r="N3141" i="1"/>
  <c r="K3141" i="1"/>
  <c r="P3140" i="1"/>
  <c r="N3140" i="1"/>
  <c r="K3140" i="1"/>
  <c r="P3139" i="1"/>
  <c r="N3139" i="1"/>
  <c r="K3139" i="1"/>
  <c r="P3138" i="1"/>
  <c r="N3138" i="1"/>
  <c r="K3138" i="1"/>
  <c r="P3137" i="1"/>
  <c r="N3137" i="1"/>
  <c r="K3137" i="1"/>
  <c r="P3136" i="1"/>
  <c r="N3136" i="1"/>
  <c r="K3136" i="1"/>
  <c r="P3135" i="1"/>
  <c r="N3135" i="1"/>
  <c r="K3135" i="1"/>
  <c r="P3134" i="1"/>
  <c r="N3134" i="1"/>
  <c r="K3134" i="1"/>
  <c r="P3133" i="1"/>
  <c r="N3133" i="1"/>
  <c r="K3133" i="1"/>
  <c r="P3132" i="1"/>
  <c r="N3132" i="1"/>
  <c r="K3132" i="1"/>
  <c r="P3131" i="1"/>
  <c r="N3131" i="1"/>
  <c r="K3131" i="1"/>
  <c r="P3130" i="1"/>
  <c r="N3130" i="1"/>
  <c r="K3130" i="1"/>
  <c r="P3129" i="1"/>
  <c r="N3129" i="1"/>
  <c r="K3129" i="1"/>
  <c r="P3128" i="1"/>
  <c r="N3128" i="1"/>
  <c r="K3128" i="1"/>
  <c r="P3127" i="1"/>
  <c r="N3127" i="1"/>
  <c r="K3127" i="1"/>
  <c r="P3126" i="1"/>
  <c r="N3126" i="1"/>
  <c r="K3126" i="1"/>
  <c r="P3125" i="1"/>
  <c r="N3125" i="1"/>
  <c r="K3125" i="1"/>
  <c r="P3124" i="1"/>
  <c r="N3124" i="1"/>
  <c r="K3124" i="1"/>
  <c r="P3123" i="1"/>
  <c r="N3123" i="1"/>
  <c r="K3123" i="1"/>
  <c r="P3122" i="1"/>
  <c r="N3122" i="1"/>
  <c r="K3122" i="1"/>
  <c r="P3121" i="1"/>
  <c r="N3121" i="1"/>
  <c r="K3121" i="1"/>
  <c r="P3120" i="1"/>
  <c r="N3120" i="1"/>
  <c r="K3120" i="1"/>
  <c r="P3119" i="1"/>
  <c r="N3119" i="1"/>
  <c r="K3119" i="1"/>
  <c r="P3118" i="1"/>
  <c r="N3118" i="1"/>
  <c r="K3118" i="1"/>
  <c r="P3117" i="1"/>
  <c r="N3117" i="1"/>
  <c r="K3117" i="1"/>
  <c r="P3116" i="1"/>
  <c r="N3116" i="1"/>
  <c r="K3116" i="1"/>
  <c r="P3115" i="1"/>
  <c r="N3115" i="1"/>
  <c r="K3115" i="1"/>
  <c r="P3114" i="1"/>
  <c r="N3114" i="1"/>
  <c r="K3114" i="1"/>
  <c r="P3113" i="1"/>
  <c r="N3113" i="1"/>
  <c r="K3113" i="1"/>
  <c r="P3112" i="1"/>
  <c r="N3112" i="1"/>
  <c r="K3112" i="1"/>
  <c r="P3111" i="1"/>
  <c r="N3111" i="1"/>
  <c r="K3111" i="1"/>
  <c r="P3110" i="1"/>
  <c r="N3110" i="1"/>
  <c r="K3110" i="1"/>
  <c r="P3109" i="1"/>
  <c r="N3109" i="1"/>
  <c r="K3109" i="1"/>
  <c r="P3108" i="1"/>
  <c r="N3108" i="1"/>
  <c r="K3108" i="1"/>
  <c r="P3107" i="1"/>
  <c r="N3107" i="1"/>
  <c r="K3107" i="1"/>
  <c r="P3106" i="1"/>
  <c r="N3106" i="1"/>
  <c r="K3106" i="1"/>
  <c r="P3105" i="1"/>
  <c r="N3105" i="1"/>
  <c r="K3105" i="1"/>
  <c r="P3104" i="1"/>
  <c r="N3104" i="1"/>
  <c r="K3104" i="1"/>
  <c r="P3103" i="1"/>
  <c r="N3103" i="1"/>
  <c r="K3103" i="1"/>
  <c r="P3102" i="1"/>
  <c r="N3102" i="1"/>
  <c r="K3102" i="1"/>
  <c r="P3101" i="1"/>
  <c r="N3101" i="1"/>
  <c r="K3101" i="1"/>
  <c r="P3100" i="1"/>
  <c r="N3100" i="1"/>
  <c r="K3100" i="1"/>
  <c r="P3099" i="1"/>
  <c r="N3099" i="1"/>
  <c r="K3099" i="1"/>
  <c r="P3098" i="1"/>
  <c r="N3098" i="1"/>
  <c r="K3098" i="1"/>
  <c r="P3097" i="1"/>
  <c r="N3097" i="1"/>
  <c r="K3097" i="1"/>
  <c r="P3096" i="1"/>
  <c r="N3096" i="1"/>
  <c r="K3096" i="1"/>
  <c r="P3095" i="1"/>
  <c r="N3095" i="1"/>
  <c r="K3095" i="1"/>
  <c r="A3095" i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R3094" i="1"/>
  <c r="P3094" i="1"/>
  <c r="N3094" i="1"/>
  <c r="K3094" i="1"/>
  <c r="J3087" i="1"/>
  <c r="I3087" i="1"/>
  <c r="H3087" i="1"/>
  <c r="P3085" i="1"/>
  <c r="N3085" i="1"/>
  <c r="K3085" i="1"/>
  <c r="P3084" i="1"/>
  <c r="N3084" i="1"/>
  <c r="K3084" i="1"/>
  <c r="P3083" i="1"/>
  <c r="N3083" i="1"/>
  <c r="K3083" i="1"/>
  <c r="P3082" i="1"/>
  <c r="N3082" i="1"/>
  <c r="K3082" i="1"/>
  <c r="P3081" i="1"/>
  <c r="N3081" i="1"/>
  <c r="K3081" i="1"/>
  <c r="P3080" i="1"/>
  <c r="N3080" i="1"/>
  <c r="K3080" i="1"/>
  <c r="P3079" i="1"/>
  <c r="N3079" i="1"/>
  <c r="K3079" i="1"/>
  <c r="P3078" i="1"/>
  <c r="N3078" i="1"/>
  <c r="K3078" i="1"/>
  <c r="P3077" i="1"/>
  <c r="N3077" i="1"/>
  <c r="K3077" i="1"/>
  <c r="P3076" i="1"/>
  <c r="N3076" i="1"/>
  <c r="K3076" i="1"/>
  <c r="P3075" i="1"/>
  <c r="N3075" i="1"/>
  <c r="K3075" i="1"/>
  <c r="P3074" i="1"/>
  <c r="N3074" i="1"/>
  <c r="K3074" i="1"/>
  <c r="P3073" i="1"/>
  <c r="N3073" i="1"/>
  <c r="K3073" i="1"/>
  <c r="P3072" i="1"/>
  <c r="N3072" i="1"/>
  <c r="K3072" i="1"/>
  <c r="P3071" i="1"/>
  <c r="N3071" i="1"/>
  <c r="K3071" i="1"/>
  <c r="P3070" i="1"/>
  <c r="N3070" i="1"/>
  <c r="K3070" i="1"/>
  <c r="P3069" i="1"/>
  <c r="N3069" i="1"/>
  <c r="K3069" i="1"/>
  <c r="P3068" i="1"/>
  <c r="N3068" i="1"/>
  <c r="K3068" i="1"/>
  <c r="P3067" i="1"/>
  <c r="N3067" i="1"/>
  <c r="K3067" i="1"/>
  <c r="P3066" i="1"/>
  <c r="N3066" i="1"/>
  <c r="K3066" i="1"/>
  <c r="P3065" i="1"/>
  <c r="N3065" i="1"/>
  <c r="K3065" i="1"/>
  <c r="P3064" i="1"/>
  <c r="N3064" i="1"/>
  <c r="K3064" i="1"/>
  <c r="P3063" i="1"/>
  <c r="N3063" i="1"/>
  <c r="K3063" i="1"/>
  <c r="P3062" i="1"/>
  <c r="N3062" i="1"/>
  <c r="K3062" i="1"/>
  <c r="P3061" i="1"/>
  <c r="N3061" i="1"/>
  <c r="K3061" i="1"/>
  <c r="P3060" i="1"/>
  <c r="N3060" i="1"/>
  <c r="K3060" i="1"/>
  <c r="P3059" i="1"/>
  <c r="N3059" i="1"/>
  <c r="K3059" i="1"/>
  <c r="P3058" i="1"/>
  <c r="N3058" i="1"/>
  <c r="K3058" i="1"/>
  <c r="P3057" i="1"/>
  <c r="N3057" i="1"/>
  <c r="K3057" i="1"/>
  <c r="P3056" i="1"/>
  <c r="N3056" i="1"/>
  <c r="K3056" i="1"/>
  <c r="P3055" i="1"/>
  <c r="N3055" i="1"/>
  <c r="K3055" i="1"/>
  <c r="P3054" i="1"/>
  <c r="N3054" i="1"/>
  <c r="K3054" i="1"/>
  <c r="P3053" i="1"/>
  <c r="N3053" i="1"/>
  <c r="K3053" i="1"/>
  <c r="P3052" i="1"/>
  <c r="N3052" i="1"/>
  <c r="K3052" i="1"/>
  <c r="P3051" i="1"/>
  <c r="N3051" i="1"/>
  <c r="K3051" i="1"/>
  <c r="P3050" i="1"/>
  <c r="N3050" i="1"/>
  <c r="K3050" i="1"/>
  <c r="P3049" i="1"/>
  <c r="N3049" i="1"/>
  <c r="K3049" i="1"/>
  <c r="P3048" i="1"/>
  <c r="N3048" i="1"/>
  <c r="K3048" i="1"/>
  <c r="P3047" i="1"/>
  <c r="N3047" i="1"/>
  <c r="K3047" i="1"/>
  <c r="P3046" i="1"/>
  <c r="N3046" i="1"/>
  <c r="K3046" i="1"/>
  <c r="P3045" i="1"/>
  <c r="N3045" i="1"/>
  <c r="K3045" i="1"/>
  <c r="P3044" i="1"/>
  <c r="N3044" i="1"/>
  <c r="K3044" i="1"/>
  <c r="P3043" i="1"/>
  <c r="N3043" i="1"/>
  <c r="K3043" i="1"/>
  <c r="P3042" i="1"/>
  <c r="N3042" i="1"/>
  <c r="K3042" i="1"/>
  <c r="P3041" i="1"/>
  <c r="N3041" i="1"/>
  <c r="K3041" i="1"/>
  <c r="P3040" i="1"/>
  <c r="N3040" i="1"/>
  <c r="K3040" i="1"/>
  <c r="P3039" i="1"/>
  <c r="N3039" i="1"/>
  <c r="K3039" i="1"/>
  <c r="P3038" i="1"/>
  <c r="N3038" i="1"/>
  <c r="K3038" i="1"/>
  <c r="P3037" i="1"/>
  <c r="N3037" i="1"/>
  <c r="K3037" i="1"/>
  <c r="P3036" i="1"/>
  <c r="N3036" i="1"/>
  <c r="K3036" i="1"/>
  <c r="P3035" i="1"/>
  <c r="N3035" i="1"/>
  <c r="K3035" i="1"/>
  <c r="P3034" i="1"/>
  <c r="N3034" i="1"/>
  <c r="K3034" i="1"/>
  <c r="P3033" i="1"/>
  <c r="N3033" i="1"/>
  <c r="K3033" i="1"/>
  <c r="P3032" i="1"/>
  <c r="N3032" i="1"/>
  <c r="K3032" i="1"/>
  <c r="P3031" i="1"/>
  <c r="N3031" i="1"/>
  <c r="K3031" i="1"/>
  <c r="P3030" i="1"/>
  <c r="N3030" i="1"/>
  <c r="K3030" i="1"/>
  <c r="P3029" i="1"/>
  <c r="N3029" i="1"/>
  <c r="K3029" i="1"/>
  <c r="P3028" i="1"/>
  <c r="N3028" i="1"/>
  <c r="K3028" i="1"/>
  <c r="P3027" i="1"/>
  <c r="N3027" i="1"/>
  <c r="K3027" i="1"/>
  <c r="P3026" i="1"/>
  <c r="N3026" i="1"/>
  <c r="K3026" i="1"/>
  <c r="P3025" i="1"/>
  <c r="N3025" i="1"/>
  <c r="K3025" i="1"/>
  <c r="P3024" i="1"/>
  <c r="N3024" i="1"/>
  <c r="K3024" i="1"/>
  <c r="P3023" i="1"/>
  <c r="N3023" i="1"/>
  <c r="K3023" i="1"/>
  <c r="P3022" i="1"/>
  <c r="N3022" i="1"/>
  <c r="K3022" i="1"/>
  <c r="P3021" i="1"/>
  <c r="N3021" i="1"/>
  <c r="K3021" i="1"/>
  <c r="P3020" i="1"/>
  <c r="N3020" i="1"/>
  <c r="K3020" i="1"/>
  <c r="P3019" i="1"/>
  <c r="N3019" i="1"/>
  <c r="K3019" i="1"/>
  <c r="P3018" i="1"/>
  <c r="N3018" i="1"/>
  <c r="K3018" i="1"/>
  <c r="P3017" i="1"/>
  <c r="N3017" i="1"/>
  <c r="K3017" i="1"/>
  <c r="P3016" i="1"/>
  <c r="N3016" i="1"/>
  <c r="K3016" i="1"/>
  <c r="P3015" i="1"/>
  <c r="N3015" i="1"/>
  <c r="K3015" i="1"/>
  <c r="P3014" i="1"/>
  <c r="N3014" i="1"/>
  <c r="K3014" i="1"/>
  <c r="P3013" i="1"/>
  <c r="N3013" i="1"/>
  <c r="K3013" i="1"/>
  <c r="P3012" i="1"/>
  <c r="N3012" i="1"/>
  <c r="K3012" i="1"/>
  <c r="P3011" i="1"/>
  <c r="N3011" i="1"/>
  <c r="K3011" i="1"/>
  <c r="P3010" i="1"/>
  <c r="N3010" i="1"/>
  <c r="K3010" i="1"/>
  <c r="P3009" i="1"/>
  <c r="N3009" i="1"/>
  <c r="K3009" i="1"/>
  <c r="P3008" i="1"/>
  <c r="N3008" i="1"/>
  <c r="K3008" i="1"/>
  <c r="P3007" i="1"/>
  <c r="N3007" i="1"/>
  <c r="K3007" i="1"/>
  <c r="P3006" i="1"/>
  <c r="N3006" i="1"/>
  <c r="K3006" i="1"/>
  <c r="P3005" i="1"/>
  <c r="N3005" i="1"/>
  <c r="K3005" i="1"/>
  <c r="P3004" i="1"/>
  <c r="N3004" i="1"/>
  <c r="K3004" i="1"/>
  <c r="P3003" i="1"/>
  <c r="N3003" i="1"/>
  <c r="K3003" i="1"/>
  <c r="P3002" i="1"/>
  <c r="N3002" i="1"/>
  <c r="K3002" i="1"/>
  <c r="P3001" i="1"/>
  <c r="N3001" i="1"/>
  <c r="K3001" i="1"/>
  <c r="P3000" i="1"/>
  <c r="N3000" i="1"/>
  <c r="K3000" i="1"/>
  <c r="P2999" i="1"/>
  <c r="N2999" i="1"/>
  <c r="K2999" i="1"/>
  <c r="P2998" i="1"/>
  <c r="N2998" i="1"/>
  <c r="K2998" i="1"/>
  <c r="P2997" i="1"/>
  <c r="N2997" i="1"/>
  <c r="K2997" i="1"/>
  <c r="P2996" i="1"/>
  <c r="N2996" i="1"/>
  <c r="K2996" i="1"/>
  <c r="P2995" i="1"/>
  <c r="N2995" i="1"/>
  <c r="K2995" i="1"/>
  <c r="P2994" i="1"/>
  <c r="N2994" i="1"/>
  <c r="K2994" i="1"/>
  <c r="P2993" i="1"/>
  <c r="N2993" i="1"/>
  <c r="K2993" i="1"/>
  <c r="P2992" i="1"/>
  <c r="N2992" i="1"/>
  <c r="K2992" i="1"/>
  <c r="P2991" i="1"/>
  <c r="N2991" i="1"/>
  <c r="K2991" i="1"/>
  <c r="P2990" i="1"/>
  <c r="N2990" i="1"/>
  <c r="K2990" i="1"/>
  <c r="P2989" i="1"/>
  <c r="N2989" i="1"/>
  <c r="K2989" i="1"/>
  <c r="P2988" i="1"/>
  <c r="N2988" i="1"/>
  <c r="K2988" i="1"/>
  <c r="P2987" i="1"/>
  <c r="N2987" i="1"/>
  <c r="K2987" i="1"/>
  <c r="P2986" i="1"/>
  <c r="N2986" i="1"/>
  <c r="K2986" i="1"/>
  <c r="P2985" i="1"/>
  <c r="N2985" i="1"/>
  <c r="K2985" i="1"/>
  <c r="P2984" i="1"/>
  <c r="N2984" i="1"/>
  <c r="K2984" i="1"/>
  <c r="P2983" i="1"/>
  <c r="N2983" i="1"/>
  <c r="K2983" i="1"/>
  <c r="P2982" i="1"/>
  <c r="N2982" i="1"/>
  <c r="K2982" i="1"/>
  <c r="P2981" i="1"/>
  <c r="N2981" i="1"/>
  <c r="K2981" i="1"/>
  <c r="P2980" i="1"/>
  <c r="N2980" i="1"/>
  <c r="K2980" i="1"/>
  <c r="P2979" i="1"/>
  <c r="N2979" i="1"/>
  <c r="K2979" i="1"/>
  <c r="P2978" i="1"/>
  <c r="N2978" i="1"/>
  <c r="K2978" i="1"/>
  <c r="P2977" i="1"/>
  <c r="N2977" i="1"/>
  <c r="K2977" i="1"/>
  <c r="P2976" i="1"/>
  <c r="N2976" i="1"/>
  <c r="K2976" i="1"/>
  <c r="P2975" i="1"/>
  <c r="N2975" i="1"/>
  <c r="K2975" i="1"/>
  <c r="P2974" i="1"/>
  <c r="N2974" i="1"/>
  <c r="K2974" i="1"/>
  <c r="P2973" i="1"/>
  <c r="N2973" i="1"/>
  <c r="K2973" i="1"/>
  <c r="P2972" i="1"/>
  <c r="N2972" i="1"/>
  <c r="K2972" i="1"/>
  <c r="P2971" i="1"/>
  <c r="N2971" i="1"/>
  <c r="K2971" i="1"/>
  <c r="P2970" i="1"/>
  <c r="N2970" i="1"/>
  <c r="K2970" i="1"/>
  <c r="P2969" i="1"/>
  <c r="N2969" i="1"/>
  <c r="K2969" i="1"/>
  <c r="P2968" i="1"/>
  <c r="N2968" i="1"/>
  <c r="K2968" i="1"/>
  <c r="P2967" i="1"/>
  <c r="N2967" i="1"/>
  <c r="K2967" i="1"/>
  <c r="P2966" i="1"/>
  <c r="N2966" i="1"/>
  <c r="K2966" i="1"/>
  <c r="P2965" i="1"/>
  <c r="N2965" i="1"/>
  <c r="K2965" i="1"/>
  <c r="P2964" i="1"/>
  <c r="N2964" i="1"/>
  <c r="K2964" i="1"/>
  <c r="P2963" i="1"/>
  <c r="N2963" i="1"/>
  <c r="K2963" i="1"/>
  <c r="P2962" i="1"/>
  <c r="N2962" i="1"/>
  <c r="K2962" i="1"/>
  <c r="P2961" i="1"/>
  <c r="N2961" i="1"/>
  <c r="K2961" i="1"/>
  <c r="P2960" i="1"/>
  <c r="N2960" i="1"/>
  <c r="K2960" i="1"/>
  <c r="P2959" i="1"/>
  <c r="N2959" i="1"/>
  <c r="K2959" i="1"/>
  <c r="P2958" i="1"/>
  <c r="N2958" i="1"/>
  <c r="K2958" i="1"/>
  <c r="P2957" i="1"/>
  <c r="N2957" i="1"/>
  <c r="K2957" i="1"/>
  <c r="P2956" i="1"/>
  <c r="N2956" i="1"/>
  <c r="K2956" i="1"/>
  <c r="P2955" i="1"/>
  <c r="N2955" i="1"/>
  <c r="K2955" i="1"/>
  <c r="P2954" i="1"/>
  <c r="N2954" i="1"/>
  <c r="K2954" i="1"/>
  <c r="P2953" i="1"/>
  <c r="N2953" i="1"/>
  <c r="K2953" i="1"/>
  <c r="P2952" i="1"/>
  <c r="N2952" i="1"/>
  <c r="K2952" i="1"/>
  <c r="P2951" i="1"/>
  <c r="N2951" i="1"/>
  <c r="K2951" i="1"/>
  <c r="P2950" i="1"/>
  <c r="N2950" i="1"/>
  <c r="K2950" i="1"/>
  <c r="P2949" i="1"/>
  <c r="N2949" i="1"/>
  <c r="K2949" i="1"/>
  <c r="P2948" i="1"/>
  <c r="N2948" i="1"/>
  <c r="K2948" i="1"/>
  <c r="P2947" i="1"/>
  <c r="N2947" i="1"/>
  <c r="K2947" i="1"/>
  <c r="P2946" i="1"/>
  <c r="N2946" i="1"/>
  <c r="K2946" i="1"/>
  <c r="P2945" i="1"/>
  <c r="N2945" i="1"/>
  <c r="K2945" i="1"/>
  <c r="P2944" i="1"/>
  <c r="N2944" i="1"/>
  <c r="K2944" i="1"/>
  <c r="P2943" i="1"/>
  <c r="N2943" i="1"/>
  <c r="K2943" i="1"/>
  <c r="P2942" i="1"/>
  <c r="N2942" i="1"/>
  <c r="K2942" i="1"/>
  <c r="P2941" i="1"/>
  <c r="N2941" i="1"/>
  <c r="K2941" i="1"/>
  <c r="P2940" i="1"/>
  <c r="N2940" i="1"/>
  <c r="K2940" i="1"/>
  <c r="P2939" i="1"/>
  <c r="N2939" i="1"/>
  <c r="K2939" i="1"/>
  <c r="P2938" i="1"/>
  <c r="N2938" i="1"/>
  <c r="K2938" i="1"/>
  <c r="A2938" i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P2937" i="1"/>
  <c r="N2937" i="1"/>
  <c r="K2937" i="1"/>
  <c r="I2931" i="1"/>
  <c r="P2926" i="1"/>
  <c r="N2926" i="1"/>
  <c r="L2926" i="1"/>
  <c r="K2926" i="1"/>
  <c r="P2925" i="1"/>
  <c r="N2925" i="1"/>
  <c r="L2925" i="1"/>
  <c r="K2925" i="1"/>
  <c r="P2924" i="1"/>
  <c r="N2924" i="1"/>
  <c r="L2924" i="1"/>
  <c r="K2924" i="1"/>
  <c r="P2923" i="1"/>
  <c r="N2923" i="1"/>
  <c r="L2923" i="1"/>
  <c r="K2923" i="1"/>
  <c r="P2922" i="1"/>
  <c r="N2922" i="1"/>
  <c r="L2922" i="1"/>
  <c r="K2922" i="1"/>
  <c r="P2921" i="1"/>
  <c r="N2921" i="1"/>
  <c r="L2921" i="1"/>
  <c r="K2921" i="1"/>
  <c r="P2920" i="1"/>
  <c r="N2920" i="1"/>
  <c r="L2920" i="1"/>
  <c r="K2920" i="1"/>
  <c r="P2919" i="1"/>
  <c r="N2919" i="1"/>
  <c r="L2919" i="1"/>
  <c r="K2919" i="1"/>
  <c r="P2918" i="1"/>
  <c r="N2918" i="1"/>
  <c r="L2918" i="1"/>
  <c r="K2918" i="1"/>
  <c r="P2917" i="1"/>
  <c r="N2917" i="1"/>
  <c r="L2917" i="1"/>
  <c r="K2917" i="1"/>
  <c r="P2916" i="1"/>
  <c r="N2916" i="1"/>
  <c r="L2916" i="1"/>
  <c r="K2916" i="1"/>
  <c r="P2915" i="1"/>
  <c r="N2915" i="1"/>
  <c r="L2915" i="1"/>
  <c r="K2915" i="1"/>
  <c r="P2914" i="1"/>
  <c r="N2914" i="1"/>
  <c r="L2914" i="1"/>
  <c r="K2914" i="1"/>
  <c r="P2913" i="1"/>
  <c r="N2913" i="1"/>
  <c r="L2913" i="1"/>
  <c r="K2913" i="1"/>
  <c r="P2912" i="1"/>
  <c r="N2912" i="1"/>
  <c r="L2912" i="1"/>
  <c r="K2912" i="1"/>
  <c r="P2911" i="1"/>
  <c r="N2911" i="1"/>
  <c r="L2911" i="1"/>
  <c r="K2911" i="1"/>
  <c r="P2910" i="1"/>
  <c r="N2910" i="1"/>
  <c r="L2910" i="1"/>
  <c r="K2910" i="1"/>
  <c r="P2909" i="1"/>
  <c r="N2909" i="1"/>
  <c r="L2909" i="1"/>
  <c r="K2909" i="1"/>
  <c r="P2908" i="1"/>
  <c r="N2908" i="1"/>
  <c r="L2908" i="1"/>
  <c r="K2908" i="1"/>
  <c r="P2907" i="1"/>
  <c r="N2907" i="1"/>
  <c r="L2907" i="1"/>
  <c r="K2907" i="1"/>
  <c r="P2906" i="1"/>
  <c r="N2906" i="1"/>
  <c r="L2906" i="1"/>
  <c r="K2906" i="1"/>
  <c r="P2905" i="1"/>
  <c r="N2905" i="1"/>
  <c r="L2905" i="1"/>
  <c r="K2905" i="1"/>
  <c r="P2904" i="1"/>
  <c r="N2904" i="1"/>
  <c r="L2904" i="1"/>
  <c r="K2904" i="1"/>
  <c r="P2903" i="1"/>
  <c r="N2903" i="1"/>
  <c r="L2903" i="1"/>
  <c r="K2903" i="1"/>
  <c r="P2902" i="1"/>
  <c r="N2902" i="1"/>
  <c r="L2902" i="1"/>
  <c r="K2902" i="1"/>
  <c r="P2901" i="1"/>
  <c r="N2901" i="1"/>
  <c r="L2901" i="1"/>
  <c r="K2901" i="1"/>
  <c r="P2900" i="1"/>
  <c r="N2900" i="1"/>
  <c r="L2900" i="1"/>
  <c r="K2900" i="1"/>
  <c r="P2899" i="1"/>
  <c r="N2899" i="1"/>
  <c r="L2899" i="1"/>
  <c r="K2899" i="1"/>
  <c r="P2898" i="1"/>
  <c r="N2898" i="1"/>
  <c r="L2898" i="1"/>
  <c r="K2898" i="1"/>
  <c r="P2897" i="1"/>
  <c r="N2897" i="1"/>
  <c r="L2897" i="1"/>
  <c r="K2897" i="1"/>
  <c r="P2896" i="1"/>
  <c r="N2896" i="1"/>
  <c r="L2896" i="1"/>
  <c r="K2896" i="1"/>
  <c r="P2895" i="1"/>
  <c r="N2895" i="1"/>
  <c r="L2895" i="1"/>
  <c r="K2895" i="1"/>
  <c r="P2894" i="1"/>
  <c r="N2894" i="1"/>
  <c r="L2894" i="1"/>
  <c r="K2894" i="1"/>
  <c r="P2893" i="1"/>
  <c r="N2893" i="1"/>
  <c r="L2893" i="1"/>
  <c r="K2893" i="1"/>
  <c r="P2892" i="1"/>
  <c r="N2892" i="1"/>
  <c r="L2892" i="1"/>
  <c r="K2892" i="1"/>
  <c r="P2891" i="1"/>
  <c r="N2891" i="1"/>
  <c r="L2891" i="1"/>
  <c r="K2891" i="1"/>
  <c r="P2890" i="1"/>
  <c r="N2890" i="1"/>
  <c r="L2890" i="1"/>
  <c r="K2890" i="1"/>
  <c r="P2889" i="1"/>
  <c r="N2889" i="1"/>
  <c r="L2889" i="1"/>
  <c r="K2889" i="1"/>
  <c r="P2888" i="1"/>
  <c r="N2888" i="1"/>
  <c r="L2888" i="1"/>
  <c r="K2888" i="1"/>
  <c r="P2887" i="1"/>
  <c r="N2887" i="1"/>
  <c r="L2887" i="1"/>
  <c r="K2887" i="1"/>
  <c r="P2886" i="1"/>
  <c r="N2886" i="1"/>
  <c r="L2886" i="1"/>
  <c r="K2886" i="1"/>
  <c r="P2885" i="1"/>
  <c r="N2885" i="1"/>
  <c r="L2885" i="1"/>
  <c r="K2885" i="1"/>
  <c r="P2884" i="1"/>
  <c r="N2884" i="1"/>
  <c r="L2884" i="1"/>
  <c r="K2884" i="1"/>
  <c r="P2883" i="1"/>
  <c r="N2883" i="1"/>
  <c r="L2883" i="1"/>
  <c r="K2883" i="1"/>
  <c r="P2882" i="1"/>
  <c r="N2882" i="1"/>
  <c r="L2882" i="1"/>
  <c r="K2882" i="1"/>
  <c r="P2881" i="1"/>
  <c r="N2881" i="1"/>
  <c r="L2881" i="1"/>
  <c r="K2881" i="1"/>
  <c r="P2880" i="1"/>
  <c r="N2880" i="1"/>
  <c r="L2880" i="1"/>
  <c r="K2880" i="1"/>
  <c r="P2879" i="1"/>
  <c r="N2879" i="1"/>
  <c r="L2879" i="1"/>
  <c r="K2879" i="1"/>
  <c r="P2878" i="1"/>
  <c r="N2878" i="1"/>
  <c r="L2878" i="1"/>
  <c r="K2878" i="1"/>
  <c r="P2877" i="1"/>
  <c r="N2877" i="1"/>
  <c r="L2877" i="1"/>
  <c r="K2877" i="1"/>
  <c r="P2876" i="1"/>
  <c r="N2876" i="1"/>
  <c r="L2876" i="1"/>
  <c r="K2876" i="1"/>
  <c r="P2875" i="1"/>
  <c r="N2875" i="1"/>
  <c r="L2875" i="1"/>
  <c r="K2875" i="1"/>
  <c r="P2874" i="1"/>
  <c r="N2874" i="1"/>
  <c r="L2874" i="1"/>
  <c r="K2874" i="1"/>
  <c r="P2873" i="1"/>
  <c r="N2873" i="1"/>
  <c r="L2873" i="1"/>
  <c r="K2873" i="1"/>
  <c r="P2872" i="1"/>
  <c r="N2872" i="1"/>
  <c r="L2872" i="1"/>
  <c r="K2872" i="1"/>
  <c r="P2871" i="1"/>
  <c r="N2871" i="1"/>
  <c r="L2871" i="1"/>
  <c r="K2871" i="1"/>
  <c r="P2870" i="1"/>
  <c r="N2870" i="1"/>
  <c r="L2870" i="1"/>
  <c r="K2870" i="1"/>
  <c r="P2869" i="1"/>
  <c r="N2869" i="1"/>
  <c r="L2869" i="1"/>
  <c r="K2869" i="1"/>
  <c r="P2868" i="1"/>
  <c r="N2868" i="1"/>
  <c r="L2868" i="1"/>
  <c r="K2868" i="1"/>
  <c r="P2867" i="1"/>
  <c r="N2867" i="1"/>
  <c r="L2867" i="1"/>
  <c r="K2867" i="1"/>
  <c r="P2866" i="1"/>
  <c r="N2866" i="1"/>
  <c r="L2866" i="1"/>
  <c r="K2866" i="1"/>
  <c r="P2865" i="1"/>
  <c r="N2865" i="1"/>
  <c r="L2865" i="1"/>
  <c r="K2865" i="1"/>
  <c r="P2864" i="1"/>
  <c r="N2864" i="1"/>
  <c r="L2864" i="1"/>
  <c r="K2864" i="1"/>
  <c r="P2863" i="1"/>
  <c r="N2863" i="1"/>
  <c r="L2863" i="1"/>
  <c r="K2863" i="1"/>
  <c r="P2862" i="1"/>
  <c r="N2862" i="1"/>
  <c r="L2862" i="1"/>
  <c r="K2862" i="1"/>
  <c r="P2861" i="1"/>
  <c r="N2861" i="1"/>
  <c r="L2861" i="1"/>
  <c r="K2861" i="1"/>
  <c r="P2860" i="1"/>
  <c r="N2860" i="1"/>
  <c r="L2860" i="1"/>
  <c r="K2860" i="1"/>
  <c r="P2859" i="1"/>
  <c r="N2859" i="1"/>
  <c r="L2859" i="1"/>
  <c r="K2859" i="1"/>
  <c r="P2858" i="1"/>
  <c r="N2858" i="1"/>
  <c r="L2858" i="1"/>
  <c r="K2858" i="1"/>
  <c r="P2857" i="1"/>
  <c r="N2857" i="1"/>
  <c r="L2857" i="1"/>
  <c r="K2857" i="1"/>
  <c r="P2856" i="1"/>
  <c r="N2856" i="1"/>
  <c r="L2856" i="1"/>
  <c r="K2856" i="1"/>
  <c r="P2855" i="1"/>
  <c r="N2855" i="1"/>
  <c r="L2855" i="1"/>
  <c r="K2855" i="1"/>
  <c r="P2854" i="1"/>
  <c r="N2854" i="1"/>
  <c r="L2854" i="1"/>
  <c r="K2854" i="1"/>
  <c r="P2853" i="1"/>
  <c r="N2853" i="1"/>
  <c r="L2853" i="1"/>
  <c r="K2853" i="1"/>
  <c r="P2852" i="1"/>
  <c r="N2852" i="1"/>
  <c r="L2852" i="1"/>
  <c r="K2852" i="1"/>
  <c r="P2851" i="1"/>
  <c r="N2851" i="1"/>
  <c r="L2851" i="1"/>
  <c r="K2851" i="1"/>
  <c r="P2850" i="1"/>
  <c r="N2850" i="1"/>
  <c r="L2850" i="1"/>
  <c r="K2850" i="1"/>
  <c r="P2849" i="1"/>
  <c r="N2849" i="1"/>
  <c r="L2849" i="1"/>
  <c r="K2849" i="1"/>
  <c r="P2848" i="1"/>
  <c r="N2848" i="1"/>
  <c r="L2848" i="1"/>
  <c r="K2848" i="1"/>
  <c r="P2847" i="1"/>
  <c r="N2847" i="1"/>
  <c r="L2847" i="1"/>
  <c r="K2847" i="1"/>
  <c r="P2846" i="1"/>
  <c r="N2846" i="1"/>
  <c r="L2846" i="1"/>
  <c r="K2846" i="1"/>
  <c r="P2845" i="1"/>
  <c r="N2845" i="1"/>
  <c r="L2845" i="1"/>
  <c r="K2845" i="1"/>
  <c r="P2844" i="1"/>
  <c r="N2844" i="1"/>
  <c r="L2844" i="1"/>
  <c r="K2844" i="1"/>
  <c r="P2843" i="1"/>
  <c r="N2843" i="1"/>
  <c r="L2843" i="1"/>
  <c r="K2843" i="1"/>
  <c r="P2842" i="1"/>
  <c r="N2842" i="1"/>
  <c r="L2842" i="1"/>
  <c r="K2842" i="1"/>
  <c r="P2841" i="1"/>
  <c r="N2841" i="1"/>
  <c r="L2841" i="1"/>
  <c r="K2841" i="1"/>
  <c r="P2840" i="1"/>
  <c r="N2840" i="1"/>
  <c r="L2840" i="1"/>
  <c r="K2840" i="1"/>
  <c r="P2839" i="1"/>
  <c r="N2839" i="1"/>
  <c r="L2839" i="1"/>
  <c r="K2839" i="1"/>
  <c r="P2838" i="1"/>
  <c r="N2838" i="1"/>
  <c r="L2838" i="1"/>
  <c r="K2838" i="1"/>
  <c r="P2837" i="1"/>
  <c r="N2837" i="1"/>
  <c r="L2837" i="1"/>
  <c r="K2837" i="1"/>
  <c r="P2836" i="1"/>
  <c r="N2836" i="1"/>
  <c r="L2836" i="1"/>
  <c r="K2836" i="1"/>
  <c r="P2835" i="1"/>
  <c r="N2835" i="1"/>
  <c r="L2835" i="1"/>
  <c r="K2835" i="1"/>
  <c r="P2834" i="1"/>
  <c r="N2834" i="1"/>
  <c r="L2834" i="1"/>
  <c r="K2834" i="1"/>
  <c r="P2833" i="1"/>
  <c r="N2833" i="1"/>
  <c r="L2833" i="1"/>
  <c r="K2833" i="1"/>
  <c r="P2832" i="1"/>
  <c r="N2832" i="1"/>
  <c r="L2832" i="1"/>
  <c r="K2832" i="1"/>
  <c r="P2831" i="1"/>
  <c r="N2831" i="1"/>
  <c r="L2831" i="1"/>
  <c r="K2831" i="1"/>
  <c r="P2830" i="1"/>
  <c r="N2830" i="1"/>
  <c r="L2830" i="1"/>
  <c r="K2830" i="1"/>
  <c r="P2829" i="1"/>
  <c r="N2829" i="1"/>
  <c r="L2829" i="1"/>
  <c r="K2829" i="1"/>
  <c r="P2828" i="1"/>
  <c r="N2828" i="1"/>
  <c r="L2828" i="1"/>
  <c r="K2828" i="1"/>
  <c r="P2827" i="1"/>
  <c r="N2827" i="1"/>
  <c r="L2827" i="1"/>
  <c r="K2827" i="1"/>
  <c r="P2826" i="1"/>
  <c r="N2826" i="1"/>
  <c r="L2826" i="1"/>
  <c r="K2826" i="1"/>
  <c r="P2825" i="1"/>
  <c r="N2825" i="1"/>
  <c r="L2825" i="1"/>
  <c r="K2825" i="1"/>
  <c r="P2824" i="1"/>
  <c r="N2824" i="1"/>
  <c r="L2824" i="1"/>
  <c r="K2824" i="1"/>
  <c r="P2823" i="1"/>
  <c r="N2823" i="1"/>
  <c r="L2823" i="1"/>
  <c r="K2823" i="1"/>
  <c r="P2822" i="1"/>
  <c r="N2822" i="1"/>
  <c r="L2822" i="1"/>
  <c r="K2822" i="1"/>
  <c r="P2821" i="1"/>
  <c r="N2821" i="1"/>
  <c r="L2821" i="1"/>
  <c r="K2821" i="1"/>
  <c r="P2820" i="1"/>
  <c r="N2820" i="1"/>
  <c r="L2820" i="1"/>
  <c r="K2820" i="1"/>
  <c r="P2819" i="1"/>
  <c r="N2819" i="1"/>
  <c r="L2819" i="1"/>
  <c r="K2819" i="1"/>
  <c r="P2818" i="1"/>
  <c r="N2818" i="1"/>
  <c r="L2818" i="1"/>
  <c r="K2818" i="1"/>
  <c r="P2817" i="1"/>
  <c r="N2817" i="1"/>
  <c r="L2817" i="1"/>
  <c r="K2817" i="1"/>
  <c r="P2816" i="1"/>
  <c r="N2816" i="1"/>
  <c r="L2816" i="1"/>
  <c r="K2816" i="1"/>
  <c r="P2815" i="1"/>
  <c r="N2815" i="1"/>
  <c r="L2815" i="1"/>
  <c r="K2815" i="1"/>
  <c r="P2814" i="1"/>
  <c r="N2814" i="1"/>
  <c r="L2814" i="1"/>
  <c r="K2814" i="1"/>
  <c r="P2813" i="1"/>
  <c r="N2813" i="1"/>
  <c r="L2813" i="1"/>
  <c r="K2813" i="1"/>
  <c r="P2812" i="1"/>
  <c r="N2812" i="1"/>
  <c r="L2812" i="1"/>
  <c r="K2812" i="1"/>
  <c r="P2811" i="1"/>
  <c r="N2811" i="1"/>
  <c r="L2811" i="1"/>
  <c r="K2811" i="1"/>
  <c r="P2810" i="1"/>
  <c r="N2810" i="1"/>
  <c r="L2810" i="1"/>
  <c r="K2810" i="1"/>
  <c r="P2809" i="1"/>
  <c r="N2809" i="1"/>
  <c r="L2809" i="1"/>
  <c r="K2809" i="1"/>
  <c r="P2808" i="1"/>
  <c r="N2808" i="1"/>
  <c r="L2808" i="1"/>
  <c r="K2808" i="1"/>
  <c r="P2807" i="1"/>
  <c r="N2807" i="1"/>
  <c r="L2807" i="1"/>
  <c r="K2807" i="1"/>
  <c r="P2806" i="1"/>
  <c r="N2806" i="1"/>
  <c r="L2806" i="1"/>
  <c r="K2806" i="1"/>
  <c r="P2805" i="1"/>
  <c r="N2805" i="1"/>
  <c r="L2805" i="1"/>
  <c r="K2805" i="1"/>
  <c r="P2804" i="1"/>
  <c r="N2804" i="1"/>
  <c r="L2804" i="1"/>
  <c r="K2804" i="1"/>
  <c r="P2803" i="1"/>
  <c r="N2803" i="1"/>
  <c r="L2803" i="1"/>
  <c r="K2803" i="1"/>
  <c r="P2802" i="1"/>
  <c r="N2802" i="1"/>
  <c r="L2802" i="1"/>
  <c r="K2802" i="1"/>
  <c r="P2801" i="1"/>
  <c r="N2801" i="1"/>
  <c r="L2801" i="1"/>
  <c r="K2801" i="1"/>
  <c r="P2800" i="1"/>
  <c r="N2800" i="1"/>
  <c r="L2800" i="1"/>
  <c r="K2800" i="1"/>
  <c r="P2799" i="1"/>
  <c r="N2799" i="1"/>
  <c r="L2799" i="1"/>
  <c r="K2799" i="1"/>
  <c r="P2798" i="1"/>
  <c r="N2798" i="1"/>
  <c r="L2798" i="1"/>
  <c r="K2798" i="1"/>
  <c r="P2797" i="1"/>
  <c r="N2797" i="1"/>
  <c r="L2797" i="1"/>
  <c r="K2797" i="1"/>
  <c r="P2796" i="1"/>
  <c r="N2796" i="1"/>
  <c r="L2796" i="1"/>
  <c r="K2796" i="1"/>
  <c r="P2795" i="1"/>
  <c r="N2795" i="1"/>
  <c r="L2795" i="1"/>
  <c r="K2795" i="1"/>
  <c r="P2794" i="1"/>
  <c r="N2794" i="1"/>
  <c r="L2794" i="1"/>
  <c r="K2794" i="1"/>
  <c r="P2793" i="1"/>
  <c r="N2793" i="1"/>
  <c r="L2793" i="1"/>
  <c r="K2793" i="1"/>
  <c r="P2792" i="1"/>
  <c r="N2792" i="1"/>
  <c r="L2792" i="1"/>
  <c r="K2792" i="1"/>
  <c r="P2791" i="1"/>
  <c r="N2791" i="1"/>
  <c r="L2791" i="1"/>
  <c r="K2791" i="1"/>
  <c r="P2790" i="1"/>
  <c r="N2790" i="1"/>
  <c r="L2790" i="1"/>
  <c r="K2790" i="1"/>
  <c r="P2789" i="1"/>
  <c r="N2789" i="1"/>
  <c r="L2789" i="1"/>
  <c r="K2789" i="1"/>
  <c r="P2788" i="1"/>
  <c r="N2788" i="1"/>
  <c r="L2788" i="1"/>
  <c r="K2788" i="1"/>
  <c r="P2787" i="1"/>
  <c r="N2787" i="1"/>
  <c r="L2787" i="1"/>
  <c r="K2787" i="1"/>
  <c r="P2786" i="1"/>
  <c r="N2786" i="1"/>
  <c r="L2786" i="1"/>
  <c r="K2786" i="1"/>
  <c r="P2785" i="1"/>
  <c r="N2785" i="1"/>
  <c r="L2785" i="1"/>
  <c r="K2785" i="1"/>
  <c r="P2784" i="1"/>
  <c r="N2784" i="1"/>
  <c r="L2784" i="1"/>
  <c r="K2784" i="1"/>
  <c r="P2783" i="1"/>
  <c r="N2783" i="1"/>
  <c r="L2783" i="1"/>
  <c r="K2783" i="1"/>
  <c r="P2782" i="1"/>
  <c r="N2782" i="1"/>
  <c r="L2782" i="1"/>
  <c r="K2782" i="1"/>
  <c r="P2781" i="1"/>
  <c r="N2781" i="1"/>
  <c r="L2781" i="1"/>
  <c r="K2781" i="1"/>
  <c r="P2780" i="1"/>
  <c r="N2780" i="1"/>
  <c r="L2780" i="1"/>
  <c r="K2780" i="1"/>
  <c r="P2779" i="1"/>
  <c r="N2779" i="1"/>
  <c r="L2779" i="1"/>
  <c r="K2779" i="1"/>
  <c r="P2778" i="1"/>
  <c r="N2778" i="1"/>
  <c r="L2778" i="1"/>
  <c r="K2778" i="1"/>
  <c r="P2777" i="1"/>
  <c r="N2777" i="1"/>
  <c r="L2777" i="1"/>
  <c r="K2777" i="1"/>
  <c r="P2776" i="1"/>
  <c r="N2776" i="1"/>
  <c r="L2776" i="1"/>
  <c r="K2776" i="1"/>
  <c r="P2775" i="1"/>
  <c r="N2775" i="1"/>
  <c r="L2775" i="1"/>
  <c r="K2775" i="1"/>
  <c r="P2774" i="1"/>
  <c r="N2774" i="1"/>
  <c r="L2774" i="1"/>
  <c r="K2774" i="1"/>
  <c r="P2773" i="1"/>
  <c r="N2773" i="1"/>
  <c r="L2773" i="1"/>
  <c r="K2773" i="1"/>
  <c r="P2772" i="1"/>
  <c r="N2772" i="1"/>
  <c r="L2772" i="1"/>
  <c r="K2772" i="1"/>
  <c r="P2771" i="1"/>
  <c r="N2771" i="1"/>
  <c r="L2771" i="1"/>
  <c r="K2771" i="1"/>
  <c r="P2770" i="1"/>
  <c r="N2770" i="1"/>
  <c r="L2770" i="1"/>
  <c r="K2770" i="1"/>
  <c r="P2769" i="1"/>
  <c r="N2769" i="1"/>
  <c r="L2769" i="1"/>
  <c r="K2769" i="1"/>
  <c r="P2768" i="1"/>
  <c r="N2768" i="1"/>
  <c r="L2768" i="1"/>
  <c r="K2768" i="1"/>
  <c r="P2767" i="1"/>
  <c r="N2767" i="1"/>
  <c r="L2767" i="1"/>
  <c r="K2767" i="1"/>
  <c r="P2766" i="1"/>
  <c r="N2766" i="1"/>
  <c r="L2766" i="1"/>
  <c r="K2766" i="1"/>
  <c r="P2765" i="1"/>
  <c r="N2765" i="1"/>
  <c r="L2765" i="1"/>
  <c r="K2765" i="1"/>
  <c r="P2764" i="1"/>
  <c r="N2764" i="1"/>
  <c r="L2764" i="1"/>
  <c r="K2764" i="1"/>
  <c r="P2763" i="1"/>
  <c r="N2763" i="1"/>
  <c r="L2763" i="1"/>
  <c r="K2763" i="1"/>
  <c r="P2762" i="1"/>
  <c r="N2762" i="1"/>
  <c r="L2762" i="1"/>
  <c r="K2762" i="1"/>
  <c r="P2761" i="1"/>
  <c r="N2761" i="1"/>
  <c r="L2761" i="1"/>
  <c r="K2761" i="1"/>
  <c r="P2760" i="1"/>
  <c r="N2760" i="1"/>
  <c r="L2760" i="1"/>
  <c r="K2760" i="1"/>
  <c r="P2759" i="1"/>
  <c r="N2759" i="1"/>
  <c r="L2759" i="1"/>
  <c r="K2759" i="1"/>
  <c r="P2758" i="1"/>
  <c r="N2758" i="1"/>
  <c r="L2758" i="1"/>
  <c r="K2758" i="1"/>
  <c r="P2757" i="1"/>
  <c r="N2757" i="1"/>
  <c r="L2757" i="1"/>
  <c r="K2757" i="1"/>
  <c r="P2756" i="1"/>
  <c r="N2756" i="1"/>
  <c r="L2756" i="1"/>
  <c r="K2756" i="1"/>
  <c r="P2755" i="1"/>
  <c r="N2755" i="1"/>
  <c r="L2755" i="1"/>
  <c r="K2755" i="1"/>
  <c r="P2754" i="1"/>
  <c r="N2754" i="1"/>
  <c r="L2754" i="1"/>
  <c r="K2754" i="1"/>
  <c r="P2753" i="1"/>
  <c r="N2753" i="1"/>
  <c r="L2753" i="1"/>
  <c r="K2753" i="1"/>
  <c r="P2752" i="1"/>
  <c r="N2752" i="1"/>
  <c r="L2752" i="1"/>
  <c r="K2752" i="1"/>
  <c r="P2751" i="1"/>
  <c r="N2751" i="1"/>
  <c r="L2751" i="1"/>
  <c r="K2751" i="1"/>
  <c r="P2750" i="1"/>
  <c r="N2750" i="1"/>
  <c r="L2750" i="1"/>
  <c r="K2750" i="1"/>
  <c r="P2749" i="1"/>
  <c r="N2749" i="1"/>
  <c r="L2749" i="1"/>
  <c r="K2749" i="1"/>
  <c r="P2748" i="1"/>
  <c r="N2748" i="1"/>
  <c r="L2748" i="1"/>
  <c r="K2748" i="1"/>
  <c r="P2747" i="1"/>
  <c r="N2747" i="1"/>
  <c r="L2747" i="1"/>
  <c r="K2747" i="1"/>
  <c r="P2746" i="1"/>
  <c r="N2746" i="1"/>
  <c r="L2746" i="1"/>
  <c r="K2746" i="1"/>
  <c r="P2745" i="1"/>
  <c r="N2745" i="1"/>
  <c r="L2745" i="1"/>
  <c r="K2745" i="1"/>
  <c r="P2744" i="1"/>
  <c r="N2744" i="1"/>
  <c r="L2744" i="1"/>
  <c r="K2744" i="1"/>
  <c r="P2743" i="1"/>
  <c r="N2743" i="1"/>
  <c r="K2743" i="1"/>
  <c r="P2742" i="1"/>
  <c r="N2742" i="1"/>
  <c r="K2742" i="1"/>
  <c r="P2741" i="1"/>
  <c r="N2741" i="1"/>
  <c r="K2741" i="1"/>
  <c r="P2740" i="1"/>
  <c r="N2740" i="1"/>
  <c r="K2740" i="1"/>
  <c r="P2739" i="1"/>
  <c r="N2739" i="1"/>
  <c r="K2739" i="1"/>
  <c r="P2738" i="1"/>
  <c r="N2738" i="1"/>
  <c r="K2738" i="1"/>
  <c r="P2737" i="1"/>
  <c r="N2737" i="1"/>
  <c r="K2737" i="1"/>
  <c r="P2736" i="1"/>
  <c r="N2736" i="1"/>
  <c r="K2736" i="1"/>
  <c r="P2735" i="1"/>
  <c r="N2735" i="1"/>
  <c r="K2735" i="1"/>
  <c r="P2734" i="1"/>
  <c r="N2734" i="1"/>
  <c r="K2734" i="1"/>
  <c r="P2733" i="1"/>
  <c r="N2733" i="1"/>
  <c r="K2733" i="1"/>
  <c r="P2732" i="1"/>
  <c r="N2732" i="1"/>
  <c r="K2732" i="1"/>
  <c r="P2731" i="1"/>
  <c r="N2731" i="1"/>
  <c r="K2731" i="1"/>
  <c r="P2730" i="1"/>
  <c r="N2730" i="1"/>
  <c r="K2730" i="1"/>
  <c r="P2729" i="1"/>
  <c r="N2729" i="1"/>
  <c r="K2729" i="1"/>
  <c r="P2728" i="1"/>
  <c r="N2728" i="1"/>
  <c r="K2728" i="1"/>
  <c r="P2727" i="1"/>
  <c r="N2727" i="1"/>
  <c r="K2727" i="1"/>
  <c r="P2726" i="1"/>
  <c r="N2726" i="1"/>
  <c r="K2726" i="1"/>
  <c r="P2725" i="1"/>
  <c r="N2725" i="1"/>
  <c r="K2725" i="1"/>
  <c r="P2724" i="1"/>
  <c r="N2724" i="1"/>
  <c r="K2724" i="1"/>
  <c r="P2723" i="1"/>
  <c r="N2723" i="1"/>
  <c r="K2723" i="1"/>
  <c r="P2722" i="1"/>
  <c r="N2722" i="1"/>
  <c r="K2722" i="1"/>
  <c r="P2721" i="1"/>
  <c r="N2721" i="1"/>
  <c r="K2721" i="1"/>
  <c r="P2720" i="1"/>
  <c r="N2720" i="1"/>
  <c r="K2720" i="1"/>
  <c r="P2719" i="1"/>
  <c r="N2719" i="1"/>
  <c r="K2719" i="1"/>
  <c r="P2718" i="1"/>
  <c r="N2718" i="1"/>
  <c r="K2718" i="1"/>
  <c r="P2717" i="1"/>
  <c r="N2717" i="1"/>
  <c r="K2717" i="1"/>
  <c r="P2716" i="1"/>
  <c r="N2716" i="1"/>
  <c r="K2716" i="1"/>
  <c r="P2715" i="1"/>
  <c r="N2715" i="1"/>
  <c r="K2715" i="1"/>
  <c r="P2714" i="1"/>
  <c r="N2714" i="1"/>
  <c r="K2714" i="1"/>
  <c r="P2713" i="1"/>
  <c r="N2713" i="1"/>
  <c r="K2713" i="1"/>
  <c r="P2712" i="1"/>
  <c r="N2712" i="1"/>
  <c r="K2712" i="1"/>
  <c r="P2711" i="1"/>
  <c r="N2711" i="1"/>
  <c r="K2711" i="1"/>
  <c r="P2710" i="1"/>
  <c r="N2710" i="1"/>
  <c r="K2710" i="1"/>
  <c r="P2709" i="1"/>
  <c r="N2709" i="1"/>
  <c r="K2709" i="1"/>
  <c r="P2708" i="1"/>
  <c r="N2708" i="1"/>
  <c r="K2708" i="1"/>
  <c r="P2707" i="1"/>
  <c r="N2707" i="1"/>
  <c r="K2707" i="1"/>
  <c r="P2706" i="1"/>
  <c r="N2706" i="1"/>
  <c r="K2706" i="1"/>
  <c r="P2705" i="1"/>
  <c r="N2705" i="1"/>
  <c r="K2705" i="1"/>
  <c r="P2704" i="1"/>
  <c r="N2704" i="1"/>
  <c r="K2704" i="1"/>
  <c r="P2703" i="1"/>
  <c r="N2703" i="1"/>
  <c r="K2703" i="1"/>
  <c r="P2702" i="1"/>
  <c r="N2702" i="1"/>
  <c r="K2702" i="1"/>
  <c r="P2701" i="1"/>
  <c r="N2701" i="1"/>
  <c r="K2701" i="1"/>
  <c r="P2700" i="1"/>
  <c r="N2700" i="1"/>
  <c r="K2700" i="1"/>
  <c r="P2699" i="1"/>
  <c r="N2699" i="1"/>
  <c r="K2699" i="1"/>
  <c r="P2698" i="1"/>
  <c r="N2698" i="1"/>
  <c r="K2698" i="1"/>
  <c r="P2697" i="1"/>
  <c r="N2697" i="1"/>
  <c r="K2697" i="1"/>
  <c r="P2696" i="1"/>
  <c r="N2696" i="1"/>
  <c r="K2696" i="1"/>
  <c r="P2695" i="1"/>
  <c r="N2695" i="1"/>
  <c r="K2695" i="1"/>
  <c r="P2694" i="1"/>
  <c r="N2694" i="1"/>
  <c r="K2694" i="1"/>
  <c r="P2693" i="1"/>
  <c r="N2693" i="1"/>
  <c r="K2693" i="1"/>
  <c r="P2692" i="1"/>
  <c r="N2692" i="1"/>
  <c r="K2692" i="1"/>
  <c r="P2691" i="1"/>
  <c r="N2691" i="1"/>
  <c r="K2691" i="1"/>
  <c r="P2690" i="1"/>
  <c r="N2690" i="1"/>
  <c r="K2690" i="1"/>
  <c r="P2689" i="1"/>
  <c r="N2689" i="1"/>
  <c r="K2689" i="1"/>
  <c r="P2688" i="1"/>
  <c r="N2688" i="1"/>
  <c r="K2688" i="1"/>
  <c r="P2687" i="1"/>
  <c r="N2687" i="1"/>
  <c r="K2687" i="1"/>
  <c r="P2686" i="1"/>
  <c r="N2686" i="1"/>
  <c r="K2686" i="1"/>
  <c r="P2685" i="1"/>
  <c r="N2685" i="1"/>
  <c r="K2685" i="1"/>
  <c r="P2684" i="1"/>
  <c r="N2684" i="1"/>
  <c r="K2684" i="1"/>
  <c r="P2683" i="1"/>
  <c r="N2683" i="1"/>
  <c r="K2683" i="1"/>
  <c r="P2682" i="1"/>
  <c r="N2682" i="1"/>
  <c r="K2682" i="1"/>
  <c r="P2681" i="1"/>
  <c r="N2681" i="1"/>
  <c r="K2681" i="1"/>
  <c r="P2680" i="1"/>
  <c r="N2680" i="1"/>
  <c r="K2680" i="1"/>
  <c r="P2679" i="1"/>
  <c r="N2679" i="1"/>
  <c r="K2679" i="1"/>
  <c r="P2678" i="1"/>
  <c r="N2678" i="1"/>
  <c r="K2678" i="1"/>
  <c r="P2677" i="1"/>
  <c r="N2677" i="1"/>
  <c r="K2677" i="1"/>
  <c r="P2676" i="1"/>
  <c r="N2676" i="1"/>
  <c r="K2676" i="1"/>
  <c r="P2675" i="1"/>
  <c r="N2675" i="1"/>
  <c r="K2675" i="1"/>
  <c r="P2674" i="1"/>
  <c r="N2674" i="1"/>
  <c r="K2674" i="1"/>
  <c r="P2673" i="1"/>
  <c r="N2673" i="1"/>
  <c r="K2673" i="1"/>
  <c r="P2672" i="1"/>
  <c r="N2672" i="1"/>
  <c r="K2672" i="1"/>
  <c r="P2671" i="1"/>
  <c r="N2671" i="1"/>
  <c r="K2671" i="1"/>
  <c r="P2670" i="1"/>
  <c r="N2670" i="1"/>
  <c r="K2670" i="1"/>
  <c r="P2669" i="1"/>
  <c r="N2669" i="1"/>
  <c r="K2669" i="1"/>
  <c r="P2668" i="1"/>
  <c r="N2668" i="1"/>
  <c r="K2668" i="1"/>
  <c r="P2667" i="1"/>
  <c r="N2667" i="1"/>
  <c r="K2667" i="1"/>
  <c r="P2666" i="1"/>
  <c r="N2666" i="1"/>
  <c r="K2666" i="1"/>
  <c r="P2665" i="1"/>
  <c r="N2665" i="1"/>
  <c r="K2665" i="1"/>
  <c r="P2664" i="1"/>
  <c r="N2664" i="1"/>
  <c r="K2664" i="1"/>
  <c r="P2663" i="1"/>
  <c r="N2663" i="1"/>
  <c r="K2663" i="1"/>
  <c r="P2662" i="1"/>
  <c r="N2662" i="1"/>
  <c r="K2662" i="1"/>
  <c r="P2661" i="1"/>
  <c r="N2661" i="1"/>
  <c r="K2661" i="1"/>
  <c r="P2660" i="1"/>
  <c r="N2660" i="1"/>
  <c r="K2660" i="1"/>
  <c r="P2659" i="1"/>
  <c r="N2659" i="1"/>
  <c r="K2659" i="1"/>
  <c r="P2658" i="1"/>
  <c r="N2658" i="1"/>
  <c r="K2658" i="1"/>
  <c r="P2657" i="1"/>
  <c r="N2657" i="1"/>
  <c r="K2657" i="1"/>
  <c r="P2656" i="1"/>
  <c r="N2656" i="1"/>
  <c r="K2656" i="1"/>
  <c r="P2655" i="1"/>
  <c r="N2655" i="1"/>
  <c r="K2655" i="1"/>
  <c r="P2654" i="1"/>
  <c r="N2654" i="1"/>
  <c r="K2654" i="1"/>
  <c r="P2653" i="1"/>
  <c r="N2653" i="1"/>
  <c r="K2653" i="1"/>
  <c r="P2652" i="1"/>
  <c r="N2652" i="1"/>
  <c r="K2652" i="1"/>
  <c r="P2651" i="1"/>
  <c r="N2651" i="1"/>
  <c r="K2651" i="1"/>
  <c r="P2650" i="1"/>
  <c r="N2650" i="1"/>
  <c r="K2650" i="1"/>
  <c r="P2649" i="1"/>
  <c r="N2649" i="1"/>
  <c r="K2649" i="1"/>
  <c r="P2648" i="1"/>
  <c r="N2648" i="1"/>
  <c r="K2648" i="1"/>
  <c r="P2647" i="1"/>
  <c r="N2647" i="1"/>
  <c r="K2647" i="1"/>
  <c r="P2646" i="1"/>
  <c r="N2646" i="1"/>
  <c r="K2646" i="1"/>
  <c r="P2645" i="1"/>
  <c r="N2645" i="1"/>
  <c r="L2645" i="1"/>
  <c r="P2644" i="1"/>
  <c r="N2644" i="1"/>
  <c r="K2644" i="1"/>
  <c r="P2643" i="1"/>
  <c r="N2643" i="1"/>
  <c r="K2643" i="1"/>
  <c r="P2642" i="1"/>
  <c r="N2642" i="1"/>
  <c r="K2642" i="1"/>
  <c r="P2641" i="1"/>
  <c r="N2641" i="1"/>
  <c r="K2641" i="1"/>
  <c r="P2640" i="1"/>
  <c r="N2640" i="1"/>
  <c r="K2640" i="1"/>
  <c r="P2639" i="1"/>
  <c r="N2639" i="1"/>
  <c r="K2639" i="1"/>
  <c r="P2638" i="1"/>
  <c r="N2638" i="1"/>
  <c r="K2638" i="1"/>
  <c r="P2637" i="1"/>
  <c r="N2637" i="1"/>
  <c r="K2637" i="1"/>
  <c r="P2636" i="1"/>
  <c r="N2636" i="1"/>
  <c r="K2636" i="1"/>
  <c r="P2635" i="1"/>
  <c r="N2635" i="1"/>
  <c r="K2635" i="1"/>
  <c r="P2634" i="1"/>
  <c r="N2634" i="1"/>
  <c r="K2634" i="1"/>
  <c r="P2633" i="1"/>
  <c r="N2633" i="1"/>
  <c r="K2633" i="1"/>
  <c r="P2632" i="1"/>
  <c r="N2632" i="1"/>
  <c r="K2632" i="1"/>
  <c r="P2631" i="1"/>
  <c r="N2631" i="1"/>
  <c r="K2631" i="1"/>
  <c r="P2630" i="1"/>
  <c r="N2630" i="1"/>
  <c r="K2630" i="1"/>
  <c r="P2629" i="1"/>
  <c r="N2629" i="1"/>
  <c r="K2629" i="1"/>
  <c r="P2628" i="1"/>
  <c r="N2628" i="1"/>
  <c r="K2628" i="1"/>
  <c r="P2627" i="1"/>
  <c r="N2627" i="1"/>
  <c r="K2627" i="1"/>
  <c r="P2626" i="1"/>
  <c r="N2626" i="1"/>
  <c r="K2626" i="1"/>
  <c r="P2625" i="1"/>
  <c r="N2625" i="1"/>
  <c r="K2625" i="1"/>
  <c r="P2624" i="1"/>
  <c r="N2624" i="1"/>
  <c r="K2624" i="1"/>
  <c r="P2623" i="1"/>
  <c r="N2623" i="1"/>
  <c r="K2623" i="1"/>
  <c r="P2622" i="1"/>
  <c r="N2622" i="1"/>
  <c r="K2622" i="1"/>
  <c r="P2621" i="1"/>
  <c r="N2621" i="1"/>
  <c r="K2621" i="1"/>
  <c r="P2620" i="1"/>
  <c r="N2620" i="1"/>
  <c r="K2620" i="1"/>
  <c r="P2619" i="1"/>
  <c r="N2619" i="1"/>
  <c r="K2619" i="1"/>
  <c r="P2618" i="1"/>
  <c r="N2618" i="1"/>
  <c r="K2618" i="1"/>
  <c r="P2617" i="1"/>
  <c r="N2617" i="1"/>
  <c r="K2617" i="1"/>
  <c r="P2616" i="1"/>
  <c r="N2616" i="1"/>
  <c r="K2616" i="1"/>
  <c r="P2615" i="1"/>
  <c r="N2615" i="1"/>
  <c r="K2615" i="1"/>
  <c r="P2614" i="1"/>
  <c r="N2614" i="1"/>
  <c r="K2614" i="1"/>
  <c r="P2613" i="1"/>
  <c r="N2613" i="1"/>
  <c r="K2613" i="1"/>
  <c r="P2612" i="1"/>
  <c r="N2612" i="1"/>
  <c r="K2612" i="1"/>
  <c r="P2611" i="1"/>
  <c r="N2611" i="1"/>
  <c r="K2611" i="1"/>
  <c r="P2610" i="1"/>
  <c r="N2610" i="1"/>
  <c r="K2610" i="1"/>
  <c r="P2609" i="1"/>
  <c r="N2609" i="1"/>
  <c r="K2609" i="1"/>
  <c r="P2608" i="1"/>
  <c r="N2608" i="1"/>
  <c r="K2608" i="1"/>
  <c r="P2607" i="1"/>
  <c r="N2607" i="1"/>
  <c r="K2607" i="1"/>
  <c r="P2606" i="1"/>
  <c r="N2606" i="1"/>
  <c r="K2606" i="1"/>
  <c r="P2605" i="1"/>
  <c r="N2605" i="1"/>
  <c r="K2605" i="1"/>
  <c r="P2604" i="1"/>
  <c r="N2604" i="1"/>
  <c r="K2604" i="1"/>
  <c r="P2603" i="1"/>
  <c r="N2603" i="1"/>
  <c r="K2603" i="1"/>
  <c r="P2602" i="1"/>
  <c r="N2602" i="1"/>
  <c r="K2602" i="1"/>
  <c r="P2601" i="1"/>
  <c r="N2601" i="1"/>
  <c r="K2601" i="1"/>
  <c r="P2600" i="1"/>
  <c r="N2600" i="1"/>
  <c r="K2600" i="1"/>
  <c r="P2599" i="1"/>
  <c r="N2599" i="1"/>
  <c r="K2599" i="1"/>
  <c r="P2598" i="1"/>
  <c r="N2598" i="1"/>
  <c r="K2598" i="1"/>
  <c r="P2597" i="1"/>
  <c r="N2597" i="1"/>
  <c r="K2597" i="1"/>
  <c r="P2596" i="1"/>
  <c r="N2596" i="1"/>
  <c r="K2596" i="1"/>
  <c r="P2595" i="1"/>
  <c r="N2595" i="1"/>
  <c r="K2595" i="1"/>
  <c r="P2594" i="1"/>
  <c r="N2594" i="1"/>
  <c r="K2594" i="1"/>
  <c r="P2593" i="1"/>
  <c r="N2593" i="1"/>
  <c r="K2593" i="1"/>
  <c r="P2592" i="1"/>
  <c r="N2592" i="1"/>
  <c r="K2592" i="1"/>
  <c r="P2591" i="1"/>
  <c r="N2591" i="1"/>
  <c r="K2591" i="1"/>
  <c r="P2590" i="1"/>
  <c r="N2590" i="1"/>
  <c r="K2590" i="1"/>
  <c r="P2589" i="1"/>
  <c r="N2589" i="1"/>
  <c r="K2589" i="1"/>
  <c r="P2588" i="1"/>
  <c r="N2588" i="1"/>
  <c r="K2588" i="1"/>
  <c r="P2587" i="1"/>
  <c r="N2587" i="1"/>
  <c r="K2587" i="1"/>
  <c r="P2586" i="1"/>
  <c r="N2586" i="1"/>
  <c r="K2586" i="1"/>
  <c r="P2585" i="1"/>
  <c r="N2585" i="1"/>
  <c r="K2585" i="1"/>
  <c r="P2584" i="1"/>
  <c r="N2584" i="1"/>
  <c r="K2584" i="1"/>
  <c r="P2583" i="1"/>
  <c r="N2583" i="1"/>
  <c r="K2583" i="1"/>
  <c r="P2582" i="1"/>
  <c r="N2582" i="1"/>
  <c r="K2582" i="1"/>
  <c r="P2581" i="1"/>
  <c r="N2581" i="1"/>
  <c r="K2581" i="1"/>
  <c r="P2580" i="1"/>
  <c r="N2580" i="1"/>
  <c r="K2580" i="1"/>
  <c r="P2579" i="1"/>
  <c r="N2579" i="1"/>
  <c r="K2579" i="1"/>
  <c r="P2578" i="1"/>
  <c r="N2578" i="1"/>
  <c r="K2578" i="1"/>
  <c r="P2577" i="1"/>
  <c r="N2577" i="1"/>
  <c r="K2577" i="1"/>
  <c r="P2576" i="1"/>
  <c r="N2576" i="1"/>
  <c r="K2576" i="1"/>
  <c r="P2575" i="1"/>
  <c r="N2575" i="1"/>
  <c r="K2575" i="1"/>
  <c r="P2574" i="1"/>
  <c r="N2574" i="1"/>
  <c r="K2574" i="1"/>
  <c r="P2573" i="1"/>
  <c r="N2573" i="1"/>
  <c r="K2573" i="1"/>
  <c r="P2572" i="1"/>
  <c r="N2572" i="1"/>
  <c r="K2572" i="1"/>
  <c r="P2571" i="1"/>
  <c r="N2571" i="1"/>
  <c r="K2571" i="1"/>
  <c r="P2570" i="1"/>
  <c r="N2570" i="1"/>
  <c r="K2570" i="1"/>
  <c r="P2569" i="1"/>
  <c r="N2569" i="1"/>
  <c r="K2569" i="1"/>
  <c r="P2568" i="1"/>
  <c r="N2568" i="1"/>
  <c r="K2568" i="1"/>
  <c r="P2567" i="1"/>
  <c r="N2567" i="1"/>
  <c r="K2567" i="1"/>
  <c r="P2566" i="1"/>
  <c r="N2566" i="1"/>
  <c r="K2566" i="1"/>
  <c r="P2565" i="1"/>
  <c r="N2565" i="1"/>
  <c r="K2565" i="1"/>
  <c r="P2564" i="1"/>
  <c r="N2564" i="1"/>
  <c r="K2564" i="1"/>
  <c r="P2563" i="1"/>
  <c r="N2563" i="1"/>
  <c r="K2563" i="1"/>
  <c r="P2562" i="1"/>
  <c r="N2562" i="1"/>
  <c r="K2562" i="1"/>
  <c r="P2561" i="1"/>
  <c r="N2561" i="1"/>
  <c r="K2561" i="1"/>
  <c r="P2560" i="1"/>
  <c r="N2560" i="1"/>
  <c r="K2560" i="1"/>
  <c r="P2559" i="1"/>
  <c r="N2559" i="1"/>
  <c r="K2559" i="1"/>
  <c r="P2558" i="1"/>
  <c r="N2558" i="1"/>
  <c r="K2558" i="1"/>
  <c r="P2557" i="1"/>
  <c r="N2557" i="1"/>
  <c r="K2557" i="1"/>
  <c r="P2556" i="1"/>
  <c r="N2556" i="1"/>
  <c r="K2556" i="1"/>
  <c r="P2555" i="1"/>
  <c r="N2555" i="1"/>
  <c r="K2555" i="1"/>
  <c r="P2554" i="1"/>
  <c r="N2554" i="1"/>
  <c r="K2554" i="1"/>
  <c r="P2553" i="1"/>
  <c r="N2553" i="1"/>
  <c r="K2553" i="1"/>
  <c r="P2552" i="1"/>
  <c r="N2552" i="1"/>
  <c r="K2552" i="1"/>
  <c r="P2551" i="1"/>
  <c r="N2551" i="1"/>
  <c r="K2551" i="1"/>
  <c r="P2550" i="1"/>
  <c r="N2550" i="1"/>
  <c r="K2550" i="1"/>
  <c r="P2549" i="1"/>
  <c r="N2549" i="1"/>
  <c r="K2549" i="1"/>
  <c r="P2548" i="1"/>
  <c r="N2548" i="1"/>
  <c r="K2548" i="1"/>
  <c r="P2547" i="1"/>
  <c r="N2547" i="1"/>
  <c r="K2547" i="1"/>
  <c r="P2546" i="1"/>
  <c r="N2546" i="1"/>
  <c r="K2546" i="1"/>
  <c r="P2545" i="1"/>
  <c r="N2545" i="1"/>
  <c r="K2545" i="1"/>
  <c r="P2544" i="1"/>
  <c r="N2544" i="1"/>
  <c r="K2544" i="1"/>
  <c r="P2543" i="1"/>
  <c r="N2543" i="1"/>
  <c r="K2543" i="1"/>
  <c r="P2542" i="1"/>
  <c r="N2542" i="1"/>
  <c r="K2542" i="1"/>
  <c r="P2541" i="1"/>
  <c r="N2541" i="1"/>
  <c r="K2541" i="1"/>
  <c r="P2540" i="1"/>
  <c r="N2540" i="1"/>
  <c r="K2540" i="1"/>
  <c r="P2539" i="1"/>
  <c r="N2539" i="1"/>
  <c r="K2539" i="1"/>
  <c r="P2538" i="1"/>
  <c r="N2538" i="1"/>
  <c r="K2538" i="1"/>
  <c r="P2537" i="1"/>
  <c r="N2537" i="1"/>
  <c r="K2537" i="1"/>
  <c r="P2536" i="1"/>
  <c r="N2536" i="1"/>
  <c r="K2536" i="1"/>
  <c r="P2535" i="1"/>
  <c r="N2535" i="1"/>
  <c r="K2535" i="1"/>
  <c r="P2534" i="1"/>
  <c r="N2534" i="1"/>
  <c r="K2534" i="1"/>
  <c r="P2533" i="1"/>
  <c r="N2533" i="1"/>
  <c r="K2533" i="1"/>
  <c r="P2532" i="1"/>
  <c r="N2532" i="1"/>
  <c r="K2532" i="1"/>
  <c r="P2531" i="1"/>
  <c r="N2531" i="1"/>
  <c r="K2531" i="1"/>
  <c r="P2530" i="1"/>
  <c r="N2530" i="1"/>
  <c r="K2530" i="1"/>
  <c r="P2529" i="1"/>
  <c r="N2529" i="1"/>
  <c r="K2529" i="1"/>
  <c r="P2528" i="1"/>
  <c r="N2528" i="1"/>
  <c r="K2528" i="1"/>
  <c r="P2527" i="1"/>
  <c r="N2527" i="1"/>
  <c r="K2527" i="1"/>
  <c r="P2526" i="1"/>
  <c r="N2526" i="1"/>
  <c r="K2526" i="1"/>
  <c r="P2525" i="1"/>
  <c r="N2525" i="1"/>
  <c r="K2525" i="1"/>
  <c r="P2524" i="1"/>
  <c r="N2524" i="1"/>
  <c r="K2524" i="1"/>
  <c r="P2523" i="1"/>
  <c r="N2523" i="1"/>
  <c r="K2523" i="1"/>
  <c r="P2522" i="1"/>
  <c r="N2522" i="1"/>
  <c r="K2522" i="1"/>
  <c r="P2521" i="1"/>
  <c r="N2521" i="1"/>
  <c r="K2521" i="1"/>
  <c r="P2520" i="1"/>
  <c r="N2520" i="1"/>
  <c r="K2520" i="1"/>
  <c r="P2519" i="1"/>
  <c r="N2519" i="1"/>
  <c r="K2519" i="1"/>
  <c r="P2518" i="1"/>
  <c r="N2518" i="1"/>
  <c r="K2518" i="1"/>
  <c r="P2517" i="1"/>
  <c r="N2517" i="1"/>
  <c r="K2517" i="1"/>
  <c r="P2516" i="1"/>
  <c r="N2516" i="1"/>
  <c r="K2516" i="1"/>
  <c r="P2515" i="1"/>
  <c r="N2515" i="1"/>
  <c r="K2515" i="1"/>
  <c r="P2514" i="1"/>
  <c r="N2514" i="1"/>
  <c r="K2514" i="1"/>
  <c r="P2513" i="1"/>
  <c r="N2513" i="1"/>
  <c r="K2513" i="1"/>
  <c r="P2512" i="1"/>
  <c r="N2512" i="1"/>
  <c r="K2512" i="1"/>
  <c r="P2511" i="1"/>
  <c r="N2511" i="1"/>
  <c r="K2511" i="1"/>
  <c r="P2510" i="1"/>
  <c r="N2510" i="1"/>
  <c r="K2510" i="1"/>
  <c r="P2509" i="1"/>
  <c r="N2509" i="1"/>
  <c r="K2509" i="1"/>
  <c r="P2508" i="1"/>
  <c r="N2508" i="1"/>
  <c r="K2508" i="1"/>
  <c r="P2507" i="1"/>
  <c r="N2507" i="1"/>
  <c r="K2507" i="1"/>
  <c r="P2506" i="1"/>
  <c r="N2506" i="1"/>
  <c r="K2506" i="1"/>
  <c r="P2505" i="1"/>
  <c r="N2505" i="1"/>
  <c r="K2505" i="1"/>
  <c r="P2504" i="1"/>
  <c r="N2504" i="1"/>
  <c r="K2504" i="1"/>
  <c r="P2503" i="1"/>
  <c r="N2503" i="1"/>
  <c r="K2503" i="1"/>
  <c r="P2502" i="1"/>
  <c r="N2502" i="1"/>
  <c r="K2502" i="1"/>
  <c r="P2501" i="1"/>
  <c r="N2501" i="1"/>
  <c r="K2501" i="1"/>
  <c r="P2500" i="1"/>
  <c r="N2500" i="1"/>
  <c r="K2500" i="1"/>
  <c r="P2499" i="1"/>
  <c r="N2499" i="1"/>
  <c r="K2499" i="1"/>
  <c r="P2498" i="1"/>
  <c r="N2498" i="1"/>
  <c r="K2498" i="1"/>
  <c r="P2497" i="1"/>
  <c r="N2497" i="1"/>
  <c r="K2497" i="1"/>
  <c r="P2496" i="1"/>
  <c r="N2496" i="1"/>
  <c r="K2496" i="1"/>
  <c r="P2495" i="1"/>
  <c r="N2495" i="1"/>
  <c r="K2495" i="1"/>
  <c r="P2494" i="1"/>
  <c r="N2494" i="1"/>
  <c r="K2494" i="1"/>
  <c r="P2493" i="1"/>
  <c r="N2493" i="1"/>
  <c r="K2493" i="1"/>
  <c r="P2492" i="1"/>
  <c r="N2492" i="1"/>
  <c r="K2492" i="1"/>
  <c r="P2491" i="1"/>
  <c r="N2491" i="1"/>
  <c r="K2491" i="1"/>
  <c r="P2490" i="1"/>
  <c r="N2490" i="1"/>
  <c r="K2490" i="1"/>
  <c r="P2489" i="1"/>
  <c r="N2489" i="1"/>
  <c r="K2489" i="1"/>
  <c r="P2488" i="1"/>
  <c r="N2488" i="1"/>
  <c r="K2488" i="1"/>
  <c r="P2487" i="1"/>
  <c r="N2487" i="1"/>
  <c r="K2487" i="1"/>
  <c r="P2486" i="1"/>
  <c r="N2486" i="1"/>
  <c r="K2486" i="1"/>
  <c r="P2485" i="1"/>
  <c r="N2485" i="1"/>
  <c r="K2485" i="1"/>
  <c r="P2484" i="1"/>
  <c r="N2484" i="1"/>
  <c r="K2484" i="1"/>
  <c r="P2483" i="1"/>
  <c r="N2483" i="1"/>
  <c r="K2483" i="1"/>
  <c r="P2482" i="1"/>
  <c r="N2482" i="1"/>
  <c r="K2482" i="1"/>
  <c r="P2481" i="1"/>
  <c r="N2481" i="1"/>
  <c r="K2481" i="1"/>
  <c r="P2480" i="1"/>
  <c r="N2480" i="1"/>
  <c r="K2480" i="1"/>
  <c r="P2479" i="1"/>
  <c r="N2479" i="1"/>
  <c r="K2479" i="1"/>
  <c r="P2478" i="1"/>
  <c r="N2478" i="1"/>
  <c r="K2478" i="1"/>
  <c r="P2477" i="1"/>
  <c r="N2477" i="1"/>
  <c r="K2477" i="1"/>
  <c r="P2476" i="1"/>
  <c r="N2476" i="1"/>
  <c r="K2476" i="1"/>
  <c r="P2475" i="1"/>
  <c r="N2475" i="1"/>
  <c r="K2475" i="1"/>
  <c r="P2474" i="1"/>
  <c r="N2474" i="1"/>
  <c r="K2474" i="1"/>
  <c r="P2473" i="1"/>
  <c r="N2473" i="1"/>
  <c r="K2473" i="1"/>
  <c r="P2472" i="1"/>
  <c r="N2472" i="1"/>
  <c r="K2472" i="1"/>
  <c r="P2471" i="1"/>
  <c r="N2471" i="1"/>
  <c r="K2471" i="1"/>
  <c r="P2470" i="1"/>
  <c r="N2470" i="1"/>
  <c r="K2470" i="1"/>
  <c r="P2469" i="1"/>
  <c r="N2469" i="1"/>
  <c r="K2469" i="1"/>
  <c r="P2468" i="1"/>
  <c r="N2468" i="1"/>
  <c r="K2468" i="1"/>
  <c r="P2467" i="1"/>
  <c r="N2467" i="1"/>
  <c r="K2467" i="1"/>
  <c r="P2466" i="1"/>
  <c r="N2466" i="1"/>
  <c r="K2466" i="1"/>
  <c r="P2465" i="1"/>
  <c r="N2465" i="1"/>
  <c r="K2465" i="1"/>
  <c r="P2464" i="1"/>
  <c r="N2464" i="1"/>
  <c r="K2464" i="1"/>
  <c r="P2463" i="1"/>
  <c r="N2463" i="1"/>
  <c r="K2463" i="1"/>
  <c r="P2462" i="1"/>
  <c r="N2462" i="1"/>
  <c r="K2462" i="1"/>
  <c r="P2461" i="1"/>
  <c r="N2461" i="1"/>
  <c r="K2461" i="1"/>
  <c r="P2460" i="1"/>
  <c r="N2460" i="1"/>
  <c r="K2460" i="1"/>
  <c r="P2459" i="1"/>
  <c r="N2459" i="1"/>
  <c r="K2459" i="1"/>
  <c r="P2458" i="1"/>
  <c r="N2458" i="1"/>
  <c r="K2458" i="1"/>
  <c r="P2457" i="1"/>
  <c r="N2457" i="1"/>
  <c r="K2457" i="1"/>
  <c r="P2456" i="1"/>
  <c r="N2456" i="1"/>
  <c r="K2456" i="1"/>
  <c r="P2455" i="1"/>
  <c r="N2455" i="1"/>
  <c r="K2455" i="1"/>
  <c r="P2454" i="1"/>
  <c r="N2454" i="1"/>
  <c r="K2454" i="1"/>
  <c r="P2453" i="1"/>
  <c r="N2453" i="1"/>
  <c r="K2453" i="1"/>
  <c r="P2452" i="1"/>
  <c r="N2452" i="1"/>
  <c r="K2452" i="1"/>
  <c r="P2451" i="1"/>
  <c r="N2451" i="1"/>
  <c r="K2451" i="1"/>
  <c r="P2450" i="1"/>
  <c r="N2450" i="1"/>
  <c r="K2450" i="1"/>
  <c r="P2449" i="1"/>
  <c r="N2449" i="1"/>
  <c r="K2449" i="1"/>
  <c r="P2448" i="1"/>
  <c r="N2448" i="1"/>
  <c r="K2448" i="1"/>
  <c r="P2447" i="1"/>
  <c r="N2447" i="1"/>
  <c r="K2447" i="1"/>
  <c r="P2446" i="1"/>
  <c r="N2446" i="1"/>
  <c r="K2446" i="1"/>
  <c r="P2445" i="1"/>
  <c r="N2445" i="1"/>
  <c r="K2445" i="1"/>
  <c r="P2444" i="1"/>
  <c r="N2444" i="1"/>
  <c r="K2444" i="1"/>
  <c r="P2443" i="1"/>
  <c r="N2443" i="1"/>
  <c r="K2443" i="1"/>
  <c r="P2442" i="1"/>
  <c r="N2442" i="1"/>
  <c r="K2442" i="1"/>
  <c r="P2441" i="1"/>
  <c r="N2441" i="1"/>
  <c r="K2441" i="1"/>
  <c r="P2440" i="1"/>
  <c r="N2440" i="1"/>
  <c r="K2440" i="1"/>
  <c r="P2439" i="1"/>
  <c r="N2439" i="1"/>
  <c r="K2439" i="1"/>
  <c r="P2438" i="1"/>
  <c r="N2438" i="1"/>
  <c r="K2438" i="1"/>
  <c r="P2437" i="1"/>
  <c r="N2437" i="1"/>
  <c r="K2437" i="1"/>
  <c r="P2436" i="1"/>
  <c r="N2436" i="1"/>
  <c r="K2436" i="1"/>
  <c r="P2435" i="1"/>
  <c r="N2435" i="1"/>
  <c r="K2435" i="1"/>
  <c r="P2434" i="1"/>
  <c r="N2434" i="1"/>
  <c r="K2434" i="1"/>
  <c r="P2433" i="1"/>
  <c r="N2433" i="1"/>
  <c r="K2433" i="1"/>
  <c r="P2432" i="1"/>
  <c r="N2432" i="1"/>
  <c r="K2432" i="1"/>
  <c r="P2431" i="1"/>
  <c r="N2431" i="1"/>
  <c r="K2431" i="1"/>
  <c r="P2430" i="1"/>
  <c r="N2430" i="1"/>
  <c r="K2430" i="1"/>
  <c r="P2429" i="1"/>
  <c r="N2429" i="1"/>
  <c r="K2429" i="1"/>
  <c r="P2428" i="1"/>
  <c r="N2428" i="1"/>
  <c r="K2428" i="1"/>
  <c r="P2427" i="1"/>
  <c r="N2427" i="1"/>
  <c r="K2427" i="1"/>
  <c r="P2426" i="1"/>
  <c r="N2426" i="1"/>
  <c r="K2426" i="1"/>
  <c r="P2425" i="1"/>
  <c r="N2425" i="1"/>
  <c r="K2425" i="1"/>
  <c r="P2424" i="1"/>
  <c r="N2424" i="1"/>
  <c r="K2424" i="1"/>
  <c r="P2423" i="1"/>
  <c r="N2423" i="1"/>
  <c r="K2423" i="1"/>
  <c r="P2422" i="1"/>
  <c r="N2422" i="1"/>
  <c r="K2422" i="1"/>
  <c r="P2421" i="1"/>
  <c r="N2421" i="1"/>
  <c r="K2421" i="1"/>
  <c r="P2420" i="1"/>
  <c r="N2420" i="1"/>
  <c r="K2420" i="1"/>
  <c r="P2419" i="1"/>
  <c r="N2419" i="1"/>
  <c r="K2419" i="1"/>
  <c r="P2418" i="1"/>
  <c r="N2418" i="1"/>
  <c r="K2418" i="1"/>
  <c r="P2417" i="1"/>
  <c r="N2417" i="1"/>
  <c r="K2417" i="1"/>
  <c r="P2416" i="1"/>
  <c r="N2416" i="1"/>
  <c r="K2416" i="1"/>
  <c r="P2415" i="1"/>
  <c r="N2415" i="1"/>
  <c r="K2415" i="1"/>
  <c r="P2414" i="1"/>
  <c r="N2414" i="1"/>
  <c r="K2414" i="1"/>
  <c r="P2413" i="1"/>
  <c r="N2413" i="1"/>
  <c r="K2413" i="1"/>
  <c r="P2412" i="1"/>
  <c r="N2412" i="1"/>
  <c r="K2412" i="1"/>
  <c r="P2411" i="1"/>
  <c r="N2411" i="1"/>
  <c r="K2411" i="1"/>
  <c r="P2410" i="1"/>
  <c r="N2410" i="1"/>
  <c r="K2410" i="1"/>
  <c r="P2409" i="1"/>
  <c r="N2409" i="1"/>
  <c r="K2409" i="1"/>
  <c r="P2408" i="1"/>
  <c r="N2408" i="1"/>
  <c r="K2408" i="1"/>
  <c r="P2407" i="1"/>
  <c r="N2407" i="1"/>
  <c r="K2407" i="1"/>
  <c r="P2406" i="1"/>
  <c r="N2406" i="1"/>
  <c r="K2406" i="1"/>
  <c r="P2405" i="1"/>
  <c r="N2405" i="1"/>
  <c r="K2405" i="1"/>
  <c r="P2404" i="1"/>
  <c r="N2404" i="1"/>
  <c r="K2404" i="1"/>
  <c r="P2403" i="1"/>
  <c r="N2403" i="1"/>
  <c r="K2403" i="1"/>
  <c r="P2402" i="1"/>
  <c r="N2402" i="1"/>
  <c r="K2402" i="1"/>
  <c r="P2401" i="1"/>
  <c r="N2401" i="1"/>
  <c r="K2401" i="1"/>
  <c r="P2400" i="1"/>
  <c r="N2400" i="1"/>
  <c r="K2400" i="1"/>
  <c r="P2399" i="1"/>
  <c r="N2399" i="1"/>
  <c r="K2399" i="1"/>
  <c r="P2398" i="1"/>
  <c r="N2398" i="1"/>
  <c r="K2398" i="1"/>
  <c r="P2397" i="1"/>
  <c r="N2397" i="1"/>
  <c r="K2397" i="1"/>
  <c r="P2396" i="1"/>
  <c r="N2396" i="1"/>
  <c r="K2396" i="1"/>
  <c r="P2395" i="1"/>
  <c r="N2395" i="1"/>
  <c r="K2395" i="1"/>
  <c r="P2394" i="1"/>
  <c r="N2394" i="1"/>
  <c r="K2394" i="1"/>
  <c r="P2393" i="1"/>
  <c r="N2393" i="1"/>
  <c r="K2393" i="1"/>
  <c r="P2392" i="1"/>
  <c r="N2392" i="1"/>
  <c r="K2392" i="1"/>
  <c r="P2391" i="1"/>
  <c r="N2391" i="1"/>
  <c r="K2391" i="1"/>
  <c r="P2390" i="1"/>
  <c r="N2390" i="1"/>
  <c r="K2390" i="1"/>
  <c r="P2389" i="1"/>
  <c r="N2389" i="1"/>
  <c r="K2389" i="1"/>
  <c r="P2388" i="1"/>
  <c r="N2388" i="1"/>
  <c r="K2388" i="1"/>
  <c r="P2387" i="1"/>
  <c r="N2387" i="1"/>
  <c r="K2387" i="1"/>
  <c r="P2386" i="1"/>
  <c r="N2386" i="1"/>
  <c r="K2386" i="1"/>
  <c r="P2385" i="1"/>
  <c r="N2385" i="1"/>
  <c r="K2385" i="1"/>
  <c r="P2384" i="1"/>
  <c r="N2384" i="1"/>
  <c r="K2384" i="1"/>
  <c r="P2383" i="1"/>
  <c r="N2383" i="1"/>
  <c r="K2383" i="1"/>
  <c r="P2382" i="1"/>
  <c r="N2382" i="1"/>
  <c r="K2382" i="1"/>
  <c r="P2381" i="1"/>
  <c r="N2381" i="1"/>
  <c r="K2381" i="1"/>
  <c r="P2380" i="1"/>
  <c r="N2380" i="1"/>
  <c r="K2380" i="1"/>
  <c r="P2379" i="1"/>
  <c r="N2379" i="1"/>
  <c r="K2379" i="1"/>
  <c r="P2378" i="1"/>
  <c r="N2378" i="1"/>
  <c r="K2378" i="1"/>
  <c r="P2377" i="1"/>
  <c r="N2377" i="1"/>
  <c r="K2377" i="1"/>
  <c r="P2376" i="1"/>
  <c r="N2376" i="1"/>
  <c r="K2376" i="1"/>
  <c r="P2375" i="1"/>
  <c r="N2375" i="1"/>
  <c r="K2375" i="1"/>
  <c r="P2374" i="1"/>
  <c r="N2374" i="1"/>
  <c r="K2374" i="1"/>
  <c r="P2373" i="1"/>
  <c r="N2373" i="1"/>
  <c r="K2373" i="1"/>
  <c r="P2372" i="1"/>
  <c r="N2372" i="1"/>
  <c r="K2372" i="1"/>
  <c r="P2371" i="1"/>
  <c r="N2371" i="1"/>
  <c r="K2371" i="1"/>
  <c r="P2370" i="1"/>
  <c r="N2370" i="1"/>
  <c r="K2370" i="1"/>
  <c r="P2369" i="1"/>
  <c r="N2369" i="1"/>
  <c r="K2369" i="1"/>
  <c r="P2368" i="1"/>
  <c r="N2368" i="1"/>
  <c r="K2368" i="1"/>
  <c r="P2367" i="1"/>
  <c r="N2367" i="1"/>
  <c r="K2367" i="1"/>
  <c r="P2366" i="1"/>
  <c r="N2366" i="1"/>
  <c r="K2366" i="1"/>
  <c r="P2365" i="1"/>
  <c r="N2365" i="1"/>
  <c r="K2365" i="1"/>
  <c r="P2364" i="1"/>
  <c r="N2364" i="1"/>
  <c r="K2364" i="1"/>
  <c r="P2363" i="1"/>
  <c r="N2363" i="1"/>
  <c r="K2363" i="1"/>
  <c r="P2362" i="1"/>
  <c r="N2362" i="1"/>
  <c r="K2362" i="1"/>
  <c r="P2361" i="1"/>
  <c r="N2361" i="1"/>
  <c r="K2361" i="1"/>
  <c r="P2360" i="1"/>
  <c r="N2360" i="1"/>
  <c r="K2360" i="1"/>
  <c r="P2359" i="1"/>
  <c r="N2359" i="1"/>
  <c r="K2359" i="1"/>
  <c r="P2358" i="1"/>
  <c r="N2358" i="1"/>
  <c r="K2358" i="1"/>
  <c r="P2357" i="1"/>
  <c r="N2357" i="1"/>
  <c r="K2357" i="1"/>
  <c r="P2356" i="1"/>
  <c r="N2356" i="1"/>
  <c r="K2356" i="1"/>
  <c r="P2355" i="1"/>
  <c r="N2355" i="1"/>
  <c r="K2355" i="1"/>
  <c r="P2354" i="1"/>
  <c r="N2354" i="1"/>
  <c r="K2354" i="1"/>
  <c r="P2353" i="1"/>
  <c r="N2353" i="1"/>
  <c r="K2353" i="1"/>
  <c r="P2352" i="1"/>
  <c r="N2352" i="1"/>
  <c r="K2352" i="1"/>
  <c r="P2351" i="1"/>
  <c r="N2351" i="1"/>
  <c r="K2351" i="1"/>
  <c r="P2350" i="1"/>
  <c r="N2350" i="1"/>
  <c r="K2350" i="1"/>
  <c r="P2349" i="1"/>
  <c r="N2349" i="1"/>
  <c r="K2349" i="1"/>
  <c r="P2348" i="1"/>
  <c r="N2348" i="1"/>
  <c r="K2348" i="1"/>
  <c r="P2347" i="1"/>
  <c r="N2347" i="1"/>
  <c r="K2347" i="1"/>
  <c r="P2346" i="1"/>
  <c r="N2346" i="1"/>
  <c r="K2346" i="1"/>
  <c r="P2345" i="1"/>
  <c r="N2345" i="1"/>
  <c r="K2345" i="1"/>
  <c r="P2344" i="1"/>
  <c r="N2344" i="1"/>
  <c r="K2344" i="1"/>
  <c r="P2343" i="1"/>
  <c r="N2343" i="1"/>
  <c r="K2343" i="1"/>
  <c r="P2342" i="1"/>
  <c r="N2342" i="1"/>
  <c r="K2342" i="1"/>
  <c r="P2341" i="1"/>
  <c r="N2341" i="1"/>
  <c r="K2341" i="1"/>
  <c r="P2340" i="1"/>
  <c r="N2340" i="1"/>
  <c r="K2340" i="1"/>
  <c r="P2339" i="1"/>
  <c r="N2339" i="1"/>
  <c r="K2339" i="1"/>
  <c r="P2338" i="1"/>
  <c r="N2338" i="1"/>
  <c r="K2338" i="1"/>
  <c r="P2337" i="1"/>
  <c r="N2337" i="1"/>
  <c r="K2337" i="1"/>
  <c r="P2336" i="1"/>
  <c r="N2336" i="1"/>
  <c r="K2336" i="1"/>
  <c r="P2335" i="1"/>
  <c r="N2335" i="1"/>
  <c r="K2335" i="1"/>
  <c r="P2334" i="1"/>
  <c r="N2334" i="1"/>
  <c r="K2334" i="1"/>
  <c r="P2333" i="1"/>
  <c r="N2333" i="1"/>
  <c r="K2333" i="1"/>
  <c r="P2332" i="1"/>
  <c r="N2332" i="1"/>
  <c r="K2332" i="1"/>
  <c r="P2331" i="1"/>
  <c r="N2331" i="1"/>
  <c r="K2331" i="1"/>
  <c r="P2330" i="1"/>
  <c r="N2330" i="1"/>
  <c r="K2330" i="1"/>
  <c r="P2329" i="1"/>
  <c r="N2329" i="1"/>
  <c r="K2329" i="1"/>
  <c r="P2328" i="1"/>
  <c r="N2328" i="1"/>
  <c r="K2328" i="1"/>
  <c r="P2327" i="1"/>
  <c r="N2327" i="1"/>
  <c r="K2327" i="1"/>
  <c r="P2326" i="1"/>
  <c r="N2326" i="1"/>
  <c r="K2326" i="1"/>
  <c r="P2325" i="1"/>
  <c r="N2325" i="1"/>
  <c r="K2325" i="1"/>
  <c r="P2324" i="1"/>
  <c r="N2324" i="1"/>
  <c r="K2324" i="1"/>
  <c r="P2323" i="1"/>
  <c r="N2323" i="1"/>
  <c r="K2323" i="1"/>
  <c r="P2322" i="1"/>
  <c r="N2322" i="1"/>
  <c r="K2322" i="1"/>
  <c r="P2321" i="1"/>
  <c r="N2321" i="1"/>
  <c r="K2321" i="1"/>
  <c r="P2320" i="1"/>
  <c r="N2320" i="1"/>
  <c r="K2320" i="1"/>
  <c r="P2319" i="1"/>
  <c r="N2319" i="1"/>
  <c r="K2319" i="1"/>
  <c r="P2318" i="1"/>
  <c r="N2318" i="1"/>
  <c r="K2318" i="1"/>
  <c r="P2317" i="1"/>
  <c r="N2317" i="1"/>
  <c r="K2317" i="1"/>
  <c r="P2316" i="1"/>
  <c r="N2316" i="1"/>
  <c r="K2316" i="1"/>
  <c r="P2315" i="1"/>
  <c r="N2315" i="1"/>
  <c r="K2315" i="1"/>
  <c r="P2314" i="1"/>
  <c r="N2314" i="1"/>
  <c r="K2314" i="1"/>
  <c r="P2313" i="1"/>
  <c r="N2313" i="1"/>
  <c r="K2313" i="1"/>
  <c r="P2312" i="1"/>
  <c r="N2312" i="1"/>
  <c r="K2312" i="1"/>
  <c r="P2311" i="1"/>
  <c r="N2311" i="1"/>
  <c r="K2311" i="1"/>
  <c r="P2310" i="1"/>
  <c r="N2310" i="1"/>
  <c r="K2310" i="1"/>
  <c r="P2309" i="1"/>
  <c r="N2309" i="1"/>
  <c r="K2309" i="1"/>
  <c r="P2308" i="1"/>
  <c r="N2308" i="1"/>
  <c r="K2308" i="1"/>
  <c r="P2307" i="1"/>
  <c r="N2307" i="1"/>
  <c r="K2307" i="1"/>
  <c r="P2306" i="1"/>
  <c r="N2306" i="1"/>
  <c r="K2306" i="1"/>
  <c r="P2305" i="1"/>
  <c r="N2305" i="1"/>
  <c r="K2305" i="1"/>
  <c r="P2304" i="1"/>
  <c r="N2304" i="1"/>
  <c r="K2304" i="1"/>
  <c r="P2303" i="1"/>
  <c r="N2303" i="1"/>
  <c r="K2303" i="1"/>
  <c r="P2302" i="1"/>
  <c r="N2302" i="1"/>
  <c r="K2302" i="1"/>
  <c r="P2301" i="1"/>
  <c r="N2301" i="1"/>
  <c r="K2301" i="1"/>
  <c r="P2300" i="1"/>
  <c r="N2300" i="1"/>
  <c r="K2300" i="1"/>
  <c r="P2299" i="1"/>
  <c r="N2299" i="1"/>
  <c r="K2299" i="1"/>
  <c r="P2298" i="1"/>
  <c r="N2298" i="1"/>
  <c r="K2298" i="1"/>
  <c r="P2297" i="1"/>
  <c r="N2297" i="1"/>
  <c r="K2297" i="1"/>
  <c r="P2296" i="1"/>
  <c r="N2296" i="1"/>
  <c r="K2296" i="1"/>
  <c r="P2295" i="1"/>
  <c r="N2295" i="1"/>
  <c r="K2295" i="1"/>
  <c r="P2294" i="1"/>
  <c r="N2294" i="1"/>
  <c r="K2294" i="1"/>
  <c r="P2293" i="1"/>
  <c r="N2293" i="1"/>
  <c r="K2293" i="1"/>
  <c r="P2292" i="1"/>
  <c r="N2292" i="1"/>
  <c r="K2292" i="1"/>
  <c r="P2291" i="1"/>
  <c r="N2291" i="1"/>
  <c r="K2291" i="1"/>
  <c r="P2290" i="1"/>
  <c r="N2290" i="1"/>
  <c r="K2290" i="1"/>
  <c r="P2289" i="1"/>
  <c r="N2289" i="1"/>
  <c r="K2289" i="1"/>
  <c r="P2288" i="1"/>
  <c r="N2288" i="1"/>
  <c r="K2288" i="1"/>
  <c r="P2287" i="1"/>
  <c r="N2287" i="1"/>
  <c r="K2287" i="1"/>
  <c r="P2286" i="1"/>
  <c r="N2286" i="1"/>
  <c r="K2286" i="1"/>
  <c r="P2285" i="1"/>
  <c r="N2285" i="1"/>
  <c r="K2285" i="1"/>
  <c r="P2284" i="1"/>
  <c r="N2284" i="1"/>
  <c r="K2284" i="1"/>
  <c r="P2283" i="1"/>
  <c r="N2283" i="1"/>
  <c r="K2283" i="1"/>
  <c r="P2282" i="1"/>
  <c r="N2282" i="1"/>
  <c r="K2282" i="1"/>
  <c r="P2281" i="1"/>
  <c r="N2281" i="1"/>
  <c r="K2281" i="1"/>
  <c r="P2280" i="1"/>
  <c r="N2280" i="1"/>
  <c r="K2280" i="1"/>
  <c r="P2279" i="1"/>
  <c r="N2279" i="1"/>
  <c r="K2279" i="1"/>
  <c r="P2278" i="1"/>
  <c r="N2278" i="1"/>
  <c r="K2278" i="1"/>
  <c r="P2277" i="1"/>
  <c r="N2277" i="1"/>
  <c r="K2277" i="1"/>
  <c r="P2276" i="1"/>
  <c r="N2276" i="1"/>
  <c r="K2276" i="1"/>
  <c r="P2275" i="1"/>
  <c r="N2275" i="1"/>
  <c r="K2275" i="1"/>
  <c r="P2274" i="1"/>
  <c r="N2274" i="1"/>
  <c r="K2274" i="1"/>
  <c r="P2273" i="1"/>
  <c r="N2273" i="1"/>
  <c r="K2273" i="1"/>
  <c r="P2272" i="1"/>
  <c r="N2272" i="1"/>
  <c r="K2272" i="1"/>
  <c r="P2271" i="1"/>
  <c r="N2271" i="1"/>
  <c r="K2271" i="1"/>
  <c r="P2270" i="1"/>
  <c r="N2270" i="1"/>
  <c r="K2270" i="1"/>
  <c r="P2269" i="1"/>
  <c r="N2269" i="1"/>
  <c r="K2269" i="1"/>
  <c r="P2268" i="1"/>
  <c r="N2268" i="1"/>
  <c r="K2268" i="1"/>
  <c r="P2267" i="1"/>
  <c r="N2267" i="1"/>
  <c r="K2267" i="1"/>
  <c r="P2266" i="1"/>
  <c r="N2266" i="1"/>
  <c r="K2266" i="1"/>
  <c r="P2265" i="1"/>
  <c r="N2265" i="1"/>
  <c r="K2265" i="1"/>
  <c r="P2264" i="1"/>
  <c r="N2264" i="1"/>
  <c r="K2264" i="1"/>
  <c r="P2263" i="1"/>
  <c r="N2263" i="1"/>
  <c r="K2263" i="1"/>
  <c r="P2262" i="1"/>
  <c r="N2262" i="1"/>
  <c r="K2262" i="1"/>
  <c r="P2261" i="1"/>
  <c r="N2261" i="1"/>
  <c r="K2261" i="1"/>
  <c r="P2260" i="1"/>
  <c r="N2260" i="1"/>
  <c r="K2260" i="1"/>
  <c r="P2259" i="1"/>
  <c r="N2259" i="1"/>
  <c r="K2259" i="1"/>
  <c r="P2258" i="1"/>
  <c r="N2258" i="1"/>
  <c r="K2258" i="1"/>
  <c r="P2257" i="1"/>
  <c r="N2257" i="1"/>
  <c r="K2257" i="1"/>
  <c r="P2256" i="1"/>
  <c r="N2256" i="1"/>
  <c r="K2256" i="1"/>
  <c r="P2255" i="1"/>
  <c r="N2255" i="1"/>
  <c r="K2255" i="1"/>
  <c r="P2254" i="1"/>
  <c r="N2254" i="1"/>
  <c r="K2254" i="1"/>
  <c r="P2253" i="1"/>
  <c r="N2253" i="1"/>
  <c r="K2253" i="1"/>
  <c r="P2252" i="1"/>
  <c r="N2252" i="1"/>
  <c r="K2252" i="1"/>
  <c r="P2251" i="1"/>
  <c r="N2251" i="1"/>
  <c r="K2251" i="1"/>
  <c r="P2250" i="1"/>
  <c r="N2250" i="1"/>
  <c r="K2250" i="1"/>
  <c r="P2249" i="1"/>
  <c r="N2249" i="1"/>
  <c r="K2249" i="1"/>
  <c r="P2248" i="1"/>
  <c r="N2248" i="1"/>
  <c r="K2248" i="1"/>
  <c r="P2247" i="1"/>
  <c r="N2247" i="1"/>
  <c r="K2247" i="1"/>
  <c r="P2246" i="1"/>
  <c r="N2246" i="1"/>
  <c r="K2246" i="1"/>
  <c r="P2245" i="1"/>
  <c r="N2245" i="1"/>
  <c r="K2245" i="1"/>
  <c r="P2244" i="1"/>
  <c r="N2244" i="1"/>
  <c r="K2244" i="1"/>
  <c r="P2243" i="1"/>
  <c r="N2243" i="1"/>
  <c r="K2243" i="1"/>
  <c r="P2242" i="1"/>
  <c r="N2242" i="1"/>
  <c r="K2242" i="1"/>
  <c r="P2241" i="1"/>
  <c r="N2241" i="1"/>
  <c r="K2241" i="1"/>
  <c r="P2240" i="1"/>
  <c r="N2240" i="1"/>
  <c r="K2240" i="1"/>
  <c r="P2239" i="1"/>
  <c r="N2239" i="1"/>
  <c r="K2239" i="1"/>
  <c r="P2238" i="1"/>
  <c r="N2238" i="1"/>
  <c r="K2238" i="1"/>
  <c r="P2237" i="1"/>
  <c r="N2237" i="1"/>
  <c r="K2237" i="1"/>
  <c r="P2236" i="1"/>
  <c r="N2236" i="1"/>
  <c r="K2236" i="1"/>
  <c r="P2235" i="1"/>
  <c r="N2235" i="1"/>
  <c r="K2235" i="1"/>
  <c r="P2234" i="1"/>
  <c r="N2234" i="1"/>
  <c r="K2234" i="1"/>
  <c r="P2233" i="1"/>
  <c r="N2233" i="1"/>
  <c r="K2233" i="1"/>
  <c r="P2232" i="1"/>
  <c r="N2232" i="1"/>
  <c r="K2232" i="1"/>
  <c r="P2231" i="1"/>
  <c r="N2231" i="1"/>
  <c r="K2231" i="1"/>
  <c r="P2230" i="1"/>
  <c r="N2230" i="1"/>
  <c r="K2230" i="1"/>
  <c r="P2229" i="1"/>
  <c r="N2229" i="1"/>
  <c r="K2229" i="1"/>
  <c r="P2228" i="1"/>
  <c r="N2228" i="1"/>
  <c r="K2228" i="1"/>
  <c r="P2227" i="1"/>
  <c r="N2227" i="1"/>
  <c r="K2227" i="1"/>
  <c r="P2226" i="1"/>
  <c r="N2226" i="1"/>
  <c r="K2226" i="1"/>
  <c r="P2225" i="1"/>
  <c r="N2225" i="1"/>
  <c r="K2225" i="1"/>
  <c r="P2224" i="1"/>
  <c r="N2224" i="1"/>
  <c r="K2224" i="1"/>
  <c r="P2223" i="1"/>
  <c r="N2223" i="1"/>
  <c r="K2223" i="1"/>
  <c r="P2222" i="1"/>
  <c r="N2222" i="1"/>
  <c r="K2222" i="1"/>
  <c r="P2221" i="1"/>
  <c r="N2221" i="1"/>
  <c r="K2221" i="1"/>
  <c r="P2220" i="1"/>
  <c r="N2220" i="1"/>
  <c r="K2220" i="1"/>
  <c r="P2219" i="1"/>
  <c r="N2219" i="1"/>
  <c r="K2219" i="1"/>
  <c r="P2218" i="1"/>
  <c r="N2218" i="1"/>
  <c r="K2218" i="1"/>
  <c r="P2217" i="1"/>
  <c r="N2217" i="1"/>
  <c r="K2217" i="1"/>
  <c r="P2216" i="1"/>
  <c r="N2216" i="1"/>
  <c r="K2216" i="1"/>
  <c r="P2215" i="1"/>
  <c r="N2215" i="1"/>
  <c r="K2215" i="1"/>
  <c r="P2214" i="1"/>
  <c r="N2214" i="1"/>
  <c r="K2214" i="1"/>
  <c r="P2213" i="1"/>
  <c r="N2213" i="1"/>
  <c r="K2213" i="1"/>
  <c r="P2212" i="1"/>
  <c r="N2212" i="1"/>
  <c r="K2212" i="1"/>
  <c r="P2211" i="1"/>
  <c r="N2211" i="1"/>
  <c r="K2211" i="1"/>
  <c r="P2210" i="1"/>
  <c r="N2210" i="1"/>
  <c r="K2210" i="1"/>
  <c r="P2209" i="1"/>
  <c r="N2209" i="1"/>
  <c r="K2209" i="1"/>
  <c r="P2208" i="1"/>
  <c r="N2208" i="1"/>
  <c r="K2208" i="1"/>
  <c r="P2207" i="1"/>
  <c r="N2207" i="1"/>
  <c r="K2207" i="1"/>
  <c r="P2206" i="1"/>
  <c r="N2206" i="1"/>
  <c r="K2206" i="1"/>
  <c r="P2205" i="1"/>
  <c r="N2205" i="1"/>
  <c r="K2205" i="1"/>
  <c r="P2204" i="1"/>
  <c r="N2204" i="1"/>
  <c r="K2204" i="1"/>
  <c r="P2203" i="1"/>
  <c r="N2203" i="1"/>
  <c r="K2203" i="1"/>
  <c r="P2202" i="1"/>
  <c r="N2202" i="1"/>
  <c r="K2202" i="1"/>
  <c r="P2201" i="1"/>
  <c r="N2201" i="1"/>
  <c r="K2201" i="1"/>
  <c r="P2200" i="1"/>
  <c r="N2200" i="1"/>
  <c r="K2200" i="1"/>
  <c r="P2199" i="1"/>
  <c r="N2199" i="1"/>
  <c r="K2199" i="1"/>
  <c r="P2198" i="1"/>
  <c r="N2198" i="1"/>
  <c r="K2198" i="1"/>
  <c r="P2197" i="1"/>
  <c r="N2197" i="1"/>
  <c r="K2197" i="1"/>
  <c r="P2196" i="1"/>
  <c r="N2196" i="1"/>
  <c r="K2196" i="1"/>
  <c r="P2195" i="1"/>
  <c r="N2195" i="1"/>
  <c r="K2195" i="1"/>
  <c r="P2194" i="1"/>
  <c r="N2194" i="1"/>
  <c r="K2194" i="1"/>
  <c r="P2193" i="1"/>
  <c r="N2193" i="1"/>
  <c r="K2193" i="1"/>
  <c r="P2192" i="1"/>
  <c r="N2192" i="1"/>
  <c r="K2192" i="1"/>
  <c r="P2191" i="1"/>
  <c r="N2191" i="1"/>
  <c r="K2191" i="1"/>
  <c r="P2190" i="1"/>
  <c r="N2190" i="1"/>
  <c r="K2190" i="1"/>
  <c r="P2189" i="1"/>
  <c r="N2189" i="1"/>
  <c r="K2189" i="1"/>
  <c r="P2188" i="1"/>
  <c r="N2188" i="1"/>
  <c r="K2188" i="1"/>
  <c r="P2187" i="1"/>
  <c r="N2187" i="1"/>
  <c r="K2187" i="1"/>
  <c r="P2186" i="1"/>
  <c r="N2186" i="1"/>
  <c r="K2186" i="1"/>
  <c r="P2185" i="1"/>
  <c r="N2185" i="1"/>
  <c r="K2185" i="1"/>
  <c r="P2184" i="1"/>
  <c r="N2184" i="1"/>
  <c r="K2184" i="1"/>
  <c r="P2183" i="1"/>
  <c r="N2183" i="1"/>
  <c r="K2183" i="1"/>
  <c r="P2182" i="1"/>
  <c r="N2182" i="1"/>
  <c r="K2182" i="1"/>
  <c r="P2181" i="1"/>
  <c r="N2181" i="1"/>
  <c r="K2181" i="1"/>
  <c r="P2180" i="1"/>
  <c r="N2180" i="1"/>
  <c r="K2180" i="1"/>
  <c r="P2179" i="1"/>
  <c r="N2179" i="1"/>
  <c r="K2179" i="1"/>
  <c r="P2178" i="1"/>
  <c r="N2178" i="1"/>
  <c r="K2178" i="1"/>
  <c r="P2177" i="1"/>
  <c r="N2177" i="1"/>
  <c r="K2177" i="1"/>
  <c r="P2176" i="1"/>
  <c r="N2176" i="1"/>
  <c r="K2176" i="1"/>
  <c r="P2175" i="1"/>
  <c r="N2175" i="1"/>
  <c r="K2175" i="1"/>
  <c r="P2174" i="1"/>
  <c r="N2174" i="1"/>
  <c r="K2174" i="1"/>
  <c r="P2173" i="1"/>
  <c r="N2173" i="1"/>
  <c r="K2173" i="1"/>
  <c r="P2172" i="1"/>
  <c r="N2172" i="1"/>
  <c r="K2172" i="1"/>
  <c r="P2171" i="1"/>
  <c r="N2171" i="1"/>
  <c r="K2171" i="1"/>
  <c r="P2170" i="1"/>
  <c r="N2170" i="1"/>
  <c r="K2170" i="1"/>
  <c r="P2169" i="1"/>
  <c r="N2169" i="1"/>
  <c r="K2169" i="1"/>
  <c r="P2168" i="1"/>
  <c r="N2168" i="1"/>
  <c r="K2168" i="1"/>
  <c r="P2167" i="1"/>
  <c r="N2167" i="1"/>
  <c r="K2167" i="1"/>
  <c r="P2166" i="1"/>
  <c r="N2166" i="1"/>
  <c r="K2166" i="1"/>
  <c r="P2165" i="1"/>
  <c r="N2165" i="1"/>
  <c r="K2165" i="1"/>
  <c r="P2164" i="1"/>
  <c r="N2164" i="1"/>
  <c r="K2164" i="1"/>
  <c r="P2163" i="1"/>
  <c r="N2163" i="1"/>
  <c r="K2163" i="1"/>
  <c r="P2162" i="1"/>
  <c r="N2162" i="1"/>
  <c r="K2162" i="1"/>
  <c r="P2161" i="1"/>
  <c r="N2161" i="1"/>
  <c r="K2161" i="1"/>
  <c r="P2160" i="1"/>
  <c r="N2160" i="1"/>
  <c r="K2160" i="1"/>
  <c r="P2159" i="1"/>
  <c r="N2159" i="1"/>
  <c r="K2159" i="1"/>
  <c r="P2158" i="1"/>
  <c r="N2158" i="1"/>
  <c r="K2158" i="1"/>
  <c r="P2157" i="1"/>
  <c r="N2157" i="1"/>
  <c r="K2157" i="1"/>
  <c r="P2156" i="1"/>
  <c r="N2156" i="1"/>
  <c r="K2156" i="1"/>
  <c r="P2155" i="1"/>
  <c r="N2155" i="1"/>
  <c r="K2155" i="1"/>
  <c r="P2154" i="1"/>
  <c r="N2154" i="1"/>
  <c r="K2154" i="1"/>
  <c r="P2153" i="1"/>
  <c r="N2153" i="1"/>
  <c r="K2153" i="1"/>
  <c r="P2152" i="1"/>
  <c r="N2152" i="1"/>
  <c r="K2152" i="1"/>
  <c r="P2151" i="1"/>
  <c r="N2151" i="1"/>
  <c r="K2151" i="1"/>
  <c r="P2150" i="1"/>
  <c r="N2150" i="1"/>
  <c r="K2150" i="1"/>
  <c r="P2149" i="1"/>
  <c r="N2149" i="1"/>
  <c r="K2149" i="1"/>
  <c r="P2148" i="1"/>
  <c r="N2148" i="1"/>
  <c r="K2148" i="1"/>
  <c r="P2147" i="1"/>
  <c r="N2147" i="1"/>
  <c r="K2147" i="1"/>
  <c r="P2146" i="1"/>
  <c r="N2146" i="1"/>
  <c r="K2146" i="1"/>
  <c r="P2145" i="1"/>
  <c r="N2145" i="1"/>
  <c r="K2145" i="1"/>
  <c r="P2144" i="1"/>
  <c r="N2144" i="1"/>
  <c r="K2144" i="1"/>
  <c r="P2143" i="1"/>
  <c r="N2143" i="1"/>
  <c r="K2143" i="1"/>
  <c r="P2142" i="1"/>
  <c r="N2142" i="1"/>
  <c r="K2142" i="1"/>
  <c r="P2141" i="1"/>
  <c r="N2141" i="1"/>
  <c r="K2141" i="1"/>
  <c r="P2140" i="1"/>
  <c r="N2140" i="1"/>
  <c r="K2140" i="1"/>
  <c r="P2139" i="1"/>
  <c r="N2139" i="1"/>
  <c r="K2139" i="1"/>
  <c r="P2138" i="1"/>
  <c r="N2138" i="1"/>
  <c r="K2138" i="1"/>
  <c r="P2137" i="1"/>
  <c r="N2137" i="1"/>
  <c r="K2137" i="1"/>
  <c r="P2136" i="1"/>
  <c r="N2136" i="1"/>
  <c r="K2136" i="1"/>
  <c r="P2135" i="1"/>
  <c r="N2135" i="1"/>
  <c r="K2135" i="1"/>
  <c r="P2134" i="1"/>
  <c r="N2134" i="1"/>
  <c r="K2134" i="1"/>
  <c r="P2133" i="1"/>
  <c r="N2133" i="1"/>
  <c r="K2133" i="1"/>
  <c r="P2132" i="1"/>
  <c r="N2132" i="1"/>
  <c r="K2132" i="1"/>
  <c r="P2131" i="1"/>
  <c r="N2131" i="1"/>
  <c r="K2131" i="1"/>
  <c r="P2130" i="1"/>
  <c r="N2130" i="1"/>
  <c r="K2130" i="1"/>
  <c r="P2129" i="1"/>
  <c r="N2129" i="1"/>
  <c r="K2129" i="1"/>
  <c r="P2128" i="1"/>
  <c r="N2128" i="1"/>
  <c r="K2128" i="1"/>
  <c r="P2127" i="1"/>
  <c r="N2127" i="1"/>
  <c r="K2127" i="1"/>
  <c r="P2126" i="1"/>
  <c r="N2126" i="1"/>
  <c r="K2126" i="1"/>
  <c r="P2125" i="1"/>
  <c r="N2125" i="1"/>
  <c r="K2125" i="1"/>
  <c r="P2124" i="1"/>
  <c r="N2124" i="1"/>
  <c r="K2124" i="1"/>
  <c r="P2123" i="1"/>
  <c r="N2123" i="1"/>
  <c r="K2123" i="1"/>
  <c r="P2122" i="1"/>
  <c r="N2122" i="1"/>
  <c r="K2122" i="1"/>
  <c r="P2121" i="1"/>
  <c r="N2121" i="1"/>
  <c r="K2121" i="1"/>
  <c r="P2120" i="1"/>
  <c r="N2120" i="1"/>
  <c r="K2120" i="1"/>
  <c r="P2119" i="1"/>
  <c r="N2119" i="1"/>
  <c r="K2119" i="1"/>
  <c r="P2118" i="1"/>
  <c r="N2118" i="1"/>
  <c r="K2118" i="1"/>
  <c r="P2117" i="1"/>
  <c r="N2117" i="1"/>
  <c r="K2117" i="1"/>
  <c r="P2116" i="1"/>
  <c r="N2116" i="1"/>
  <c r="K2116" i="1"/>
  <c r="P2115" i="1"/>
  <c r="N2115" i="1"/>
  <c r="K2115" i="1"/>
  <c r="P2114" i="1"/>
  <c r="N2114" i="1"/>
  <c r="K2114" i="1"/>
  <c r="P2113" i="1"/>
  <c r="N2113" i="1"/>
  <c r="K2113" i="1"/>
  <c r="P2112" i="1"/>
  <c r="N2112" i="1"/>
  <c r="K2112" i="1"/>
  <c r="P2111" i="1"/>
  <c r="N2111" i="1"/>
  <c r="K2111" i="1"/>
  <c r="P2110" i="1"/>
  <c r="N2110" i="1"/>
  <c r="K2110" i="1"/>
  <c r="P2109" i="1"/>
  <c r="N2109" i="1"/>
  <c r="K2109" i="1"/>
  <c r="P2108" i="1"/>
  <c r="N2108" i="1"/>
  <c r="K2108" i="1"/>
  <c r="P2107" i="1"/>
  <c r="N2107" i="1"/>
  <c r="K2107" i="1"/>
  <c r="P2106" i="1"/>
  <c r="N2106" i="1"/>
  <c r="K2106" i="1"/>
  <c r="P2105" i="1"/>
  <c r="N2105" i="1"/>
  <c r="K2105" i="1"/>
  <c r="P2104" i="1"/>
  <c r="N2104" i="1"/>
  <c r="K2104" i="1"/>
  <c r="P2103" i="1"/>
  <c r="N2103" i="1"/>
  <c r="K2103" i="1"/>
  <c r="P2102" i="1"/>
  <c r="N2102" i="1"/>
  <c r="K2102" i="1"/>
  <c r="P2101" i="1"/>
  <c r="N2101" i="1"/>
  <c r="K2101" i="1"/>
  <c r="P2100" i="1"/>
  <c r="N2100" i="1"/>
  <c r="K2100" i="1"/>
  <c r="P2099" i="1"/>
  <c r="N2099" i="1"/>
  <c r="K2099" i="1"/>
  <c r="P2098" i="1"/>
  <c r="N2098" i="1"/>
  <c r="K2098" i="1"/>
  <c r="P2097" i="1"/>
  <c r="N2097" i="1"/>
  <c r="K2097" i="1"/>
  <c r="P2096" i="1"/>
  <c r="N2096" i="1"/>
  <c r="K2096" i="1"/>
  <c r="P2095" i="1"/>
  <c r="N2095" i="1"/>
  <c r="K2095" i="1"/>
  <c r="P2094" i="1"/>
  <c r="N2094" i="1"/>
  <c r="K2094" i="1"/>
  <c r="P2093" i="1"/>
  <c r="N2093" i="1"/>
  <c r="K2093" i="1"/>
  <c r="P2092" i="1"/>
  <c r="N2092" i="1"/>
  <c r="K2092" i="1"/>
  <c r="P2091" i="1"/>
  <c r="N2091" i="1"/>
  <c r="K2091" i="1"/>
  <c r="P2090" i="1"/>
  <c r="N2090" i="1"/>
  <c r="K2090" i="1"/>
  <c r="P2089" i="1"/>
  <c r="N2089" i="1"/>
  <c r="K2089" i="1"/>
  <c r="P2088" i="1"/>
  <c r="N2088" i="1"/>
  <c r="K2088" i="1"/>
  <c r="P2087" i="1"/>
  <c r="N2087" i="1"/>
  <c r="K2087" i="1"/>
  <c r="P2086" i="1"/>
  <c r="N2086" i="1"/>
  <c r="K2086" i="1"/>
  <c r="P2085" i="1"/>
  <c r="N2085" i="1"/>
  <c r="K2085" i="1"/>
  <c r="P2084" i="1"/>
  <c r="N2084" i="1"/>
  <c r="K2084" i="1"/>
  <c r="P2083" i="1"/>
  <c r="N2083" i="1"/>
  <c r="K2083" i="1"/>
  <c r="P2082" i="1"/>
  <c r="N2082" i="1"/>
  <c r="K2082" i="1"/>
  <c r="P2081" i="1"/>
  <c r="N2081" i="1"/>
  <c r="K2081" i="1"/>
  <c r="P2080" i="1"/>
  <c r="N2080" i="1"/>
  <c r="K2080" i="1"/>
  <c r="P2079" i="1"/>
  <c r="N2079" i="1"/>
  <c r="K2079" i="1"/>
  <c r="P2078" i="1"/>
  <c r="N2078" i="1"/>
  <c r="K2078" i="1"/>
  <c r="P2077" i="1"/>
  <c r="N2077" i="1"/>
  <c r="K2077" i="1"/>
  <c r="P2076" i="1"/>
  <c r="N2076" i="1"/>
  <c r="K2076" i="1"/>
  <c r="P2075" i="1"/>
  <c r="N2075" i="1"/>
  <c r="K2075" i="1"/>
  <c r="P2074" i="1"/>
  <c r="N2074" i="1"/>
  <c r="K2074" i="1"/>
  <c r="P2073" i="1"/>
  <c r="N2073" i="1"/>
  <c r="K2073" i="1"/>
  <c r="P2072" i="1"/>
  <c r="N2072" i="1"/>
  <c r="K2072" i="1"/>
  <c r="P2071" i="1"/>
  <c r="N2071" i="1"/>
  <c r="K2071" i="1"/>
  <c r="P2070" i="1"/>
  <c r="N2070" i="1"/>
  <c r="K2070" i="1"/>
  <c r="P2069" i="1"/>
  <c r="N2069" i="1"/>
  <c r="K2069" i="1"/>
  <c r="P2068" i="1"/>
  <c r="N2068" i="1"/>
  <c r="K2068" i="1"/>
  <c r="P2067" i="1"/>
  <c r="N2067" i="1"/>
  <c r="K2067" i="1"/>
  <c r="P2066" i="1"/>
  <c r="N2066" i="1"/>
  <c r="K2066" i="1"/>
  <c r="P2065" i="1"/>
  <c r="N2065" i="1"/>
  <c r="K2065" i="1"/>
  <c r="P2064" i="1"/>
  <c r="N2064" i="1"/>
  <c r="K2064" i="1"/>
  <c r="P2063" i="1"/>
  <c r="N2063" i="1"/>
  <c r="K2063" i="1"/>
  <c r="P2062" i="1"/>
  <c r="N2062" i="1"/>
  <c r="K2062" i="1"/>
  <c r="P2061" i="1"/>
  <c r="N2061" i="1"/>
  <c r="K2061" i="1"/>
  <c r="P2060" i="1"/>
  <c r="N2060" i="1"/>
  <c r="K2060" i="1"/>
  <c r="P2059" i="1"/>
  <c r="N2059" i="1"/>
  <c r="K2059" i="1"/>
  <c r="P2058" i="1"/>
  <c r="N2058" i="1"/>
  <c r="K2058" i="1"/>
  <c r="P2057" i="1"/>
  <c r="N2057" i="1"/>
  <c r="K2057" i="1"/>
  <c r="P2056" i="1"/>
  <c r="N2056" i="1"/>
  <c r="K2056" i="1"/>
  <c r="P2055" i="1"/>
  <c r="N2055" i="1"/>
  <c r="K2055" i="1"/>
  <c r="P2054" i="1"/>
  <c r="N2054" i="1"/>
  <c r="K2054" i="1"/>
  <c r="P2053" i="1"/>
  <c r="N2053" i="1"/>
  <c r="K2053" i="1"/>
  <c r="P2052" i="1"/>
  <c r="N2052" i="1"/>
  <c r="K2052" i="1"/>
  <c r="P2051" i="1"/>
  <c r="N2051" i="1"/>
  <c r="K2051" i="1"/>
  <c r="P2050" i="1"/>
  <c r="N2050" i="1"/>
  <c r="K2050" i="1"/>
  <c r="P2049" i="1"/>
  <c r="N2049" i="1"/>
  <c r="K2049" i="1"/>
  <c r="P2048" i="1"/>
  <c r="N2048" i="1"/>
  <c r="K2048" i="1"/>
  <c r="P2047" i="1"/>
  <c r="N2047" i="1"/>
  <c r="K2047" i="1"/>
  <c r="P2046" i="1"/>
  <c r="N2046" i="1"/>
  <c r="K2046" i="1"/>
  <c r="P2045" i="1"/>
  <c r="N2045" i="1"/>
  <c r="K2045" i="1"/>
  <c r="P2044" i="1"/>
  <c r="N2044" i="1"/>
  <c r="K2044" i="1"/>
  <c r="P2043" i="1"/>
  <c r="N2043" i="1"/>
  <c r="K2043" i="1"/>
  <c r="P2042" i="1"/>
  <c r="N2042" i="1"/>
  <c r="K2042" i="1"/>
  <c r="P2041" i="1"/>
  <c r="N2041" i="1"/>
  <c r="K2041" i="1"/>
  <c r="P2040" i="1"/>
  <c r="N2040" i="1"/>
  <c r="K2040" i="1"/>
  <c r="P2039" i="1"/>
  <c r="N2039" i="1"/>
  <c r="K2039" i="1"/>
  <c r="P2038" i="1"/>
  <c r="N2038" i="1"/>
  <c r="K2038" i="1"/>
  <c r="P2037" i="1"/>
  <c r="N2037" i="1"/>
  <c r="K2037" i="1"/>
  <c r="P2036" i="1"/>
  <c r="N2036" i="1"/>
  <c r="K2036" i="1"/>
  <c r="P2035" i="1"/>
  <c r="N2035" i="1"/>
  <c r="K2035" i="1"/>
  <c r="P2034" i="1"/>
  <c r="N2034" i="1"/>
  <c r="K2034" i="1"/>
  <c r="P2033" i="1"/>
  <c r="N2033" i="1"/>
  <c r="K2033" i="1"/>
  <c r="P2032" i="1"/>
  <c r="N2032" i="1"/>
  <c r="K2032" i="1"/>
  <c r="P2031" i="1"/>
  <c r="N2031" i="1"/>
  <c r="K2031" i="1"/>
  <c r="P2030" i="1"/>
  <c r="N2030" i="1"/>
  <c r="K2030" i="1"/>
  <c r="P2029" i="1"/>
  <c r="N2029" i="1"/>
  <c r="K2029" i="1"/>
  <c r="P2028" i="1"/>
  <c r="N2028" i="1"/>
  <c r="K2028" i="1"/>
  <c r="P2027" i="1"/>
  <c r="N2027" i="1"/>
  <c r="K2027" i="1"/>
  <c r="P2026" i="1"/>
  <c r="N2026" i="1"/>
  <c r="K2026" i="1"/>
  <c r="P2025" i="1"/>
  <c r="N2025" i="1"/>
  <c r="K2025" i="1"/>
  <c r="P2024" i="1"/>
  <c r="N2024" i="1"/>
  <c r="K2024" i="1"/>
  <c r="P2023" i="1"/>
  <c r="N2023" i="1"/>
  <c r="K2023" i="1"/>
  <c r="P2022" i="1"/>
  <c r="N2022" i="1"/>
  <c r="K2022" i="1"/>
  <c r="P2021" i="1"/>
  <c r="N2021" i="1"/>
  <c r="K2021" i="1"/>
  <c r="P2020" i="1"/>
  <c r="N2020" i="1"/>
  <c r="K2020" i="1"/>
  <c r="P2019" i="1"/>
  <c r="N2019" i="1"/>
  <c r="K2019" i="1"/>
  <c r="P2018" i="1"/>
  <c r="N2018" i="1"/>
  <c r="K2018" i="1"/>
  <c r="P2017" i="1"/>
  <c r="N2017" i="1"/>
  <c r="K2017" i="1"/>
  <c r="P2016" i="1"/>
  <c r="N2016" i="1"/>
  <c r="K2016" i="1"/>
  <c r="P2015" i="1"/>
  <c r="N2015" i="1"/>
  <c r="K2015" i="1"/>
  <c r="P2014" i="1"/>
  <c r="N2014" i="1"/>
  <c r="K2014" i="1"/>
  <c r="P2013" i="1"/>
  <c r="N2013" i="1"/>
  <c r="K2013" i="1"/>
  <c r="P2012" i="1"/>
  <c r="N2012" i="1"/>
  <c r="K2012" i="1"/>
  <c r="P2011" i="1"/>
  <c r="N2011" i="1"/>
  <c r="K2011" i="1"/>
  <c r="P2010" i="1"/>
  <c r="N2010" i="1"/>
  <c r="K2010" i="1"/>
  <c r="P2009" i="1"/>
  <c r="N2009" i="1"/>
  <c r="K2009" i="1"/>
  <c r="P2008" i="1"/>
  <c r="N2008" i="1"/>
  <c r="K2008" i="1"/>
  <c r="P2007" i="1"/>
  <c r="N2007" i="1"/>
  <c r="K2007" i="1"/>
  <c r="P2006" i="1"/>
  <c r="N2006" i="1"/>
  <c r="K2006" i="1"/>
  <c r="P2005" i="1"/>
  <c r="N2005" i="1"/>
  <c r="K2005" i="1"/>
  <c r="P2004" i="1"/>
  <c r="N2004" i="1"/>
  <c r="K2004" i="1"/>
  <c r="P2003" i="1"/>
  <c r="K2003" i="1"/>
  <c r="P2002" i="1"/>
  <c r="N2002" i="1"/>
  <c r="K2002" i="1"/>
  <c r="P2001" i="1"/>
  <c r="N2001" i="1"/>
  <c r="K2001" i="1"/>
  <c r="P2000" i="1"/>
  <c r="N2000" i="1"/>
  <c r="K2000" i="1"/>
  <c r="P1999" i="1"/>
  <c r="N1999" i="1"/>
  <c r="K1999" i="1"/>
  <c r="P1998" i="1"/>
  <c r="N1998" i="1"/>
  <c r="K1998" i="1"/>
  <c r="P1997" i="1"/>
  <c r="N1997" i="1"/>
  <c r="K1997" i="1"/>
  <c r="P1996" i="1"/>
  <c r="N1996" i="1"/>
  <c r="K1996" i="1"/>
  <c r="P1995" i="1"/>
  <c r="N1995" i="1"/>
  <c r="K1995" i="1"/>
  <c r="P1994" i="1"/>
  <c r="N1994" i="1"/>
  <c r="K1994" i="1"/>
  <c r="P1993" i="1"/>
  <c r="N1993" i="1"/>
  <c r="K1993" i="1"/>
  <c r="P1992" i="1"/>
  <c r="N1992" i="1"/>
  <c r="K1992" i="1"/>
  <c r="P1991" i="1"/>
  <c r="N1991" i="1"/>
  <c r="K1991" i="1"/>
  <c r="P1990" i="1"/>
  <c r="N1990" i="1"/>
  <c r="K1990" i="1"/>
  <c r="P1989" i="1"/>
  <c r="N1989" i="1"/>
  <c r="K1989" i="1"/>
  <c r="P1988" i="1"/>
  <c r="N1988" i="1"/>
  <c r="K1988" i="1"/>
  <c r="P1987" i="1"/>
  <c r="N1987" i="1"/>
  <c r="K1987" i="1"/>
  <c r="P1986" i="1"/>
  <c r="N1986" i="1"/>
  <c r="K1986" i="1"/>
  <c r="P1985" i="1"/>
  <c r="N1985" i="1"/>
  <c r="K1985" i="1"/>
  <c r="P1984" i="1"/>
  <c r="N1984" i="1"/>
  <c r="K1984" i="1"/>
  <c r="P1983" i="1"/>
  <c r="N1983" i="1"/>
  <c r="K1983" i="1"/>
  <c r="P1982" i="1"/>
  <c r="N1982" i="1"/>
  <c r="K1982" i="1"/>
  <c r="P1981" i="1"/>
  <c r="N1981" i="1"/>
  <c r="K1981" i="1"/>
  <c r="P1980" i="1"/>
  <c r="N1980" i="1"/>
  <c r="K1980" i="1"/>
  <c r="P1979" i="1"/>
  <c r="N1979" i="1"/>
  <c r="K1979" i="1"/>
  <c r="P1978" i="1"/>
  <c r="N1978" i="1"/>
  <c r="K1978" i="1"/>
  <c r="P1977" i="1"/>
  <c r="N1977" i="1"/>
  <c r="K1977" i="1"/>
  <c r="P1976" i="1"/>
  <c r="N1976" i="1"/>
  <c r="K1976" i="1"/>
  <c r="P1975" i="1"/>
  <c r="N1975" i="1"/>
  <c r="K1975" i="1"/>
  <c r="P1974" i="1"/>
  <c r="N1974" i="1"/>
  <c r="K1974" i="1"/>
  <c r="P1973" i="1"/>
  <c r="N1973" i="1"/>
  <c r="K1973" i="1"/>
  <c r="P1972" i="1"/>
  <c r="N1972" i="1"/>
  <c r="K1972" i="1"/>
  <c r="P1971" i="1"/>
  <c r="N1971" i="1"/>
  <c r="K1971" i="1"/>
  <c r="P1970" i="1"/>
  <c r="N1970" i="1"/>
  <c r="K1970" i="1"/>
  <c r="P1969" i="1"/>
  <c r="N1969" i="1"/>
  <c r="K1969" i="1"/>
  <c r="P1968" i="1"/>
  <c r="N1968" i="1"/>
  <c r="K1968" i="1"/>
  <c r="P1967" i="1"/>
  <c r="N1967" i="1"/>
  <c r="K1967" i="1"/>
  <c r="P1966" i="1"/>
  <c r="N1966" i="1"/>
  <c r="K1966" i="1"/>
  <c r="P1965" i="1"/>
  <c r="N1965" i="1"/>
  <c r="K1965" i="1"/>
  <c r="P1964" i="1"/>
  <c r="N1964" i="1"/>
  <c r="K1964" i="1"/>
  <c r="P1963" i="1"/>
  <c r="N1963" i="1"/>
  <c r="K1963" i="1"/>
  <c r="P1962" i="1"/>
  <c r="N1962" i="1"/>
  <c r="K1962" i="1"/>
  <c r="P1961" i="1"/>
  <c r="N1961" i="1"/>
  <c r="K1961" i="1"/>
  <c r="P1960" i="1"/>
  <c r="N1960" i="1"/>
  <c r="K1960" i="1"/>
  <c r="P1959" i="1"/>
  <c r="N1959" i="1"/>
  <c r="K1959" i="1"/>
  <c r="P1958" i="1"/>
  <c r="N1958" i="1"/>
  <c r="K1958" i="1"/>
  <c r="P1957" i="1"/>
  <c r="N1957" i="1"/>
  <c r="K1957" i="1"/>
  <c r="P1956" i="1"/>
  <c r="N1956" i="1"/>
  <c r="K1956" i="1"/>
  <c r="P1955" i="1"/>
  <c r="N1955" i="1"/>
  <c r="K1955" i="1"/>
  <c r="P1954" i="1"/>
  <c r="N1954" i="1"/>
  <c r="K1954" i="1"/>
  <c r="P1953" i="1"/>
  <c r="N1953" i="1"/>
  <c r="K1953" i="1"/>
  <c r="P1952" i="1"/>
  <c r="N1952" i="1"/>
  <c r="K1952" i="1"/>
  <c r="P1951" i="1"/>
  <c r="N1951" i="1"/>
  <c r="K1951" i="1"/>
  <c r="P1950" i="1"/>
  <c r="N1950" i="1"/>
  <c r="K1950" i="1"/>
  <c r="P1949" i="1"/>
  <c r="N1949" i="1"/>
  <c r="K1949" i="1"/>
  <c r="P1948" i="1"/>
  <c r="N1948" i="1"/>
  <c r="K1948" i="1"/>
  <c r="P1947" i="1"/>
  <c r="N1947" i="1"/>
  <c r="K1947" i="1"/>
  <c r="P1946" i="1"/>
  <c r="N1946" i="1"/>
  <c r="K1946" i="1"/>
  <c r="P1945" i="1"/>
  <c r="N1945" i="1"/>
  <c r="K1945" i="1"/>
  <c r="P1944" i="1"/>
  <c r="N1944" i="1"/>
  <c r="K1944" i="1"/>
  <c r="P1943" i="1"/>
  <c r="N1943" i="1"/>
  <c r="K1943" i="1"/>
  <c r="P1942" i="1"/>
  <c r="N1942" i="1"/>
  <c r="K1942" i="1"/>
  <c r="P1941" i="1"/>
  <c r="N1941" i="1"/>
  <c r="K1941" i="1"/>
  <c r="P1940" i="1"/>
  <c r="N1940" i="1"/>
  <c r="K1940" i="1"/>
  <c r="P1939" i="1"/>
  <c r="N1939" i="1"/>
  <c r="K1939" i="1"/>
  <c r="P1938" i="1"/>
  <c r="N1938" i="1"/>
  <c r="K1938" i="1"/>
  <c r="P1937" i="1"/>
  <c r="N1937" i="1"/>
  <c r="K1937" i="1"/>
  <c r="P1936" i="1"/>
  <c r="N1936" i="1"/>
  <c r="K1936" i="1"/>
  <c r="P1935" i="1"/>
  <c r="N1935" i="1"/>
  <c r="K1935" i="1"/>
  <c r="P1934" i="1"/>
  <c r="N1934" i="1"/>
  <c r="K1934" i="1"/>
  <c r="P1933" i="1"/>
  <c r="N1933" i="1"/>
  <c r="K1933" i="1"/>
  <c r="P1932" i="1"/>
  <c r="N1932" i="1"/>
  <c r="K1932" i="1"/>
  <c r="P1931" i="1"/>
  <c r="N1931" i="1"/>
  <c r="K1931" i="1"/>
  <c r="P1930" i="1"/>
  <c r="N1930" i="1"/>
  <c r="K1930" i="1"/>
  <c r="P1929" i="1"/>
  <c r="N1929" i="1"/>
  <c r="K1929" i="1"/>
  <c r="P1928" i="1"/>
  <c r="N1928" i="1"/>
  <c r="K1928" i="1"/>
  <c r="P1927" i="1"/>
  <c r="N1927" i="1"/>
  <c r="K1927" i="1"/>
  <c r="P1926" i="1"/>
  <c r="N1926" i="1"/>
  <c r="K1926" i="1"/>
  <c r="P1925" i="1"/>
  <c r="N1925" i="1"/>
  <c r="K1925" i="1"/>
  <c r="P1924" i="1"/>
  <c r="N1924" i="1"/>
  <c r="K1924" i="1"/>
  <c r="P1923" i="1"/>
  <c r="N1923" i="1"/>
  <c r="K1923" i="1"/>
  <c r="P1922" i="1"/>
  <c r="N1922" i="1"/>
  <c r="K1922" i="1"/>
  <c r="P1921" i="1"/>
  <c r="N1921" i="1"/>
  <c r="K1921" i="1"/>
  <c r="P1920" i="1"/>
  <c r="N1920" i="1"/>
  <c r="K1920" i="1"/>
  <c r="P1919" i="1"/>
  <c r="N1919" i="1"/>
  <c r="K1919" i="1"/>
  <c r="P1918" i="1"/>
  <c r="N1918" i="1"/>
  <c r="K1918" i="1"/>
  <c r="P1917" i="1"/>
  <c r="N1917" i="1"/>
  <c r="K1917" i="1"/>
  <c r="P1916" i="1"/>
  <c r="N1916" i="1"/>
  <c r="K1916" i="1"/>
  <c r="P1915" i="1"/>
  <c r="N1915" i="1"/>
  <c r="K1915" i="1"/>
  <c r="P1914" i="1"/>
  <c r="N1914" i="1"/>
  <c r="K1914" i="1"/>
  <c r="P1913" i="1"/>
  <c r="N1913" i="1"/>
  <c r="K1913" i="1"/>
  <c r="P1912" i="1"/>
  <c r="N1912" i="1"/>
  <c r="K1912" i="1"/>
  <c r="P1911" i="1"/>
  <c r="N1911" i="1"/>
  <c r="K1911" i="1"/>
  <c r="P1910" i="1"/>
  <c r="N1910" i="1"/>
  <c r="K1910" i="1"/>
  <c r="P1909" i="1"/>
  <c r="N1909" i="1"/>
  <c r="K1909" i="1"/>
  <c r="P1908" i="1"/>
  <c r="N1908" i="1"/>
  <c r="K1908" i="1"/>
  <c r="P1907" i="1"/>
  <c r="N1907" i="1"/>
  <c r="K1907" i="1"/>
  <c r="P1906" i="1"/>
  <c r="N1906" i="1"/>
  <c r="K1906" i="1"/>
  <c r="P1905" i="1"/>
  <c r="N1905" i="1"/>
  <c r="K1905" i="1"/>
  <c r="P1904" i="1"/>
  <c r="N1904" i="1"/>
  <c r="K1904" i="1"/>
  <c r="P1903" i="1"/>
  <c r="N1903" i="1"/>
  <c r="K1903" i="1"/>
  <c r="P1902" i="1"/>
  <c r="N1902" i="1"/>
  <c r="K1902" i="1"/>
  <c r="P1901" i="1"/>
  <c r="N1901" i="1"/>
  <c r="K1901" i="1"/>
  <c r="P1900" i="1"/>
  <c r="N1900" i="1"/>
  <c r="K1900" i="1"/>
  <c r="P1899" i="1"/>
  <c r="N1899" i="1"/>
  <c r="K1899" i="1"/>
  <c r="P1898" i="1"/>
  <c r="N1898" i="1"/>
  <c r="K1898" i="1"/>
  <c r="P1897" i="1"/>
  <c r="N1897" i="1"/>
  <c r="K1897" i="1"/>
  <c r="P1896" i="1"/>
  <c r="N1896" i="1"/>
  <c r="K1896" i="1"/>
  <c r="P1895" i="1"/>
  <c r="N1895" i="1"/>
  <c r="K1895" i="1"/>
  <c r="P1894" i="1"/>
  <c r="N1894" i="1"/>
  <c r="K1894" i="1"/>
  <c r="P1893" i="1"/>
  <c r="N1893" i="1"/>
  <c r="K1893" i="1"/>
  <c r="P1892" i="1"/>
  <c r="N1892" i="1"/>
  <c r="K1892" i="1"/>
  <c r="P1891" i="1"/>
  <c r="N1891" i="1"/>
  <c r="K1891" i="1"/>
  <c r="P1890" i="1"/>
  <c r="N1890" i="1"/>
  <c r="K1890" i="1"/>
  <c r="P1889" i="1"/>
  <c r="N1889" i="1"/>
  <c r="K1889" i="1"/>
  <c r="P1888" i="1"/>
  <c r="N1888" i="1"/>
  <c r="K1888" i="1"/>
  <c r="P1887" i="1"/>
  <c r="N1887" i="1"/>
  <c r="K1887" i="1"/>
  <c r="P1886" i="1"/>
  <c r="N1886" i="1"/>
  <c r="K1886" i="1"/>
  <c r="P1885" i="1"/>
  <c r="N1885" i="1"/>
  <c r="K1885" i="1"/>
  <c r="P1884" i="1"/>
  <c r="N1884" i="1"/>
  <c r="K1884" i="1"/>
  <c r="P1883" i="1"/>
  <c r="N1883" i="1"/>
  <c r="K1883" i="1"/>
  <c r="P1882" i="1"/>
  <c r="N1882" i="1"/>
  <c r="K1882" i="1"/>
  <c r="P1881" i="1"/>
  <c r="N1881" i="1"/>
  <c r="K1881" i="1"/>
  <c r="P1880" i="1"/>
  <c r="N1880" i="1"/>
  <c r="K1880" i="1"/>
  <c r="P1879" i="1"/>
  <c r="N1879" i="1"/>
  <c r="K1879" i="1"/>
  <c r="P1878" i="1"/>
  <c r="N1878" i="1"/>
  <c r="K1878" i="1"/>
  <c r="P1877" i="1"/>
  <c r="N1877" i="1"/>
  <c r="K1877" i="1"/>
  <c r="P1876" i="1"/>
  <c r="N1876" i="1"/>
  <c r="K1876" i="1"/>
  <c r="P1875" i="1"/>
  <c r="N1875" i="1"/>
  <c r="K1875" i="1"/>
  <c r="P1874" i="1"/>
  <c r="N1874" i="1"/>
  <c r="K1874" i="1"/>
  <c r="P1873" i="1"/>
  <c r="N1873" i="1"/>
  <c r="K1873" i="1"/>
  <c r="P1872" i="1"/>
  <c r="N1872" i="1"/>
  <c r="K1872" i="1"/>
  <c r="P1871" i="1"/>
  <c r="N1871" i="1"/>
  <c r="K1871" i="1"/>
  <c r="P1870" i="1"/>
  <c r="N1870" i="1"/>
  <c r="K1870" i="1"/>
  <c r="P1869" i="1"/>
  <c r="N1869" i="1"/>
  <c r="K1869" i="1"/>
  <c r="P1868" i="1"/>
  <c r="N1868" i="1"/>
  <c r="K1868" i="1"/>
  <c r="P1867" i="1"/>
  <c r="N1867" i="1"/>
  <c r="K1867" i="1"/>
  <c r="P1866" i="1"/>
  <c r="N1866" i="1"/>
  <c r="K1866" i="1"/>
  <c r="P1865" i="1"/>
  <c r="N1865" i="1"/>
  <c r="K1865" i="1"/>
  <c r="P1864" i="1"/>
  <c r="N1864" i="1"/>
  <c r="K1864" i="1"/>
  <c r="P1863" i="1"/>
  <c r="N1863" i="1"/>
  <c r="K1863" i="1"/>
  <c r="P1862" i="1"/>
  <c r="N1862" i="1"/>
  <c r="K1862" i="1"/>
  <c r="P1861" i="1"/>
  <c r="N1861" i="1"/>
  <c r="K1861" i="1"/>
  <c r="P1860" i="1"/>
  <c r="N1860" i="1"/>
  <c r="K1860" i="1"/>
  <c r="P1859" i="1"/>
  <c r="N1859" i="1"/>
  <c r="K1859" i="1"/>
  <c r="P1858" i="1"/>
  <c r="N1858" i="1"/>
  <c r="K1858" i="1"/>
  <c r="P1857" i="1"/>
  <c r="N1857" i="1"/>
  <c r="K1857" i="1"/>
  <c r="P1856" i="1"/>
  <c r="N1856" i="1"/>
  <c r="K1856" i="1"/>
  <c r="P1855" i="1"/>
  <c r="N1855" i="1"/>
  <c r="K1855" i="1"/>
  <c r="P1854" i="1"/>
  <c r="N1854" i="1"/>
  <c r="K1854" i="1"/>
  <c r="P1853" i="1"/>
  <c r="N1853" i="1"/>
  <c r="K1853" i="1"/>
  <c r="P1852" i="1"/>
  <c r="N1852" i="1"/>
  <c r="K1852" i="1"/>
  <c r="P1851" i="1"/>
  <c r="N1851" i="1"/>
  <c r="K1851" i="1"/>
  <c r="P1850" i="1"/>
  <c r="N1850" i="1"/>
  <c r="K1850" i="1"/>
  <c r="P1849" i="1"/>
  <c r="N1849" i="1"/>
  <c r="K1849" i="1"/>
  <c r="P1848" i="1"/>
  <c r="N1848" i="1"/>
  <c r="K1848" i="1"/>
  <c r="P1847" i="1"/>
  <c r="N1847" i="1"/>
  <c r="K1847" i="1"/>
  <c r="P1846" i="1"/>
  <c r="N1846" i="1"/>
  <c r="K1846" i="1"/>
  <c r="P1845" i="1"/>
  <c r="N1845" i="1"/>
  <c r="K1845" i="1"/>
  <c r="P1844" i="1"/>
  <c r="N1844" i="1"/>
  <c r="K1844" i="1"/>
  <c r="P1843" i="1"/>
  <c r="N1843" i="1"/>
  <c r="K1843" i="1"/>
  <c r="P1842" i="1"/>
  <c r="N1842" i="1"/>
  <c r="K1842" i="1"/>
  <c r="P1841" i="1"/>
  <c r="N1841" i="1"/>
  <c r="K1841" i="1"/>
  <c r="P1840" i="1"/>
  <c r="N1840" i="1"/>
  <c r="K1840" i="1"/>
  <c r="P1839" i="1"/>
  <c r="N1839" i="1"/>
  <c r="K1839" i="1"/>
  <c r="P1838" i="1"/>
  <c r="N1838" i="1"/>
  <c r="K1838" i="1"/>
  <c r="P1837" i="1"/>
  <c r="N1837" i="1"/>
  <c r="K1837" i="1"/>
  <c r="P1836" i="1"/>
  <c r="N1836" i="1"/>
  <c r="K1836" i="1"/>
  <c r="P1835" i="1"/>
  <c r="N1835" i="1"/>
  <c r="K1835" i="1"/>
  <c r="P1834" i="1"/>
  <c r="N1834" i="1"/>
  <c r="K1834" i="1"/>
  <c r="P1833" i="1"/>
  <c r="N1833" i="1"/>
  <c r="K1833" i="1"/>
  <c r="P1832" i="1"/>
  <c r="N1832" i="1"/>
  <c r="K1832" i="1"/>
  <c r="P1831" i="1"/>
  <c r="N1831" i="1"/>
  <c r="K1831" i="1"/>
  <c r="P1830" i="1"/>
  <c r="N1830" i="1"/>
  <c r="K1830" i="1"/>
  <c r="P1829" i="1"/>
  <c r="N1829" i="1"/>
  <c r="K1829" i="1"/>
  <c r="P1828" i="1"/>
  <c r="N1828" i="1"/>
  <c r="K1828" i="1"/>
  <c r="P1827" i="1"/>
  <c r="N1827" i="1"/>
  <c r="K1827" i="1"/>
  <c r="P1826" i="1"/>
  <c r="N1826" i="1"/>
  <c r="K1826" i="1"/>
  <c r="P1825" i="1"/>
  <c r="N1825" i="1"/>
  <c r="K1825" i="1"/>
  <c r="P1824" i="1"/>
  <c r="N1824" i="1"/>
  <c r="K1824" i="1"/>
  <c r="P1823" i="1"/>
  <c r="N1823" i="1"/>
  <c r="K1823" i="1"/>
  <c r="P1822" i="1"/>
  <c r="N1822" i="1"/>
  <c r="K1822" i="1"/>
  <c r="P1821" i="1"/>
  <c r="N1821" i="1"/>
  <c r="K1821" i="1"/>
  <c r="P1820" i="1"/>
  <c r="N1820" i="1"/>
  <c r="K1820" i="1"/>
  <c r="P1819" i="1"/>
  <c r="N1819" i="1"/>
  <c r="K1819" i="1"/>
  <c r="P1818" i="1"/>
  <c r="N1818" i="1"/>
  <c r="K1818" i="1"/>
  <c r="P1817" i="1"/>
  <c r="N1817" i="1"/>
  <c r="K1817" i="1"/>
  <c r="P1816" i="1"/>
  <c r="N1816" i="1"/>
  <c r="K1816" i="1"/>
  <c r="P1815" i="1"/>
  <c r="N1815" i="1"/>
  <c r="K1815" i="1"/>
  <c r="P1814" i="1"/>
  <c r="N1814" i="1"/>
  <c r="K1814" i="1"/>
  <c r="P1813" i="1"/>
  <c r="N1813" i="1"/>
  <c r="K1813" i="1"/>
  <c r="P1812" i="1"/>
  <c r="N1812" i="1"/>
  <c r="K1812" i="1"/>
  <c r="P1811" i="1"/>
  <c r="N1811" i="1"/>
  <c r="K1811" i="1"/>
  <c r="P1810" i="1"/>
  <c r="N1810" i="1"/>
  <c r="K1810" i="1"/>
  <c r="P1809" i="1"/>
  <c r="N1809" i="1"/>
  <c r="K1809" i="1"/>
  <c r="P1808" i="1"/>
  <c r="N1808" i="1"/>
  <c r="K1808" i="1"/>
  <c r="P1807" i="1"/>
  <c r="N1807" i="1"/>
  <c r="K1807" i="1"/>
  <c r="P1806" i="1"/>
  <c r="N1806" i="1"/>
  <c r="K1806" i="1"/>
  <c r="P1805" i="1"/>
  <c r="N1805" i="1"/>
  <c r="K1805" i="1"/>
  <c r="P1804" i="1"/>
  <c r="N1804" i="1"/>
  <c r="K1804" i="1"/>
  <c r="P1803" i="1"/>
  <c r="N1803" i="1"/>
  <c r="K1803" i="1"/>
  <c r="P1802" i="1"/>
  <c r="N1802" i="1"/>
  <c r="K1802" i="1"/>
  <c r="P1801" i="1"/>
  <c r="N1801" i="1"/>
  <c r="K1801" i="1"/>
  <c r="P1800" i="1"/>
  <c r="N1800" i="1"/>
  <c r="K1800" i="1"/>
  <c r="P1799" i="1"/>
  <c r="N1799" i="1"/>
  <c r="K1799" i="1"/>
  <c r="P1798" i="1"/>
  <c r="N1798" i="1"/>
  <c r="K1798" i="1"/>
  <c r="P1797" i="1"/>
  <c r="N1797" i="1"/>
  <c r="K1797" i="1"/>
  <c r="P1796" i="1"/>
  <c r="N1796" i="1"/>
  <c r="K1796" i="1"/>
  <c r="P1795" i="1"/>
  <c r="N1795" i="1"/>
  <c r="K1795" i="1"/>
  <c r="P1794" i="1"/>
  <c r="N1794" i="1"/>
  <c r="K1794" i="1"/>
  <c r="P1793" i="1"/>
  <c r="N1793" i="1"/>
  <c r="K1793" i="1"/>
  <c r="P1792" i="1"/>
  <c r="N1792" i="1"/>
  <c r="K1792" i="1"/>
  <c r="P1791" i="1"/>
  <c r="N1791" i="1"/>
  <c r="K1791" i="1"/>
  <c r="P1790" i="1"/>
  <c r="N1790" i="1"/>
  <c r="K1790" i="1"/>
  <c r="P1789" i="1"/>
  <c r="N1789" i="1"/>
  <c r="K1789" i="1"/>
  <c r="P1788" i="1"/>
  <c r="N1788" i="1"/>
  <c r="K1788" i="1"/>
  <c r="P1787" i="1"/>
  <c r="N1787" i="1"/>
  <c r="K1787" i="1"/>
  <c r="P1786" i="1"/>
  <c r="N1786" i="1"/>
  <c r="K1786" i="1"/>
  <c r="P1785" i="1"/>
  <c r="N1785" i="1"/>
  <c r="K1785" i="1"/>
  <c r="P1784" i="1"/>
  <c r="N1784" i="1"/>
  <c r="K1784" i="1"/>
  <c r="P1783" i="1"/>
  <c r="N1783" i="1"/>
  <c r="K1783" i="1"/>
  <c r="P1782" i="1"/>
  <c r="N1782" i="1"/>
  <c r="K1782" i="1"/>
  <c r="P1781" i="1"/>
  <c r="N1781" i="1"/>
  <c r="K1781" i="1"/>
  <c r="P1780" i="1"/>
  <c r="N1780" i="1"/>
  <c r="K1780" i="1"/>
  <c r="P1779" i="1"/>
  <c r="N1779" i="1"/>
  <c r="K1779" i="1"/>
  <c r="P1778" i="1"/>
  <c r="N1778" i="1"/>
  <c r="K1778" i="1"/>
  <c r="P1777" i="1"/>
  <c r="N1777" i="1"/>
  <c r="K1777" i="1"/>
  <c r="P1776" i="1"/>
  <c r="N1776" i="1"/>
  <c r="K1776" i="1"/>
  <c r="P1775" i="1"/>
  <c r="N1775" i="1"/>
  <c r="K1775" i="1"/>
  <c r="P1774" i="1"/>
  <c r="N1774" i="1"/>
  <c r="K1774" i="1"/>
  <c r="P1773" i="1"/>
  <c r="N1773" i="1"/>
  <c r="K1773" i="1"/>
  <c r="P1772" i="1"/>
  <c r="N1772" i="1"/>
  <c r="K1772" i="1"/>
  <c r="P1771" i="1"/>
  <c r="N1771" i="1"/>
  <c r="K1771" i="1"/>
  <c r="P1770" i="1"/>
  <c r="N1770" i="1"/>
  <c r="K1770" i="1"/>
  <c r="P1769" i="1"/>
  <c r="N1769" i="1"/>
  <c r="K1769" i="1"/>
  <c r="P1768" i="1"/>
  <c r="N1768" i="1"/>
  <c r="K1768" i="1"/>
  <c r="P1767" i="1"/>
  <c r="N1767" i="1"/>
  <c r="K1767" i="1"/>
  <c r="P1766" i="1"/>
  <c r="N1766" i="1"/>
  <c r="K1766" i="1"/>
  <c r="P1765" i="1"/>
  <c r="N1765" i="1"/>
  <c r="K1765" i="1"/>
  <c r="P1764" i="1"/>
  <c r="N1764" i="1"/>
  <c r="K1764" i="1"/>
  <c r="P1763" i="1"/>
  <c r="N1763" i="1"/>
  <c r="K1763" i="1"/>
  <c r="P1762" i="1"/>
  <c r="N1762" i="1"/>
  <c r="K1762" i="1"/>
  <c r="P1761" i="1"/>
  <c r="N1761" i="1"/>
  <c r="K1761" i="1"/>
  <c r="P1760" i="1"/>
  <c r="N1760" i="1"/>
  <c r="K1760" i="1"/>
  <c r="P1759" i="1"/>
  <c r="N1759" i="1"/>
  <c r="K1759" i="1"/>
  <c r="P1758" i="1"/>
  <c r="N1758" i="1"/>
  <c r="K1758" i="1"/>
  <c r="P1757" i="1"/>
  <c r="N1757" i="1"/>
  <c r="K1757" i="1"/>
  <c r="P1756" i="1"/>
  <c r="N1756" i="1"/>
  <c r="K1756" i="1"/>
  <c r="P1755" i="1"/>
  <c r="N1755" i="1"/>
  <c r="K1755" i="1"/>
  <c r="P1754" i="1"/>
  <c r="N1754" i="1"/>
  <c r="K1754" i="1"/>
  <c r="P1753" i="1"/>
  <c r="N1753" i="1"/>
  <c r="K1753" i="1"/>
  <c r="P1752" i="1"/>
  <c r="N1752" i="1"/>
  <c r="K1752" i="1"/>
  <c r="P1751" i="1"/>
  <c r="N1751" i="1"/>
  <c r="K1751" i="1"/>
  <c r="P1750" i="1"/>
  <c r="N1750" i="1"/>
  <c r="K1750" i="1"/>
  <c r="P1749" i="1"/>
  <c r="N1749" i="1"/>
  <c r="K1749" i="1"/>
  <c r="P1748" i="1"/>
  <c r="N1748" i="1"/>
  <c r="K1748" i="1"/>
  <c r="P1747" i="1"/>
  <c r="N1747" i="1"/>
  <c r="K1747" i="1"/>
  <c r="P1746" i="1"/>
  <c r="N1746" i="1"/>
  <c r="K1746" i="1"/>
  <c r="P1745" i="1"/>
  <c r="N1745" i="1"/>
  <c r="K1745" i="1"/>
  <c r="P1744" i="1"/>
  <c r="N1744" i="1"/>
  <c r="K1744" i="1"/>
  <c r="P1743" i="1"/>
  <c r="N1743" i="1"/>
  <c r="K1743" i="1"/>
  <c r="P1742" i="1"/>
  <c r="N1742" i="1"/>
  <c r="K1742" i="1"/>
  <c r="P1741" i="1"/>
  <c r="N1741" i="1"/>
  <c r="K1741" i="1"/>
  <c r="P1740" i="1"/>
  <c r="N1740" i="1"/>
  <c r="K1740" i="1"/>
  <c r="P1739" i="1"/>
  <c r="N1739" i="1"/>
  <c r="K1739" i="1"/>
  <c r="P1738" i="1"/>
  <c r="N1738" i="1"/>
  <c r="K1738" i="1"/>
  <c r="P1737" i="1"/>
  <c r="N1737" i="1"/>
  <c r="K1737" i="1"/>
  <c r="P1736" i="1"/>
  <c r="N1736" i="1"/>
  <c r="K1736" i="1"/>
  <c r="P1735" i="1"/>
  <c r="N1735" i="1"/>
  <c r="K1735" i="1"/>
  <c r="P1734" i="1"/>
  <c r="N1734" i="1"/>
  <c r="K1734" i="1"/>
  <c r="P1733" i="1"/>
  <c r="N1733" i="1"/>
  <c r="K1733" i="1"/>
  <c r="P1732" i="1"/>
  <c r="N1732" i="1"/>
  <c r="K1732" i="1"/>
  <c r="P1731" i="1"/>
  <c r="N1731" i="1"/>
  <c r="K1731" i="1"/>
  <c r="P1730" i="1"/>
  <c r="N1730" i="1"/>
  <c r="K1730" i="1"/>
  <c r="P1729" i="1"/>
  <c r="N1729" i="1"/>
  <c r="K1729" i="1"/>
  <c r="P1728" i="1"/>
  <c r="N1728" i="1"/>
  <c r="K1728" i="1"/>
  <c r="P1727" i="1"/>
  <c r="N1727" i="1"/>
  <c r="K1727" i="1"/>
  <c r="P1726" i="1"/>
  <c r="N1726" i="1"/>
  <c r="K1726" i="1"/>
  <c r="P1725" i="1"/>
  <c r="N1725" i="1"/>
  <c r="K1725" i="1"/>
  <c r="P1724" i="1"/>
  <c r="N1724" i="1"/>
  <c r="K1724" i="1"/>
  <c r="P1723" i="1"/>
  <c r="N1723" i="1"/>
  <c r="K1723" i="1"/>
  <c r="P1722" i="1"/>
  <c r="N1722" i="1"/>
  <c r="K1722" i="1"/>
  <c r="P1721" i="1"/>
  <c r="N1721" i="1"/>
  <c r="K1721" i="1"/>
  <c r="P1720" i="1"/>
  <c r="N1720" i="1"/>
  <c r="K1720" i="1"/>
  <c r="P1719" i="1"/>
  <c r="N1719" i="1"/>
  <c r="K1719" i="1"/>
  <c r="P1718" i="1"/>
  <c r="N1718" i="1"/>
  <c r="K1718" i="1"/>
  <c r="P1717" i="1"/>
  <c r="N1717" i="1"/>
  <c r="K1717" i="1"/>
  <c r="P1716" i="1"/>
  <c r="N1716" i="1"/>
  <c r="K1716" i="1"/>
  <c r="P1715" i="1"/>
  <c r="N1715" i="1"/>
  <c r="K1715" i="1"/>
  <c r="P1714" i="1"/>
  <c r="N1714" i="1"/>
  <c r="K1714" i="1"/>
  <c r="P1713" i="1"/>
  <c r="N1713" i="1"/>
  <c r="K1713" i="1"/>
  <c r="P1712" i="1"/>
  <c r="N1712" i="1"/>
  <c r="K1712" i="1"/>
  <c r="P1711" i="1"/>
  <c r="N1711" i="1"/>
  <c r="K1711" i="1"/>
  <c r="P1710" i="1"/>
  <c r="N1710" i="1"/>
  <c r="K1710" i="1"/>
  <c r="P1709" i="1"/>
  <c r="N1709" i="1"/>
  <c r="K1709" i="1"/>
  <c r="P1708" i="1"/>
  <c r="N1708" i="1"/>
  <c r="K1708" i="1"/>
  <c r="P1707" i="1"/>
  <c r="N1707" i="1"/>
  <c r="K1707" i="1"/>
  <c r="P1706" i="1"/>
  <c r="N1706" i="1"/>
  <c r="K1706" i="1"/>
  <c r="P1705" i="1"/>
  <c r="N1705" i="1"/>
  <c r="K1705" i="1"/>
  <c r="P1704" i="1"/>
  <c r="N1704" i="1"/>
  <c r="K1704" i="1"/>
  <c r="P1703" i="1"/>
  <c r="N1703" i="1"/>
  <c r="K1703" i="1"/>
  <c r="P1702" i="1"/>
  <c r="N1702" i="1"/>
  <c r="K1702" i="1"/>
  <c r="P1701" i="1"/>
  <c r="N1701" i="1"/>
  <c r="K1701" i="1"/>
  <c r="P1700" i="1"/>
  <c r="N1700" i="1"/>
  <c r="K1700" i="1"/>
  <c r="P1699" i="1"/>
  <c r="N1699" i="1"/>
  <c r="K1699" i="1"/>
  <c r="P1698" i="1"/>
  <c r="N1698" i="1"/>
  <c r="K1698" i="1"/>
  <c r="P1697" i="1"/>
  <c r="N1697" i="1"/>
  <c r="K1697" i="1"/>
  <c r="P1696" i="1"/>
  <c r="N1696" i="1"/>
  <c r="K1696" i="1"/>
  <c r="P1695" i="1"/>
  <c r="N1695" i="1"/>
  <c r="K1695" i="1"/>
  <c r="P1694" i="1"/>
  <c r="N1694" i="1"/>
  <c r="K1694" i="1"/>
  <c r="P1693" i="1"/>
  <c r="N1693" i="1"/>
  <c r="K1693" i="1"/>
  <c r="P1692" i="1"/>
  <c r="N1692" i="1"/>
  <c r="K1692" i="1"/>
  <c r="P1691" i="1"/>
  <c r="N1691" i="1"/>
  <c r="K1691" i="1"/>
  <c r="P1690" i="1"/>
  <c r="N1690" i="1"/>
  <c r="K1690" i="1"/>
  <c r="P1689" i="1"/>
  <c r="N1689" i="1"/>
  <c r="K1689" i="1"/>
  <c r="P1688" i="1"/>
  <c r="N1688" i="1"/>
  <c r="K1688" i="1"/>
  <c r="P1687" i="1"/>
  <c r="N1687" i="1"/>
  <c r="K1687" i="1"/>
  <c r="P1686" i="1"/>
  <c r="N1686" i="1"/>
  <c r="K1686" i="1"/>
  <c r="P1685" i="1"/>
  <c r="N1685" i="1"/>
  <c r="K1685" i="1"/>
  <c r="P1684" i="1"/>
  <c r="N1684" i="1"/>
  <c r="K1684" i="1"/>
  <c r="P1683" i="1"/>
  <c r="N1683" i="1"/>
  <c r="K1683" i="1"/>
  <c r="P1682" i="1"/>
  <c r="N1682" i="1"/>
  <c r="K1682" i="1"/>
  <c r="P1681" i="1"/>
  <c r="N1681" i="1"/>
  <c r="K1681" i="1"/>
  <c r="P1680" i="1"/>
  <c r="N1680" i="1"/>
  <c r="K1680" i="1"/>
  <c r="P1679" i="1"/>
  <c r="N1679" i="1"/>
  <c r="K1679" i="1"/>
  <c r="P1678" i="1"/>
  <c r="N1678" i="1"/>
  <c r="K1678" i="1"/>
  <c r="P1677" i="1"/>
  <c r="N1677" i="1"/>
  <c r="K1677" i="1"/>
  <c r="P1676" i="1"/>
  <c r="N1676" i="1"/>
  <c r="K1676" i="1"/>
  <c r="P1675" i="1"/>
  <c r="N1675" i="1"/>
  <c r="K1675" i="1"/>
  <c r="P1674" i="1"/>
  <c r="N1674" i="1"/>
  <c r="K1674" i="1"/>
  <c r="P1673" i="1"/>
  <c r="N1673" i="1"/>
  <c r="K1673" i="1"/>
  <c r="P1672" i="1"/>
  <c r="N1672" i="1"/>
  <c r="K1672" i="1"/>
  <c r="P1671" i="1"/>
  <c r="N1671" i="1"/>
  <c r="K1671" i="1"/>
  <c r="P1670" i="1"/>
  <c r="N1670" i="1"/>
  <c r="K1670" i="1"/>
  <c r="P1669" i="1"/>
  <c r="N1669" i="1"/>
  <c r="K1669" i="1"/>
  <c r="P1668" i="1"/>
  <c r="N1668" i="1"/>
  <c r="K1668" i="1"/>
  <c r="P1667" i="1"/>
  <c r="N1667" i="1"/>
  <c r="K1667" i="1"/>
  <c r="P1666" i="1"/>
  <c r="N1666" i="1"/>
  <c r="K1666" i="1"/>
  <c r="P1665" i="1"/>
  <c r="N1665" i="1"/>
  <c r="K1665" i="1"/>
  <c r="P1664" i="1"/>
  <c r="N1664" i="1"/>
  <c r="K1664" i="1"/>
  <c r="P1663" i="1"/>
  <c r="N1663" i="1"/>
  <c r="K1663" i="1"/>
  <c r="P1662" i="1"/>
  <c r="N1662" i="1"/>
  <c r="K1662" i="1"/>
  <c r="P1661" i="1"/>
  <c r="N1661" i="1"/>
  <c r="K1661" i="1"/>
  <c r="P1660" i="1"/>
  <c r="N1660" i="1"/>
  <c r="K1660" i="1"/>
  <c r="P1659" i="1"/>
  <c r="N1659" i="1"/>
  <c r="K1659" i="1"/>
  <c r="P1658" i="1"/>
  <c r="N1658" i="1"/>
  <c r="K1658" i="1"/>
  <c r="P1657" i="1"/>
  <c r="N1657" i="1"/>
  <c r="K1657" i="1"/>
  <c r="P1656" i="1"/>
  <c r="N1656" i="1"/>
  <c r="K1656" i="1"/>
  <c r="P1655" i="1"/>
  <c r="N1655" i="1"/>
  <c r="K1655" i="1"/>
  <c r="P1654" i="1"/>
  <c r="N1654" i="1"/>
  <c r="K1654" i="1"/>
  <c r="P1653" i="1"/>
  <c r="N1653" i="1"/>
  <c r="K1653" i="1"/>
  <c r="P1652" i="1"/>
  <c r="N1652" i="1"/>
  <c r="K1652" i="1"/>
  <c r="P1651" i="1"/>
  <c r="N1651" i="1"/>
  <c r="K1651" i="1"/>
  <c r="P1650" i="1"/>
  <c r="N1650" i="1"/>
  <c r="K1650" i="1"/>
  <c r="P1649" i="1"/>
  <c r="N1649" i="1"/>
  <c r="K1649" i="1"/>
  <c r="P1648" i="1"/>
  <c r="N1648" i="1"/>
  <c r="K1648" i="1"/>
  <c r="P1647" i="1"/>
  <c r="N1647" i="1"/>
  <c r="K1647" i="1"/>
  <c r="P1646" i="1"/>
  <c r="N1646" i="1"/>
  <c r="K1646" i="1"/>
  <c r="P1645" i="1"/>
  <c r="N1645" i="1"/>
  <c r="K1645" i="1"/>
  <c r="P1644" i="1"/>
  <c r="N1644" i="1"/>
  <c r="K1644" i="1"/>
  <c r="P1643" i="1"/>
  <c r="N1643" i="1"/>
  <c r="K1643" i="1"/>
  <c r="P1642" i="1"/>
  <c r="N1642" i="1"/>
  <c r="K1642" i="1"/>
  <c r="P1641" i="1"/>
  <c r="N1641" i="1"/>
  <c r="K1641" i="1"/>
  <c r="P1640" i="1"/>
  <c r="N1640" i="1"/>
  <c r="K1640" i="1"/>
  <c r="P1639" i="1"/>
  <c r="N1639" i="1"/>
  <c r="K1639" i="1"/>
  <c r="P1638" i="1"/>
  <c r="N1638" i="1"/>
  <c r="K1638" i="1"/>
  <c r="P1637" i="1"/>
  <c r="N1637" i="1"/>
  <c r="K1637" i="1"/>
  <c r="P1636" i="1"/>
  <c r="N1636" i="1"/>
  <c r="K1636" i="1"/>
  <c r="P1635" i="1"/>
  <c r="N1635" i="1"/>
  <c r="K1635" i="1"/>
  <c r="P1634" i="1"/>
  <c r="N1634" i="1"/>
  <c r="K1634" i="1"/>
  <c r="P1633" i="1"/>
  <c r="N1633" i="1"/>
  <c r="K1633" i="1"/>
  <c r="P1632" i="1"/>
  <c r="N1632" i="1"/>
  <c r="K1632" i="1"/>
  <c r="P1631" i="1"/>
  <c r="N1631" i="1"/>
  <c r="K1631" i="1"/>
  <c r="P1630" i="1"/>
  <c r="N1630" i="1"/>
  <c r="K1630" i="1"/>
  <c r="P1629" i="1"/>
  <c r="N1629" i="1"/>
  <c r="K1629" i="1"/>
  <c r="P1628" i="1"/>
  <c r="N1628" i="1"/>
  <c r="K1628" i="1"/>
  <c r="P1627" i="1"/>
  <c r="N1627" i="1"/>
  <c r="K1627" i="1"/>
  <c r="P1626" i="1"/>
  <c r="N1626" i="1"/>
  <c r="K1626" i="1"/>
  <c r="P1625" i="1"/>
  <c r="N1625" i="1"/>
  <c r="K1625" i="1"/>
  <c r="P1624" i="1"/>
  <c r="N1624" i="1"/>
  <c r="K1624" i="1"/>
  <c r="P1623" i="1"/>
  <c r="N1623" i="1"/>
  <c r="K1623" i="1"/>
  <c r="P1622" i="1"/>
  <c r="N1622" i="1"/>
  <c r="K1622" i="1"/>
  <c r="P1621" i="1"/>
  <c r="N1621" i="1"/>
  <c r="K1621" i="1"/>
  <c r="P1620" i="1"/>
  <c r="N1620" i="1"/>
  <c r="K1620" i="1"/>
  <c r="P1619" i="1"/>
  <c r="N1619" i="1"/>
  <c r="K1619" i="1"/>
  <c r="P1618" i="1"/>
  <c r="N1618" i="1"/>
  <c r="K1618" i="1"/>
  <c r="P1617" i="1"/>
  <c r="N1617" i="1"/>
  <c r="K1617" i="1"/>
  <c r="P1616" i="1"/>
  <c r="N1616" i="1"/>
  <c r="K1616" i="1"/>
  <c r="P1615" i="1"/>
  <c r="N1615" i="1"/>
  <c r="K1615" i="1"/>
  <c r="P1614" i="1"/>
  <c r="N1614" i="1"/>
  <c r="K1614" i="1"/>
  <c r="P1613" i="1"/>
  <c r="N1613" i="1"/>
  <c r="K1613" i="1"/>
  <c r="P1612" i="1"/>
  <c r="N1612" i="1"/>
  <c r="K1612" i="1"/>
  <c r="P1611" i="1"/>
  <c r="N1611" i="1"/>
  <c r="K1611" i="1"/>
  <c r="P1610" i="1"/>
  <c r="N1610" i="1"/>
  <c r="K1610" i="1"/>
  <c r="P1609" i="1"/>
  <c r="N1609" i="1"/>
  <c r="K1609" i="1"/>
  <c r="P1608" i="1"/>
  <c r="N1608" i="1"/>
  <c r="K1608" i="1"/>
  <c r="P1607" i="1"/>
  <c r="N1607" i="1"/>
  <c r="K1607" i="1"/>
  <c r="P1606" i="1"/>
  <c r="N1606" i="1"/>
  <c r="K1606" i="1"/>
  <c r="P1605" i="1"/>
  <c r="N1605" i="1"/>
  <c r="K1605" i="1"/>
  <c r="P1604" i="1"/>
  <c r="N1604" i="1"/>
  <c r="K1604" i="1"/>
  <c r="P1603" i="1"/>
  <c r="N1603" i="1"/>
  <c r="K1603" i="1"/>
  <c r="P1602" i="1"/>
  <c r="N1602" i="1"/>
  <c r="K1602" i="1"/>
  <c r="P1601" i="1"/>
  <c r="N1601" i="1"/>
  <c r="K1601" i="1"/>
  <c r="P1600" i="1"/>
  <c r="N1600" i="1"/>
  <c r="K1600" i="1"/>
  <c r="P1599" i="1"/>
  <c r="N1599" i="1"/>
  <c r="K1599" i="1"/>
  <c r="P1598" i="1"/>
  <c r="N1598" i="1"/>
  <c r="K1598" i="1"/>
  <c r="P1597" i="1"/>
  <c r="N1597" i="1"/>
  <c r="K1597" i="1"/>
  <c r="P1596" i="1"/>
  <c r="N1596" i="1"/>
  <c r="K1596" i="1"/>
  <c r="P1595" i="1"/>
  <c r="N1595" i="1"/>
  <c r="K1595" i="1"/>
  <c r="P1594" i="1"/>
  <c r="N1594" i="1"/>
  <c r="K1594" i="1"/>
  <c r="P1593" i="1"/>
  <c r="N1593" i="1"/>
  <c r="K1593" i="1"/>
  <c r="P1592" i="1"/>
  <c r="N1592" i="1"/>
  <c r="K1592" i="1"/>
  <c r="P1591" i="1"/>
  <c r="N1591" i="1"/>
  <c r="K1591" i="1"/>
  <c r="P1590" i="1"/>
  <c r="N1590" i="1"/>
  <c r="K1590" i="1"/>
  <c r="P1589" i="1"/>
  <c r="N1589" i="1"/>
  <c r="K1589" i="1"/>
  <c r="P1588" i="1"/>
  <c r="N1588" i="1"/>
  <c r="K1588" i="1"/>
  <c r="P1587" i="1"/>
  <c r="N1587" i="1"/>
  <c r="K1587" i="1"/>
  <c r="P1586" i="1"/>
  <c r="N1586" i="1"/>
  <c r="K1586" i="1"/>
  <c r="P1585" i="1"/>
  <c r="N1585" i="1"/>
  <c r="K1585" i="1"/>
  <c r="P1584" i="1"/>
  <c r="N1584" i="1"/>
  <c r="K1584" i="1"/>
  <c r="P1583" i="1"/>
  <c r="N1583" i="1"/>
  <c r="K1583" i="1"/>
  <c r="P1582" i="1"/>
  <c r="N1582" i="1"/>
  <c r="K1582" i="1"/>
  <c r="P1581" i="1"/>
  <c r="N1581" i="1"/>
  <c r="K1581" i="1"/>
  <c r="P1580" i="1"/>
  <c r="N1580" i="1"/>
  <c r="K1580" i="1"/>
  <c r="P1579" i="1"/>
  <c r="N1579" i="1"/>
  <c r="K1579" i="1"/>
  <c r="P1578" i="1"/>
  <c r="N1578" i="1"/>
  <c r="K1578" i="1"/>
  <c r="P1577" i="1"/>
  <c r="N1577" i="1"/>
  <c r="K1577" i="1"/>
  <c r="P1576" i="1"/>
  <c r="N1576" i="1"/>
  <c r="K1576" i="1"/>
  <c r="P1575" i="1"/>
  <c r="N1575" i="1"/>
  <c r="K1575" i="1"/>
  <c r="P1574" i="1"/>
  <c r="N1574" i="1"/>
  <c r="K1574" i="1"/>
  <c r="P1573" i="1"/>
  <c r="N1573" i="1"/>
  <c r="K1573" i="1"/>
  <c r="P1572" i="1"/>
  <c r="N1572" i="1"/>
  <c r="K1572" i="1"/>
  <c r="P1571" i="1"/>
  <c r="N1571" i="1"/>
  <c r="K1571" i="1"/>
  <c r="P1570" i="1"/>
  <c r="N1570" i="1"/>
  <c r="K1570" i="1"/>
  <c r="P1569" i="1"/>
  <c r="N1569" i="1"/>
  <c r="K1569" i="1"/>
  <c r="P1568" i="1"/>
  <c r="N1568" i="1"/>
  <c r="K1568" i="1"/>
  <c r="P1567" i="1"/>
  <c r="N1567" i="1"/>
  <c r="K1567" i="1"/>
  <c r="P1566" i="1"/>
  <c r="N1566" i="1"/>
  <c r="K1566" i="1"/>
  <c r="P1565" i="1"/>
  <c r="N1565" i="1"/>
  <c r="K1565" i="1"/>
  <c r="P1564" i="1"/>
  <c r="N1564" i="1"/>
  <c r="K1564" i="1"/>
  <c r="P1563" i="1"/>
  <c r="N1563" i="1"/>
  <c r="K1563" i="1"/>
  <c r="P1562" i="1"/>
  <c r="N1562" i="1"/>
  <c r="K1562" i="1"/>
  <c r="P1561" i="1"/>
  <c r="N1561" i="1"/>
  <c r="K1561" i="1"/>
  <c r="P1560" i="1"/>
  <c r="N1560" i="1"/>
  <c r="K1560" i="1"/>
  <c r="P1559" i="1"/>
  <c r="N1559" i="1"/>
  <c r="K1559" i="1"/>
  <c r="P1558" i="1"/>
  <c r="N1558" i="1"/>
  <c r="K1558" i="1"/>
  <c r="P1557" i="1"/>
  <c r="N1557" i="1"/>
  <c r="K1557" i="1"/>
  <c r="P1556" i="1"/>
  <c r="N1556" i="1"/>
  <c r="K1556" i="1"/>
  <c r="P1555" i="1"/>
  <c r="N1555" i="1"/>
  <c r="K1555" i="1"/>
  <c r="P1554" i="1"/>
  <c r="N1554" i="1"/>
  <c r="K1554" i="1"/>
  <c r="P1553" i="1"/>
  <c r="N1553" i="1"/>
  <c r="K1553" i="1"/>
  <c r="P1552" i="1"/>
  <c r="N1552" i="1"/>
  <c r="K1552" i="1"/>
  <c r="P1551" i="1"/>
  <c r="N1551" i="1"/>
  <c r="K1551" i="1"/>
  <c r="P1550" i="1"/>
  <c r="N1550" i="1"/>
  <c r="K1550" i="1"/>
  <c r="P1549" i="1"/>
  <c r="N1549" i="1"/>
  <c r="K1549" i="1"/>
  <c r="P1548" i="1"/>
  <c r="N1548" i="1"/>
  <c r="K1548" i="1"/>
  <c r="P1547" i="1"/>
  <c r="N1547" i="1"/>
  <c r="K1547" i="1"/>
  <c r="P1546" i="1"/>
  <c r="N1546" i="1"/>
  <c r="K1546" i="1"/>
  <c r="P1545" i="1"/>
  <c r="N1545" i="1"/>
  <c r="K1545" i="1"/>
  <c r="P1544" i="1"/>
  <c r="N1544" i="1"/>
  <c r="K1544" i="1"/>
  <c r="P1543" i="1"/>
  <c r="N1543" i="1"/>
  <c r="K1543" i="1"/>
  <c r="P1542" i="1"/>
  <c r="N1542" i="1"/>
  <c r="K1542" i="1"/>
  <c r="P1541" i="1"/>
  <c r="N1541" i="1"/>
  <c r="K1541" i="1"/>
  <c r="P1540" i="1"/>
  <c r="N1540" i="1"/>
  <c r="K1540" i="1"/>
  <c r="P1539" i="1"/>
  <c r="N1539" i="1"/>
  <c r="K1539" i="1"/>
  <c r="P1538" i="1"/>
  <c r="N1538" i="1"/>
  <c r="K1538" i="1"/>
  <c r="P1537" i="1"/>
  <c r="N1537" i="1"/>
  <c r="K1537" i="1"/>
  <c r="P1536" i="1"/>
  <c r="N1536" i="1"/>
  <c r="K1536" i="1"/>
  <c r="P1535" i="1"/>
  <c r="N1535" i="1"/>
  <c r="K1535" i="1"/>
  <c r="P1534" i="1"/>
  <c r="N1534" i="1"/>
  <c r="K1534" i="1"/>
  <c r="P1533" i="1"/>
  <c r="N1533" i="1"/>
  <c r="K1533" i="1"/>
  <c r="P1532" i="1"/>
  <c r="N1532" i="1"/>
  <c r="K1532" i="1"/>
  <c r="P1531" i="1"/>
  <c r="N1531" i="1"/>
  <c r="K1531" i="1"/>
  <c r="P1530" i="1"/>
  <c r="N1530" i="1"/>
  <c r="K1530" i="1"/>
  <c r="P1529" i="1"/>
  <c r="N1529" i="1"/>
  <c r="K1529" i="1"/>
  <c r="P1528" i="1"/>
  <c r="N1528" i="1"/>
  <c r="K1528" i="1"/>
  <c r="P1527" i="1"/>
  <c r="N1527" i="1"/>
  <c r="K1527" i="1"/>
  <c r="P1526" i="1"/>
  <c r="N1526" i="1"/>
  <c r="K1526" i="1"/>
  <c r="P1525" i="1"/>
  <c r="N1525" i="1"/>
  <c r="K1525" i="1"/>
  <c r="P1524" i="1"/>
  <c r="N1524" i="1"/>
  <c r="K1524" i="1"/>
  <c r="P1523" i="1"/>
  <c r="N1523" i="1"/>
  <c r="K1523" i="1"/>
  <c r="P1522" i="1"/>
  <c r="N1522" i="1"/>
  <c r="K1522" i="1"/>
  <c r="P1521" i="1"/>
  <c r="N1521" i="1"/>
  <c r="K1521" i="1"/>
  <c r="P1520" i="1"/>
  <c r="N1520" i="1"/>
  <c r="K1520" i="1"/>
  <c r="P1519" i="1"/>
  <c r="N1519" i="1"/>
  <c r="K1519" i="1"/>
  <c r="P1518" i="1"/>
  <c r="N1518" i="1"/>
  <c r="K1518" i="1"/>
  <c r="P1517" i="1"/>
  <c r="N1517" i="1"/>
  <c r="K1517" i="1"/>
  <c r="P1516" i="1"/>
  <c r="N1516" i="1"/>
  <c r="K1516" i="1"/>
  <c r="P1515" i="1"/>
  <c r="N1515" i="1"/>
  <c r="K1515" i="1"/>
  <c r="P1514" i="1"/>
  <c r="N1514" i="1"/>
  <c r="K1514" i="1"/>
  <c r="P1513" i="1"/>
  <c r="N1513" i="1"/>
  <c r="K1513" i="1"/>
  <c r="P1512" i="1"/>
  <c r="N1512" i="1"/>
  <c r="K1512" i="1"/>
  <c r="P1511" i="1"/>
  <c r="N1511" i="1"/>
  <c r="K1511" i="1"/>
  <c r="P1510" i="1"/>
  <c r="N1510" i="1"/>
  <c r="K1510" i="1"/>
  <c r="P1509" i="1"/>
  <c r="N1509" i="1"/>
  <c r="K1509" i="1"/>
  <c r="P1508" i="1"/>
  <c r="N1508" i="1"/>
  <c r="K1508" i="1"/>
  <c r="P1507" i="1"/>
  <c r="N1507" i="1"/>
  <c r="K1507" i="1"/>
  <c r="P1506" i="1"/>
  <c r="N1506" i="1"/>
  <c r="K1506" i="1"/>
  <c r="P1505" i="1"/>
  <c r="N1505" i="1"/>
  <c r="K1505" i="1"/>
  <c r="P1504" i="1"/>
  <c r="N1504" i="1"/>
  <c r="K1504" i="1"/>
  <c r="P1503" i="1"/>
  <c r="N1503" i="1"/>
  <c r="K1503" i="1"/>
  <c r="P1502" i="1"/>
  <c r="N1502" i="1"/>
  <c r="K1502" i="1"/>
  <c r="P1501" i="1"/>
  <c r="N1501" i="1"/>
  <c r="K1501" i="1"/>
  <c r="P1500" i="1"/>
  <c r="N1500" i="1"/>
  <c r="K1500" i="1"/>
  <c r="P1499" i="1"/>
  <c r="N1499" i="1"/>
  <c r="K1499" i="1"/>
  <c r="P1498" i="1"/>
  <c r="N1498" i="1"/>
  <c r="K1498" i="1"/>
  <c r="P1497" i="1"/>
  <c r="N1497" i="1"/>
  <c r="K1497" i="1"/>
  <c r="P1496" i="1"/>
  <c r="N1496" i="1"/>
  <c r="K1496" i="1"/>
  <c r="P1495" i="1"/>
  <c r="N1495" i="1"/>
  <c r="K1495" i="1"/>
  <c r="P1494" i="1"/>
  <c r="N1494" i="1"/>
  <c r="K1494" i="1"/>
  <c r="P1493" i="1"/>
  <c r="N1493" i="1"/>
  <c r="K1493" i="1"/>
  <c r="P1492" i="1"/>
  <c r="N1492" i="1"/>
  <c r="K1492" i="1"/>
  <c r="P1491" i="1"/>
  <c r="N1491" i="1"/>
  <c r="K1491" i="1"/>
  <c r="P1490" i="1"/>
  <c r="N1490" i="1"/>
  <c r="K1490" i="1"/>
  <c r="P1489" i="1"/>
  <c r="N1489" i="1"/>
  <c r="K1489" i="1"/>
  <c r="P1488" i="1"/>
  <c r="N1488" i="1"/>
  <c r="K1488" i="1"/>
  <c r="P1487" i="1"/>
  <c r="N1487" i="1"/>
  <c r="K1487" i="1"/>
  <c r="P1486" i="1"/>
  <c r="N1486" i="1"/>
  <c r="K1486" i="1"/>
  <c r="P1485" i="1"/>
  <c r="N1485" i="1"/>
  <c r="K1485" i="1"/>
  <c r="P1484" i="1"/>
  <c r="N1484" i="1"/>
  <c r="K1484" i="1"/>
  <c r="P1483" i="1"/>
  <c r="N1483" i="1"/>
  <c r="K1483" i="1"/>
  <c r="P1482" i="1"/>
  <c r="N1482" i="1"/>
  <c r="K1482" i="1"/>
  <c r="P1481" i="1"/>
  <c r="N1481" i="1"/>
  <c r="K1481" i="1"/>
  <c r="P1480" i="1"/>
  <c r="N1480" i="1"/>
  <c r="K1480" i="1"/>
  <c r="P1479" i="1"/>
  <c r="N1479" i="1"/>
  <c r="K1479" i="1"/>
  <c r="P1478" i="1"/>
  <c r="N1478" i="1"/>
  <c r="K1478" i="1"/>
  <c r="P1477" i="1"/>
  <c r="N1477" i="1"/>
  <c r="K1477" i="1"/>
  <c r="P1476" i="1"/>
  <c r="N1476" i="1"/>
  <c r="K1476" i="1"/>
  <c r="P1475" i="1"/>
  <c r="N1475" i="1"/>
  <c r="K1475" i="1"/>
  <c r="P1474" i="1"/>
  <c r="N1474" i="1"/>
  <c r="K1474" i="1"/>
  <c r="P1473" i="1"/>
  <c r="N1473" i="1"/>
  <c r="K1473" i="1"/>
  <c r="P1472" i="1"/>
  <c r="N1472" i="1"/>
  <c r="K1472" i="1"/>
  <c r="P1471" i="1"/>
  <c r="N1471" i="1"/>
  <c r="K1471" i="1"/>
  <c r="P1470" i="1"/>
  <c r="N1470" i="1"/>
  <c r="K1470" i="1"/>
  <c r="P1469" i="1"/>
  <c r="N1469" i="1"/>
  <c r="K1469" i="1"/>
  <c r="P1468" i="1"/>
  <c r="N1468" i="1"/>
  <c r="K1468" i="1"/>
  <c r="P1467" i="1"/>
  <c r="N1467" i="1"/>
  <c r="K1467" i="1"/>
  <c r="P1466" i="1"/>
  <c r="N1466" i="1"/>
  <c r="K1466" i="1"/>
  <c r="P1465" i="1"/>
  <c r="N1465" i="1"/>
  <c r="K1465" i="1"/>
  <c r="P1464" i="1"/>
  <c r="N1464" i="1"/>
  <c r="K1464" i="1"/>
  <c r="P1463" i="1"/>
  <c r="N1463" i="1"/>
  <c r="K1463" i="1"/>
  <c r="P1462" i="1"/>
  <c r="N1462" i="1"/>
  <c r="K1462" i="1"/>
  <c r="P1461" i="1"/>
  <c r="N1461" i="1"/>
  <c r="K1461" i="1"/>
  <c r="P1460" i="1"/>
  <c r="N1460" i="1"/>
  <c r="K1460" i="1"/>
  <c r="P1459" i="1"/>
  <c r="N1459" i="1"/>
  <c r="K1459" i="1"/>
  <c r="P1458" i="1"/>
  <c r="N1458" i="1"/>
  <c r="K1458" i="1"/>
  <c r="P1457" i="1"/>
  <c r="N1457" i="1"/>
  <c r="K1457" i="1"/>
  <c r="P1456" i="1"/>
  <c r="N1456" i="1"/>
  <c r="K1456" i="1"/>
  <c r="P1455" i="1"/>
  <c r="N1455" i="1"/>
  <c r="K1455" i="1"/>
  <c r="P1454" i="1"/>
  <c r="N1454" i="1"/>
  <c r="K1454" i="1"/>
  <c r="P1453" i="1"/>
  <c r="N1453" i="1"/>
  <c r="K1453" i="1"/>
  <c r="P1452" i="1"/>
  <c r="N1452" i="1"/>
  <c r="K1452" i="1"/>
  <c r="P1451" i="1"/>
  <c r="N1451" i="1"/>
  <c r="K1451" i="1"/>
  <c r="P1450" i="1"/>
  <c r="N1450" i="1"/>
  <c r="K1450" i="1"/>
  <c r="P1449" i="1"/>
  <c r="N1449" i="1"/>
  <c r="K1449" i="1"/>
  <c r="P1448" i="1"/>
  <c r="N1448" i="1"/>
  <c r="K1448" i="1"/>
  <c r="P1447" i="1"/>
  <c r="N1447" i="1"/>
  <c r="K1447" i="1"/>
  <c r="P1446" i="1"/>
  <c r="N1446" i="1"/>
  <c r="K1446" i="1"/>
  <c r="P1445" i="1"/>
  <c r="N1445" i="1"/>
  <c r="K1445" i="1"/>
  <c r="P1444" i="1"/>
  <c r="N1444" i="1"/>
  <c r="K1444" i="1"/>
  <c r="P1443" i="1"/>
  <c r="N1443" i="1"/>
  <c r="K1443" i="1"/>
  <c r="P1442" i="1"/>
  <c r="N1442" i="1"/>
  <c r="K1442" i="1"/>
  <c r="P1441" i="1"/>
  <c r="N1441" i="1"/>
  <c r="K1441" i="1"/>
  <c r="P1440" i="1"/>
  <c r="N1440" i="1"/>
  <c r="K1440" i="1"/>
  <c r="P1439" i="1"/>
  <c r="N1439" i="1"/>
  <c r="K1439" i="1"/>
  <c r="P1438" i="1"/>
  <c r="N1438" i="1"/>
  <c r="K1438" i="1"/>
  <c r="P1437" i="1"/>
  <c r="N1437" i="1"/>
  <c r="K1437" i="1"/>
  <c r="P1436" i="1"/>
  <c r="N1436" i="1"/>
  <c r="K1436" i="1"/>
  <c r="P1435" i="1"/>
  <c r="N1435" i="1"/>
  <c r="K1435" i="1"/>
  <c r="P1434" i="1"/>
  <c r="N1434" i="1"/>
  <c r="K1434" i="1"/>
  <c r="P1433" i="1"/>
  <c r="N1433" i="1"/>
  <c r="K1433" i="1"/>
  <c r="P1432" i="1"/>
  <c r="N1432" i="1"/>
  <c r="K1432" i="1"/>
  <c r="P1431" i="1"/>
  <c r="N1431" i="1"/>
  <c r="K1431" i="1"/>
  <c r="P1430" i="1"/>
  <c r="N1430" i="1"/>
  <c r="K1430" i="1"/>
  <c r="P1429" i="1"/>
  <c r="N1429" i="1"/>
  <c r="K1429" i="1"/>
  <c r="P1428" i="1"/>
  <c r="N1428" i="1"/>
  <c r="K1428" i="1"/>
  <c r="P1427" i="1"/>
  <c r="N1427" i="1"/>
  <c r="K1427" i="1"/>
  <c r="P1426" i="1"/>
  <c r="N1426" i="1"/>
  <c r="K1426" i="1"/>
  <c r="P1425" i="1"/>
  <c r="N1425" i="1"/>
  <c r="K1425" i="1"/>
  <c r="P1424" i="1"/>
  <c r="N1424" i="1"/>
  <c r="K1424" i="1"/>
  <c r="P1423" i="1"/>
  <c r="N1423" i="1"/>
  <c r="K1423" i="1"/>
  <c r="P1422" i="1"/>
  <c r="N1422" i="1"/>
  <c r="K1422" i="1"/>
  <c r="P1421" i="1"/>
  <c r="N1421" i="1"/>
  <c r="K1421" i="1"/>
  <c r="P1420" i="1"/>
  <c r="N1420" i="1"/>
  <c r="K1420" i="1"/>
  <c r="P1419" i="1"/>
  <c r="N1419" i="1"/>
  <c r="K1419" i="1"/>
  <c r="P1418" i="1"/>
  <c r="N1418" i="1"/>
  <c r="K1418" i="1"/>
  <c r="P1417" i="1"/>
  <c r="N1417" i="1"/>
  <c r="K1417" i="1"/>
  <c r="P1416" i="1"/>
  <c r="N1416" i="1"/>
  <c r="K1416" i="1"/>
  <c r="P1415" i="1"/>
  <c r="N1415" i="1"/>
  <c r="K1415" i="1"/>
  <c r="P1414" i="1"/>
  <c r="N1414" i="1"/>
  <c r="K1414" i="1"/>
  <c r="P1413" i="1"/>
  <c r="N1413" i="1"/>
  <c r="K1413" i="1"/>
  <c r="P1412" i="1"/>
  <c r="N1412" i="1"/>
  <c r="K1412" i="1"/>
  <c r="P1411" i="1"/>
  <c r="N1411" i="1"/>
  <c r="K1411" i="1"/>
  <c r="P1410" i="1"/>
  <c r="N1410" i="1"/>
  <c r="K1410" i="1"/>
  <c r="P1409" i="1"/>
  <c r="N1409" i="1"/>
  <c r="K1409" i="1"/>
  <c r="P1408" i="1"/>
  <c r="N1408" i="1"/>
  <c r="K1408" i="1"/>
  <c r="P1407" i="1"/>
  <c r="N1407" i="1"/>
  <c r="K1407" i="1"/>
  <c r="P1406" i="1"/>
  <c r="N1406" i="1"/>
  <c r="K1406" i="1"/>
  <c r="P1405" i="1"/>
  <c r="N1405" i="1"/>
  <c r="K1405" i="1"/>
  <c r="P1404" i="1"/>
  <c r="N1404" i="1"/>
  <c r="K1404" i="1"/>
  <c r="P1403" i="1"/>
  <c r="N1403" i="1"/>
  <c r="K1403" i="1"/>
  <c r="P1402" i="1"/>
  <c r="N1402" i="1"/>
  <c r="K1402" i="1"/>
  <c r="P1401" i="1"/>
  <c r="N1401" i="1"/>
  <c r="K1401" i="1"/>
  <c r="P1400" i="1"/>
  <c r="N1400" i="1"/>
  <c r="K1400" i="1"/>
  <c r="P1399" i="1"/>
  <c r="N1399" i="1"/>
  <c r="K1399" i="1"/>
  <c r="P1398" i="1"/>
  <c r="N1398" i="1"/>
  <c r="K1398" i="1"/>
  <c r="P1397" i="1"/>
  <c r="N1397" i="1"/>
  <c r="K1397" i="1"/>
  <c r="P1396" i="1"/>
  <c r="N1396" i="1"/>
  <c r="K1396" i="1"/>
  <c r="P1395" i="1"/>
  <c r="N1395" i="1"/>
  <c r="K1395" i="1"/>
  <c r="P1394" i="1"/>
  <c r="N1394" i="1"/>
  <c r="K1394" i="1"/>
  <c r="P1393" i="1"/>
  <c r="N1393" i="1"/>
  <c r="K1393" i="1"/>
  <c r="P1392" i="1"/>
  <c r="N1392" i="1"/>
  <c r="K1392" i="1"/>
  <c r="P1391" i="1"/>
  <c r="N1391" i="1"/>
  <c r="K1391" i="1"/>
  <c r="P1390" i="1"/>
  <c r="N1390" i="1"/>
  <c r="K1390" i="1"/>
  <c r="P1389" i="1"/>
  <c r="N1389" i="1"/>
  <c r="K1389" i="1"/>
  <c r="P1388" i="1"/>
  <c r="N1388" i="1"/>
  <c r="K1388" i="1"/>
  <c r="P1387" i="1"/>
  <c r="N1387" i="1"/>
  <c r="K1387" i="1"/>
  <c r="P1386" i="1"/>
  <c r="N1386" i="1"/>
  <c r="K1386" i="1"/>
  <c r="P1385" i="1"/>
  <c r="N1385" i="1"/>
  <c r="K1385" i="1"/>
  <c r="P1384" i="1"/>
  <c r="N1384" i="1"/>
  <c r="K1384" i="1"/>
  <c r="P1383" i="1"/>
  <c r="N1383" i="1"/>
  <c r="K1383" i="1"/>
  <c r="P1382" i="1"/>
  <c r="N1382" i="1"/>
  <c r="K1382" i="1"/>
  <c r="P1381" i="1"/>
  <c r="N1381" i="1"/>
  <c r="K1381" i="1"/>
  <c r="P1380" i="1"/>
  <c r="N1380" i="1"/>
  <c r="K1380" i="1"/>
  <c r="P1379" i="1"/>
  <c r="N1379" i="1"/>
  <c r="K1379" i="1"/>
  <c r="P1378" i="1"/>
  <c r="N1378" i="1"/>
  <c r="K1378" i="1"/>
  <c r="P1377" i="1"/>
  <c r="N1377" i="1"/>
  <c r="K1377" i="1"/>
  <c r="P1376" i="1"/>
  <c r="N1376" i="1"/>
  <c r="K1376" i="1"/>
  <c r="P1375" i="1"/>
  <c r="N1375" i="1"/>
  <c r="K1375" i="1"/>
  <c r="P1374" i="1"/>
  <c r="N1374" i="1"/>
  <c r="K1374" i="1"/>
  <c r="P1373" i="1"/>
  <c r="N1373" i="1"/>
  <c r="K1373" i="1"/>
  <c r="P1372" i="1"/>
  <c r="N1372" i="1"/>
  <c r="K1372" i="1"/>
  <c r="P1371" i="1"/>
  <c r="N1371" i="1"/>
  <c r="K1371" i="1"/>
  <c r="P1370" i="1"/>
  <c r="N1370" i="1"/>
  <c r="K1370" i="1"/>
  <c r="P1369" i="1"/>
  <c r="N1369" i="1"/>
  <c r="K1369" i="1"/>
  <c r="P1368" i="1"/>
  <c r="N1368" i="1"/>
  <c r="K1368" i="1"/>
  <c r="P1367" i="1"/>
  <c r="N1367" i="1"/>
  <c r="K1367" i="1"/>
  <c r="P1366" i="1"/>
  <c r="N1366" i="1"/>
  <c r="K1366" i="1"/>
  <c r="P1365" i="1"/>
  <c r="N1365" i="1"/>
  <c r="K1365" i="1"/>
  <c r="P1364" i="1"/>
  <c r="N1364" i="1"/>
  <c r="K1364" i="1"/>
  <c r="P1363" i="1"/>
  <c r="N1363" i="1"/>
  <c r="K1363" i="1"/>
  <c r="P1362" i="1"/>
  <c r="N1362" i="1"/>
  <c r="K1362" i="1"/>
  <c r="P1361" i="1"/>
  <c r="N1361" i="1"/>
  <c r="K1361" i="1"/>
  <c r="P1360" i="1"/>
  <c r="N1360" i="1"/>
  <c r="K1360" i="1"/>
  <c r="P1359" i="1"/>
  <c r="N1359" i="1"/>
  <c r="K1359" i="1"/>
  <c r="P1358" i="1"/>
  <c r="N1358" i="1"/>
  <c r="K1358" i="1"/>
  <c r="P1357" i="1"/>
  <c r="N1357" i="1"/>
  <c r="K1357" i="1"/>
  <c r="P1356" i="1"/>
  <c r="N1356" i="1"/>
  <c r="K1356" i="1"/>
  <c r="P1355" i="1"/>
  <c r="N1355" i="1"/>
  <c r="K1355" i="1"/>
  <c r="P1354" i="1"/>
  <c r="N1354" i="1"/>
  <c r="K1354" i="1"/>
  <c r="P1353" i="1"/>
  <c r="N1353" i="1"/>
  <c r="K1353" i="1"/>
  <c r="P1352" i="1"/>
  <c r="N1352" i="1"/>
  <c r="K1352" i="1"/>
  <c r="P1351" i="1"/>
  <c r="N1351" i="1"/>
  <c r="K1351" i="1"/>
  <c r="P1350" i="1"/>
  <c r="N1350" i="1"/>
  <c r="K1350" i="1"/>
  <c r="P1349" i="1"/>
  <c r="N1349" i="1"/>
  <c r="K1349" i="1"/>
  <c r="P1348" i="1"/>
  <c r="N1348" i="1"/>
  <c r="K1348" i="1"/>
  <c r="P1347" i="1"/>
  <c r="N1347" i="1"/>
  <c r="K1347" i="1"/>
  <c r="P1346" i="1"/>
  <c r="N1346" i="1"/>
  <c r="K1346" i="1"/>
  <c r="P1345" i="1"/>
  <c r="N1345" i="1"/>
  <c r="K1345" i="1"/>
  <c r="P1344" i="1"/>
  <c r="N1344" i="1"/>
  <c r="K1344" i="1"/>
  <c r="P1343" i="1"/>
  <c r="N1343" i="1"/>
  <c r="K1343" i="1"/>
  <c r="P1342" i="1"/>
  <c r="N1342" i="1"/>
  <c r="K1342" i="1"/>
  <c r="P1341" i="1"/>
  <c r="N1341" i="1"/>
  <c r="K1341" i="1"/>
  <c r="P1340" i="1"/>
  <c r="N1340" i="1"/>
  <c r="K1340" i="1"/>
  <c r="P1339" i="1"/>
  <c r="N1339" i="1"/>
  <c r="K1339" i="1"/>
  <c r="P1338" i="1"/>
  <c r="N1338" i="1"/>
  <c r="K1338" i="1"/>
  <c r="P1337" i="1"/>
  <c r="N1337" i="1"/>
  <c r="K1337" i="1"/>
  <c r="P1336" i="1"/>
  <c r="N1336" i="1"/>
  <c r="K1336" i="1"/>
  <c r="P1335" i="1"/>
  <c r="N1335" i="1"/>
  <c r="K1335" i="1"/>
  <c r="P1334" i="1"/>
  <c r="N1334" i="1"/>
  <c r="K1334" i="1"/>
  <c r="P1333" i="1"/>
  <c r="N1333" i="1"/>
  <c r="K1333" i="1"/>
  <c r="P1332" i="1"/>
  <c r="N1332" i="1"/>
  <c r="K1332" i="1"/>
  <c r="P1331" i="1"/>
  <c r="N1331" i="1"/>
  <c r="K1331" i="1"/>
  <c r="P1330" i="1"/>
  <c r="N1330" i="1"/>
  <c r="K1330" i="1"/>
  <c r="P1329" i="1"/>
  <c r="N1329" i="1"/>
  <c r="K1329" i="1"/>
  <c r="P1328" i="1"/>
  <c r="N1328" i="1"/>
  <c r="K1328" i="1"/>
  <c r="P1327" i="1"/>
  <c r="N1327" i="1"/>
  <c r="K1327" i="1"/>
  <c r="P1326" i="1"/>
  <c r="N1326" i="1"/>
  <c r="K1326" i="1"/>
  <c r="P1325" i="1"/>
  <c r="N1325" i="1"/>
  <c r="K1325" i="1"/>
  <c r="P1324" i="1"/>
  <c r="N1324" i="1"/>
  <c r="K1324" i="1"/>
  <c r="P1323" i="1"/>
  <c r="N1323" i="1"/>
  <c r="K1323" i="1"/>
  <c r="P1322" i="1"/>
  <c r="N1322" i="1"/>
  <c r="K1322" i="1"/>
  <c r="P1321" i="1"/>
  <c r="N1321" i="1"/>
  <c r="K1321" i="1"/>
  <c r="P1320" i="1"/>
  <c r="N1320" i="1"/>
  <c r="K1320" i="1"/>
  <c r="P1319" i="1"/>
  <c r="N1319" i="1"/>
  <c r="K1319" i="1"/>
  <c r="P1318" i="1"/>
  <c r="N1318" i="1"/>
  <c r="K1318" i="1"/>
  <c r="P1317" i="1"/>
  <c r="N1317" i="1"/>
  <c r="K1317" i="1"/>
  <c r="P1316" i="1"/>
  <c r="N1316" i="1"/>
  <c r="K1316" i="1"/>
  <c r="P1315" i="1"/>
  <c r="N1315" i="1"/>
  <c r="K1315" i="1"/>
  <c r="P1314" i="1"/>
  <c r="N1314" i="1"/>
  <c r="K1314" i="1"/>
  <c r="P1313" i="1"/>
  <c r="N1313" i="1"/>
  <c r="K1313" i="1"/>
  <c r="P1312" i="1"/>
  <c r="N1312" i="1"/>
  <c r="K1312" i="1"/>
  <c r="P1311" i="1"/>
  <c r="N1311" i="1"/>
  <c r="K1311" i="1"/>
  <c r="P1310" i="1"/>
  <c r="N1310" i="1"/>
  <c r="K1310" i="1"/>
  <c r="P1309" i="1"/>
  <c r="N1309" i="1"/>
  <c r="K1309" i="1"/>
  <c r="P1308" i="1"/>
  <c r="N1308" i="1"/>
  <c r="K1308" i="1"/>
  <c r="P1307" i="1"/>
  <c r="N1307" i="1"/>
  <c r="K1307" i="1"/>
  <c r="P1306" i="1"/>
  <c r="N1306" i="1"/>
  <c r="K1306" i="1"/>
  <c r="P1305" i="1"/>
  <c r="N1305" i="1"/>
  <c r="K1305" i="1"/>
  <c r="P1304" i="1"/>
  <c r="N1304" i="1"/>
  <c r="K1304" i="1"/>
  <c r="P1303" i="1"/>
  <c r="N1303" i="1"/>
  <c r="K1303" i="1"/>
  <c r="P1302" i="1"/>
  <c r="N1302" i="1"/>
  <c r="K1302" i="1"/>
  <c r="P1301" i="1"/>
  <c r="N1301" i="1"/>
  <c r="K1301" i="1"/>
  <c r="P1299" i="1"/>
  <c r="N1299" i="1"/>
  <c r="K1299" i="1"/>
  <c r="P1298" i="1"/>
  <c r="N1298" i="1"/>
  <c r="K1298" i="1"/>
  <c r="P1297" i="1"/>
  <c r="N1297" i="1"/>
  <c r="K1297" i="1"/>
  <c r="P1296" i="1"/>
  <c r="N1296" i="1"/>
  <c r="K1296" i="1"/>
  <c r="P1295" i="1"/>
  <c r="N1295" i="1"/>
  <c r="K1295" i="1"/>
  <c r="P1294" i="1"/>
  <c r="N1294" i="1"/>
  <c r="K1294" i="1"/>
  <c r="P1293" i="1"/>
  <c r="N1293" i="1"/>
  <c r="K1293" i="1"/>
  <c r="P1292" i="1"/>
  <c r="N1292" i="1"/>
  <c r="K1292" i="1"/>
  <c r="P1291" i="1"/>
  <c r="N1291" i="1"/>
  <c r="K1291" i="1"/>
  <c r="P1290" i="1"/>
  <c r="N1290" i="1"/>
  <c r="P1289" i="1"/>
  <c r="N1289" i="1"/>
  <c r="K1289" i="1"/>
  <c r="P1288" i="1"/>
  <c r="N1288" i="1"/>
  <c r="K1288" i="1"/>
  <c r="P1287" i="1"/>
  <c r="N1287" i="1"/>
  <c r="K1287" i="1"/>
  <c r="P1286" i="1"/>
  <c r="N1286" i="1"/>
  <c r="K1286" i="1"/>
  <c r="P1285" i="1"/>
  <c r="N1285" i="1"/>
  <c r="K1285" i="1"/>
  <c r="P1284" i="1"/>
  <c r="N1284" i="1"/>
  <c r="K1284" i="1"/>
  <c r="P1283" i="1"/>
  <c r="N1283" i="1"/>
  <c r="K1283" i="1"/>
  <c r="P1282" i="1"/>
  <c r="N1282" i="1"/>
  <c r="K1282" i="1"/>
  <c r="P1281" i="1"/>
  <c r="N1281" i="1"/>
  <c r="K1281" i="1"/>
  <c r="P1280" i="1"/>
  <c r="N1280" i="1"/>
  <c r="K1280" i="1"/>
  <c r="P1279" i="1"/>
  <c r="N1279" i="1"/>
  <c r="K1279" i="1"/>
  <c r="P1278" i="1"/>
  <c r="N1278" i="1"/>
  <c r="K1278" i="1"/>
  <c r="P1277" i="1"/>
  <c r="N1277" i="1"/>
  <c r="K1277" i="1"/>
  <c r="P1276" i="1"/>
  <c r="N1276" i="1"/>
  <c r="K1276" i="1"/>
  <c r="P1275" i="1"/>
  <c r="N1275" i="1"/>
  <c r="K1275" i="1"/>
  <c r="P1274" i="1"/>
  <c r="N1274" i="1"/>
  <c r="K1274" i="1"/>
  <c r="P1270" i="1"/>
  <c r="N1270" i="1"/>
  <c r="K1270" i="1"/>
  <c r="P1269" i="1"/>
  <c r="N1269" i="1"/>
  <c r="K1269" i="1"/>
  <c r="P1268" i="1"/>
  <c r="N1268" i="1"/>
  <c r="K1268" i="1"/>
  <c r="P1267" i="1"/>
  <c r="N1267" i="1"/>
  <c r="K1267" i="1"/>
  <c r="P1266" i="1"/>
  <c r="N1266" i="1"/>
  <c r="K1266" i="1"/>
  <c r="P1265" i="1"/>
  <c r="N1265" i="1"/>
  <c r="K1265" i="1"/>
  <c r="P1264" i="1"/>
  <c r="N1264" i="1"/>
  <c r="K1264" i="1"/>
  <c r="P1263" i="1"/>
  <c r="N1263" i="1"/>
  <c r="K1263" i="1"/>
  <c r="P1262" i="1"/>
  <c r="N1262" i="1"/>
  <c r="K1262" i="1"/>
  <c r="P1261" i="1"/>
  <c r="N1261" i="1"/>
  <c r="K1261" i="1"/>
  <c r="P1260" i="1"/>
  <c r="N1260" i="1"/>
  <c r="K1260" i="1"/>
  <c r="P1259" i="1"/>
  <c r="N1259" i="1"/>
  <c r="K1259" i="1"/>
  <c r="P1258" i="1"/>
  <c r="N1258" i="1"/>
  <c r="K1258" i="1"/>
  <c r="P1257" i="1"/>
  <c r="N1257" i="1"/>
  <c r="K1257" i="1"/>
  <c r="P1256" i="1"/>
  <c r="N1256" i="1"/>
  <c r="K1256" i="1"/>
  <c r="P1255" i="1"/>
  <c r="N1255" i="1"/>
  <c r="K1255" i="1"/>
  <c r="P1254" i="1"/>
  <c r="N1254" i="1"/>
  <c r="K1254" i="1"/>
  <c r="P1253" i="1"/>
  <c r="N1253" i="1"/>
  <c r="K1253" i="1"/>
  <c r="P1252" i="1"/>
  <c r="N1252" i="1"/>
  <c r="K1252" i="1"/>
  <c r="P1251" i="1"/>
  <c r="N1251" i="1"/>
  <c r="K1251" i="1"/>
  <c r="P1250" i="1"/>
  <c r="N1250" i="1"/>
  <c r="K1250" i="1"/>
  <c r="P1249" i="1"/>
  <c r="N1249" i="1"/>
  <c r="K1249" i="1"/>
  <c r="P1248" i="1"/>
  <c r="N1248" i="1"/>
  <c r="K1248" i="1"/>
  <c r="P1247" i="1"/>
  <c r="N1247" i="1"/>
  <c r="K1247" i="1"/>
  <c r="P1246" i="1"/>
  <c r="N1246" i="1"/>
  <c r="K1246" i="1"/>
  <c r="P1245" i="1"/>
  <c r="N1245" i="1"/>
  <c r="K1245" i="1"/>
  <c r="P1244" i="1"/>
  <c r="N1244" i="1"/>
  <c r="K1244" i="1"/>
  <c r="P1243" i="1"/>
  <c r="N1243" i="1"/>
  <c r="K1243" i="1"/>
  <c r="P1242" i="1"/>
  <c r="N1242" i="1"/>
  <c r="K1242" i="1"/>
  <c r="P1241" i="1"/>
  <c r="N1241" i="1"/>
  <c r="K1241" i="1"/>
  <c r="P1240" i="1"/>
  <c r="N1240" i="1"/>
  <c r="K1240" i="1"/>
  <c r="P1239" i="1"/>
  <c r="N1239" i="1"/>
  <c r="K1239" i="1"/>
  <c r="P1238" i="1"/>
  <c r="N1238" i="1"/>
  <c r="K1238" i="1"/>
  <c r="P1237" i="1"/>
  <c r="N1237" i="1"/>
  <c r="K1237" i="1"/>
  <c r="P1236" i="1"/>
  <c r="N1236" i="1"/>
  <c r="K1236" i="1"/>
  <c r="P1235" i="1"/>
  <c r="N1235" i="1"/>
  <c r="K1235" i="1"/>
  <c r="P1234" i="1"/>
  <c r="N1234" i="1"/>
  <c r="K1234" i="1"/>
  <c r="P1233" i="1"/>
  <c r="N1233" i="1"/>
  <c r="K1233" i="1"/>
  <c r="P1232" i="1"/>
  <c r="N1232" i="1"/>
  <c r="K1232" i="1"/>
  <c r="P1231" i="1"/>
  <c r="N1231" i="1"/>
  <c r="K1231" i="1"/>
  <c r="P1230" i="1"/>
  <c r="N1230" i="1"/>
  <c r="K1230" i="1"/>
  <c r="P1229" i="1"/>
  <c r="N1229" i="1"/>
  <c r="K1229" i="1"/>
  <c r="P1228" i="1"/>
  <c r="N1228" i="1"/>
  <c r="K1228" i="1"/>
  <c r="P1227" i="1"/>
  <c r="N1227" i="1"/>
  <c r="K1227" i="1"/>
  <c r="P1226" i="1"/>
  <c r="N1226" i="1"/>
  <c r="K1226" i="1"/>
  <c r="P1225" i="1"/>
  <c r="N1225" i="1"/>
  <c r="K1225" i="1"/>
  <c r="P1224" i="1"/>
  <c r="N1224" i="1"/>
  <c r="K1224" i="1"/>
  <c r="P1223" i="1"/>
  <c r="N1223" i="1"/>
  <c r="K1223" i="1"/>
  <c r="P1222" i="1"/>
  <c r="N1222" i="1"/>
  <c r="K1222" i="1"/>
  <c r="P1221" i="1"/>
  <c r="N1221" i="1"/>
  <c r="K1221" i="1"/>
  <c r="P1220" i="1"/>
  <c r="N1220" i="1"/>
  <c r="K1220" i="1"/>
  <c r="P1219" i="1"/>
  <c r="N1219" i="1"/>
  <c r="K1219" i="1"/>
  <c r="P1218" i="1"/>
  <c r="N1218" i="1"/>
  <c r="K1218" i="1"/>
  <c r="P1217" i="1"/>
  <c r="N1217" i="1"/>
  <c r="K1217" i="1"/>
  <c r="P1216" i="1"/>
  <c r="N1216" i="1"/>
  <c r="K1216" i="1"/>
  <c r="P1215" i="1"/>
  <c r="N1215" i="1"/>
  <c r="K1215" i="1"/>
  <c r="P1214" i="1"/>
  <c r="N1214" i="1"/>
  <c r="K1214" i="1"/>
  <c r="P1213" i="1"/>
  <c r="N1213" i="1"/>
  <c r="K1213" i="1"/>
  <c r="P1212" i="1"/>
  <c r="N1212" i="1"/>
  <c r="K1212" i="1"/>
  <c r="P1211" i="1"/>
  <c r="N1211" i="1"/>
  <c r="K1211" i="1"/>
  <c r="P1210" i="1"/>
  <c r="N1210" i="1"/>
  <c r="K1210" i="1"/>
  <c r="P1209" i="1"/>
  <c r="N1209" i="1"/>
  <c r="K1209" i="1"/>
  <c r="P1208" i="1"/>
  <c r="N1208" i="1"/>
  <c r="K1208" i="1"/>
  <c r="P1207" i="1"/>
  <c r="N1207" i="1"/>
  <c r="K1207" i="1"/>
  <c r="P1206" i="1"/>
  <c r="N1206" i="1"/>
  <c r="K1206" i="1"/>
  <c r="P1205" i="1"/>
  <c r="N1205" i="1"/>
  <c r="K1205" i="1"/>
  <c r="P1204" i="1"/>
  <c r="N1204" i="1"/>
  <c r="K1204" i="1"/>
  <c r="P1203" i="1"/>
  <c r="N1203" i="1"/>
  <c r="K1203" i="1"/>
  <c r="P1202" i="1"/>
  <c r="N1202" i="1"/>
  <c r="K1202" i="1"/>
  <c r="P1201" i="1"/>
  <c r="N1201" i="1"/>
  <c r="K1201" i="1"/>
  <c r="P1200" i="1"/>
  <c r="N1200" i="1"/>
  <c r="K1200" i="1"/>
  <c r="P1199" i="1"/>
  <c r="N1199" i="1"/>
  <c r="K1199" i="1"/>
  <c r="P1198" i="1"/>
  <c r="N1198" i="1"/>
  <c r="K1198" i="1"/>
  <c r="P1197" i="1"/>
  <c r="N1197" i="1"/>
  <c r="K1197" i="1"/>
  <c r="P1196" i="1"/>
  <c r="N1196" i="1"/>
  <c r="K1196" i="1"/>
  <c r="P1195" i="1"/>
  <c r="N1195" i="1"/>
  <c r="K1195" i="1"/>
  <c r="P1194" i="1"/>
  <c r="N1194" i="1"/>
  <c r="K1194" i="1"/>
  <c r="P1193" i="1"/>
  <c r="N1193" i="1"/>
  <c r="K1193" i="1"/>
  <c r="P1192" i="1"/>
  <c r="N1192" i="1"/>
  <c r="K1192" i="1"/>
  <c r="P1191" i="1"/>
  <c r="N1191" i="1"/>
  <c r="K1191" i="1"/>
  <c r="P1190" i="1"/>
  <c r="N1190" i="1"/>
  <c r="K1190" i="1"/>
  <c r="P1189" i="1"/>
  <c r="N1189" i="1"/>
  <c r="K1189" i="1"/>
  <c r="P1188" i="1"/>
  <c r="N1188" i="1"/>
  <c r="K1188" i="1"/>
  <c r="P1187" i="1"/>
  <c r="N1187" i="1"/>
  <c r="K1187" i="1"/>
  <c r="P1186" i="1"/>
  <c r="N1186" i="1"/>
  <c r="K1186" i="1"/>
  <c r="P1185" i="1"/>
  <c r="N1185" i="1"/>
  <c r="K1185" i="1"/>
  <c r="P1184" i="1"/>
  <c r="N1184" i="1"/>
  <c r="K1184" i="1"/>
  <c r="P1183" i="1"/>
  <c r="N1183" i="1"/>
  <c r="K1183" i="1"/>
  <c r="P1182" i="1"/>
  <c r="N1182" i="1"/>
  <c r="K1182" i="1"/>
  <c r="P1181" i="1"/>
  <c r="N1181" i="1"/>
  <c r="K1181" i="1"/>
  <c r="P1180" i="1"/>
  <c r="N1180" i="1"/>
  <c r="K1180" i="1"/>
  <c r="P1179" i="1"/>
  <c r="N1179" i="1"/>
  <c r="K1179" i="1"/>
  <c r="P1178" i="1"/>
  <c r="N1178" i="1"/>
  <c r="K1178" i="1"/>
  <c r="P1177" i="1"/>
  <c r="N1177" i="1"/>
  <c r="K1177" i="1"/>
  <c r="P1176" i="1"/>
  <c r="N1176" i="1"/>
  <c r="K1176" i="1"/>
  <c r="P1175" i="1"/>
  <c r="N1175" i="1"/>
  <c r="K1175" i="1"/>
  <c r="P1174" i="1"/>
  <c r="N1174" i="1"/>
  <c r="K1174" i="1"/>
  <c r="P1173" i="1"/>
  <c r="N1173" i="1"/>
  <c r="K1173" i="1"/>
  <c r="P1172" i="1"/>
  <c r="N1172" i="1"/>
  <c r="K1172" i="1"/>
  <c r="P1171" i="1"/>
  <c r="N1171" i="1"/>
  <c r="K1171" i="1"/>
  <c r="P1170" i="1"/>
  <c r="N1170" i="1"/>
  <c r="K1170" i="1"/>
  <c r="P1169" i="1"/>
  <c r="N1169" i="1"/>
  <c r="K1169" i="1"/>
  <c r="P1168" i="1"/>
  <c r="N1168" i="1"/>
  <c r="K1168" i="1"/>
  <c r="P1167" i="1"/>
  <c r="N1167" i="1"/>
  <c r="K1167" i="1"/>
  <c r="P1166" i="1"/>
  <c r="N1166" i="1"/>
  <c r="K1166" i="1"/>
  <c r="P1165" i="1"/>
  <c r="N1165" i="1"/>
  <c r="K1165" i="1"/>
  <c r="P1164" i="1"/>
  <c r="N1164" i="1"/>
  <c r="K1164" i="1"/>
  <c r="P1163" i="1"/>
  <c r="N1163" i="1"/>
  <c r="K1163" i="1"/>
  <c r="P1162" i="1"/>
  <c r="N1162" i="1"/>
  <c r="K1162" i="1"/>
  <c r="P1161" i="1"/>
  <c r="N1161" i="1"/>
  <c r="K1161" i="1"/>
  <c r="P1160" i="1"/>
  <c r="N1160" i="1"/>
  <c r="K1160" i="1"/>
  <c r="P1159" i="1"/>
  <c r="N1159" i="1"/>
  <c r="K1159" i="1"/>
  <c r="P1158" i="1"/>
  <c r="N1158" i="1"/>
  <c r="K1158" i="1"/>
  <c r="P1157" i="1"/>
  <c r="N1157" i="1"/>
  <c r="K1157" i="1"/>
  <c r="P1156" i="1"/>
  <c r="N1156" i="1"/>
  <c r="K1156" i="1"/>
  <c r="P1155" i="1"/>
  <c r="N1155" i="1"/>
  <c r="K1155" i="1"/>
  <c r="P1154" i="1"/>
  <c r="N1154" i="1"/>
  <c r="K1154" i="1"/>
  <c r="P1153" i="1"/>
  <c r="N1153" i="1"/>
  <c r="K1153" i="1"/>
  <c r="P1152" i="1"/>
  <c r="N1152" i="1"/>
  <c r="K1152" i="1"/>
  <c r="P1151" i="1"/>
  <c r="N1151" i="1"/>
  <c r="K1151" i="1"/>
  <c r="P1150" i="1"/>
  <c r="N1150" i="1"/>
  <c r="K1150" i="1"/>
  <c r="P1149" i="1"/>
  <c r="N1149" i="1"/>
  <c r="K1149" i="1"/>
  <c r="P1148" i="1"/>
  <c r="N1148" i="1"/>
  <c r="K1148" i="1"/>
  <c r="P1147" i="1"/>
  <c r="N1147" i="1"/>
  <c r="K1147" i="1"/>
  <c r="P1146" i="1"/>
  <c r="N1146" i="1"/>
  <c r="K1146" i="1"/>
  <c r="P1145" i="1"/>
  <c r="N1145" i="1"/>
  <c r="K1145" i="1"/>
  <c r="P1144" i="1"/>
  <c r="N1144" i="1"/>
  <c r="K1144" i="1"/>
  <c r="P1143" i="1"/>
  <c r="N1143" i="1"/>
  <c r="K1143" i="1"/>
  <c r="P1142" i="1"/>
  <c r="N1142" i="1"/>
  <c r="K1142" i="1"/>
  <c r="P1141" i="1"/>
  <c r="N1141" i="1"/>
  <c r="K1141" i="1"/>
  <c r="P1140" i="1"/>
  <c r="N1140" i="1"/>
  <c r="K1140" i="1"/>
  <c r="P1139" i="1"/>
  <c r="N1139" i="1"/>
  <c r="K1139" i="1"/>
  <c r="P1138" i="1"/>
  <c r="N1138" i="1"/>
  <c r="K1138" i="1"/>
  <c r="P1137" i="1"/>
  <c r="N1137" i="1"/>
  <c r="K1137" i="1"/>
  <c r="P1136" i="1"/>
  <c r="N1136" i="1"/>
  <c r="K1136" i="1"/>
  <c r="P1135" i="1"/>
  <c r="N1135" i="1"/>
  <c r="K1135" i="1"/>
  <c r="P1134" i="1"/>
  <c r="N1134" i="1"/>
  <c r="K1134" i="1"/>
  <c r="P1133" i="1"/>
  <c r="N1133" i="1"/>
  <c r="K1133" i="1"/>
  <c r="P1132" i="1"/>
  <c r="N1132" i="1"/>
  <c r="K1132" i="1"/>
  <c r="P1131" i="1"/>
  <c r="N1131" i="1"/>
  <c r="K1131" i="1"/>
  <c r="P1130" i="1"/>
  <c r="N1130" i="1"/>
  <c r="K1130" i="1"/>
  <c r="P1129" i="1"/>
  <c r="N1129" i="1"/>
  <c r="K1129" i="1"/>
  <c r="P1128" i="1"/>
  <c r="N1128" i="1"/>
  <c r="K1128" i="1"/>
  <c r="P1127" i="1"/>
  <c r="N1127" i="1"/>
  <c r="K1127" i="1"/>
  <c r="P1126" i="1"/>
  <c r="N1126" i="1"/>
  <c r="K1126" i="1"/>
  <c r="P1125" i="1"/>
  <c r="N1125" i="1"/>
  <c r="K1125" i="1"/>
  <c r="P1124" i="1"/>
  <c r="N1124" i="1"/>
  <c r="K1124" i="1"/>
  <c r="P1123" i="1"/>
  <c r="N1123" i="1"/>
  <c r="K1123" i="1"/>
  <c r="P1122" i="1"/>
  <c r="N1122" i="1"/>
  <c r="K1122" i="1"/>
  <c r="P1121" i="1"/>
  <c r="N1121" i="1"/>
  <c r="K1121" i="1"/>
  <c r="P1120" i="1"/>
  <c r="N1120" i="1"/>
  <c r="K1120" i="1"/>
  <c r="P1119" i="1"/>
  <c r="N1119" i="1"/>
  <c r="K1119" i="1"/>
  <c r="P1118" i="1"/>
  <c r="N1118" i="1"/>
  <c r="K1118" i="1"/>
  <c r="P1117" i="1"/>
  <c r="N1117" i="1"/>
  <c r="K1117" i="1"/>
  <c r="P1116" i="1"/>
  <c r="N1116" i="1"/>
  <c r="K1116" i="1"/>
  <c r="P1115" i="1"/>
  <c r="N1115" i="1"/>
  <c r="K1115" i="1"/>
  <c r="P1114" i="1"/>
  <c r="N1114" i="1"/>
  <c r="K1114" i="1"/>
  <c r="P1113" i="1"/>
  <c r="N1113" i="1"/>
  <c r="K1113" i="1"/>
  <c r="P1112" i="1"/>
  <c r="N1112" i="1"/>
  <c r="K1112" i="1"/>
  <c r="P1111" i="1"/>
  <c r="N1111" i="1"/>
  <c r="K1111" i="1"/>
  <c r="P1110" i="1"/>
  <c r="N1110" i="1"/>
  <c r="K1110" i="1"/>
  <c r="P1109" i="1"/>
  <c r="N1109" i="1"/>
  <c r="K1109" i="1"/>
  <c r="P1108" i="1"/>
  <c r="N1108" i="1"/>
  <c r="K1108" i="1"/>
  <c r="P1107" i="1"/>
  <c r="N1107" i="1"/>
  <c r="K1107" i="1"/>
  <c r="P1106" i="1"/>
  <c r="N1106" i="1"/>
  <c r="K1106" i="1"/>
  <c r="P1105" i="1"/>
  <c r="N1105" i="1"/>
  <c r="K1105" i="1"/>
  <c r="P1104" i="1"/>
  <c r="N1104" i="1"/>
  <c r="K1104" i="1"/>
  <c r="P1103" i="1"/>
  <c r="N1103" i="1"/>
  <c r="K1103" i="1"/>
  <c r="P1102" i="1"/>
  <c r="N1102" i="1"/>
  <c r="K1102" i="1"/>
  <c r="P1101" i="1"/>
  <c r="N1101" i="1"/>
  <c r="K1101" i="1"/>
  <c r="P1100" i="1"/>
  <c r="N1100" i="1"/>
  <c r="K1100" i="1"/>
  <c r="P1099" i="1"/>
  <c r="N1099" i="1"/>
  <c r="K1099" i="1"/>
  <c r="P1098" i="1"/>
  <c r="N1098" i="1"/>
  <c r="K1098" i="1"/>
  <c r="P1097" i="1"/>
  <c r="N1097" i="1"/>
  <c r="K1097" i="1"/>
  <c r="P1096" i="1"/>
  <c r="N1096" i="1"/>
  <c r="K1096" i="1"/>
  <c r="P1095" i="1"/>
  <c r="N1095" i="1"/>
  <c r="K1095" i="1"/>
  <c r="P1094" i="1"/>
  <c r="N1094" i="1"/>
  <c r="K1094" i="1"/>
  <c r="P1093" i="1"/>
  <c r="N1093" i="1"/>
  <c r="K1093" i="1"/>
  <c r="P1092" i="1"/>
  <c r="N1092" i="1"/>
  <c r="K1092" i="1"/>
  <c r="P1091" i="1"/>
  <c r="N1091" i="1"/>
  <c r="K1091" i="1"/>
  <c r="P1090" i="1"/>
  <c r="N1090" i="1"/>
  <c r="K1090" i="1"/>
  <c r="P1089" i="1"/>
  <c r="N1089" i="1"/>
  <c r="K1089" i="1"/>
  <c r="P1088" i="1"/>
  <c r="N1088" i="1"/>
  <c r="K1088" i="1"/>
  <c r="P1087" i="1"/>
  <c r="N1087" i="1"/>
  <c r="K1087" i="1"/>
  <c r="P1086" i="1"/>
  <c r="N1086" i="1"/>
  <c r="K1086" i="1"/>
  <c r="P1085" i="1"/>
  <c r="N1085" i="1"/>
  <c r="K1085" i="1"/>
  <c r="P1084" i="1"/>
  <c r="N1084" i="1"/>
  <c r="K1084" i="1"/>
  <c r="P1083" i="1"/>
  <c r="N1083" i="1"/>
  <c r="K1083" i="1"/>
  <c r="P1082" i="1"/>
  <c r="N1082" i="1"/>
  <c r="K1082" i="1"/>
  <c r="P1081" i="1"/>
  <c r="N1081" i="1"/>
  <c r="K1081" i="1"/>
  <c r="P1080" i="1"/>
  <c r="N1080" i="1"/>
  <c r="K1080" i="1"/>
  <c r="P1079" i="1"/>
  <c r="N1079" i="1"/>
  <c r="K1079" i="1"/>
  <c r="P1078" i="1"/>
  <c r="N1078" i="1"/>
  <c r="K1078" i="1"/>
  <c r="P1077" i="1"/>
  <c r="N1077" i="1"/>
  <c r="K1077" i="1"/>
  <c r="P1076" i="1"/>
  <c r="N1076" i="1"/>
  <c r="K1076" i="1"/>
  <c r="P1075" i="1"/>
  <c r="N1075" i="1"/>
  <c r="K1075" i="1"/>
  <c r="P1074" i="1"/>
  <c r="N1074" i="1"/>
  <c r="K1074" i="1"/>
  <c r="P1073" i="1"/>
  <c r="N1073" i="1"/>
  <c r="K1073" i="1"/>
  <c r="P1072" i="1"/>
  <c r="N1072" i="1"/>
  <c r="K1072" i="1"/>
  <c r="P1071" i="1"/>
  <c r="N1071" i="1"/>
  <c r="K1071" i="1"/>
  <c r="P1070" i="1"/>
  <c r="N1070" i="1"/>
  <c r="K1070" i="1"/>
  <c r="P1069" i="1"/>
  <c r="N1069" i="1"/>
  <c r="K1069" i="1"/>
  <c r="P1068" i="1"/>
  <c r="N1068" i="1"/>
  <c r="K1068" i="1"/>
  <c r="P1067" i="1"/>
  <c r="N1067" i="1"/>
  <c r="K1067" i="1"/>
  <c r="P1066" i="1"/>
  <c r="N1066" i="1"/>
  <c r="K1066" i="1"/>
  <c r="P1065" i="1"/>
  <c r="N1065" i="1"/>
  <c r="K1065" i="1"/>
  <c r="P1064" i="1"/>
  <c r="N1064" i="1"/>
  <c r="K1064" i="1"/>
  <c r="P1063" i="1"/>
  <c r="N1063" i="1"/>
  <c r="K1063" i="1"/>
  <c r="P1062" i="1"/>
  <c r="N1062" i="1"/>
  <c r="K1062" i="1"/>
  <c r="P1061" i="1"/>
  <c r="N1061" i="1"/>
  <c r="K1061" i="1"/>
  <c r="P1060" i="1"/>
  <c r="N1060" i="1"/>
  <c r="K1060" i="1"/>
  <c r="P1059" i="1"/>
  <c r="N1059" i="1"/>
  <c r="K1059" i="1"/>
  <c r="P1058" i="1"/>
  <c r="N1058" i="1"/>
  <c r="K1058" i="1"/>
  <c r="P1057" i="1"/>
  <c r="N1057" i="1"/>
  <c r="K1057" i="1"/>
  <c r="P1056" i="1"/>
  <c r="N1056" i="1"/>
  <c r="K1056" i="1"/>
  <c r="P1055" i="1"/>
  <c r="N1055" i="1"/>
  <c r="K1055" i="1"/>
  <c r="P1054" i="1"/>
  <c r="N1054" i="1"/>
  <c r="K1054" i="1"/>
  <c r="P1053" i="1"/>
  <c r="N1053" i="1"/>
  <c r="K1053" i="1"/>
  <c r="P1052" i="1"/>
  <c r="N1052" i="1"/>
  <c r="K1052" i="1"/>
  <c r="P1051" i="1"/>
  <c r="N1051" i="1"/>
  <c r="K1051" i="1"/>
  <c r="P1050" i="1"/>
  <c r="N1050" i="1"/>
  <c r="K1050" i="1"/>
  <c r="P1049" i="1"/>
  <c r="N1049" i="1"/>
  <c r="K1049" i="1"/>
  <c r="P1048" i="1"/>
  <c r="N1048" i="1"/>
  <c r="K1048" i="1"/>
  <c r="P1047" i="1"/>
  <c r="N1047" i="1"/>
  <c r="K1047" i="1"/>
  <c r="P1046" i="1"/>
  <c r="N1046" i="1"/>
  <c r="K1046" i="1"/>
  <c r="P1045" i="1"/>
  <c r="N1045" i="1"/>
  <c r="K1045" i="1"/>
  <c r="P1044" i="1"/>
  <c r="N1044" i="1"/>
  <c r="K1044" i="1"/>
  <c r="P1043" i="1"/>
  <c r="N1043" i="1"/>
  <c r="K1043" i="1"/>
  <c r="P1042" i="1"/>
  <c r="N1042" i="1"/>
  <c r="K1042" i="1"/>
  <c r="P1041" i="1"/>
  <c r="N1041" i="1"/>
  <c r="K1041" i="1"/>
  <c r="P1040" i="1"/>
  <c r="N1040" i="1"/>
  <c r="K1040" i="1"/>
  <c r="P1039" i="1"/>
  <c r="N1039" i="1"/>
  <c r="K1039" i="1"/>
  <c r="P1038" i="1"/>
  <c r="N1038" i="1"/>
  <c r="K1038" i="1"/>
  <c r="P1037" i="1"/>
  <c r="N1037" i="1"/>
  <c r="K1037" i="1"/>
  <c r="P1036" i="1"/>
  <c r="N1036" i="1"/>
  <c r="K1036" i="1"/>
  <c r="P1035" i="1"/>
  <c r="N1035" i="1"/>
  <c r="K1035" i="1"/>
  <c r="P1034" i="1"/>
  <c r="N1034" i="1"/>
  <c r="K1034" i="1"/>
  <c r="P1033" i="1"/>
  <c r="N1033" i="1"/>
  <c r="K1033" i="1"/>
  <c r="P1032" i="1"/>
  <c r="N1032" i="1"/>
  <c r="K1032" i="1"/>
  <c r="P1031" i="1"/>
  <c r="N1031" i="1"/>
  <c r="K1031" i="1"/>
  <c r="P1030" i="1"/>
  <c r="N1030" i="1"/>
  <c r="K1030" i="1"/>
  <c r="P1029" i="1"/>
  <c r="N1029" i="1"/>
  <c r="K1029" i="1"/>
  <c r="P1028" i="1"/>
  <c r="N1028" i="1"/>
  <c r="K1028" i="1"/>
  <c r="P1027" i="1"/>
  <c r="N1027" i="1"/>
  <c r="K1027" i="1"/>
  <c r="P1026" i="1"/>
  <c r="N1026" i="1"/>
  <c r="K1026" i="1"/>
  <c r="P1025" i="1"/>
  <c r="N1025" i="1"/>
  <c r="K1025" i="1"/>
  <c r="P1024" i="1"/>
  <c r="N1024" i="1"/>
  <c r="K1024" i="1"/>
  <c r="P1023" i="1"/>
  <c r="N1023" i="1"/>
  <c r="K1023" i="1"/>
  <c r="P1022" i="1"/>
  <c r="N1022" i="1"/>
  <c r="K1022" i="1"/>
  <c r="P1021" i="1"/>
  <c r="N1021" i="1"/>
  <c r="K1021" i="1"/>
  <c r="P1020" i="1"/>
  <c r="N1020" i="1"/>
  <c r="K1020" i="1"/>
  <c r="P1019" i="1"/>
  <c r="N1019" i="1"/>
  <c r="K1019" i="1"/>
  <c r="P1018" i="1"/>
  <c r="N1018" i="1"/>
  <c r="K1018" i="1"/>
  <c r="P1017" i="1"/>
  <c r="N1017" i="1"/>
  <c r="K1017" i="1"/>
  <c r="P1016" i="1"/>
  <c r="N1016" i="1"/>
  <c r="K1016" i="1"/>
  <c r="P1015" i="1"/>
  <c r="N1015" i="1"/>
  <c r="K1015" i="1"/>
  <c r="P1014" i="1"/>
  <c r="N1014" i="1"/>
  <c r="K1014" i="1"/>
  <c r="P1013" i="1"/>
  <c r="N1013" i="1"/>
  <c r="K1013" i="1"/>
  <c r="P1012" i="1"/>
  <c r="N1012" i="1"/>
  <c r="K1012" i="1"/>
  <c r="P1011" i="1"/>
  <c r="N1011" i="1"/>
  <c r="K1011" i="1"/>
  <c r="P1010" i="1"/>
  <c r="N1010" i="1"/>
  <c r="K1010" i="1"/>
  <c r="P1009" i="1"/>
  <c r="N1009" i="1"/>
  <c r="K1009" i="1"/>
  <c r="P1008" i="1"/>
  <c r="N1008" i="1"/>
  <c r="K1008" i="1"/>
  <c r="P1007" i="1"/>
  <c r="N1007" i="1"/>
  <c r="K1007" i="1"/>
  <c r="P1006" i="1"/>
  <c r="N1006" i="1"/>
  <c r="K1006" i="1"/>
  <c r="P1005" i="1"/>
  <c r="N1005" i="1"/>
  <c r="K1005" i="1"/>
  <c r="P1004" i="1"/>
  <c r="N1004" i="1"/>
  <c r="K1004" i="1"/>
  <c r="P1003" i="1"/>
  <c r="N1003" i="1"/>
  <c r="K1003" i="1"/>
  <c r="P1002" i="1"/>
  <c r="N1002" i="1"/>
  <c r="K1002" i="1"/>
  <c r="P1001" i="1"/>
  <c r="N1001" i="1"/>
  <c r="K1001" i="1"/>
  <c r="P1000" i="1"/>
  <c r="N1000" i="1"/>
  <c r="K1000" i="1"/>
  <c r="P999" i="1"/>
  <c r="N999" i="1"/>
  <c r="K999" i="1"/>
  <c r="P998" i="1"/>
  <c r="N998" i="1"/>
  <c r="K998" i="1"/>
  <c r="P997" i="1"/>
  <c r="N997" i="1"/>
  <c r="K997" i="1"/>
  <c r="P996" i="1"/>
  <c r="N996" i="1"/>
  <c r="K996" i="1"/>
  <c r="P995" i="1"/>
  <c r="N995" i="1"/>
  <c r="K995" i="1"/>
  <c r="P994" i="1"/>
  <c r="N994" i="1"/>
  <c r="K994" i="1"/>
  <c r="P993" i="1"/>
  <c r="N993" i="1"/>
  <c r="K993" i="1"/>
  <c r="P992" i="1"/>
  <c r="N992" i="1"/>
  <c r="K992" i="1"/>
  <c r="P991" i="1"/>
  <c r="N991" i="1"/>
  <c r="K991" i="1"/>
  <c r="P990" i="1"/>
  <c r="N990" i="1"/>
  <c r="K990" i="1"/>
  <c r="P989" i="1"/>
  <c r="N989" i="1"/>
  <c r="K989" i="1"/>
  <c r="P988" i="1"/>
  <c r="N988" i="1"/>
  <c r="K988" i="1"/>
  <c r="P987" i="1"/>
  <c r="N987" i="1"/>
  <c r="K987" i="1"/>
  <c r="P986" i="1"/>
  <c r="N986" i="1"/>
  <c r="K986" i="1"/>
  <c r="P985" i="1"/>
  <c r="N985" i="1"/>
  <c r="K985" i="1"/>
  <c r="P984" i="1"/>
  <c r="N984" i="1"/>
  <c r="K984" i="1"/>
  <c r="P983" i="1"/>
  <c r="N983" i="1"/>
  <c r="K983" i="1"/>
  <c r="P982" i="1"/>
  <c r="N982" i="1"/>
  <c r="K982" i="1"/>
  <c r="P981" i="1"/>
  <c r="N981" i="1"/>
  <c r="K981" i="1"/>
  <c r="P980" i="1"/>
  <c r="N980" i="1"/>
  <c r="K980" i="1"/>
  <c r="P979" i="1"/>
  <c r="N979" i="1"/>
  <c r="K979" i="1"/>
  <c r="P978" i="1"/>
  <c r="N978" i="1"/>
  <c r="K978" i="1"/>
  <c r="P977" i="1"/>
  <c r="N977" i="1"/>
  <c r="K977" i="1"/>
  <c r="P976" i="1"/>
  <c r="N976" i="1"/>
  <c r="K976" i="1"/>
  <c r="P975" i="1"/>
  <c r="N975" i="1"/>
  <c r="K975" i="1"/>
  <c r="P974" i="1"/>
  <c r="N974" i="1"/>
  <c r="K974" i="1"/>
  <c r="P973" i="1"/>
  <c r="N973" i="1"/>
  <c r="K973" i="1"/>
  <c r="P972" i="1"/>
  <c r="N972" i="1"/>
  <c r="K972" i="1"/>
  <c r="P971" i="1"/>
  <c r="N971" i="1"/>
  <c r="K971" i="1"/>
  <c r="P970" i="1"/>
  <c r="N970" i="1"/>
  <c r="K970" i="1"/>
  <c r="P969" i="1"/>
  <c r="N969" i="1"/>
  <c r="K969" i="1"/>
  <c r="P968" i="1"/>
  <c r="N968" i="1"/>
  <c r="K968" i="1"/>
  <c r="P967" i="1"/>
  <c r="N967" i="1"/>
  <c r="K967" i="1"/>
  <c r="P966" i="1"/>
  <c r="N966" i="1"/>
  <c r="K966" i="1"/>
  <c r="P965" i="1"/>
  <c r="N965" i="1"/>
  <c r="K965" i="1"/>
  <c r="P964" i="1"/>
  <c r="N964" i="1"/>
  <c r="K964" i="1"/>
  <c r="P963" i="1"/>
  <c r="N963" i="1"/>
  <c r="K963" i="1"/>
  <c r="P962" i="1"/>
  <c r="N962" i="1"/>
  <c r="K962" i="1"/>
  <c r="P961" i="1"/>
  <c r="N961" i="1"/>
  <c r="K961" i="1"/>
  <c r="P960" i="1"/>
  <c r="N960" i="1"/>
  <c r="K960" i="1"/>
  <c r="P959" i="1"/>
  <c r="N959" i="1"/>
  <c r="K959" i="1"/>
  <c r="P958" i="1"/>
  <c r="N958" i="1"/>
  <c r="K958" i="1"/>
  <c r="P957" i="1"/>
  <c r="N957" i="1"/>
  <c r="K957" i="1"/>
  <c r="P956" i="1"/>
  <c r="N956" i="1"/>
  <c r="K956" i="1"/>
  <c r="P955" i="1"/>
  <c r="N955" i="1"/>
  <c r="K955" i="1"/>
  <c r="P954" i="1"/>
  <c r="N954" i="1"/>
  <c r="K954" i="1"/>
  <c r="P953" i="1"/>
  <c r="N953" i="1"/>
  <c r="K953" i="1"/>
  <c r="P952" i="1"/>
  <c r="N952" i="1"/>
  <c r="K952" i="1"/>
  <c r="P951" i="1"/>
  <c r="N951" i="1"/>
  <c r="K951" i="1"/>
  <c r="P950" i="1"/>
  <c r="N950" i="1"/>
  <c r="K950" i="1"/>
  <c r="P949" i="1"/>
  <c r="N949" i="1"/>
  <c r="K949" i="1"/>
  <c r="P948" i="1"/>
  <c r="N948" i="1"/>
  <c r="K948" i="1"/>
  <c r="P947" i="1"/>
  <c r="N947" i="1"/>
  <c r="K947" i="1"/>
  <c r="P946" i="1"/>
  <c r="N946" i="1"/>
  <c r="K946" i="1"/>
  <c r="P945" i="1"/>
  <c r="N945" i="1"/>
  <c r="K945" i="1"/>
  <c r="P944" i="1"/>
  <c r="N944" i="1"/>
  <c r="K944" i="1"/>
  <c r="P943" i="1"/>
  <c r="N943" i="1"/>
  <c r="K943" i="1"/>
  <c r="P942" i="1"/>
  <c r="N942" i="1"/>
  <c r="K942" i="1"/>
  <c r="P941" i="1"/>
  <c r="N941" i="1"/>
  <c r="K941" i="1"/>
  <c r="P940" i="1"/>
  <c r="N940" i="1"/>
  <c r="K940" i="1"/>
  <c r="P939" i="1"/>
  <c r="N939" i="1"/>
  <c r="K939" i="1"/>
  <c r="P938" i="1"/>
  <c r="N938" i="1"/>
  <c r="K938" i="1"/>
  <c r="P937" i="1"/>
  <c r="N937" i="1"/>
  <c r="K937" i="1"/>
  <c r="P936" i="1"/>
  <c r="N936" i="1"/>
  <c r="K936" i="1"/>
  <c r="P935" i="1"/>
  <c r="N935" i="1"/>
  <c r="K935" i="1"/>
  <c r="P934" i="1"/>
  <c r="N934" i="1"/>
  <c r="K934" i="1"/>
  <c r="P933" i="1"/>
  <c r="N933" i="1"/>
  <c r="K933" i="1"/>
  <c r="P932" i="1"/>
  <c r="N932" i="1"/>
  <c r="K932" i="1"/>
  <c r="P931" i="1"/>
  <c r="N931" i="1"/>
  <c r="K931" i="1"/>
  <c r="P930" i="1"/>
  <c r="N930" i="1"/>
  <c r="K930" i="1"/>
  <c r="P929" i="1"/>
  <c r="N929" i="1"/>
  <c r="K929" i="1"/>
  <c r="P928" i="1"/>
  <c r="N928" i="1"/>
  <c r="K928" i="1"/>
  <c r="P927" i="1"/>
  <c r="N927" i="1"/>
  <c r="K927" i="1"/>
  <c r="P926" i="1"/>
  <c r="N926" i="1"/>
  <c r="K926" i="1"/>
  <c r="P925" i="1"/>
  <c r="N925" i="1"/>
  <c r="K925" i="1"/>
  <c r="P924" i="1"/>
  <c r="N924" i="1"/>
  <c r="K924" i="1"/>
  <c r="P923" i="1"/>
  <c r="N923" i="1"/>
  <c r="K923" i="1"/>
  <c r="P922" i="1"/>
  <c r="N922" i="1"/>
  <c r="K922" i="1"/>
  <c r="P921" i="1"/>
  <c r="N921" i="1"/>
  <c r="K921" i="1"/>
  <c r="P920" i="1"/>
  <c r="N920" i="1"/>
  <c r="K920" i="1"/>
  <c r="P919" i="1"/>
  <c r="N919" i="1"/>
  <c r="K919" i="1"/>
  <c r="P918" i="1"/>
  <c r="N918" i="1"/>
  <c r="K918" i="1"/>
  <c r="P917" i="1"/>
  <c r="N917" i="1"/>
  <c r="K917" i="1"/>
  <c r="P916" i="1"/>
  <c r="N916" i="1"/>
  <c r="K916" i="1"/>
  <c r="P915" i="1"/>
  <c r="N915" i="1"/>
  <c r="K915" i="1"/>
  <c r="P914" i="1"/>
  <c r="N914" i="1"/>
  <c r="K914" i="1"/>
  <c r="P913" i="1"/>
  <c r="N913" i="1"/>
  <c r="K913" i="1"/>
  <c r="P912" i="1"/>
  <c r="N912" i="1"/>
  <c r="K912" i="1"/>
  <c r="P911" i="1"/>
  <c r="N911" i="1"/>
  <c r="K911" i="1"/>
  <c r="P910" i="1"/>
  <c r="N910" i="1"/>
  <c r="K910" i="1"/>
  <c r="P909" i="1"/>
  <c r="N909" i="1"/>
  <c r="K909" i="1"/>
  <c r="P908" i="1"/>
  <c r="N908" i="1"/>
  <c r="K908" i="1"/>
  <c r="P907" i="1"/>
  <c r="N907" i="1"/>
  <c r="K907" i="1"/>
  <c r="P906" i="1"/>
  <c r="N906" i="1"/>
  <c r="K906" i="1"/>
  <c r="P905" i="1"/>
  <c r="N905" i="1"/>
  <c r="K905" i="1"/>
  <c r="P904" i="1"/>
  <c r="N904" i="1"/>
  <c r="K904" i="1"/>
  <c r="P903" i="1"/>
  <c r="N903" i="1"/>
  <c r="K903" i="1"/>
  <c r="P902" i="1"/>
  <c r="N902" i="1"/>
  <c r="K902" i="1"/>
  <c r="P901" i="1"/>
  <c r="N901" i="1"/>
  <c r="K901" i="1"/>
  <c r="P900" i="1"/>
  <c r="N900" i="1"/>
  <c r="K900" i="1"/>
  <c r="P899" i="1"/>
  <c r="N899" i="1"/>
  <c r="K899" i="1"/>
  <c r="P898" i="1"/>
  <c r="N898" i="1"/>
  <c r="K898" i="1"/>
  <c r="P897" i="1"/>
  <c r="N897" i="1"/>
  <c r="K897" i="1"/>
  <c r="P896" i="1"/>
  <c r="N896" i="1"/>
  <c r="K896" i="1"/>
  <c r="P895" i="1"/>
  <c r="N895" i="1"/>
  <c r="K895" i="1"/>
  <c r="P894" i="1"/>
  <c r="N894" i="1"/>
  <c r="K894" i="1"/>
  <c r="P893" i="1"/>
  <c r="N893" i="1"/>
  <c r="K893" i="1"/>
  <c r="P892" i="1"/>
  <c r="N892" i="1"/>
  <c r="K892" i="1"/>
  <c r="P891" i="1"/>
  <c r="N891" i="1"/>
  <c r="K891" i="1"/>
  <c r="P890" i="1"/>
  <c r="N890" i="1"/>
  <c r="K890" i="1"/>
  <c r="P889" i="1"/>
  <c r="N889" i="1"/>
  <c r="K889" i="1"/>
  <c r="P888" i="1"/>
  <c r="N888" i="1"/>
  <c r="K888" i="1"/>
  <c r="P887" i="1"/>
  <c r="N887" i="1"/>
  <c r="K887" i="1"/>
  <c r="P886" i="1"/>
  <c r="N886" i="1"/>
  <c r="K886" i="1"/>
  <c r="P885" i="1"/>
  <c r="N885" i="1"/>
  <c r="K885" i="1"/>
  <c r="P884" i="1"/>
  <c r="N884" i="1"/>
  <c r="K884" i="1"/>
  <c r="P883" i="1"/>
  <c r="N883" i="1"/>
  <c r="K883" i="1"/>
  <c r="P882" i="1"/>
  <c r="N882" i="1"/>
  <c r="K882" i="1"/>
  <c r="P881" i="1"/>
  <c r="N881" i="1"/>
  <c r="K881" i="1"/>
  <c r="P880" i="1"/>
  <c r="N880" i="1"/>
  <c r="K880" i="1"/>
  <c r="P879" i="1"/>
  <c r="N879" i="1"/>
  <c r="K879" i="1"/>
  <c r="P878" i="1"/>
  <c r="N878" i="1"/>
  <c r="K878" i="1"/>
  <c r="P877" i="1"/>
  <c r="N877" i="1"/>
  <c r="K877" i="1"/>
  <c r="P876" i="1"/>
  <c r="N876" i="1"/>
  <c r="K876" i="1"/>
  <c r="P875" i="1"/>
  <c r="N875" i="1"/>
  <c r="K875" i="1"/>
  <c r="P874" i="1"/>
  <c r="N874" i="1"/>
  <c r="K874" i="1"/>
  <c r="P873" i="1"/>
  <c r="N873" i="1"/>
  <c r="K873" i="1"/>
  <c r="P872" i="1"/>
  <c r="N872" i="1"/>
  <c r="K872" i="1"/>
  <c r="P871" i="1"/>
  <c r="N871" i="1"/>
  <c r="K871" i="1"/>
  <c r="P870" i="1"/>
  <c r="N870" i="1"/>
  <c r="K870" i="1"/>
  <c r="P869" i="1"/>
  <c r="N869" i="1"/>
  <c r="K869" i="1"/>
  <c r="P868" i="1"/>
  <c r="N868" i="1"/>
  <c r="K868" i="1"/>
  <c r="P867" i="1"/>
  <c r="N867" i="1"/>
  <c r="K867" i="1"/>
  <c r="P866" i="1"/>
  <c r="N866" i="1"/>
  <c r="K866" i="1"/>
  <c r="P865" i="1"/>
  <c r="N865" i="1"/>
  <c r="K865" i="1"/>
  <c r="P864" i="1"/>
  <c r="N864" i="1"/>
  <c r="K864" i="1"/>
  <c r="P863" i="1"/>
  <c r="N863" i="1"/>
  <c r="K863" i="1"/>
  <c r="P862" i="1"/>
  <c r="N862" i="1"/>
  <c r="K862" i="1"/>
  <c r="P861" i="1"/>
  <c r="N861" i="1"/>
  <c r="K861" i="1"/>
  <c r="P860" i="1"/>
  <c r="N860" i="1"/>
  <c r="K860" i="1"/>
  <c r="P859" i="1"/>
  <c r="N859" i="1"/>
  <c r="K859" i="1"/>
  <c r="P858" i="1"/>
  <c r="N858" i="1"/>
  <c r="K858" i="1"/>
  <c r="P857" i="1"/>
  <c r="N857" i="1"/>
  <c r="K857" i="1"/>
  <c r="P856" i="1"/>
  <c r="N856" i="1"/>
  <c r="K856" i="1"/>
  <c r="P855" i="1"/>
  <c r="N855" i="1"/>
  <c r="K855" i="1"/>
  <c r="P854" i="1"/>
  <c r="N854" i="1"/>
  <c r="K854" i="1"/>
  <c r="P853" i="1"/>
  <c r="N853" i="1"/>
  <c r="K853" i="1"/>
  <c r="P852" i="1"/>
  <c r="N852" i="1"/>
  <c r="K852" i="1"/>
  <c r="P851" i="1"/>
  <c r="N851" i="1"/>
  <c r="K851" i="1"/>
  <c r="P850" i="1"/>
  <c r="N850" i="1"/>
  <c r="K850" i="1"/>
  <c r="P849" i="1"/>
  <c r="N849" i="1"/>
  <c r="K849" i="1"/>
  <c r="P848" i="1"/>
  <c r="N848" i="1"/>
  <c r="K848" i="1"/>
  <c r="P847" i="1"/>
  <c r="N847" i="1"/>
  <c r="K847" i="1"/>
  <c r="P846" i="1"/>
  <c r="N846" i="1"/>
  <c r="K846" i="1"/>
  <c r="P845" i="1"/>
  <c r="N845" i="1"/>
  <c r="K845" i="1"/>
  <c r="P844" i="1"/>
  <c r="N844" i="1"/>
  <c r="K844" i="1"/>
  <c r="P843" i="1"/>
  <c r="N843" i="1"/>
  <c r="K843" i="1"/>
  <c r="P842" i="1"/>
  <c r="N842" i="1"/>
  <c r="K842" i="1"/>
  <c r="P841" i="1"/>
  <c r="N841" i="1"/>
  <c r="K841" i="1"/>
  <c r="P840" i="1"/>
  <c r="N840" i="1"/>
  <c r="K840" i="1"/>
  <c r="P839" i="1"/>
  <c r="N839" i="1"/>
  <c r="K839" i="1"/>
  <c r="P838" i="1"/>
  <c r="N838" i="1"/>
  <c r="K838" i="1"/>
  <c r="P837" i="1"/>
  <c r="N837" i="1"/>
  <c r="K837" i="1"/>
  <c r="P836" i="1"/>
  <c r="N836" i="1"/>
  <c r="K836" i="1"/>
  <c r="P835" i="1"/>
  <c r="N835" i="1"/>
  <c r="K835" i="1"/>
  <c r="P834" i="1"/>
  <c r="N834" i="1"/>
  <c r="K834" i="1"/>
  <c r="P833" i="1"/>
  <c r="N833" i="1"/>
  <c r="K833" i="1"/>
  <c r="P832" i="1"/>
  <c r="N832" i="1"/>
  <c r="K832" i="1"/>
  <c r="P831" i="1"/>
  <c r="N831" i="1"/>
  <c r="K831" i="1"/>
  <c r="P830" i="1"/>
  <c r="N830" i="1"/>
  <c r="K830" i="1"/>
  <c r="P829" i="1"/>
  <c r="N829" i="1"/>
  <c r="K829" i="1"/>
  <c r="P828" i="1"/>
  <c r="N828" i="1"/>
  <c r="K828" i="1"/>
  <c r="P827" i="1"/>
  <c r="N827" i="1"/>
  <c r="K827" i="1"/>
  <c r="P826" i="1"/>
  <c r="N826" i="1"/>
  <c r="K826" i="1"/>
  <c r="P825" i="1"/>
  <c r="N825" i="1"/>
  <c r="K825" i="1"/>
  <c r="P824" i="1"/>
  <c r="N824" i="1"/>
  <c r="K824" i="1"/>
  <c r="P823" i="1"/>
  <c r="N823" i="1"/>
  <c r="K823" i="1"/>
  <c r="P822" i="1"/>
  <c r="N822" i="1"/>
  <c r="K822" i="1"/>
  <c r="P821" i="1"/>
  <c r="N821" i="1"/>
  <c r="K821" i="1"/>
  <c r="P820" i="1"/>
  <c r="N820" i="1"/>
  <c r="K820" i="1"/>
  <c r="P819" i="1"/>
  <c r="N819" i="1"/>
  <c r="K819" i="1"/>
  <c r="P818" i="1"/>
  <c r="N818" i="1"/>
  <c r="K818" i="1"/>
  <c r="P817" i="1"/>
  <c r="N817" i="1"/>
  <c r="K817" i="1"/>
  <c r="P816" i="1"/>
  <c r="N816" i="1"/>
  <c r="K816" i="1"/>
  <c r="P815" i="1"/>
  <c r="N815" i="1"/>
  <c r="K815" i="1"/>
  <c r="P814" i="1"/>
  <c r="N814" i="1"/>
  <c r="K814" i="1"/>
  <c r="P813" i="1"/>
  <c r="N813" i="1"/>
  <c r="K813" i="1"/>
  <c r="P812" i="1"/>
  <c r="N812" i="1"/>
  <c r="K812" i="1"/>
  <c r="P811" i="1"/>
  <c r="N811" i="1"/>
  <c r="K811" i="1"/>
  <c r="P810" i="1"/>
  <c r="N810" i="1"/>
  <c r="K810" i="1"/>
  <c r="P809" i="1"/>
  <c r="N809" i="1"/>
  <c r="K809" i="1"/>
  <c r="P808" i="1"/>
  <c r="N808" i="1"/>
  <c r="K808" i="1"/>
  <c r="P807" i="1"/>
  <c r="N807" i="1"/>
  <c r="K807" i="1"/>
  <c r="P806" i="1"/>
  <c r="N806" i="1"/>
  <c r="K806" i="1"/>
  <c r="P805" i="1"/>
  <c r="N805" i="1"/>
  <c r="K805" i="1"/>
  <c r="P804" i="1"/>
  <c r="N804" i="1"/>
  <c r="K804" i="1"/>
  <c r="P803" i="1"/>
  <c r="N803" i="1"/>
  <c r="K803" i="1"/>
  <c r="P802" i="1"/>
  <c r="N802" i="1"/>
  <c r="K802" i="1"/>
  <c r="P801" i="1"/>
  <c r="N801" i="1"/>
  <c r="K801" i="1"/>
  <c r="P800" i="1"/>
  <c r="N800" i="1"/>
  <c r="K800" i="1"/>
  <c r="P799" i="1"/>
  <c r="N799" i="1"/>
  <c r="K799" i="1"/>
  <c r="P798" i="1"/>
  <c r="N798" i="1"/>
  <c r="K798" i="1"/>
  <c r="P797" i="1"/>
  <c r="N797" i="1"/>
  <c r="K797" i="1"/>
  <c r="P796" i="1"/>
  <c r="N796" i="1"/>
  <c r="K796" i="1"/>
  <c r="P795" i="1"/>
  <c r="N795" i="1"/>
  <c r="K795" i="1"/>
  <c r="P794" i="1"/>
  <c r="N794" i="1"/>
  <c r="K794" i="1"/>
  <c r="P793" i="1"/>
  <c r="N793" i="1"/>
  <c r="K793" i="1"/>
  <c r="P792" i="1"/>
  <c r="N792" i="1"/>
  <c r="K792" i="1"/>
  <c r="P791" i="1"/>
  <c r="N791" i="1"/>
  <c r="K791" i="1"/>
  <c r="P790" i="1"/>
  <c r="N790" i="1"/>
  <c r="K790" i="1"/>
  <c r="P789" i="1"/>
  <c r="N789" i="1"/>
  <c r="K789" i="1"/>
  <c r="P788" i="1"/>
  <c r="N788" i="1"/>
  <c r="K788" i="1"/>
  <c r="P787" i="1"/>
  <c r="N787" i="1"/>
  <c r="K787" i="1"/>
  <c r="P786" i="1"/>
  <c r="N786" i="1"/>
  <c r="K786" i="1"/>
  <c r="P785" i="1"/>
  <c r="N785" i="1"/>
  <c r="K785" i="1"/>
  <c r="P784" i="1"/>
  <c r="N784" i="1"/>
  <c r="K784" i="1"/>
  <c r="P783" i="1"/>
  <c r="N783" i="1"/>
  <c r="K783" i="1"/>
  <c r="P782" i="1"/>
  <c r="N782" i="1"/>
  <c r="K782" i="1"/>
  <c r="P781" i="1"/>
  <c r="N781" i="1"/>
  <c r="K781" i="1"/>
  <c r="P780" i="1"/>
  <c r="N780" i="1"/>
  <c r="K780" i="1"/>
  <c r="P779" i="1"/>
  <c r="N779" i="1"/>
  <c r="K779" i="1"/>
  <c r="P778" i="1"/>
  <c r="N778" i="1"/>
  <c r="K778" i="1"/>
  <c r="P777" i="1"/>
  <c r="N777" i="1"/>
  <c r="K777" i="1"/>
  <c r="P776" i="1"/>
  <c r="N776" i="1"/>
  <c r="K776" i="1"/>
  <c r="P775" i="1"/>
  <c r="N775" i="1"/>
  <c r="K775" i="1"/>
  <c r="P774" i="1"/>
  <c r="N774" i="1"/>
  <c r="K774" i="1"/>
  <c r="P773" i="1"/>
  <c r="N773" i="1"/>
  <c r="K773" i="1"/>
  <c r="P772" i="1"/>
  <c r="N772" i="1"/>
  <c r="K772" i="1"/>
  <c r="P771" i="1"/>
  <c r="N771" i="1"/>
  <c r="K771" i="1"/>
  <c r="P770" i="1"/>
  <c r="N770" i="1"/>
  <c r="K770" i="1"/>
  <c r="P769" i="1"/>
  <c r="N769" i="1"/>
  <c r="K769" i="1"/>
  <c r="P768" i="1"/>
  <c r="N768" i="1"/>
  <c r="K768" i="1"/>
  <c r="P767" i="1"/>
  <c r="N767" i="1"/>
  <c r="K767" i="1"/>
  <c r="P766" i="1"/>
  <c r="N766" i="1"/>
  <c r="K766" i="1"/>
  <c r="P765" i="1"/>
  <c r="N765" i="1"/>
  <c r="K765" i="1"/>
  <c r="P764" i="1"/>
  <c r="N764" i="1"/>
  <c r="K764" i="1"/>
  <c r="P763" i="1"/>
  <c r="N763" i="1"/>
  <c r="K763" i="1"/>
  <c r="P762" i="1"/>
  <c r="N762" i="1"/>
  <c r="K762" i="1"/>
  <c r="P761" i="1"/>
  <c r="N761" i="1"/>
  <c r="K761" i="1"/>
  <c r="P760" i="1"/>
  <c r="N760" i="1"/>
  <c r="K760" i="1"/>
  <c r="P759" i="1"/>
  <c r="N759" i="1"/>
  <c r="K759" i="1"/>
  <c r="P758" i="1"/>
  <c r="N758" i="1"/>
  <c r="K758" i="1"/>
  <c r="P757" i="1"/>
  <c r="N757" i="1"/>
  <c r="K757" i="1"/>
  <c r="P756" i="1"/>
  <c r="N756" i="1"/>
  <c r="K756" i="1"/>
  <c r="P755" i="1"/>
  <c r="N755" i="1"/>
  <c r="K755" i="1"/>
  <c r="P754" i="1"/>
  <c r="N754" i="1"/>
  <c r="K754" i="1"/>
  <c r="P753" i="1"/>
  <c r="N753" i="1"/>
  <c r="K753" i="1"/>
  <c r="P752" i="1"/>
  <c r="N752" i="1"/>
  <c r="K752" i="1"/>
  <c r="P751" i="1"/>
  <c r="N751" i="1"/>
  <c r="K751" i="1"/>
  <c r="P750" i="1"/>
  <c r="N750" i="1"/>
  <c r="K750" i="1"/>
  <c r="P749" i="1"/>
  <c r="N749" i="1"/>
  <c r="K749" i="1"/>
  <c r="P748" i="1"/>
  <c r="N748" i="1"/>
  <c r="K748" i="1"/>
  <c r="P747" i="1"/>
  <c r="N747" i="1"/>
  <c r="K747" i="1"/>
  <c r="P746" i="1"/>
  <c r="N746" i="1"/>
  <c r="K746" i="1"/>
  <c r="P745" i="1"/>
  <c r="N745" i="1"/>
  <c r="K745" i="1"/>
  <c r="P744" i="1"/>
  <c r="N744" i="1"/>
  <c r="K744" i="1"/>
  <c r="P743" i="1"/>
  <c r="N743" i="1"/>
  <c r="K743" i="1"/>
  <c r="P742" i="1"/>
  <c r="N742" i="1"/>
  <c r="K742" i="1"/>
  <c r="P741" i="1"/>
  <c r="N741" i="1"/>
  <c r="K741" i="1"/>
  <c r="P740" i="1"/>
  <c r="N740" i="1"/>
  <c r="K740" i="1"/>
  <c r="P739" i="1"/>
  <c r="N739" i="1"/>
  <c r="K739" i="1"/>
  <c r="P738" i="1"/>
  <c r="N738" i="1"/>
  <c r="K738" i="1"/>
  <c r="P737" i="1"/>
  <c r="N737" i="1"/>
  <c r="K737" i="1"/>
  <c r="P736" i="1"/>
  <c r="N736" i="1"/>
  <c r="K736" i="1"/>
  <c r="P735" i="1"/>
  <c r="N735" i="1"/>
  <c r="K735" i="1"/>
  <c r="P734" i="1"/>
  <c r="N734" i="1"/>
  <c r="K734" i="1"/>
  <c r="P733" i="1"/>
  <c r="N733" i="1"/>
  <c r="K733" i="1"/>
  <c r="P732" i="1"/>
  <c r="N732" i="1"/>
  <c r="K732" i="1"/>
  <c r="P731" i="1"/>
  <c r="N731" i="1"/>
  <c r="K731" i="1"/>
  <c r="P730" i="1"/>
  <c r="N730" i="1"/>
  <c r="K730" i="1"/>
  <c r="P729" i="1"/>
  <c r="N729" i="1"/>
  <c r="K729" i="1"/>
  <c r="P728" i="1"/>
  <c r="N728" i="1"/>
  <c r="K728" i="1"/>
  <c r="P727" i="1"/>
  <c r="N727" i="1"/>
  <c r="K727" i="1"/>
  <c r="P726" i="1"/>
  <c r="N726" i="1"/>
  <c r="K726" i="1"/>
  <c r="P725" i="1"/>
  <c r="N725" i="1"/>
  <c r="K725" i="1"/>
  <c r="P724" i="1"/>
  <c r="N724" i="1"/>
  <c r="K724" i="1"/>
  <c r="P723" i="1"/>
  <c r="N723" i="1"/>
  <c r="K723" i="1"/>
  <c r="P722" i="1"/>
  <c r="N722" i="1"/>
  <c r="K722" i="1"/>
  <c r="P721" i="1"/>
  <c r="N721" i="1"/>
  <c r="K721" i="1"/>
  <c r="P720" i="1"/>
  <c r="N720" i="1"/>
  <c r="K720" i="1"/>
  <c r="P719" i="1"/>
  <c r="N719" i="1"/>
  <c r="K719" i="1"/>
  <c r="P718" i="1"/>
  <c r="N718" i="1"/>
  <c r="K718" i="1"/>
  <c r="P717" i="1"/>
  <c r="N717" i="1"/>
  <c r="K717" i="1"/>
  <c r="P716" i="1"/>
  <c r="N716" i="1"/>
  <c r="K716" i="1"/>
  <c r="P715" i="1"/>
  <c r="N715" i="1"/>
  <c r="K715" i="1"/>
  <c r="P714" i="1"/>
  <c r="N714" i="1"/>
  <c r="K714" i="1"/>
  <c r="P713" i="1"/>
  <c r="N713" i="1"/>
  <c r="K713" i="1"/>
  <c r="P712" i="1"/>
  <c r="N712" i="1"/>
  <c r="K712" i="1"/>
  <c r="P711" i="1"/>
  <c r="N711" i="1"/>
  <c r="K711" i="1"/>
  <c r="P710" i="1"/>
  <c r="N710" i="1"/>
  <c r="K710" i="1"/>
  <c r="P709" i="1"/>
  <c r="N709" i="1"/>
  <c r="K709" i="1"/>
  <c r="P708" i="1"/>
  <c r="N708" i="1"/>
  <c r="K708" i="1"/>
  <c r="P707" i="1"/>
  <c r="N707" i="1"/>
  <c r="K707" i="1"/>
  <c r="P706" i="1"/>
  <c r="N706" i="1"/>
  <c r="K706" i="1"/>
  <c r="P705" i="1"/>
  <c r="N705" i="1"/>
  <c r="K705" i="1"/>
  <c r="P704" i="1"/>
  <c r="N704" i="1"/>
  <c r="K704" i="1"/>
  <c r="P703" i="1"/>
  <c r="N703" i="1"/>
  <c r="K703" i="1"/>
  <c r="P702" i="1"/>
  <c r="N702" i="1"/>
  <c r="K702" i="1"/>
  <c r="P701" i="1"/>
  <c r="N701" i="1"/>
  <c r="K701" i="1"/>
  <c r="P700" i="1"/>
  <c r="N700" i="1"/>
  <c r="K700" i="1"/>
  <c r="P699" i="1"/>
  <c r="N699" i="1"/>
  <c r="K699" i="1"/>
  <c r="P698" i="1"/>
  <c r="N698" i="1"/>
  <c r="K698" i="1"/>
  <c r="P697" i="1"/>
  <c r="N697" i="1"/>
  <c r="K697" i="1"/>
  <c r="P696" i="1"/>
  <c r="N696" i="1"/>
  <c r="K696" i="1"/>
  <c r="P695" i="1"/>
  <c r="N695" i="1"/>
  <c r="K695" i="1"/>
  <c r="P694" i="1"/>
  <c r="N694" i="1"/>
  <c r="K694" i="1"/>
  <c r="P693" i="1"/>
  <c r="N693" i="1"/>
  <c r="K693" i="1"/>
  <c r="P692" i="1"/>
  <c r="N692" i="1"/>
  <c r="K692" i="1"/>
  <c r="P691" i="1"/>
  <c r="N691" i="1"/>
  <c r="K691" i="1"/>
  <c r="P690" i="1"/>
  <c r="N690" i="1"/>
  <c r="K690" i="1"/>
  <c r="P689" i="1"/>
  <c r="N689" i="1"/>
  <c r="K689" i="1"/>
  <c r="P688" i="1"/>
  <c r="N688" i="1"/>
  <c r="K688" i="1"/>
  <c r="P687" i="1"/>
  <c r="N687" i="1"/>
  <c r="K687" i="1"/>
  <c r="P686" i="1"/>
  <c r="N686" i="1"/>
  <c r="K686" i="1"/>
  <c r="P685" i="1"/>
  <c r="N685" i="1"/>
  <c r="K685" i="1"/>
  <c r="P684" i="1"/>
  <c r="N684" i="1"/>
  <c r="K684" i="1"/>
  <c r="P683" i="1"/>
  <c r="N683" i="1"/>
  <c r="K683" i="1"/>
  <c r="P682" i="1"/>
  <c r="N682" i="1"/>
  <c r="K682" i="1"/>
  <c r="P681" i="1"/>
  <c r="N681" i="1"/>
  <c r="K681" i="1"/>
  <c r="P680" i="1"/>
  <c r="N680" i="1"/>
  <c r="K680" i="1"/>
  <c r="P679" i="1"/>
  <c r="N679" i="1"/>
  <c r="K679" i="1"/>
  <c r="P678" i="1"/>
  <c r="N678" i="1"/>
  <c r="K678" i="1"/>
  <c r="P677" i="1"/>
  <c r="N677" i="1"/>
  <c r="K677" i="1"/>
  <c r="P676" i="1"/>
  <c r="N676" i="1"/>
  <c r="K676" i="1"/>
  <c r="P675" i="1"/>
  <c r="N675" i="1"/>
  <c r="K675" i="1"/>
  <c r="P674" i="1"/>
  <c r="N674" i="1"/>
  <c r="K674" i="1"/>
  <c r="P673" i="1"/>
  <c r="N673" i="1"/>
  <c r="K673" i="1"/>
  <c r="P672" i="1"/>
  <c r="N672" i="1"/>
  <c r="K672" i="1"/>
  <c r="P671" i="1"/>
  <c r="N671" i="1"/>
  <c r="K671" i="1"/>
  <c r="P670" i="1"/>
  <c r="N670" i="1"/>
  <c r="K670" i="1"/>
  <c r="P669" i="1"/>
  <c r="N669" i="1"/>
  <c r="K669" i="1"/>
  <c r="P668" i="1"/>
  <c r="N668" i="1"/>
  <c r="K668" i="1"/>
  <c r="P667" i="1"/>
  <c r="N667" i="1"/>
  <c r="K667" i="1"/>
  <c r="P666" i="1"/>
  <c r="N666" i="1"/>
  <c r="K666" i="1"/>
  <c r="P665" i="1"/>
  <c r="N665" i="1"/>
  <c r="K665" i="1"/>
  <c r="P664" i="1"/>
  <c r="N664" i="1"/>
  <c r="K664" i="1"/>
  <c r="P663" i="1"/>
  <c r="N663" i="1"/>
  <c r="K663" i="1"/>
  <c r="P662" i="1"/>
  <c r="N662" i="1"/>
  <c r="K662" i="1"/>
  <c r="P661" i="1"/>
  <c r="N661" i="1"/>
  <c r="K661" i="1"/>
  <c r="P660" i="1"/>
  <c r="N660" i="1"/>
  <c r="K660" i="1"/>
  <c r="P659" i="1"/>
  <c r="N659" i="1"/>
  <c r="K659" i="1"/>
  <c r="P658" i="1"/>
  <c r="N658" i="1"/>
  <c r="K658" i="1"/>
  <c r="P657" i="1"/>
  <c r="N657" i="1"/>
  <c r="K657" i="1"/>
  <c r="P656" i="1"/>
  <c r="N656" i="1"/>
  <c r="K656" i="1"/>
  <c r="P655" i="1"/>
  <c r="N655" i="1"/>
  <c r="K655" i="1"/>
  <c r="P654" i="1"/>
  <c r="N654" i="1"/>
  <c r="K654" i="1"/>
  <c r="P653" i="1"/>
  <c r="N653" i="1"/>
  <c r="K653" i="1"/>
  <c r="P652" i="1"/>
  <c r="N652" i="1"/>
  <c r="K652" i="1"/>
  <c r="P651" i="1"/>
  <c r="N651" i="1"/>
  <c r="K651" i="1"/>
  <c r="P650" i="1"/>
  <c r="N650" i="1"/>
  <c r="K650" i="1"/>
  <c r="P649" i="1"/>
  <c r="N649" i="1"/>
  <c r="K649" i="1"/>
  <c r="P648" i="1"/>
  <c r="N648" i="1"/>
  <c r="K648" i="1"/>
  <c r="P647" i="1"/>
  <c r="N647" i="1"/>
  <c r="K647" i="1"/>
  <c r="P646" i="1"/>
  <c r="N646" i="1"/>
  <c r="K646" i="1"/>
  <c r="P645" i="1"/>
  <c r="N645" i="1"/>
  <c r="K645" i="1"/>
  <c r="P644" i="1"/>
  <c r="N644" i="1"/>
  <c r="K644" i="1"/>
  <c r="P643" i="1"/>
  <c r="N643" i="1"/>
  <c r="K643" i="1"/>
  <c r="P642" i="1"/>
  <c r="N642" i="1"/>
  <c r="K642" i="1"/>
  <c r="P641" i="1"/>
  <c r="N641" i="1"/>
  <c r="K641" i="1"/>
  <c r="P640" i="1"/>
  <c r="N640" i="1"/>
  <c r="K640" i="1"/>
  <c r="P639" i="1"/>
  <c r="N639" i="1"/>
  <c r="K639" i="1"/>
  <c r="P638" i="1"/>
  <c r="N638" i="1"/>
  <c r="K638" i="1"/>
  <c r="P637" i="1"/>
  <c r="N637" i="1"/>
  <c r="K637" i="1"/>
  <c r="P636" i="1"/>
  <c r="N636" i="1"/>
  <c r="K636" i="1"/>
  <c r="P635" i="1"/>
  <c r="N635" i="1"/>
  <c r="K635" i="1"/>
  <c r="P634" i="1"/>
  <c r="N634" i="1"/>
  <c r="K634" i="1"/>
  <c r="P633" i="1"/>
  <c r="N633" i="1"/>
  <c r="K633" i="1"/>
  <c r="P632" i="1"/>
  <c r="N632" i="1"/>
  <c r="K632" i="1"/>
  <c r="P631" i="1"/>
  <c r="N631" i="1"/>
  <c r="K631" i="1"/>
  <c r="P630" i="1"/>
  <c r="N630" i="1"/>
  <c r="K630" i="1"/>
  <c r="P629" i="1"/>
  <c r="N629" i="1"/>
  <c r="K629" i="1"/>
  <c r="P628" i="1"/>
  <c r="N628" i="1"/>
  <c r="K628" i="1"/>
  <c r="P627" i="1"/>
  <c r="N627" i="1"/>
  <c r="K627" i="1"/>
  <c r="P626" i="1"/>
  <c r="N626" i="1"/>
  <c r="K626" i="1"/>
  <c r="P625" i="1"/>
  <c r="N625" i="1"/>
  <c r="K625" i="1"/>
  <c r="P624" i="1"/>
  <c r="N624" i="1"/>
  <c r="K624" i="1"/>
  <c r="P623" i="1"/>
  <c r="N623" i="1"/>
  <c r="K623" i="1"/>
  <c r="P622" i="1"/>
  <c r="N622" i="1"/>
  <c r="K622" i="1"/>
  <c r="P621" i="1"/>
  <c r="N621" i="1"/>
  <c r="K621" i="1"/>
  <c r="P620" i="1"/>
  <c r="N620" i="1"/>
  <c r="K620" i="1"/>
  <c r="P619" i="1"/>
  <c r="N619" i="1"/>
  <c r="K619" i="1"/>
  <c r="P618" i="1"/>
  <c r="N618" i="1"/>
  <c r="K618" i="1"/>
  <c r="P617" i="1"/>
  <c r="N617" i="1"/>
  <c r="K617" i="1"/>
  <c r="P616" i="1"/>
  <c r="N616" i="1"/>
  <c r="K616" i="1"/>
  <c r="P615" i="1"/>
  <c r="N615" i="1"/>
  <c r="K615" i="1"/>
  <c r="P614" i="1"/>
  <c r="N614" i="1"/>
  <c r="K614" i="1"/>
  <c r="P613" i="1"/>
  <c r="N613" i="1"/>
  <c r="K613" i="1"/>
  <c r="P612" i="1"/>
  <c r="N612" i="1"/>
  <c r="K612" i="1"/>
  <c r="P611" i="1"/>
  <c r="N611" i="1"/>
  <c r="K611" i="1"/>
  <c r="P610" i="1"/>
  <c r="N610" i="1"/>
  <c r="K610" i="1"/>
  <c r="P609" i="1"/>
  <c r="N609" i="1"/>
  <c r="K609" i="1"/>
  <c r="P608" i="1"/>
  <c r="N608" i="1"/>
  <c r="K608" i="1"/>
  <c r="P607" i="1"/>
  <c r="N607" i="1"/>
  <c r="K607" i="1"/>
  <c r="P606" i="1"/>
  <c r="N606" i="1"/>
  <c r="K606" i="1"/>
  <c r="P605" i="1"/>
  <c r="N605" i="1"/>
  <c r="K605" i="1"/>
  <c r="P604" i="1"/>
  <c r="N604" i="1"/>
  <c r="K604" i="1"/>
  <c r="P603" i="1"/>
  <c r="N603" i="1"/>
  <c r="K603" i="1"/>
  <c r="P602" i="1"/>
  <c r="N602" i="1"/>
  <c r="K602" i="1"/>
  <c r="P601" i="1"/>
  <c r="N601" i="1"/>
  <c r="K601" i="1"/>
  <c r="P600" i="1"/>
  <c r="N600" i="1"/>
  <c r="K600" i="1"/>
  <c r="P599" i="1"/>
  <c r="N599" i="1"/>
  <c r="K599" i="1"/>
  <c r="P598" i="1"/>
  <c r="N598" i="1"/>
  <c r="K598" i="1"/>
  <c r="P597" i="1"/>
  <c r="N597" i="1"/>
  <c r="K597" i="1"/>
  <c r="P596" i="1"/>
  <c r="N596" i="1"/>
  <c r="K596" i="1"/>
  <c r="P595" i="1"/>
  <c r="N595" i="1"/>
  <c r="K595" i="1"/>
  <c r="P594" i="1"/>
  <c r="N594" i="1"/>
  <c r="K594" i="1"/>
  <c r="P593" i="1"/>
  <c r="N593" i="1"/>
  <c r="K593" i="1"/>
  <c r="P592" i="1"/>
  <c r="N592" i="1"/>
  <c r="K592" i="1"/>
  <c r="P591" i="1"/>
  <c r="N591" i="1"/>
  <c r="K591" i="1"/>
  <c r="P590" i="1"/>
  <c r="N590" i="1"/>
  <c r="K590" i="1"/>
  <c r="P589" i="1"/>
  <c r="N589" i="1"/>
  <c r="K589" i="1"/>
  <c r="P588" i="1"/>
  <c r="N588" i="1"/>
  <c r="K588" i="1"/>
  <c r="P587" i="1"/>
  <c r="N587" i="1"/>
  <c r="K587" i="1"/>
  <c r="P586" i="1"/>
  <c r="N586" i="1"/>
  <c r="K586" i="1"/>
  <c r="P585" i="1"/>
  <c r="N585" i="1"/>
  <c r="K585" i="1"/>
  <c r="P584" i="1"/>
  <c r="N584" i="1"/>
  <c r="K584" i="1"/>
  <c r="P583" i="1"/>
  <c r="N583" i="1"/>
  <c r="K583" i="1"/>
  <c r="P582" i="1"/>
  <c r="N582" i="1"/>
  <c r="K582" i="1"/>
  <c r="P581" i="1"/>
  <c r="N581" i="1"/>
  <c r="K581" i="1"/>
  <c r="P580" i="1"/>
  <c r="N580" i="1"/>
  <c r="K580" i="1"/>
  <c r="P579" i="1"/>
  <c r="N579" i="1"/>
  <c r="K579" i="1"/>
  <c r="P578" i="1"/>
  <c r="N578" i="1"/>
  <c r="K578" i="1"/>
  <c r="P577" i="1"/>
  <c r="N577" i="1"/>
  <c r="K577" i="1"/>
  <c r="P576" i="1"/>
  <c r="N576" i="1"/>
  <c r="K576" i="1"/>
  <c r="P575" i="1"/>
  <c r="N575" i="1"/>
  <c r="K575" i="1"/>
  <c r="P574" i="1"/>
  <c r="N574" i="1"/>
  <c r="K574" i="1"/>
  <c r="P573" i="1"/>
  <c r="N573" i="1"/>
  <c r="K573" i="1"/>
  <c r="P572" i="1"/>
  <c r="N572" i="1"/>
  <c r="K572" i="1"/>
  <c r="P571" i="1"/>
  <c r="N571" i="1"/>
  <c r="K571" i="1"/>
  <c r="P570" i="1"/>
  <c r="N570" i="1"/>
  <c r="K570" i="1"/>
  <c r="P569" i="1"/>
  <c r="N569" i="1"/>
  <c r="P568" i="1"/>
  <c r="N568" i="1"/>
  <c r="K568" i="1"/>
  <c r="P567" i="1"/>
  <c r="N567" i="1"/>
  <c r="K567" i="1"/>
  <c r="P566" i="1"/>
  <c r="N566" i="1"/>
  <c r="K566" i="1"/>
  <c r="P565" i="1"/>
  <c r="K565" i="1"/>
  <c r="P564" i="1"/>
  <c r="N564" i="1"/>
  <c r="K564" i="1"/>
  <c r="P563" i="1"/>
  <c r="N563" i="1"/>
  <c r="K563" i="1"/>
  <c r="P562" i="1"/>
  <c r="N562" i="1"/>
  <c r="K562" i="1"/>
  <c r="P561" i="1"/>
  <c r="N561" i="1"/>
  <c r="K561" i="1"/>
  <c r="P560" i="1"/>
  <c r="N560" i="1"/>
  <c r="K560" i="1"/>
  <c r="P559" i="1"/>
  <c r="N559" i="1"/>
  <c r="K559" i="1"/>
  <c r="P558" i="1"/>
  <c r="N558" i="1"/>
  <c r="K558" i="1"/>
  <c r="P557" i="1"/>
  <c r="N557" i="1"/>
  <c r="K557" i="1"/>
  <c r="P556" i="1"/>
  <c r="N556" i="1"/>
  <c r="K556" i="1"/>
  <c r="P555" i="1"/>
  <c r="N555" i="1"/>
  <c r="K555" i="1"/>
  <c r="P554" i="1"/>
  <c r="N554" i="1"/>
  <c r="K554" i="1"/>
  <c r="P553" i="1"/>
  <c r="N553" i="1"/>
  <c r="K553" i="1"/>
  <c r="P552" i="1"/>
  <c r="N552" i="1"/>
  <c r="P551" i="1"/>
  <c r="N551" i="1"/>
  <c r="P550" i="1"/>
  <c r="N550" i="1"/>
  <c r="P549" i="1"/>
  <c r="N549" i="1"/>
  <c r="P548" i="1"/>
  <c r="N548" i="1"/>
  <c r="P547" i="1"/>
  <c r="N547" i="1"/>
  <c r="P546" i="1"/>
  <c r="N546" i="1"/>
  <c r="P545" i="1"/>
  <c r="N545" i="1"/>
  <c r="P544" i="1"/>
  <c r="N544" i="1"/>
  <c r="P543" i="1"/>
  <c r="N543" i="1"/>
  <c r="P542" i="1"/>
  <c r="N542" i="1"/>
  <c r="P541" i="1"/>
  <c r="N541" i="1"/>
  <c r="P540" i="1"/>
  <c r="N540" i="1"/>
  <c r="P539" i="1"/>
  <c r="N539" i="1"/>
  <c r="P538" i="1"/>
  <c r="N538" i="1"/>
  <c r="P537" i="1"/>
  <c r="N537" i="1"/>
  <c r="P536" i="1"/>
  <c r="N536" i="1"/>
  <c r="P535" i="1"/>
  <c r="N535" i="1"/>
  <c r="P534" i="1"/>
  <c r="N534" i="1"/>
  <c r="P533" i="1"/>
  <c r="N533" i="1"/>
  <c r="P532" i="1"/>
  <c r="N532" i="1"/>
  <c r="P531" i="1"/>
  <c r="N531" i="1"/>
  <c r="P530" i="1"/>
  <c r="N530" i="1"/>
  <c r="P529" i="1"/>
  <c r="N529" i="1"/>
  <c r="P528" i="1"/>
  <c r="N528" i="1"/>
  <c r="P527" i="1"/>
  <c r="N527" i="1"/>
  <c r="P526" i="1"/>
  <c r="N526" i="1"/>
  <c r="P525" i="1"/>
  <c r="N525" i="1"/>
  <c r="P524" i="1"/>
  <c r="N524" i="1"/>
  <c r="P523" i="1"/>
  <c r="N523" i="1"/>
  <c r="P522" i="1"/>
  <c r="N522" i="1"/>
  <c r="P521" i="1"/>
  <c r="N521" i="1"/>
  <c r="P520" i="1"/>
  <c r="N520" i="1"/>
  <c r="P519" i="1"/>
  <c r="N519" i="1"/>
  <c r="P518" i="1"/>
  <c r="N518" i="1"/>
  <c r="P517" i="1"/>
  <c r="N517" i="1"/>
  <c r="P516" i="1"/>
  <c r="N516" i="1"/>
  <c r="P515" i="1"/>
  <c r="N515" i="1"/>
  <c r="P514" i="1"/>
  <c r="N514" i="1"/>
  <c r="P513" i="1"/>
  <c r="N513" i="1"/>
  <c r="P512" i="1"/>
  <c r="N512" i="1"/>
  <c r="P511" i="1"/>
  <c r="N511" i="1"/>
  <c r="P510" i="1"/>
  <c r="N510" i="1"/>
  <c r="P509" i="1"/>
  <c r="N509" i="1"/>
  <c r="P508" i="1"/>
  <c r="N508" i="1"/>
  <c r="P507" i="1"/>
  <c r="N507" i="1"/>
  <c r="P506" i="1"/>
  <c r="N506" i="1"/>
  <c r="P505" i="1"/>
  <c r="N505" i="1"/>
  <c r="P504" i="1"/>
  <c r="N504" i="1"/>
  <c r="P503" i="1"/>
  <c r="N503" i="1"/>
  <c r="P502" i="1"/>
  <c r="N502" i="1"/>
  <c r="P501" i="1"/>
  <c r="N501" i="1"/>
  <c r="P500" i="1"/>
  <c r="N500" i="1"/>
  <c r="P499" i="1"/>
  <c r="N499" i="1"/>
  <c r="P498" i="1"/>
  <c r="N498" i="1"/>
  <c r="P497" i="1"/>
  <c r="N497" i="1"/>
  <c r="P496" i="1"/>
  <c r="N496" i="1"/>
  <c r="P495" i="1"/>
  <c r="N495" i="1"/>
  <c r="P494" i="1"/>
  <c r="N494" i="1"/>
  <c r="P493" i="1"/>
  <c r="N493" i="1"/>
  <c r="P492" i="1"/>
  <c r="N492" i="1"/>
  <c r="P491" i="1"/>
  <c r="N491" i="1"/>
  <c r="P490" i="1"/>
  <c r="N490" i="1"/>
  <c r="P489" i="1"/>
  <c r="N489" i="1"/>
  <c r="P488" i="1"/>
  <c r="N488" i="1"/>
  <c r="P487" i="1"/>
  <c r="N487" i="1"/>
  <c r="P486" i="1"/>
  <c r="N486" i="1"/>
  <c r="P485" i="1"/>
  <c r="N485" i="1"/>
  <c r="P484" i="1"/>
  <c r="N484" i="1"/>
  <c r="P483" i="1"/>
  <c r="N483" i="1"/>
  <c r="P482" i="1"/>
  <c r="N482" i="1"/>
  <c r="P481" i="1"/>
  <c r="N481" i="1"/>
  <c r="P480" i="1"/>
  <c r="N480" i="1"/>
  <c r="P479" i="1"/>
  <c r="N479" i="1"/>
  <c r="P478" i="1"/>
  <c r="N478" i="1"/>
  <c r="P477" i="1"/>
  <c r="N477" i="1"/>
  <c r="P476" i="1"/>
  <c r="N476" i="1"/>
  <c r="P475" i="1"/>
  <c r="N475" i="1"/>
  <c r="P474" i="1"/>
  <c r="N474" i="1"/>
  <c r="P473" i="1"/>
  <c r="N473" i="1"/>
  <c r="P472" i="1"/>
  <c r="N472" i="1"/>
  <c r="P471" i="1"/>
  <c r="N471" i="1"/>
  <c r="P470" i="1"/>
  <c r="N470" i="1"/>
  <c r="P469" i="1"/>
  <c r="N469" i="1"/>
  <c r="P468" i="1"/>
  <c r="N468" i="1"/>
  <c r="P467" i="1"/>
  <c r="N467" i="1"/>
  <c r="P466" i="1"/>
  <c r="N466" i="1"/>
  <c r="P465" i="1"/>
  <c r="N465" i="1"/>
  <c r="P464" i="1"/>
  <c r="N464" i="1"/>
  <c r="P463" i="1"/>
  <c r="N463" i="1"/>
  <c r="P462" i="1"/>
  <c r="N462" i="1"/>
  <c r="P461" i="1"/>
  <c r="N461" i="1"/>
  <c r="P460" i="1"/>
  <c r="N460" i="1"/>
  <c r="P459" i="1"/>
  <c r="N459" i="1"/>
  <c r="P458" i="1"/>
  <c r="N458" i="1"/>
  <c r="P457" i="1"/>
  <c r="N457" i="1"/>
  <c r="P456" i="1"/>
  <c r="N456" i="1"/>
  <c r="P455" i="1"/>
  <c r="N455" i="1"/>
  <c r="P454" i="1"/>
  <c r="N454" i="1"/>
  <c r="P453" i="1"/>
  <c r="N453" i="1"/>
  <c r="P452" i="1"/>
  <c r="N452" i="1"/>
  <c r="P451" i="1"/>
  <c r="N451" i="1"/>
  <c r="P450" i="1"/>
  <c r="N450" i="1"/>
  <c r="P449" i="1"/>
  <c r="N449" i="1"/>
  <c r="P448" i="1"/>
  <c r="N448" i="1"/>
  <c r="P447" i="1"/>
  <c r="N447" i="1"/>
  <c r="P446" i="1"/>
  <c r="N446" i="1"/>
  <c r="P445" i="1"/>
  <c r="N445" i="1"/>
  <c r="P444" i="1"/>
  <c r="N444" i="1"/>
  <c r="P443" i="1"/>
  <c r="N443" i="1"/>
  <c r="P442" i="1"/>
  <c r="N442" i="1"/>
  <c r="P441" i="1"/>
  <c r="N441" i="1"/>
  <c r="P440" i="1"/>
  <c r="N440" i="1"/>
  <c r="P439" i="1"/>
  <c r="N439" i="1"/>
  <c r="P438" i="1"/>
  <c r="N438" i="1"/>
  <c r="P437" i="1"/>
  <c r="N437" i="1"/>
  <c r="P436" i="1"/>
  <c r="N436" i="1"/>
  <c r="P435" i="1"/>
  <c r="N435" i="1"/>
  <c r="P434" i="1"/>
  <c r="N434" i="1"/>
  <c r="P433" i="1"/>
  <c r="N433" i="1"/>
  <c r="P432" i="1"/>
  <c r="N432" i="1"/>
  <c r="P431" i="1"/>
  <c r="N431" i="1"/>
  <c r="P430" i="1"/>
  <c r="N430" i="1"/>
  <c r="P429" i="1"/>
  <c r="N429" i="1"/>
  <c r="P428" i="1"/>
  <c r="N428" i="1"/>
  <c r="P427" i="1"/>
  <c r="N427" i="1"/>
  <c r="P426" i="1"/>
  <c r="N426" i="1"/>
  <c r="P425" i="1"/>
  <c r="N425" i="1"/>
  <c r="P424" i="1"/>
  <c r="N424" i="1"/>
  <c r="P423" i="1"/>
  <c r="N423" i="1"/>
  <c r="P422" i="1"/>
  <c r="N422" i="1"/>
  <c r="P421" i="1"/>
  <c r="N421" i="1"/>
  <c r="P420" i="1"/>
  <c r="N420" i="1"/>
  <c r="P419" i="1"/>
  <c r="N419" i="1"/>
  <c r="P418" i="1"/>
  <c r="N418" i="1"/>
  <c r="P417" i="1"/>
  <c r="N417" i="1"/>
  <c r="P416" i="1"/>
  <c r="N416" i="1"/>
  <c r="P415" i="1"/>
  <c r="N415" i="1"/>
  <c r="P414" i="1"/>
  <c r="N414" i="1"/>
  <c r="P413" i="1"/>
  <c r="N413" i="1"/>
  <c r="P412" i="1"/>
  <c r="N412" i="1"/>
  <c r="P411" i="1"/>
  <c r="N411" i="1"/>
  <c r="P410" i="1"/>
  <c r="N410" i="1"/>
  <c r="P409" i="1"/>
  <c r="N409" i="1"/>
  <c r="P408" i="1"/>
  <c r="N408" i="1"/>
  <c r="P407" i="1"/>
  <c r="N407" i="1"/>
  <c r="P406" i="1"/>
  <c r="N406" i="1"/>
  <c r="P405" i="1"/>
  <c r="N405" i="1"/>
  <c r="P404" i="1"/>
  <c r="N404" i="1"/>
  <c r="P403" i="1"/>
  <c r="N403" i="1"/>
  <c r="P402" i="1"/>
  <c r="N402" i="1"/>
  <c r="P401" i="1"/>
  <c r="N401" i="1"/>
  <c r="P400" i="1"/>
  <c r="N400" i="1"/>
  <c r="P399" i="1"/>
  <c r="N399" i="1"/>
  <c r="P398" i="1"/>
  <c r="N398" i="1"/>
  <c r="P397" i="1"/>
  <c r="N397" i="1"/>
  <c r="P396" i="1"/>
  <c r="N396" i="1"/>
  <c r="P395" i="1"/>
  <c r="N395" i="1"/>
  <c r="P394" i="1"/>
  <c r="N394" i="1"/>
  <c r="P393" i="1"/>
  <c r="N393" i="1"/>
  <c r="P392" i="1"/>
  <c r="N392" i="1"/>
  <c r="P391" i="1"/>
  <c r="N391" i="1"/>
  <c r="P390" i="1"/>
  <c r="N390" i="1"/>
  <c r="P389" i="1"/>
  <c r="N389" i="1"/>
  <c r="P388" i="1"/>
  <c r="N388" i="1"/>
  <c r="P387" i="1"/>
  <c r="N387" i="1"/>
  <c r="P386" i="1"/>
  <c r="N386" i="1"/>
  <c r="P385" i="1"/>
  <c r="N385" i="1"/>
  <c r="P384" i="1"/>
  <c r="N384" i="1"/>
  <c r="P383" i="1"/>
  <c r="N383" i="1"/>
  <c r="P382" i="1"/>
  <c r="N382" i="1"/>
  <c r="P381" i="1"/>
  <c r="N381" i="1"/>
  <c r="P380" i="1"/>
  <c r="N380" i="1"/>
  <c r="P379" i="1"/>
  <c r="N379" i="1"/>
  <c r="P378" i="1"/>
  <c r="N378" i="1"/>
  <c r="P377" i="1"/>
  <c r="N377" i="1"/>
  <c r="P376" i="1"/>
  <c r="N376" i="1"/>
  <c r="P375" i="1"/>
  <c r="N375" i="1"/>
  <c r="P374" i="1"/>
  <c r="N374" i="1"/>
  <c r="P373" i="1"/>
  <c r="N373" i="1"/>
  <c r="P372" i="1"/>
  <c r="N372" i="1"/>
  <c r="P371" i="1"/>
  <c r="N371" i="1"/>
  <c r="P370" i="1"/>
  <c r="N370" i="1"/>
  <c r="P369" i="1"/>
  <c r="N369" i="1"/>
  <c r="P368" i="1"/>
  <c r="N368" i="1"/>
  <c r="P367" i="1"/>
  <c r="N367" i="1"/>
  <c r="P366" i="1"/>
  <c r="N366" i="1"/>
  <c r="P365" i="1"/>
  <c r="N365" i="1"/>
  <c r="P364" i="1"/>
  <c r="N364" i="1"/>
  <c r="P363" i="1"/>
  <c r="N363" i="1"/>
  <c r="P362" i="1"/>
  <c r="N362" i="1"/>
  <c r="P361" i="1"/>
  <c r="N361" i="1"/>
  <c r="P360" i="1"/>
  <c r="N360" i="1"/>
  <c r="P359" i="1"/>
  <c r="N359" i="1"/>
  <c r="P358" i="1"/>
  <c r="N358" i="1"/>
  <c r="P357" i="1"/>
  <c r="N357" i="1"/>
  <c r="P356" i="1"/>
  <c r="N356" i="1"/>
  <c r="P355" i="1"/>
  <c r="N355" i="1"/>
  <c r="P354" i="1"/>
  <c r="N354" i="1"/>
  <c r="P353" i="1"/>
  <c r="N353" i="1"/>
  <c r="P352" i="1"/>
  <c r="N352" i="1"/>
  <c r="P351" i="1"/>
  <c r="N351" i="1"/>
  <c r="P350" i="1"/>
  <c r="N350" i="1"/>
  <c r="P349" i="1"/>
  <c r="N349" i="1"/>
  <c r="P348" i="1"/>
  <c r="N348" i="1"/>
  <c r="P347" i="1"/>
  <c r="N347" i="1"/>
  <c r="P346" i="1"/>
  <c r="N346" i="1"/>
  <c r="P345" i="1"/>
  <c r="N345" i="1"/>
  <c r="P344" i="1"/>
  <c r="N344" i="1"/>
  <c r="P343" i="1"/>
  <c r="N343" i="1"/>
  <c r="P342" i="1"/>
  <c r="N342" i="1"/>
  <c r="P341" i="1"/>
  <c r="N341" i="1"/>
  <c r="P340" i="1"/>
  <c r="N340" i="1"/>
  <c r="P339" i="1"/>
  <c r="N339" i="1"/>
  <c r="P338" i="1"/>
  <c r="N338" i="1"/>
  <c r="P337" i="1"/>
  <c r="N337" i="1"/>
  <c r="P336" i="1"/>
  <c r="N336" i="1"/>
  <c r="P335" i="1"/>
  <c r="N335" i="1"/>
  <c r="P334" i="1"/>
  <c r="N334" i="1"/>
  <c r="P333" i="1"/>
  <c r="N333" i="1"/>
  <c r="P332" i="1"/>
  <c r="N332" i="1"/>
  <c r="P331" i="1"/>
  <c r="N331" i="1"/>
  <c r="P330" i="1"/>
  <c r="N330" i="1"/>
  <c r="P329" i="1"/>
  <c r="N329" i="1"/>
  <c r="P328" i="1"/>
  <c r="N328" i="1"/>
  <c r="P327" i="1"/>
  <c r="N327" i="1"/>
  <c r="P326" i="1"/>
  <c r="N326" i="1"/>
  <c r="P325" i="1"/>
  <c r="N325" i="1"/>
  <c r="P324" i="1"/>
  <c r="N324" i="1"/>
  <c r="P323" i="1"/>
  <c r="N323" i="1"/>
  <c r="P322" i="1"/>
  <c r="N322" i="1"/>
  <c r="P321" i="1"/>
  <c r="N321" i="1"/>
  <c r="P320" i="1"/>
  <c r="N320" i="1"/>
  <c r="P319" i="1"/>
  <c r="N319" i="1"/>
  <c r="P318" i="1"/>
  <c r="N318" i="1"/>
  <c r="P317" i="1"/>
  <c r="N317" i="1"/>
  <c r="P316" i="1"/>
  <c r="N316" i="1"/>
  <c r="P315" i="1"/>
  <c r="N315" i="1"/>
  <c r="P314" i="1"/>
  <c r="N314" i="1"/>
  <c r="P313" i="1"/>
  <c r="N313" i="1"/>
  <c r="P312" i="1"/>
  <c r="N312" i="1"/>
  <c r="P311" i="1"/>
  <c r="N311" i="1"/>
  <c r="P310" i="1"/>
  <c r="N310" i="1"/>
  <c r="P309" i="1"/>
  <c r="N309" i="1"/>
  <c r="P308" i="1"/>
  <c r="N308" i="1"/>
  <c r="P307" i="1"/>
  <c r="N307" i="1"/>
  <c r="P306" i="1"/>
  <c r="N306" i="1"/>
  <c r="P305" i="1"/>
  <c r="N305" i="1"/>
  <c r="P304" i="1"/>
  <c r="N304" i="1"/>
  <c r="P303" i="1"/>
  <c r="N303" i="1"/>
  <c r="P302" i="1"/>
  <c r="N302" i="1"/>
  <c r="P301" i="1"/>
  <c r="N301" i="1"/>
  <c r="P300" i="1"/>
  <c r="N300" i="1"/>
  <c r="P299" i="1"/>
  <c r="N299" i="1"/>
  <c r="P298" i="1"/>
  <c r="N298" i="1"/>
  <c r="P297" i="1"/>
  <c r="N297" i="1"/>
  <c r="P296" i="1"/>
  <c r="N296" i="1"/>
  <c r="P295" i="1"/>
  <c r="N295" i="1"/>
  <c r="P294" i="1"/>
  <c r="N294" i="1"/>
  <c r="P293" i="1"/>
  <c r="N293" i="1"/>
  <c r="P292" i="1"/>
  <c r="N292" i="1"/>
  <c r="P291" i="1"/>
  <c r="N291" i="1"/>
  <c r="P290" i="1"/>
  <c r="N290" i="1"/>
  <c r="P289" i="1"/>
  <c r="N289" i="1"/>
  <c r="P288" i="1"/>
  <c r="N288" i="1"/>
  <c r="P287" i="1"/>
  <c r="N287" i="1"/>
  <c r="P286" i="1"/>
  <c r="N286" i="1"/>
  <c r="P285" i="1"/>
  <c r="N285" i="1"/>
  <c r="P284" i="1"/>
  <c r="N284" i="1"/>
  <c r="P283" i="1"/>
  <c r="N283" i="1"/>
  <c r="P282" i="1"/>
  <c r="N282" i="1"/>
  <c r="P281" i="1"/>
  <c r="N281" i="1"/>
  <c r="P280" i="1"/>
  <c r="N280" i="1"/>
  <c r="P279" i="1"/>
  <c r="N279" i="1"/>
  <c r="P278" i="1"/>
  <c r="N278" i="1"/>
  <c r="P277" i="1"/>
  <c r="N277" i="1"/>
  <c r="P276" i="1"/>
  <c r="N276" i="1"/>
  <c r="P275" i="1"/>
  <c r="N275" i="1"/>
  <c r="P274" i="1"/>
  <c r="N274" i="1"/>
  <c r="P273" i="1"/>
  <c r="N273" i="1"/>
  <c r="P272" i="1"/>
  <c r="N272" i="1"/>
  <c r="P271" i="1"/>
  <c r="N271" i="1"/>
  <c r="P270" i="1"/>
  <c r="N270" i="1"/>
  <c r="P269" i="1"/>
  <c r="N269" i="1"/>
  <c r="P268" i="1"/>
  <c r="N268" i="1"/>
  <c r="P267" i="1"/>
  <c r="N267" i="1"/>
  <c r="P266" i="1"/>
  <c r="N266" i="1"/>
  <c r="P265" i="1"/>
  <c r="N265" i="1"/>
  <c r="P264" i="1"/>
  <c r="N264" i="1"/>
  <c r="P263" i="1"/>
  <c r="N263" i="1"/>
  <c r="P262" i="1"/>
  <c r="N262" i="1"/>
  <c r="P261" i="1"/>
  <c r="N261" i="1"/>
  <c r="P260" i="1"/>
  <c r="N260" i="1"/>
  <c r="P259" i="1"/>
  <c r="N259" i="1"/>
  <c r="P258" i="1"/>
  <c r="N258" i="1"/>
  <c r="P257" i="1"/>
  <c r="N257" i="1"/>
  <c r="P256" i="1"/>
  <c r="N256" i="1"/>
  <c r="P255" i="1"/>
  <c r="N255" i="1"/>
  <c r="P254" i="1"/>
  <c r="N254" i="1"/>
  <c r="P253" i="1"/>
  <c r="N253" i="1"/>
  <c r="P252" i="1"/>
  <c r="N252" i="1"/>
  <c r="P251" i="1"/>
  <c r="N251" i="1"/>
  <c r="P250" i="1"/>
  <c r="N250" i="1"/>
  <c r="P249" i="1"/>
  <c r="N249" i="1"/>
  <c r="P248" i="1"/>
  <c r="N248" i="1"/>
  <c r="P247" i="1"/>
  <c r="N247" i="1"/>
  <c r="P246" i="1"/>
  <c r="N246" i="1"/>
  <c r="P245" i="1"/>
  <c r="N245" i="1"/>
  <c r="P244" i="1"/>
  <c r="N244" i="1"/>
  <c r="P243" i="1"/>
  <c r="N243" i="1"/>
  <c r="P242" i="1"/>
  <c r="N242" i="1"/>
  <c r="P241" i="1"/>
  <c r="N241" i="1"/>
  <c r="P240" i="1"/>
  <c r="N240" i="1"/>
  <c r="P239" i="1"/>
  <c r="N239" i="1"/>
  <c r="P238" i="1"/>
  <c r="N238" i="1"/>
  <c r="P237" i="1"/>
  <c r="N237" i="1"/>
  <c r="P236" i="1"/>
  <c r="N236" i="1"/>
  <c r="P235" i="1"/>
  <c r="N235" i="1"/>
  <c r="P234" i="1"/>
  <c r="N234" i="1"/>
  <c r="P233" i="1"/>
  <c r="N233" i="1"/>
  <c r="P232" i="1"/>
  <c r="N232" i="1"/>
  <c r="P231" i="1"/>
  <c r="N231" i="1"/>
  <c r="P230" i="1"/>
  <c r="N230" i="1"/>
  <c r="P229" i="1"/>
  <c r="N229" i="1"/>
  <c r="P228" i="1"/>
  <c r="N228" i="1"/>
  <c r="P227" i="1"/>
  <c r="N227" i="1"/>
  <c r="P226" i="1"/>
  <c r="N226" i="1"/>
  <c r="P225" i="1"/>
  <c r="N225" i="1"/>
  <c r="P224" i="1"/>
  <c r="N224" i="1"/>
  <c r="P223" i="1"/>
  <c r="N223" i="1"/>
  <c r="P222" i="1"/>
  <c r="N222" i="1"/>
  <c r="P221" i="1"/>
  <c r="N221" i="1"/>
  <c r="P220" i="1"/>
  <c r="N220" i="1"/>
  <c r="P219" i="1"/>
  <c r="N219" i="1"/>
  <c r="P218" i="1"/>
  <c r="N218" i="1"/>
  <c r="P217" i="1"/>
  <c r="N217" i="1"/>
  <c r="P216" i="1"/>
  <c r="N216" i="1"/>
  <c r="P215" i="1"/>
  <c r="N215" i="1"/>
  <c r="P214" i="1"/>
  <c r="N214" i="1"/>
  <c r="P213" i="1"/>
  <c r="N213" i="1"/>
  <c r="P212" i="1"/>
  <c r="N212" i="1"/>
  <c r="P211" i="1"/>
  <c r="N211" i="1"/>
  <c r="P210" i="1"/>
  <c r="N210" i="1"/>
  <c r="P209" i="1"/>
  <c r="N209" i="1"/>
  <c r="P208" i="1"/>
  <c r="N208" i="1"/>
  <c r="P207" i="1"/>
  <c r="N207" i="1"/>
  <c r="P206" i="1"/>
  <c r="N206" i="1"/>
  <c r="P205" i="1"/>
  <c r="N205" i="1"/>
  <c r="P204" i="1"/>
  <c r="N204" i="1"/>
  <c r="P203" i="1"/>
  <c r="N203" i="1"/>
  <c r="P202" i="1"/>
  <c r="N202" i="1"/>
  <c r="P201" i="1"/>
  <c r="N201" i="1"/>
  <c r="P200" i="1"/>
  <c r="N200" i="1"/>
  <c r="P199" i="1"/>
  <c r="N199" i="1"/>
  <c r="P198" i="1"/>
  <c r="N198" i="1"/>
  <c r="P197" i="1"/>
  <c r="N197" i="1"/>
  <c r="P196" i="1"/>
  <c r="N196" i="1"/>
  <c r="P195" i="1"/>
  <c r="N195" i="1"/>
  <c r="P194" i="1"/>
  <c r="N194" i="1"/>
  <c r="P193" i="1"/>
  <c r="N193" i="1"/>
  <c r="P192" i="1"/>
  <c r="N192" i="1"/>
  <c r="P191" i="1"/>
  <c r="N191" i="1"/>
  <c r="P190" i="1"/>
  <c r="N190" i="1"/>
  <c r="P189" i="1"/>
  <c r="N189" i="1"/>
  <c r="P188" i="1"/>
  <c r="N188" i="1"/>
  <c r="P187" i="1"/>
  <c r="N187" i="1"/>
  <c r="P186" i="1"/>
  <c r="N186" i="1"/>
  <c r="P185" i="1"/>
  <c r="N185" i="1"/>
  <c r="P184" i="1"/>
  <c r="N184" i="1"/>
  <c r="K184" i="1"/>
  <c r="P183" i="1"/>
  <c r="N183" i="1"/>
  <c r="K183" i="1"/>
  <c r="P182" i="1"/>
  <c r="N182" i="1"/>
  <c r="K182" i="1"/>
  <c r="P181" i="1"/>
  <c r="N181" i="1"/>
  <c r="K181" i="1"/>
  <c r="P180" i="1"/>
  <c r="N180" i="1"/>
  <c r="K180" i="1"/>
  <c r="P179" i="1"/>
  <c r="N179" i="1"/>
  <c r="K179" i="1"/>
  <c r="P178" i="1"/>
  <c r="N178" i="1"/>
  <c r="K178" i="1"/>
  <c r="P177" i="1"/>
  <c r="N177" i="1"/>
  <c r="K177" i="1"/>
  <c r="P176" i="1"/>
  <c r="N176" i="1"/>
  <c r="K176" i="1"/>
  <c r="P175" i="1"/>
  <c r="N175" i="1"/>
  <c r="K175" i="1"/>
  <c r="P174" i="1"/>
  <c r="N174" i="1"/>
  <c r="K174" i="1"/>
  <c r="P173" i="1"/>
  <c r="N173" i="1"/>
  <c r="K173" i="1"/>
  <c r="P172" i="1"/>
  <c r="N172" i="1"/>
  <c r="K172" i="1"/>
  <c r="P171" i="1"/>
  <c r="N171" i="1"/>
  <c r="K171" i="1"/>
  <c r="P170" i="1"/>
  <c r="N170" i="1"/>
  <c r="K170" i="1"/>
  <c r="P169" i="1"/>
  <c r="N169" i="1"/>
  <c r="K169" i="1"/>
  <c r="P168" i="1"/>
  <c r="N168" i="1"/>
  <c r="K168" i="1"/>
  <c r="P167" i="1"/>
  <c r="N167" i="1"/>
  <c r="K167" i="1"/>
  <c r="P166" i="1"/>
  <c r="N166" i="1"/>
  <c r="K166" i="1"/>
  <c r="P165" i="1"/>
  <c r="N165" i="1"/>
  <c r="K165" i="1"/>
  <c r="P164" i="1"/>
  <c r="N164" i="1"/>
  <c r="K164" i="1"/>
  <c r="P163" i="1"/>
  <c r="N163" i="1"/>
  <c r="K163" i="1"/>
  <c r="P162" i="1"/>
  <c r="N162" i="1"/>
  <c r="K162" i="1"/>
  <c r="P161" i="1"/>
  <c r="N161" i="1"/>
  <c r="K161" i="1"/>
  <c r="P160" i="1"/>
  <c r="N160" i="1"/>
  <c r="K160" i="1"/>
  <c r="P159" i="1"/>
  <c r="N159" i="1"/>
  <c r="K159" i="1"/>
  <c r="P158" i="1"/>
  <c r="N158" i="1"/>
  <c r="K158" i="1"/>
  <c r="P157" i="1"/>
  <c r="N157" i="1"/>
  <c r="K157" i="1"/>
  <c r="P156" i="1"/>
  <c r="N156" i="1"/>
  <c r="K156" i="1"/>
  <c r="P155" i="1"/>
  <c r="N155" i="1"/>
  <c r="K155" i="1"/>
  <c r="P154" i="1"/>
  <c r="N154" i="1"/>
  <c r="K154" i="1"/>
  <c r="P153" i="1"/>
  <c r="N153" i="1"/>
  <c r="K153" i="1"/>
  <c r="P152" i="1"/>
  <c r="N152" i="1"/>
  <c r="K152" i="1"/>
  <c r="P151" i="1"/>
  <c r="N151" i="1"/>
  <c r="K151" i="1"/>
  <c r="P150" i="1"/>
  <c r="N150" i="1"/>
  <c r="K150" i="1"/>
  <c r="P149" i="1"/>
  <c r="N149" i="1"/>
  <c r="K149" i="1"/>
  <c r="P148" i="1"/>
  <c r="N148" i="1"/>
  <c r="K148" i="1"/>
  <c r="P147" i="1"/>
  <c r="N147" i="1"/>
  <c r="K147" i="1"/>
  <c r="P146" i="1"/>
  <c r="N146" i="1"/>
  <c r="K146" i="1"/>
  <c r="P145" i="1"/>
  <c r="N145" i="1"/>
  <c r="K145" i="1"/>
  <c r="P144" i="1"/>
  <c r="N144" i="1"/>
  <c r="K144" i="1"/>
  <c r="P143" i="1"/>
  <c r="N143" i="1"/>
  <c r="K143" i="1"/>
  <c r="P142" i="1"/>
  <c r="N142" i="1"/>
  <c r="K142" i="1"/>
  <c r="P141" i="1"/>
  <c r="N141" i="1"/>
  <c r="K141" i="1"/>
  <c r="P140" i="1"/>
  <c r="N140" i="1"/>
  <c r="K140" i="1"/>
  <c r="P139" i="1"/>
  <c r="N139" i="1"/>
  <c r="K139" i="1"/>
  <c r="P138" i="1"/>
  <c r="N138" i="1"/>
  <c r="K138" i="1"/>
  <c r="P137" i="1"/>
  <c r="N137" i="1"/>
  <c r="K137" i="1"/>
  <c r="P136" i="1"/>
  <c r="N136" i="1"/>
  <c r="K136" i="1"/>
  <c r="P135" i="1"/>
  <c r="N135" i="1"/>
  <c r="K135" i="1"/>
  <c r="P134" i="1"/>
  <c r="N134" i="1"/>
  <c r="K134" i="1"/>
  <c r="P133" i="1"/>
  <c r="N133" i="1"/>
  <c r="K133" i="1"/>
  <c r="P132" i="1"/>
  <c r="N132" i="1"/>
  <c r="K132" i="1"/>
  <c r="P131" i="1"/>
  <c r="N131" i="1"/>
  <c r="K131" i="1"/>
  <c r="P130" i="1"/>
  <c r="N130" i="1"/>
  <c r="K130" i="1"/>
  <c r="P129" i="1"/>
  <c r="N129" i="1"/>
  <c r="K129" i="1"/>
  <c r="P128" i="1"/>
  <c r="N128" i="1"/>
  <c r="K128" i="1"/>
  <c r="P127" i="1"/>
  <c r="N127" i="1"/>
  <c r="K127" i="1"/>
  <c r="P126" i="1"/>
  <c r="N126" i="1"/>
  <c r="K126" i="1"/>
  <c r="P125" i="1"/>
  <c r="N125" i="1"/>
  <c r="K125" i="1"/>
  <c r="P124" i="1"/>
  <c r="N124" i="1"/>
  <c r="K124" i="1"/>
  <c r="P123" i="1"/>
  <c r="N123" i="1"/>
  <c r="K123" i="1"/>
  <c r="P122" i="1"/>
  <c r="N122" i="1"/>
  <c r="K122" i="1"/>
  <c r="P121" i="1"/>
  <c r="N121" i="1"/>
  <c r="K121" i="1"/>
  <c r="P120" i="1"/>
  <c r="N120" i="1"/>
  <c r="K120" i="1"/>
  <c r="P119" i="1"/>
  <c r="N119" i="1"/>
  <c r="K119" i="1"/>
  <c r="P118" i="1"/>
  <c r="N118" i="1"/>
  <c r="K118" i="1"/>
  <c r="P117" i="1"/>
  <c r="N117" i="1"/>
  <c r="K117" i="1"/>
  <c r="P116" i="1"/>
  <c r="N116" i="1"/>
  <c r="K116" i="1"/>
  <c r="P115" i="1"/>
  <c r="N115" i="1"/>
  <c r="K115" i="1"/>
  <c r="P114" i="1"/>
  <c r="N114" i="1"/>
  <c r="K114" i="1"/>
  <c r="P113" i="1"/>
  <c r="N113" i="1"/>
  <c r="K113" i="1"/>
  <c r="P112" i="1"/>
  <c r="N112" i="1"/>
  <c r="K112" i="1"/>
  <c r="P111" i="1"/>
  <c r="N111" i="1"/>
  <c r="K111" i="1"/>
  <c r="P110" i="1"/>
  <c r="N110" i="1"/>
  <c r="K110" i="1"/>
  <c r="P109" i="1"/>
  <c r="N109" i="1"/>
  <c r="K109" i="1"/>
  <c r="P108" i="1"/>
  <c r="N108" i="1"/>
  <c r="K108" i="1"/>
  <c r="P107" i="1"/>
  <c r="N107" i="1"/>
  <c r="K107" i="1"/>
  <c r="P106" i="1"/>
  <c r="N106" i="1"/>
  <c r="K106" i="1"/>
  <c r="P105" i="1"/>
  <c r="N105" i="1"/>
  <c r="K105" i="1"/>
  <c r="P104" i="1"/>
  <c r="N104" i="1"/>
  <c r="K104" i="1"/>
  <c r="P103" i="1"/>
  <c r="N103" i="1"/>
  <c r="K103" i="1"/>
  <c r="P102" i="1"/>
  <c r="N102" i="1"/>
  <c r="K102" i="1"/>
  <c r="P101" i="1"/>
  <c r="N101" i="1"/>
  <c r="K101" i="1"/>
  <c r="P100" i="1"/>
  <c r="N100" i="1"/>
  <c r="K100" i="1"/>
  <c r="P99" i="1"/>
  <c r="N99" i="1"/>
  <c r="K99" i="1"/>
  <c r="P98" i="1"/>
  <c r="N98" i="1"/>
  <c r="K98" i="1"/>
  <c r="P97" i="1"/>
  <c r="N97" i="1"/>
  <c r="K97" i="1"/>
  <c r="P96" i="1"/>
  <c r="N96" i="1"/>
  <c r="K96" i="1"/>
  <c r="P95" i="1"/>
  <c r="N95" i="1"/>
  <c r="K95" i="1"/>
  <c r="P94" i="1"/>
  <c r="N94" i="1"/>
  <c r="K94" i="1"/>
  <c r="P93" i="1"/>
  <c r="N93" i="1"/>
  <c r="K93" i="1"/>
  <c r="P92" i="1"/>
  <c r="N92" i="1"/>
  <c r="K92" i="1"/>
  <c r="P91" i="1"/>
  <c r="N91" i="1"/>
  <c r="K91" i="1"/>
  <c r="P90" i="1"/>
  <c r="N90" i="1"/>
  <c r="K90" i="1"/>
  <c r="P89" i="1"/>
  <c r="N89" i="1"/>
  <c r="K89" i="1"/>
  <c r="P88" i="1"/>
  <c r="N88" i="1"/>
  <c r="K88" i="1"/>
  <c r="P87" i="1"/>
  <c r="N87" i="1"/>
  <c r="K87" i="1"/>
  <c r="P86" i="1"/>
  <c r="N86" i="1"/>
  <c r="K86" i="1"/>
  <c r="P85" i="1"/>
  <c r="N85" i="1"/>
  <c r="K85" i="1"/>
  <c r="P84" i="1"/>
  <c r="N84" i="1"/>
  <c r="K84" i="1"/>
  <c r="P83" i="1"/>
  <c r="N83" i="1"/>
  <c r="K83" i="1"/>
  <c r="P82" i="1"/>
  <c r="N82" i="1"/>
  <c r="K82" i="1"/>
  <c r="P81" i="1"/>
  <c r="N81" i="1"/>
  <c r="K81" i="1"/>
  <c r="P80" i="1"/>
  <c r="N80" i="1"/>
  <c r="K80" i="1"/>
  <c r="P79" i="1"/>
  <c r="N79" i="1"/>
  <c r="K79" i="1"/>
  <c r="P78" i="1"/>
  <c r="N78" i="1"/>
  <c r="K78" i="1"/>
  <c r="P77" i="1"/>
  <c r="N77" i="1"/>
  <c r="K77" i="1"/>
  <c r="P76" i="1"/>
  <c r="N76" i="1"/>
  <c r="K76" i="1"/>
  <c r="P75" i="1"/>
  <c r="N75" i="1"/>
  <c r="K75" i="1"/>
  <c r="P74" i="1"/>
  <c r="N74" i="1"/>
  <c r="K74" i="1"/>
  <c r="P73" i="1"/>
  <c r="N73" i="1"/>
  <c r="K73" i="1"/>
  <c r="P72" i="1"/>
  <c r="N72" i="1"/>
  <c r="K72" i="1"/>
  <c r="P71" i="1"/>
  <c r="N71" i="1"/>
  <c r="K71" i="1"/>
  <c r="P70" i="1"/>
  <c r="N70" i="1"/>
  <c r="K70" i="1"/>
  <c r="P69" i="1"/>
  <c r="N69" i="1"/>
  <c r="K69" i="1"/>
  <c r="P68" i="1"/>
  <c r="N68" i="1"/>
  <c r="K68" i="1"/>
  <c r="P67" i="1"/>
  <c r="N67" i="1"/>
  <c r="K67" i="1"/>
  <c r="P66" i="1"/>
  <c r="N66" i="1"/>
  <c r="K66" i="1"/>
  <c r="P65" i="1"/>
  <c r="N65" i="1"/>
  <c r="K65" i="1"/>
  <c r="P64" i="1"/>
  <c r="N64" i="1"/>
  <c r="K64" i="1"/>
  <c r="P63" i="1"/>
  <c r="N63" i="1"/>
  <c r="K63" i="1"/>
  <c r="P62" i="1"/>
  <c r="N62" i="1"/>
  <c r="K62" i="1"/>
  <c r="P61" i="1"/>
  <c r="N61" i="1"/>
  <c r="K61" i="1"/>
  <c r="P60" i="1"/>
  <c r="N60" i="1"/>
  <c r="K60" i="1"/>
  <c r="P59" i="1"/>
  <c r="N59" i="1"/>
  <c r="K59" i="1"/>
  <c r="P58" i="1"/>
  <c r="N58" i="1"/>
  <c r="K58" i="1"/>
  <c r="P57" i="1"/>
  <c r="N57" i="1"/>
  <c r="K57" i="1"/>
  <c r="P56" i="1"/>
  <c r="N56" i="1"/>
  <c r="K56" i="1"/>
  <c r="P55" i="1"/>
  <c r="N55" i="1"/>
  <c r="K55" i="1"/>
  <c r="R54" i="1"/>
  <c r="P54" i="1"/>
  <c r="N54" i="1"/>
  <c r="H54" i="1"/>
  <c r="K54" i="1" s="1"/>
  <c r="R53" i="1"/>
  <c r="P53" i="1"/>
  <c r="N53" i="1"/>
  <c r="K53" i="1"/>
  <c r="R52" i="1"/>
  <c r="P52" i="1"/>
  <c r="N52" i="1"/>
  <c r="K52" i="1"/>
  <c r="R51" i="1"/>
  <c r="P51" i="1"/>
  <c r="N51" i="1"/>
  <c r="H51" i="1"/>
  <c r="R50" i="1"/>
  <c r="P50" i="1"/>
  <c r="N50" i="1"/>
  <c r="K50" i="1"/>
  <c r="R49" i="1"/>
  <c r="P49" i="1"/>
  <c r="N49" i="1"/>
  <c r="K49" i="1"/>
  <c r="R48" i="1"/>
  <c r="P48" i="1"/>
  <c r="N48" i="1"/>
  <c r="K48" i="1"/>
  <c r="R47" i="1"/>
  <c r="P47" i="1"/>
  <c r="N47" i="1"/>
  <c r="K47" i="1"/>
  <c r="R46" i="1"/>
  <c r="P46" i="1"/>
  <c r="N46" i="1"/>
  <c r="K46" i="1"/>
  <c r="R45" i="1"/>
  <c r="P45" i="1"/>
  <c r="N45" i="1"/>
  <c r="K45" i="1"/>
  <c r="R44" i="1"/>
  <c r="P44" i="1"/>
  <c r="N44" i="1"/>
  <c r="K44" i="1"/>
  <c r="R43" i="1"/>
  <c r="P43" i="1"/>
  <c r="N43" i="1"/>
  <c r="K43" i="1"/>
  <c r="R42" i="1"/>
  <c r="P42" i="1"/>
  <c r="N42" i="1"/>
  <c r="K42" i="1"/>
  <c r="R41" i="1"/>
  <c r="P41" i="1"/>
  <c r="N41" i="1"/>
  <c r="K41" i="1"/>
  <c r="R40" i="1"/>
  <c r="P40" i="1"/>
  <c r="N40" i="1"/>
  <c r="K40" i="1"/>
  <c r="R39" i="1"/>
  <c r="P39" i="1"/>
  <c r="N39" i="1"/>
  <c r="K39" i="1"/>
  <c r="R38" i="1"/>
  <c r="P38" i="1"/>
  <c r="N38" i="1"/>
  <c r="K38" i="1"/>
  <c r="A38" i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R37" i="1"/>
  <c r="P37" i="1"/>
  <c r="N37" i="1"/>
  <c r="K37" i="1"/>
  <c r="D6" i="1"/>
  <c r="O2917" i="1" l="1"/>
  <c r="S575" i="1"/>
  <c r="S583" i="1"/>
  <c r="S591" i="1"/>
  <c r="S599" i="1"/>
  <c r="S607" i="1"/>
  <c r="S615" i="1"/>
  <c r="S623" i="1"/>
  <c r="S631" i="1"/>
  <c r="S639" i="1"/>
  <c r="S647" i="1"/>
  <c r="S655" i="1"/>
  <c r="S663" i="1"/>
  <c r="S671" i="1"/>
  <c r="S679" i="1"/>
  <c r="S687" i="1"/>
  <c r="S695" i="1"/>
  <c r="S703" i="1"/>
  <c r="S711" i="1"/>
  <c r="S719" i="1"/>
  <c r="S727" i="1"/>
  <c r="S735" i="1"/>
  <c r="S743" i="1"/>
  <c r="S751" i="1"/>
  <c r="S759" i="1"/>
  <c r="S767" i="1"/>
  <c r="S775" i="1"/>
  <c r="S783" i="1"/>
  <c r="S791" i="1"/>
  <c r="S799" i="1"/>
  <c r="S807" i="1"/>
  <c r="S815" i="1"/>
  <c r="S823" i="1"/>
  <c r="S831" i="1"/>
  <c r="S839" i="1"/>
  <c r="S847" i="1"/>
  <c r="S855" i="1"/>
  <c r="S863" i="1"/>
  <c r="S871" i="1"/>
  <c r="S879" i="1"/>
  <c r="S887" i="1"/>
  <c r="S895" i="1"/>
  <c r="S903" i="1"/>
  <c r="S911" i="1"/>
  <c r="S919" i="1"/>
  <c r="S927" i="1"/>
  <c r="S935" i="1"/>
  <c r="S943" i="1"/>
  <c r="S951" i="1"/>
  <c r="S959" i="1"/>
  <c r="S967" i="1"/>
  <c r="S975" i="1"/>
  <c r="S983" i="1"/>
  <c r="S991" i="1"/>
  <c r="S999" i="1"/>
  <c r="S1007" i="1"/>
  <c r="S1015" i="1"/>
  <c r="S1023" i="1"/>
  <c r="S1031" i="1"/>
  <c r="S1039" i="1"/>
  <c r="S1047" i="1"/>
  <c r="S1055" i="1"/>
  <c r="S1063" i="1"/>
  <c r="S1071" i="1"/>
  <c r="S1079" i="1"/>
  <c r="S1087" i="1"/>
  <c r="S1095" i="1"/>
  <c r="S1103" i="1"/>
  <c r="S1111" i="1"/>
  <c r="S1119" i="1"/>
  <c r="S1127" i="1"/>
  <c r="S1135" i="1"/>
  <c r="S1143" i="1"/>
  <c r="S1151" i="1"/>
  <c r="S1159" i="1"/>
  <c r="S1167" i="1"/>
  <c r="S1175" i="1"/>
  <c r="S1183" i="1"/>
  <c r="S1191" i="1"/>
  <c r="S1199" i="1"/>
  <c r="S1207" i="1"/>
  <c r="S1215" i="1"/>
  <c r="S1223" i="1"/>
  <c r="S1231" i="1"/>
  <c r="S1239" i="1"/>
  <c r="S1247" i="1"/>
  <c r="S1263" i="1"/>
  <c r="S1282" i="1"/>
  <c r="S1293" i="1"/>
  <c r="S1302" i="1"/>
  <c r="S1310" i="1"/>
  <c r="S1326" i="1"/>
  <c r="S1334" i="1"/>
  <c r="S1342" i="1"/>
  <c r="S1350" i="1"/>
  <c r="S1358" i="1"/>
  <c r="S1366" i="1"/>
  <c r="S1374" i="1"/>
  <c r="S1382" i="1"/>
  <c r="S1390" i="1"/>
  <c r="S1398" i="1"/>
  <c r="S1406" i="1"/>
  <c r="S1414" i="1"/>
  <c r="S1422" i="1"/>
  <c r="S1430" i="1"/>
  <c r="S1438" i="1"/>
  <c r="S1446" i="1"/>
  <c r="S1454" i="1"/>
  <c r="S1462" i="1"/>
  <c r="S1470" i="1"/>
  <c r="S1478" i="1"/>
  <c r="S1486" i="1"/>
  <c r="S1494" i="1"/>
  <c r="S1502" i="1"/>
  <c r="S1510" i="1"/>
  <c r="S1518" i="1"/>
  <c r="S1526" i="1"/>
  <c r="S1534" i="1"/>
  <c r="S1542" i="1"/>
  <c r="S1550" i="1"/>
  <c r="S1558" i="1"/>
  <c r="S1566" i="1"/>
  <c r="S1574" i="1"/>
  <c r="S1582" i="1"/>
  <c r="S1590" i="1"/>
  <c r="S1598" i="1"/>
  <c r="S1606" i="1"/>
  <c r="S1614" i="1"/>
  <c r="S1622" i="1"/>
  <c r="S1630" i="1"/>
  <c r="S1638" i="1"/>
  <c r="S1646" i="1"/>
  <c r="S1654" i="1"/>
  <c r="S1662" i="1"/>
  <c r="S1670" i="1"/>
  <c r="S1678" i="1"/>
  <c r="S1686" i="1"/>
  <c r="S1694" i="1"/>
  <c r="S1702" i="1"/>
  <c r="S1710" i="1"/>
  <c r="S1718" i="1"/>
  <c r="S1726" i="1"/>
  <c r="S1734" i="1"/>
  <c r="S1742" i="1"/>
  <c r="S1750" i="1"/>
  <c r="S1758" i="1"/>
  <c r="S1766" i="1"/>
  <c r="S1774" i="1"/>
  <c r="S1782" i="1"/>
  <c r="S1790" i="1"/>
  <c r="S1798" i="1"/>
  <c r="S1806" i="1"/>
  <c r="S1814" i="1"/>
  <c r="S1822" i="1"/>
  <c r="S1830" i="1"/>
  <c r="S1838" i="1"/>
  <c r="S1846" i="1"/>
  <c r="S1854" i="1"/>
  <c r="S1862" i="1"/>
  <c r="S264" i="1"/>
  <c r="S280" i="1"/>
  <c r="S296" i="1"/>
  <c r="S316" i="1"/>
  <c r="S320" i="1"/>
  <c r="S336" i="1"/>
  <c r="S344" i="1"/>
  <c r="S348" i="1"/>
  <c r="S380" i="1"/>
  <c r="S396" i="1"/>
  <c r="S404" i="1"/>
  <c r="S416" i="1"/>
  <c r="S424" i="1"/>
  <c r="S468" i="1"/>
  <c r="S492" i="1"/>
  <c r="S508" i="1"/>
  <c r="S516" i="1"/>
  <c r="S524" i="1"/>
  <c r="S540" i="1"/>
  <c r="S548" i="1"/>
  <c r="S552" i="1"/>
  <c r="S574" i="1"/>
  <c r="S582" i="1"/>
  <c r="S39" i="1"/>
  <c r="S41" i="1"/>
  <c r="S43" i="1"/>
  <c r="S45" i="1"/>
  <c r="S47" i="1"/>
  <c r="S49" i="1"/>
  <c r="S53" i="1"/>
  <c r="S60" i="1"/>
  <c r="S68" i="1"/>
  <c r="S76" i="1"/>
  <c r="S84" i="1"/>
  <c r="S92" i="1"/>
  <c r="S100" i="1"/>
  <c r="S108" i="1"/>
  <c r="S116" i="1"/>
  <c r="S124" i="1"/>
  <c r="S132" i="1"/>
  <c r="S140" i="1"/>
  <c r="S148" i="1"/>
  <c r="S156" i="1"/>
  <c r="S164" i="1"/>
  <c r="S172" i="1"/>
  <c r="S180" i="1"/>
  <c r="S254" i="1"/>
  <c r="S278" i="1"/>
  <c r="S306" i="1"/>
  <c r="S310" i="1"/>
  <c r="S322" i="1"/>
  <c r="S334" i="1"/>
  <c r="S350" i="1"/>
  <c r="S354" i="1"/>
  <c r="S378" i="1"/>
  <c r="S390" i="1"/>
  <c r="S410" i="1"/>
  <c r="S474" i="1"/>
  <c r="S482" i="1"/>
  <c r="S498" i="1"/>
  <c r="S506" i="1"/>
  <c r="S514" i="1"/>
  <c r="S518" i="1"/>
  <c r="S522" i="1"/>
  <c r="S556" i="1"/>
  <c r="S570" i="1"/>
  <c r="S58" i="1"/>
  <c r="S66" i="1"/>
  <c r="S74" i="1"/>
  <c r="S82" i="1"/>
  <c r="S90" i="1"/>
  <c r="S98" i="1"/>
  <c r="S106" i="1"/>
  <c r="S114" i="1"/>
  <c r="S122" i="1"/>
  <c r="S130" i="1"/>
  <c r="S138" i="1"/>
  <c r="S146" i="1"/>
  <c r="S154" i="1"/>
  <c r="S162" i="1"/>
  <c r="S170" i="1"/>
  <c r="S178" i="1"/>
  <c r="S239" i="1"/>
  <c r="S251" i="1"/>
  <c r="S299" i="1"/>
  <c r="S303" i="1"/>
  <c r="S327" i="1"/>
  <c r="S363" i="1"/>
  <c r="S391" i="1"/>
  <c r="S407" i="1"/>
  <c r="S411" i="1"/>
  <c r="S419" i="1"/>
  <c r="S427" i="1"/>
  <c r="S443" i="1"/>
  <c r="S455" i="1"/>
  <c r="S59" i="1"/>
  <c r="S67" i="1"/>
  <c r="S75" i="1"/>
  <c r="S83" i="1"/>
  <c r="S91" i="1"/>
  <c r="S99" i="1"/>
  <c r="S107" i="1"/>
  <c r="S115" i="1"/>
  <c r="S123" i="1"/>
  <c r="S131" i="1"/>
  <c r="S139" i="1"/>
  <c r="S555" i="1"/>
  <c r="S569" i="1"/>
  <c r="S55" i="1"/>
  <c r="S63" i="1"/>
  <c r="S71" i="1"/>
  <c r="S79" i="1"/>
  <c r="S87" i="1"/>
  <c r="S95" i="1"/>
  <c r="S103" i="1"/>
  <c r="S111" i="1"/>
  <c r="S119" i="1"/>
  <c r="S61" i="1"/>
  <c r="S69" i="1"/>
  <c r="S77" i="1"/>
  <c r="S85" i="1"/>
  <c r="S93" i="1"/>
  <c r="S101" i="1"/>
  <c r="S109" i="1"/>
  <c r="S117" i="1"/>
  <c r="S125" i="1"/>
  <c r="S38" i="1"/>
  <c r="S40" i="1"/>
  <c r="S42" i="1"/>
  <c r="S44" i="1"/>
  <c r="S46" i="1"/>
  <c r="S48" i="1"/>
  <c r="S50" i="1"/>
  <c r="S52" i="1"/>
  <c r="S54" i="1"/>
  <c r="S62" i="1"/>
  <c r="S70" i="1"/>
  <c r="S78" i="1"/>
  <c r="S86" i="1"/>
  <c r="S94" i="1"/>
  <c r="S102" i="1"/>
  <c r="S110" i="1"/>
  <c r="S118" i="1"/>
  <c r="S127" i="1"/>
  <c r="S135" i="1"/>
  <c r="S143" i="1"/>
  <c r="S151" i="1"/>
  <c r="S159" i="1"/>
  <c r="S167" i="1"/>
  <c r="S175" i="1"/>
  <c r="S183" i="1"/>
  <c r="S133" i="1"/>
  <c r="S141" i="1"/>
  <c r="S149" i="1"/>
  <c r="S157" i="1"/>
  <c r="S165" i="1"/>
  <c r="S173" i="1"/>
  <c r="S181" i="1"/>
  <c r="S571" i="1"/>
  <c r="S147" i="1"/>
  <c r="S155" i="1"/>
  <c r="S163" i="1"/>
  <c r="S171" i="1"/>
  <c r="S179" i="1"/>
  <c r="S126" i="1"/>
  <c r="S134" i="1"/>
  <c r="S142" i="1"/>
  <c r="S150" i="1"/>
  <c r="S158" i="1"/>
  <c r="S166" i="1"/>
  <c r="S174" i="1"/>
  <c r="S182" i="1"/>
  <c r="S253" i="1"/>
  <c r="S261" i="1"/>
  <c r="S265" i="1"/>
  <c r="S305" i="1"/>
  <c r="S483" i="1"/>
  <c r="S491" i="1"/>
  <c r="S495" i="1"/>
  <c r="S507" i="1"/>
  <c r="S547" i="1"/>
  <c r="S551" i="1"/>
  <c r="S554" i="1"/>
  <c r="S573" i="1"/>
  <c r="S581" i="1"/>
  <c r="S589" i="1"/>
  <c r="S597" i="1"/>
  <c r="S605" i="1"/>
  <c r="S613" i="1"/>
  <c r="S621" i="1"/>
  <c r="S629" i="1"/>
  <c r="S637" i="1"/>
  <c r="S645" i="1"/>
  <c r="S653" i="1"/>
  <c r="S661" i="1"/>
  <c r="S669" i="1"/>
  <c r="S677" i="1"/>
  <c r="S685" i="1"/>
  <c r="S693" i="1"/>
  <c r="S701" i="1"/>
  <c r="S709" i="1"/>
  <c r="S717" i="1"/>
  <c r="S725" i="1"/>
  <c r="S733" i="1"/>
  <c r="S741" i="1"/>
  <c r="S749" i="1"/>
  <c r="S757" i="1"/>
  <c r="S765" i="1"/>
  <c r="S773" i="1"/>
  <c r="S781" i="1"/>
  <c r="S789" i="1"/>
  <c r="S797" i="1"/>
  <c r="S805" i="1"/>
  <c r="S813" i="1"/>
  <c r="S821" i="1"/>
  <c r="S829" i="1"/>
  <c r="S837" i="1"/>
  <c r="S845" i="1"/>
  <c r="S853" i="1"/>
  <c r="S861" i="1"/>
  <c r="S869" i="1"/>
  <c r="S877" i="1"/>
  <c r="S885" i="1"/>
  <c r="S893" i="1"/>
  <c r="S901" i="1"/>
  <c r="S909" i="1"/>
  <c r="S917" i="1"/>
  <c r="S925" i="1"/>
  <c r="S933" i="1"/>
  <c r="S941" i="1"/>
  <c r="S949" i="1"/>
  <c r="S957" i="1"/>
  <c r="S965" i="1"/>
  <c r="S973" i="1"/>
  <c r="S981" i="1"/>
  <c r="S989" i="1"/>
  <c r="S997" i="1"/>
  <c r="S1005" i="1"/>
  <c r="S1013" i="1"/>
  <c r="S1021" i="1"/>
  <c r="S1029" i="1"/>
  <c r="S64" i="1"/>
  <c r="S72" i="1"/>
  <c r="S80" i="1"/>
  <c r="S88" i="1"/>
  <c r="S96" i="1"/>
  <c r="S104" i="1"/>
  <c r="S112" i="1"/>
  <c r="S120" i="1"/>
  <c r="S128" i="1"/>
  <c r="S136" i="1"/>
  <c r="S144" i="1"/>
  <c r="S152" i="1"/>
  <c r="S160" i="1"/>
  <c r="S168" i="1"/>
  <c r="S176" i="1"/>
  <c r="S184" i="1"/>
  <c r="S208" i="1"/>
  <c r="S248" i="1"/>
  <c r="S590" i="1"/>
  <c r="S598" i="1"/>
  <c r="S606" i="1"/>
  <c r="S614" i="1"/>
  <c r="S622" i="1"/>
  <c r="S630" i="1"/>
  <c r="S638" i="1"/>
  <c r="S646" i="1"/>
  <c r="S337" i="1"/>
  <c r="S349" i="1"/>
  <c r="S373" i="1"/>
  <c r="S385" i="1"/>
  <c r="S441" i="1"/>
  <c r="S445" i="1"/>
  <c r="S461" i="1"/>
  <c r="S477" i="1"/>
  <c r="S481" i="1"/>
  <c r="S525" i="1"/>
  <c r="S533" i="1"/>
  <c r="S549" i="1"/>
  <c r="S577" i="1"/>
  <c r="S585" i="1"/>
  <c r="S593" i="1"/>
  <c r="S601" i="1"/>
  <c r="S609" i="1"/>
  <c r="S617" i="1"/>
  <c r="S625" i="1"/>
  <c r="S633" i="1"/>
  <c r="S641" i="1"/>
  <c r="S649" i="1"/>
  <c r="S657" i="1"/>
  <c r="S665" i="1"/>
  <c r="S673" i="1"/>
  <c r="S681" i="1"/>
  <c r="S689" i="1"/>
  <c r="S697" i="1"/>
  <c r="S705" i="1"/>
  <c r="S713" i="1"/>
  <c r="S721" i="1"/>
  <c r="S729" i="1"/>
  <c r="S737" i="1"/>
  <c r="S745" i="1"/>
  <c r="S753" i="1"/>
  <c r="S761" i="1"/>
  <c r="S769" i="1"/>
  <c r="S777" i="1"/>
  <c r="S785" i="1"/>
  <c r="S793" i="1"/>
  <c r="S801" i="1"/>
  <c r="S809" i="1"/>
  <c r="S817" i="1"/>
  <c r="S825" i="1"/>
  <c r="S833" i="1"/>
  <c r="S841" i="1"/>
  <c r="S849" i="1"/>
  <c r="S857" i="1"/>
  <c r="S865" i="1"/>
  <c r="S873" i="1"/>
  <c r="S881" i="1"/>
  <c r="S889" i="1"/>
  <c r="S897" i="1"/>
  <c r="S905" i="1"/>
  <c r="S913" i="1"/>
  <c r="S921" i="1"/>
  <c r="S929" i="1"/>
  <c r="S937" i="1"/>
  <c r="S945" i="1"/>
  <c r="S953" i="1"/>
  <c r="S961" i="1"/>
  <c r="S969" i="1"/>
  <c r="S977" i="1"/>
  <c r="S985" i="1"/>
  <c r="S993" i="1"/>
  <c r="S1001" i="1"/>
  <c r="S1009" i="1"/>
  <c r="S1017" i="1"/>
  <c r="S1025" i="1"/>
  <c r="S1033" i="1"/>
  <c r="S65" i="1"/>
  <c r="S73" i="1"/>
  <c r="S81" i="1"/>
  <c r="S89" i="1"/>
  <c r="S97" i="1"/>
  <c r="S105" i="1"/>
  <c r="S113" i="1"/>
  <c r="S121" i="1"/>
  <c r="S129" i="1"/>
  <c r="S137" i="1"/>
  <c r="S145" i="1"/>
  <c r="S153" i="1"/>
  <c r="S161" i="1"/>
  <c r="S169" i="1"/>
  <c r="S177" i="1"/>
  <c r="S1037" i="1"/>
  <c r="S1045" i="1"/>
  <c r="S1053" i="1"/>
  <c r="S1061" i="1"/>
  <c r="S1069" i="1"/>
  <c r="S1077" i="1"/>
  <c r="S1085" i="1"/>
  <c r="S1093" i="1"/>
  <c r="S1101" i="1"/>
  <c r="S1109" i="1"/>
  <c r="S1117" i="1"/>
  <c r="S1125" i="1"/>
  <c r="S1133" i="1"/>
  <c r="S1141" i="1"/>
  <c r="S1149" i="1"/>
  <c r="S1157" i="1"/>
  <c r="S1165" i="1"/>
  <c r="S1173" i="1"/>
  <c r="S1181" i="1"/>
  <c r="S1189" i="1"/>
  <c r="S1197" i="1"/>
  <c r="S1205" i="1"/>
  <c r="S1213" i="1"/>
  <c r="S1221" i="1"/>
  <c r="S1229" i="1"/>
  <c r="S1237" i="1"/>
  <c r="S1245" i="1"/>
  <c r="S1253" i="1"/>
  <c r="S1261" i="1"/>
  <c r="S1269" i="1"/>
  <c r="S1280" i="1"/>
  <c r="S1288" i="1"/>
  <c r="S1291" i="1"/>
  <c r="S1299" i="1"/>
  <c r="S1308" i="1"/>
  <c r="S1324" i="1"/>
  <c r="S1332" i="1"/>
  <c r="S1340" i="1"/>
  <c r="S1348" i="1"/>
  <c r="S1356" i="1"/>
  <c r="S1364" i="1"/>
  <c r="S1372" i="1"/>
  <c r="S1380" i="1"/>
  <c r="S1388" i="1"/>
  <c r="S1396" i="1"/>
  <c r="S1404" i="1"/>
  <c r="S1412" i="1"/>
  <c r="S1420" i="1"/>
  <c r="S1428" i="1"/>
  <c r="S1436" i="1"/>
  <c r="S1444" i="1"/>
  <c r="S1452" i="1"/>
  <c r="S1460" i="1"/>
  <c r="S1468" i="1"/>
  <c r="S1476" i="1"/>
  <c r="S1484" i="1"/>
  <c r="S1492" i="1"/>
  <c r="S1500" i="1"/>
  <c r="S1508" i="1"/>
  <c r="S1516" i="1"/>
  <c r="S1524" i="1"/>
  <c r="S1532" i="1"/>
  <c r="S1540" i="1"/>
  <c r="S1548" i="1"/>
  <c r="S1556" i="1"/>
  <c r="S1564" i="1"/>
  <c r="S1572" i="1"/>
  <c r="S1580" i="1"/>
  <c r="S1588" i="1"/>
  <c r="S1596" i="1"/>
  <c r="S1604" i="1"/>
  <c r="S1612" i="1"/>
  <c r="S1620" i="1"/>
  <c r="S1628" i="1"/>
  <c r="S1636" i="1"/>
  <c r="S1644" i="1"/>
  <c r="S1652" i="1"/>
  <c r="S1660" i="1"/>
  <c r="S1668" i="1"/>
  <c r="S1676" i="1"/>
  <c r="S1684" i="1"/>
  <c r="S1692" i="1"/>
  <c r="S1700" i="1"/>
  <c r="S1708" i="1"/>
  <c r="S1716" i="1"/>
  <c r="S1041" i="1"/>
  <c r="S1049" i="1"/>
  <c r="S1057" i="1"/>
  <c r="S1065" i="1"/>
  <c r="S1073" i="1"/>
  <c r="S1081" i="1"/>
  <c r="S1089" i="1"/>
  <c r="S1097" i="1"/>
  <c r="S1105" i="1"/>
  <c r="S1113" i="1"/>
  <c r="S1121" i="1"/>
  <c r="S1129" i="1"/>
  <c r="S1137" i="1"/>
  <c r="S1145" i="1"/>
  <c r="S1153" i="1"/>
  <c r="S1161" i="1"/>
  <c r="S1169" i="1"/>
  <c r="S1177" i="1"/>
  <c r="S1185" i="1"/>
  <c r="S1193" i="1"/>
  <c r="S1201" i="1"/>
  <c r="S1209" i="1"/>
  <c r="S1217" i="1"/>
  <c r="S1225" i="1"/>
  <c r="S1233" i="1"/>
  <c r="S1241" i="1"/>
  <c r="S1249" i="1"/>
  <c r="S1257" i="1"/>
  <c r="S1265" i="1"/>
  <c r="S1284" i="1"/>
  <c r="S1295" i="1"/>
  <c r="S1304" i="1"/>
  <c r="S1312" i="1"/>
  <c r="S1328" i="1"/>
  <c r="S1336" i="1"/>
  <c r="S1344" i="1"/>
  <c r="S1352" i="1"/>
  <c r="S1360" i="1"/>
  <c r="S1368" i="1"/>
  <c r="S1376" i="1"/>
  <c r="S1384" i="1"/>
  <c r="S1392" i="1"/>
  <c r="S1400" i="1"/>
  <c r="S1408" i="1"/>
  <c r="S1416" i="1"/>
  <c r="S1424" i="1"/>
  <c r="S1432" i="1"/>
  <c r="S1440" i="1"/>
  <c r="S1448" i="1"/>
  <c r="S1456" i="1"/>
  <c r="S1464" i="1"/>
  <c r="S1472" i="1"/>
  <c r="S1480" i="1"/>
  <c r="S1488" i="1"/>
  <c r="S1496" i="1"/>
  <c r="S1504" i="1"/>
  <c r="S1512" i="1"/>
  <c r="S1520" i="1"/>
  <c r="S1528" i="1"/>
  <c r="S1536" i="1"/>
  <c r="S1544" i="1"/>
  <c r="S1552" i="1"/>
  <c r="S1560" i="1"/>
  <c r="S1568" i="1"/>
  <c r="S1576" i="1"/>
  <c r="S1584" i="1"/>
  <c r="S1592" i="1"/>
  <c r="S1600" i="1"/>
  <c r="S1608" i="1"/>
  <c r="S1616" i="1"/>
  <c r="S1624" i="1"/>
  <c r="S1632" i="1"/>
  <c r="S1640" i="1"/>
  <c r="S1648" i="1"/>
  <c r="S1656" i="1"/>
  <c r="S1664" i="1"/>
  <c r="S1672" i="1"/>
  <c r="S1680" i="1"/>
  <c r="S1688" i="1"/>
  <c r="S1696" i="1"/>
  <c r="S1704" i="1"/>
  <c r="S1712" i="1"/>
  <c r="S1720" i="1"/>
  <c r="S1728" i="1"/>
  <c r="S1736" i="1"/>
  <c r="S1744" i="1"/>
  <c r="S1752" i="1"/>
  <c r="S1760" i="1"/>
  <c r="S1768" i="1"/>
  <c r="S1776" i="1"/>
  <c r="S1784" i="1"/>
  <c r="S1792" i="1"/>
  <c r="S1800" i="1"/>
  <c r="S1808" i="1"/>
  <c r="S1816" i="1"/>
  <c r="S1824" i="1"/>
  <c r="S1832" i="1"/>
  <c r="S1840" i="1"/>
  <c r="S1848" i="1"/>
  <c r="S1856" i="1"/>
  <c r="S1864" i="1"/>
  <c r="S1473" i="1"/>
  <c r="S1481" i="1"/>
  <c r="S1489" i="1"/>
  <c r="S1497" i="1"/>
  <c r="S1505" i="1"/>
  <c r="S1513" i="1"/>
  <c r="S1521" i="1"/>
  <c r="S1529" i="1"/>
  <c r="S1537" i="1"/>
  <c r="S1545" i="1"/>
  <c r="S1553" i="1"/>
  <c r="S1561" i="1"/>
  <c r="S1569" i="1"/>
  <c r="S1577" i="1"/>
  <c r="S1585" i="1"/>
  <c r="S1593" i="1"/>
  <c r="S1601" i="1"/>
  <c r="S1609" i="1"/>
  <c r="S1617" i="1"/>
  <c r="S1625" i="1"/>
  <c r="S1633" i="1"/>
  <c r="S1641" i="1"/>
  <c r="S1649" i="1"/>
  <c r="S1657" i="1"/>
  <c r="S1665" i="1"/>
  <c r="S1673" i="1"/>
  <c r="S1681" i="1"/>
  <c r="S1689" i="1"/>
  <c r="S1697" i="1"/>
  <c r="S1705" i="1"/>
  <c r="S1721" i="1"/>
  <c r="S1729" i="1"/>
  <c r="S1737" i="1"/>
  <c r="S1745" i="1"/>
  <c r="S1753" i="1"/>
  <c r="S1761" i="1"/>
  <c r="S1769" i="1"/>
  <c r="S1777" i="1"/>
  <c r="S1785" i="1"/>
  <c r="S1793" i="1"/>
  <c r="S579" i="1"/>
  <c r="S587" i="1"/>
  <c r="S595" i="1"/>
  <c r="S603" i="1"/>
  <c r="S611" i="1"/>
  <c r="S619" i="1"/>
  <c r="S627" i="1"/>
  <c r="S635" i="1"/>
  <c r="S643" i="1"/>
  <c r="S651" i="1"/>
  <c r="S659" i="1"/>
  <c r="S667" i="1"/>
  <c r="S675" i="1"/>
  <c r="S683" i="1"/>
  <c r="S691" i="1"/>
  <c r="S699" i="1"/>
  <c r="S707" i="1"/>
  <c r="S715" i="1"/>
  <c r="S723" i="1"/>
  <c r="S731" i="1"/>
  <c r="S739" i="1"/>
  <c r="S747" i="1"/>
  <c r="S755" i="1"/>
  <c r="S763" i="1"/>
  <c r="S771" i="1"/>
  <c r="S779" i="1"/>
  <c r="S787" i="1"/>
  <c r="S795" i="1"/>
  <c r="S803" i="1"/>
  <c r="S811" i="1"/>
  <c r="S819" i="1"/>
  <c r="S827" i="1"/>
  <c r="S835" i="1"/>
  <c r="S843" i="1"/>
  <c r="S851" i="1"/>
  <c r="S859" i="1"/>
  <c r="S867" i="1"/>
  <c r="S875" i="1"/>
  <c r="S883" i="1"/>
  <c r="S891" i="1"/>
  <c r="S899" i="1"/>
  <c r="S907" i="1"/>
  <c r="S915" i="1"/>
  <c r="S923" i="1"/>
  <c r="S931" i="1"/>
  <c r="S939" i="1"/>
  <c r="S947" i="1"/>
  <c r="S955" i="1"/>
  <c r="S963" i="1"/>
  <c r="S971" i="1"/>
  <c r="S979" i="1"/>
  <c r="S987" i="1"/>
  <c r="S995" i="1"/>
  <c r="S1003" i="1"/>
  <c r="S1011" i="1"/>
  <c r="S1019" i="1"/>
  <c r="S1027" i="1"/>
  <c r="S1035" i="1"/>
  <c r="S1043" i="1"/>
  <c r="S1051" i="1"/>
  <c r="S1059" i="1"/>
  <c r="S1067" i="1"/>
  <c r="S1075" i="1"/>
  <c r="S1083" i="1"/>
  <c r="S1091" i="1"/>
  <c r="S1099" i="1"/>
  <c r="S1107" i="1"/>
  <c r="S1115" i="1"/>
  <c r="S1123" i="1"/>
  <c r="S1131" i="1"/>
  <c r="S1139" i="1"/>
  <c r="S1147" i="1"/>
  <c r="S1155" i="1"/>
  <c r="S1163" i="1"/>
  <c r="S1171" i="1"/>
  <c r="S1179" i="1"/>
  <c r="S1187" i="1"/>
  <c r="S1195" i="1"/>
  <c r="S1203" i="1"/>
  <c r="S1211" i="1"/>
  <c r="S1219" i="1"/>
  <c r="S1227" i="1"/>
  <c r="S1235" i="1"/>
  <c r="S1243" i="1"/>
  <c r="S1251" i="1"/>
  <c r="S1259" i="1"/>
  <c r="S1267" i="1"/>
  <c r="S1278" i="1"/>
  <c r="S1286" i="1"/>
  <c r="S1297" i="1"/>
  <c r="S1306" i="1"/>
  <c r="S1314" i="1"/>
  <c r="S1322" i="1"/>
  <c r="S1330" i="1"/>
  <c r="S1338" i="1"/>
  <c r="S1346" i="1"/>
  <c r="S1354" i="1"/>
  <c r="S1362" i="1"/>
  <c r="S1370" i="1"/>
  <c r="S1378" i="1"/>
  <c r="S1386" i="1"/>
  <c r="S1394" i="1"/>
  <c r="S1402" i="1"/>
  <c r="S1410" i="1"/>
  <c r="S1418" i="1"/>
  <c r="S1426" i="1"/>
  <c r="S1434" i="1"/>
  <c r="S1442" i="1"/>
  <c r="S1450" i="1"/>
  <c r="S1458" i="1"/>
  <c r="S1466" i="1"/>
  <c r="S1474" i="1"/>
  <c r="S1482" i="1"/>
  <c r="S1490" i="1"/>
  <c r="S1498" i="1"/>
  <c r="S1506" i="1"/>
  <c r="S1514" i="1"/>
  <c r="S1522" i="1"/>
  <c r="S1530" i="1"/>
  <c r="S1538" i="1"/>
  <c r="S1546" i="1"/>
  <c r="S1554" i="1"/>
  <c r="S1562" i="1"/>
  <c r="S1570" i="1"/>
  <c r="S1578" i="1"/>
  <c r="S1586" i="1"/>
  <c r="S1594" i="1"/>
  <c r="S1602" i="1"/>
  <c r="S1610" i="1"/>
  <c r="S1618" i="1"/>
  <c r="S1626" i="1"/>
  <c r="S1634" i="1"/>
  <c r="S1642" i="1"/>
  <c r="S1650" i="1"/>
  <c r="S1658" i="1"/>
  <c r="S1666" i="1"/>
  <c r="S1674" i="1"/>
  <c r="S1682" i="1"/>
  <c r="S1690" i="1"/>
  <c r="S1698" i="1"/>
  <c r="S1706" i="1"/>
  <c r="S1714" i="1"/>
  <c r="S1722" i="1"/>
  <c r="S1730" i="1"/>
  <c r="S1738" i="1"/>
  <c r="S1746" i="1"/>
  <c r="S1754" i="1"/>
  <c r="S1762" i="1"/>
  <c r="S1770" i="1"/>
  <c r="S1778" i="1"/>
  <c r="S1786" i="1"/>
  <c r="S1794" i="1"/>
  <c r="S1801" i="1"/>
  <c r="S1809" i="1"/>
  <c r="S1817" i="1"/>
  <c r="S1825" i="1"/>
  <c r="S1833" i="1"/>
  <c r="S1841" i="1"/>
  <c r="S1849" i="1"/>
  <c r="S1857" i="1"/>
  <c r="S1802" i="1"/>
  <c r="S1810" i="1"/>
  <c r="S1818" i="1"/>
  <c r="S1826" i="1"/>
  <c r="S1834" i="1"/>
  <c r="S1842" i="1"/>
  <c r="S1850" i="1"/>
  <c r="S1858" i="1"/>
  <c r="O2033" i="1"/>
  <c r="S578" i="1"/>
  <c r="S586" i="1"/>
  <c r="S594" i="1"/>
  <c r="S602" i="1"/>
  <c r="S610" i="1"/>
  <c r="S618" i="1"/>
  <c r="S626" i="1"/>
  <c r="S634" i="1"/>
  <c r="S642" i="1"/>
  <c r="S650" i="1"/>
  <c r="S658" i="1"/>
  <c r="S666" i="1"/>
  <c r="S674" i="1"/>
  <c r="S682" i="1"/>
  <c r="S690" i="1"/>
  <c r="S698" i="1"/>
  <c r="S706" i="1"/>
  <c r="S714" i="1"/>
  <c r="S722" i="1"/>
  <c r="S730" i="1"/>
  <c r="S738" i="1"/>
  <c r="S746" i="1"/>
  <c r="S754" i="1"/>
  <c r="S762" i="1"/>
  <c r="S770" i="1"/>
  <c r="S778" i="1"/>
  <c r="S786" i="1"/>
  <c r="S794" i="1"/>
  <c r="S802" i="1"/>
  <c r="S810" i="1"/>
  <c r="S818" i="1"/>
  <c r="S826" i="1"/>
  <c r="S834" i="1"/>
  <c r="S842" i="1"/>
  <c r="S850" i="1"/>
  <c r="S858" i="1"/>
  <c r="S866" i="1"/>
  <c r="S874" i="1"/>
  <c r="S882" i="1"/>
  <c r="S890" i="1"/>
  <c r="S898" i="1"/>
  <c r="S906" i="1"/>
  <c r="S914" i="1"/>
  <c r="S922" i="1"/>
  <c r="S930" i="1"/>
  <c r="S938" i="1"/>
  <c r="S946" i="1"/>
  <c r="S954" i="1"/>
  <c r="S962" i="1"/>
  <c r="S970" i="1"/>
  <c r="S978" i="1"/>
  <c r="S986" i="1"/>
  <c r="S994" i="1"/>
  <c r="S1002" i="1"/>
  <c r="S1010" i="1"/>
  <c r="S1018" i="1"/>
  <c r="S1026" i="1"/>
  <c r="S1034" i="1"/>
  <c r="S1042" i="1"/>
  <c r="S1050" i="1"/>
  <c r="S1058" i="1"/>
  <c r="S1066" i="1"/>
  <c r="S1074" i="1"/>
  <c r="S1082" i="1"/>
  <c r="S1090" i="1"/>
  <c r="S1098" i="1"/>
  <c r="S1106" i="1"/>
  <c r="S1114" i="1"/>
  <c r="S1122" i="1"/>
  <c r="S1130" i="1"/>
  <c r="S1138" i="1"/>
  <c r="S1146" i="1"/>
  <c r="S1154" i="1"/>
  <c r="S1162" i="1"/>
  <c r="S1170" i="1"/>
  <c r="S1178" i="1"/>
  <c r="S1186" i="1"/>
  <c r="S1194" i="1"/>
  <c r="S1202" i="1"/>
  <c r="S1210" i="1"/>
  <c r="S1218" i="1"/>
  <c r="S1226" i="1"/>
  <c r="S1234" i="1"/>
  <c r="S1242" i="1"/>
  <c r="S1250" i="1"/>
  <c r="S1258" i="1"/>
  <c r="S1266" i="1"/>
  <c r="S1285" i="1"/>
  <c r="S1296" i="1"/>
  <c r="S1305" i="1"/>
  <c r="S1313" i="1"/>
  <c r="S1321" i="1"/>
  <c r="S1329" i="1"/>
  <c r="S1337" i="1"/>
  <c r="S1345" i="1"/>
  <c r="S1353" i="1"/>
  <c r="S1361" i="1"/>
  <c r="S1369" i="1"/>
  <c r="S1377" i="1"/>
  <c r="S1385" i="1"/>
  <c r="S1393" i="1"/>
  <c r="S1401" i="1"/>
  <c r="S1409" i="1"/>
  <c r="S1417" i="1"/>
  <c r="S1425" i="1"/>
  <c r="S1433" i="1"/>
  <c r="S1441" i="1"/>
  <c r="S1449" i="1"/>
  <c r="S1457" i="1"/>
  <c r="S1465" i="1"/>
  <c r="S1724" i="1"/>
  <c r="S557" i="1"/>
  <c r="S576" i="1"/>
  <c r="S584" i="1"/>
  <c r="S592" i="1"/>
  <c r="S600" i="1"/>
  <c r="S608" i="1"/>
  <c r="S616" i="1"/>
  <c r="S624" i="1"/>
  <c r="S632" i="1"/>
  <c r="S640" i="1"/>
  <c r="S648" i="1"/>
  <c r="S656" i="1"/>
  <c r="S664" i="1"/>
  <c r="S672" i="1"/>
  <c r="S680" i="1"/>
  <c r="S688" i="1"/>
  <c r="S696" i="1"/>
  <c r="S704" i="1"/>
  <c r="S712" i="1"/>
  <c r="S720" i="1"/>
  <c r="S728" i="1"/>
  <c r="S736" i="1"/>
  <c r="S744" i="1"/>
  <c r="S752" i="1"/>
  <c r="S760" i="1"/>
  <c r="S768" i="1"/>
  <c r="S776" i="1"/>
  <c r="S784" i="1"/>
  <c r="S792" i="1"/>
  <c r="S800" i="1"/>
  <c r="S808" i="1"/>
  <c r="S816" i="1"/>
  <c r="S824" i="1"/>
  <c r="S832" i="1"/>
  <c r="S840" i="1"/>
  <c r="S848" i="1"/>
  <c r="S856" i="1"/>
  <c r="S864" i="1"/>
  <c r="S872" i="1"/>
  <c r="S880" i="1"/>
  <c r="S888" i="1"/>
  <c r="S896" i="1"/>
  <c r="S904" i="1"/>
  <c r="S912" i="1"/>
  <c r="S920" i="1"/>
  <c r="S928" i="1"/>
  <c r="S936" i="1"/>
  <c r="S944" i="1"/>
  <c r="S952" i="1"/>
  <c r="S960" i="1"/>
  <c r="S968" i="1"/>
  <c r="S976" i="1"/>
  <c r="S984" i="1"/>
  <c r="S992" i="1"/>
  <c r="S1000" i="1"/>
  <c r="S1008" i="1"/>
  <c r="S1016" i="1"/>
  <c r="S1024" i="1"/>
  <c r="S1032" i="1"/>
  <c r="S1040" i="1"/>
  <c r="S1048" i="1"/>
  <c r="S1056" i="1"/>
  <c r="S1064" i="1"/>
  <c r="S1072" i="1"/>
  <c r="S1080" i="1"/>
  <c r="S1088" i="1"/>
  <c r="S1096" i="1"/>
  <c r="S1104" i="1"/>
  <c r="S1112" i="1"/>
  <c r="S1120" i="1"/>
  <c r="S1128" i="1"/>
  <c r="S1136" i="1"/>
  <c r="S1144" i="1"/>
  <c r="S1152" i="1"/>
  <c r="S1160" i="1"/>
  <c r="S1168" i="1"/>
  <c r="S1176" i="1"/>
  <c r="S1184" i="1"/>
  <c r="S1192" i="1"/>
  <c r="S1200" i="1"/>
  <c r="S1208" i="1"/>
  <c r="S1216" i="1"/>
  <c r="S1224" i="1"/>
  <c r="S1232" i="1"/>
  <c r="S1240" i="1"/>
  <c r="S1248" i="1"/>
  <c r="S1256" i="1"/>
  <c r="S1264" i="1"/>
  <c r="S1283" i="1"/>
  <c r="S1294" i="1"/>
  <c r="S1303" i="1"/>
  <c r="S1311" i="1"/>
  <c r="S1327" i="1"/>
  <c r="S1335" i="1"/>
  <c r="S1343" i="1"/>
  <c r="S1351" i="1"/>
  <c r="S1359" i="1"/>
  <c r="S1367" i="1"/>
  <c r="S1375" i="1"/>
  <c r="S1383" i="1"/>
  <c r="S1391" i="1"/>
  <c r="S1399" i="1"/>
  <c r="S1407" i="1"/>
  <c r="S1415" i="1"/>
  <c r="S1423" i="1"/>
  <c r="S1431" i="1"/>
  <c r="S1439" i="1"/>
  <c r="S1447" i="1"/>
  <c r="S1455" i="1"/>
  <c r="S1463" i="1"/>
  <c r="S1471" i="1"/>
  <c r="S1479" i="1"/>
  <c r="S1487" i="1"/>
  <c r="S1495" i="1"/>
  <c r="S1503" i="1"/>
  <c r="S1511" i="1"/>
  <c r="S1519" i="1"/>
  <c r="S1527" i="1"/>
  <c r="S1535" i="1"/>
  <c r="S1543" i="1"/>
  <c r="S1551" i="1"/>
  <c r="S1559" i="1"/>
  <c r="S1567" i="1"/>
  <c r="S1575" i="1"/>
  <c r="S1583" i="1"/>
  <c r="S1591" i="1"/>
  <c r="S1599" i="1"/>
  <c r="S1607" i="1"/>
  <c r="S1615" i="1"/>
  <c r="S1623" i="1"/>
  <c r="S1631" i="1"/>
  <c r="S1639" i="1"/>
  <c r="S1647" i="1"/>
  <c r="S1655" i="1"/>
  <c r="S1663" i="1"/>
  <c r="S1671" i="1"/>
  <c r="S1679" i="1"/>
  <c r="S1687" i="1"/>
  <c r="S1695" i="1"/>
  <c r="S1703" i="1"/>
  <c r="S1711" i="1"/>
  <c r="S1719" i="1"/>
  <c r="S1727" i="1"/>
  <c r="S1735" i="1"/>
  <c r="S1743" i="1"/>
  <c r="S1751" i="1"/>
  <c r="S1759" i="1"/>
  <c r="O2045" i="1"/>
  <c r="S654" i="1"/>
  <c r="S662" i="1"/>
  <c r="S670" i="1"/>
  <c r="S678" i="1"/>
  <c r="S686" i="1"/>
  <c r="S694" i="1"/>
  <c r="S702" i="1"/>
  <c r="S710" i="1"/>
  <c r="S718" i="1"/>
  <c r="S726" i="1"/>
  <c r="S734" i="1"/>
  <c r="S742" i="1"/>
  <c r="S750" i="1"/>
  <c r="S758" i="1"/>
  <c r="S766" i="1"/>
  <c r="S774" i="1"/>
  <c r="S782" i="1"/>
  <c r="S790" i="1"/>
  <c r="S798" i="1"/>
  <c r="S806" i="1"/>
  <c r="S814" i="1"/>
  <c r="S822" i="1"/>
  <c r="S830" i="1"/>
  <c r="S838" i="1"/>
  <c r="S846" i="1"/>
  <c r="S854" i="1"/>
  <c r="S862" i="1"/>
  <c r="S870" i="1"/>
  <c r="S878" i="1"/>
  <c r="S886" i="1"/>
  <c r="S894" i="1"/>
  <c r="S902" i="1"/>
  <c r="S910" i="1"/>
  <c r="S918" i="1"/>
  <c r="S926" i="1"/>
  <c r="S934" i="1"/>
  <c r="S942" i="1"/>
  <c r="S950" i="1"/>
  <c r="S958" i="1"/>
  <c r="S966" i="1"/>
  <c r="S974" i="1"/>
  <c r="S982" i="1"/>
  <c r="S990" i="1"/>
  <c r="S998" i="1"/>
  <c r="S1006" i="1"/>
  <c r="S1014" i="1"/>
  <c r="S1022" i="1"/>
  <c r="S1030" i="1"/>
  <c r="S1038" i="1"/>
  <c r="S1046" i="1"/>
  <c r="S1054" i="1"/>
  <c r="S1062" i="1"/>
  <c r="S1070" i="1"/>
  <c r="S1078" i="1"/>
  <c r="S1086" i="1"/>
  <c r="S1094" i="1"/>
  <c r="S1102" i="1"/>
  <c r="S1110" i="1"/>
  <c r="S1118" i="1"/>
  <c r="S1126" i="1"/>
  <c r="S1134" i="1"/>
  <c r="S1142" i="1"/>
  <c r="S1150" i="1"/>
  <c r="S1158" i="1"/>
  <c r="S1166" i="1"/>
  <c r="S1174" i="1"/>
  <c r="S1182" i="1"/>
  <c r="S1190" i="1"/>
  <c r="S1198" i="1"/>
  <c r="S1206" i="1"/>
  <c r="S1214" i="1"/>
  <c r="S1222" i="1"/>
  <c r="S1230" i="1"/>
  <c r="S1238" i="1"/>
  <c r="S1246" i="1"/>
  <c r="S1262" i="1"/>
  <c r="S1270" i="1"/>
  <c r="S1281" i="1"/>
  <c r="S1289" i="1"/>
  <c r="S1292" i="1"/>
  <c r="S1301" i="1"/>
  <c r="S1309" i="1"/>
  <c r="S1325" i="1"/>
  <c r="S1333" i="1"/>
  <c r="S1341" i="1"/>
  <c r="S1349" i="1"/>
  <c r="S1357" i="1"/>
  <c r="S1365" i="1"/>
  <c r="S1373" i="1"/>
  <c r="S1381" i="1"/>
  <c r="S1389" i="1"/>
  <c r="S1397" i="1"/>
  <c r="S1405" i="1"/>
  <c r="S1413" i="1"/>
  <c r="S1421" i="1"/>
  <c r="S1429" i="1"/>
  <c r="S1437" i="1"/>
  <c r="S1445" i="1"/>
  <c r="S1453" i="1"/>
  <c r="S1461" i="1"/>
  <c r="S1469" i="1"/>
  <c r="S1477" i="1"/>
  <c r="S1485" i="1"/>
  <c r="S1493" i="1"/>
  <c r="S1501" i="1"/>
  <c r="S1509" i="1"/>
  <c r="S1517" i="1"/>
  <c r="S1525" i="1"/>
  <c r="S1533" i="1"/>
  <c r="S1541" i="1"/>
  <c r="S1549" i="1"/>
  <c r="S1557" i="1"/>
  <c r="S1565" i="1"/>
  <c r="S1573" i="1"/>
  <c r="S1581" i="1"/>
  <c r="S1589" i="1"/>
  <c r="S1597" i="1"/>
  <c r="S1605" i="1"/>
  <c r="S1613" i="1"/>
  <c r="S1621" i="1"/>
  <c r="S1629" i="1"/>
  <c r="S1637" i="1"/>
  <c r="S1645" i="1"/>
  <c r="S1653" i="1"/>
  <c r="S1661" i="1"/>
  <c r="S1669" i="1"/>
  <c r="S1677" i="1"/>
  <c r="S1685" i="1"/>
  <c r="S1693" i="1"/>
  <c r="S1701" i="1"/>
  <c r="S1709" i="1"/>
  <c r="S1717" i="1"/>
  <c r="S1725" i="1"/>
  <c r="S1733" i="1"/>
  <c r="S1741" i="1"/>
  <c r="S1749" i="1"/>
  <c r="S1757" i="1"/>
  <c r="S1765" i="1"/>
  <c r="S1773" i="1"/>
  <c r="S1781" i="1"/>
  <c r="S1789" i="1"/>
  <c r="S1797" i="1"/>
  <c r="S1805" i="1"/>
  <c r="S1813" i="1"/>
  <c r="S1821" i="1"/>
  <c r="S1829" i="1"/>
  <c r="S1837" i="1"/>
  <c r="S1845" i="1"/>
  <c r="S1853" i="1"/>
  <c r="S1861" i="1"/>
  <c r="S37" i="1"/>
  <c r="S553" i="1"/>
  <c r="S572" i="1"/>
  <c r="S580" i="1"/>
  <c r="S588" i="1"/>
  <c r="S596" i="1"/>
  <c r="S604" i="1"/>
  <c r="S612" i="1"/>
  <c r="S620" i="1"/>
  <c r="S628" i="1"/>
  <c r="S636" i="1"/>
  <c r="S644" i="1"/>
  <c r="S652" i="1"/>
  <c r="S660" i="1"/>
  <c r="S668" i="1"/>
  <c r="S676" i="1"/>
  <c r="S684" i="1"/>
  <c r="S692" i="1"/>
  <c r="S700" i="1"/>
  <c r="S708" i="1"/>
  <c r="S716" i="1"/>
  <c r="S724" i="1"/>
  <c r="S732" i="1"/>
  <c r="S740" i="1"/>
  <c r="S748" i="1"/>
  <c r="S756" i="1"/>
  <c r="S764" i="1"/>
  <c r="S772" i="1"/>
  <c r="S780" i="1"/>
  <c r="S788" i="1"/>
  <c r="S796" i="1"/>
  <c r="S804" i="1"/>
  <c r="S812" i="1"/>
  <c r="S820" i="1"/>
  <c r="S828" i="1"/>
  <c r="S836" i="1"/>
  <c r="S844" i="1"/>
  <c r="S852" i="1"/>
  <c r="S860" i="1"/>
  <c r="S868" i="1"/>
  <c r="S876" i="1"/>
  <c r="S884" i="1"/>
  <c r="S892" i="1"/>
  <c r="S900" i="1"/>
  <c r="S908" i="1"/>
  <c r="S916" i="1"/>
  <c r="S924" i="1"/>
  <c r="S932" i="1"/>
  <c r="S940" i="1"/>
  <c r="S948" i="1"/>
  <c r="S956" i="1"/>
  <c r="S964" i="1"/>
  <c r="S972" i="1"/>
  <c r="S980" i="1"/>
  <c r="S988" i="1"/>
  <c r="S996" i="1"/>
  <c r="S1004" i="1"/>
  <c r="S1012" i="1"/>
  <c r="S1020" i="1"/>
  <c r="S1028" i="1"/>
  <c r="S1036" i="1"/>
  <c r="S1044" i="1"/>
  <c r="S1052" i="1"/>
  <c r="S1060" i="1"/>
  <c r="S1068" i="1"/>
  <c r="S1076" i="1"/>
  <c r="S1084" i="1"/>
  <c r="S1092" i="1"/>
  <c r="S1100" i="1"/>
  <c r="S1108" i="1"/>
  <c r="S1116" i="1"/>
  <c r="S1124" i="1"/>
  <c r="S1132" i="1"/>
  <c r="S1140" i="1"/>
  <c r="S1148" i="1"/>
  <c r="S1156" i="1"/>
  <c r="S1164" i="1"/>
  <c r="S1172" i="1"/>
  <c r="S1180" i="1"/>
  <c r="S1188" i="1"/>
  <c r="S1196" i="1"/>
  <c r="S1204" i="1"/>
  <c r="S1212" i="1"/>
  <c r="S1220" i="1"/>
  <c r="S1228" i="1"/>
  <c r="S1236" i="1"/>
  <c r="S1244" i="1"/>
  <c r="S1252" i="1"/>
  <c r="S1260" i="1"/>
  <c r="S1268" i="1"/>
  <c r="S1279" i="1"/>
  <c r="S1287" i="1"/>
  <c r="S1290" i="1"/>
  <c r="S1298" i="1"/>
  <c r="S1307" i="1"/>
  <c r="S1323" i="1"/>
  <c r="S1331" i="1"/>
  <c r="S1339" i="1"/>
  <c r="S1347" i="1"/>
  <c r="S1355" i="1"/>
  <c r="S1363" i="1"/>
  <c r="S1371" i="1"/>
  <c r="S1379" i="1"/>
  <c r="S1387" i="1"/>
  <c r="S1395" i="1"/>
  <c r="S1403" i="1"/>
  <c r="S1411" i="1"/>
  <c r="S1419" i="1"/>
  <c r="S1427" i="1"/>
  <c r="S1435" i="1"/>
  <c r="S1443" i="1"/>
  <c r="S1451" i="1"/>
  <c r="S1459" i="1"/>
  <c r="S1467" i="1"/>
  <c r="S1475" i="1"/>
  <c r="S1483" i="1"/>
  <c r="S1491" i="1"/>
  <c r="S1499" i="1"/>
  <c r="S1507" i="1"/>
  <c r="S1515" i="1"/>
  <c r="S1523" i="1"/>
  <c r="S1531" i="1"/>
  <c r="S1539" i="1"/>
  <c r="S1547" i="1"/>
  <c r="S1555" i="1"/>
  <c r="S1563" i="1"/>
  <c r="S1571" i="1"/>
  <c r="S1579" i="1"/>
  <c r="S1587" i="1"/>
  <c r="S1595" i="1"/>
  <c r="S1603" i="1"/>
  <c r="S1611" i="1"/>
  <c r="S1619" i="1"/>
  <c r="S1627" i="1"/>
  <c r="S1635" i="1"/>
  <c r="S1643" i="1"/>
  <c r="S1651" i="1"/>
  <c r="S1659" i="1"/>
  <c r="S1667" i="1"/>
  <c r="S1675" i="1"/>
  <c r="S1683" i="1"/>
  <c r="S1691" i="1"/>
  <c r="S1699" i="1"/>
  <c r="S1707" i="1"/>
  <c r="S1715" i="1"/>
  <c r="S1723" i="1"/>
  <c r="S1731" i="1"/>
  <c r="S1739" i="1"/>
  <c r="S1747" i="1"/>
  <c r="S1755" i="1"/>
  <c r="S1763" i="1"/>
  <c r="S1771" i="1"/>
  <c r="S1779" i="1"/>
  <c r="S1732" i="1"/>
  <c r="S1740" i="1"/>
  <c r="S1748" i="1"/>
  <c r="S1756" i="1"/>
  <c r="S1764" i="1"/>
  <c r="S1772" i="1"/>
  <c r="S1780" i="1"/>
  <c r="S1788" i="1"/>
  <c r="S1796" i="1"/>
  <c r="S1804" i="1"/>
  <c r="S1812" i="1"/>
  <c r="S1820" i="1"/>
  <c r="S1828" i="1"/>
  <c r="S1836" i="1"/>
  <c r="S1844" i="1"/>
  <c r="S1852" i="1"/>
  <c r="S1860" i="1"/>
  <c r="S1767" i="1"/>
  <c r="S1775" i="1"/>
  <c r="S1783" i="1"/>
  <c r="S1791" i="1"/>
  <c r="S1799" i="1"/>
  <c r="S1807" i="1"/>
  <c r="S1815" i="1"/>
  <c r="S1823" i="1"/>
  <c r="S1831" i="1"/>
  <c r="S1839" i="1"/>
  <c r="S1847" i="1"/>
  <c r="S1855" i="1"/>
  <c r="S1863" i="1"/>
  <c r="S1787" i="1"/>
  <c r="S1795" i="1"/>
  <c r="S1803" i="1"/>
  <c r="S1811" i="1"/>
  <c r="S1819" i="1"/>
  <c r="S1827" i="1"/>
  <c r="S1835" i="1"/>
  <c r="S1843" i="1"/>
  <c r="S1851" i="1"/>
  <c r="S1859" i="1"/>
  <c r="O2047" i="1"/>
  <c r="O2051" i="1"/>
  <c r="O2046" i="1"/>
  <c r="L2939" i="1"/>
  <c r="O2939" i="1" s="1"/>
  <c r="L2947" i="1"/>
  <c r="L2971" i="1"/>
  <c r="L2979" i="1"/>
  <c r="L2987" i="1"/>
  <c r="L2995" i="1"/>
  <c r="L3003" i="1"/>
  <c r="L3011" i="1"/>
  <c r="L3019" i="1"/>
  <c r="Q3019" i="1" s="1"/>
  <c r="L3027" i="1"/>
  <c r="L3035" i="1"/>
  <c r="L3043" i="1"/>
  <c r="L3051" i="1"/>
  <c r="L3059" i="1"/>
  <c r="L3067" i="1"/>
  <c r="L3075" i="1"/>
  <c r="L3083" i="1"/>
  <c r="O3083" i="1" s="1"/>
  <c r="L3100" i="1"/>
  <c r="L3108" i="1"/>
  <c r="L3124" i="1"/>
  <c r="L3132" i="1"/>
  <c r="L3140" i="1"/>
  <c r="L3148" i="1"/>
  <c r="L3156" i="1"/>
  <c r="L3164" i="1"/>
  <c r="O3164" i="1" s="1"/>
  <c r="L3172" i="1"/>
  <c r="L3180" i="1"/>
  <c r="L3188" i="1"/>
  <c r="L3196" i="1"/>
  <c r="L3204" i="1"/>
  <c r="L3212" i="1"/>
  <c r="L2937" i="1"/>
  <c r="L2942" i="1"/>
  <c r="Q2942" i="1" s="1"/>
  <c r="L2950" i="1"/>
  <c r="L2958" i="1"/>
  <c r="L2974" i="1"/>
  <c r="L2982" i="1"/>
  <c r="L2990" i="1"/>
  <c r="L2998" i="1"/>
  <c r="L3006" i="1"/>
  <c r="L3014" i="1"/>
  <c r="O3014" i="1" s="1"/>
  <c r="L3062" i="1"/>
  <c r="L3070" i="1"/>
  <c r="L3078" i="1"/>
  <c r="L3119" i="1"/>
  <c r="L3127" i="1"/>
  <c r="L3135" i="1"/>
  <c r="L3143" i="1"/>
  <c r="L3151" i="1"/>
  <c r="O3151" i="1" s="1"/>
  <c r="L3167" i="1"/>
  <c r="L2945" i="1"/>
  <c r="L2953" i="1"/>
  <c r="L2961" i="1"/>
  <c r="L3041" i="1"/>
  <c r="L3049" i="1"/>
  <c r="L3114" i="1"/>
  <c r="L3122" i="1"/>
  <c r="Q3122" i="1" s="1"/>
  <c r="L3130" i="1"/>
  <c r="L3138" i="1"/>
  <c r="L3146" i="1"/>
  <c r="L3186" i="1"/>
  <c r="L3194" i="1"/>
  <c r="L3202" i="1"/>
  <c r="L3210" i="1"/>
  <c r="L2940" i="1"/>
  <c r="Q2940" i="1" s="1"/>
  <c r="L2948" i="1"/>
  <c r="L2956" i="1"/>
  <c r="L2980" i="1"/>
  <c r="L2988" i="1"/>
  <c r="L2996" i="1"/>
  <c r="L3004" i="1"/>
  <c r="L3012" i="1"/>
  <c r="L3060" i="1"/>
  <c r="O3060" i="1" s="1"/>
  <c r="L3068" i="1"/>
  <c r="L3076" i="1"/>
  <c r="L3084" i="1"/>
  <c r="L3117" i="1"/>
  <c r="O3117" i="1" s="1"/>
  <c r="L3125" i="1"/>
  <c r="L3133" i="1"/>
  <c r="L3141" i="1"/>
  <c r="L3157" i="1"/>
  <c r="O3157" i="1" s="1"/>
  <c r="L3173" i="1"/>
  <c r="L3189" i="1"/>
  <c r="L3197" i="1"/>
  <c r="L3205" i="1"/>
  <c r="L3213" i="1"/>
  <c r="L2943" i="1"/>
  <c r="L2967" i="1"/>
  <c r="L2975" i="1"/>
  <c r="Q2975" i="1" s="1"/>
  <c r="L2983" i="1"/>
  <c r="L2991" i="1"/>
  <c r="L2999" i="1"/>
  <c r="L3007" i="1"/>
  <c r="L3015" i="1"/>
  <c r="L3063" i="1"/>
  <c r="L3071" i="1"/>
  <c r="L3079" i="1"/>
  <c r="O3079" i="1" s="1"/>
  <c r="L3096" i="1"/>
  <c r="L3104" i="1"/>
  <c r="L3128" i="1"/>
  <c r="L3136" i="1"/>
  <c r="L3144" i="1"/>
  <c r="L3152" i="1"/>
  <c r="L3168" i="1"/>
  <c r="L3184" i="1"/>
  <c r="Q3184" i="1" s="1"/>
  <c r="L3192" i="1"/>
  <c r="L3200" i="1"/>
  <c r="L3208" i="1"/>
  <c r="L3216" i="1"/>
  <c r="L2938" i="1"/>
  <c r="L2946" i="1"/>
  <c r="L2954" i="1"/>
  <c r="L2962" i="1"/>
  <c r="O2962" i="1" s="1"/>
  <c r="L2970" i="1"/>
  <c r="L2978" i="1"/>
  <c r="L2986" i="1"/>
  <c r="L2994" i="1"/>
  <c r="L3002" i="1"/>
  <c r="L3010" i="1"/>
  <c r="L3018" i="1"/>
  <c r="L3058" i="1"/>
  <c r="Q3058" i="1" s="1"/>
  <c r="L3066" i="1"/>
  <c r="L3074" i="1"/>
  <c r="L3082" i="1"/>
  <c r="L3115" i="1"/>
  <c r="L3123" i="1"/>
  <c r="L3131" i="1"/>
  <c r="L3139" i="1"/>
  <c r="L3147" i="1"/>
  <c r="Q3147" i="1" s="1"/>
  <c r="L3155" i="1"/>
  <c r="L3163" i="1"/>
  <c r="L3171" i="1"/>
  <c r="L3179" i="1"/>
  <c r="L2941" i="1"/>
  <c r="L2949" i="1"/>
  <c r="L2957" i="1"/>
  <c r="L3045" i="1"/>
  <c r="O3045" i="1" s="1"/>
  <c r="L3053" i="1"/>
  <c r="L3118" i="1"/>
  <c r="L3126" i="1"/>
  <c r="L3134" i="1"/>
  <c r="L3142" i="1"/>
  <c r="L3150" i="1"/>
  <c r="L3158" i="1"/>
  <c r="L3166" i="1"/>
  <c r="O3166" i="1" s="1"/>
  <c r="L3174" i="1"/>
  <c r="L3182" i="1"/>
  <c r="O3182" i="1" s="1"/>
  <c r="L3190" i="1"/>
  <c r="L3198" i="1"/>
  <c r="O3198" i="1" s="1"/>
  <c r="L3206" i="1"/>
  <c r="L3214" i="1"/>
  <c r="L2944" i="1"/>
  <c r="L2952" i="1"/>
  <c r="O2952" i="1" s="1"/>
  <c r="L2960" i="1"/>
  <c r="L2984" i="1"/>
  <c r="L2992" i="1"/>
  <c r="L3000" i="1"/>
  <c r="L3008" i="1"/>
  <c r="L3056" i="1"/>
  <c r="L3064" i="1"/>
  <c r="L3072" i="1"/>
  <c r="Q3072" i="1" s="1"/>
  <c r="L3080" i="1"/>
  <c r="L3113" i="1"/>
  <c r="L3121" i="1"/>
  <c r="L3129" i="1"/>
  <c r="L3137" i="1"/>
  <c r="L3145" i="1"/>
  <c r="L3177" i="1"/>
  <c r="L3185" i="1"/>
  <c r="Q3185" i="1" s="1"/>
  <c r="L3193" i="1"/>
  <c r="L3201" i="1"/>
  <c r="L3209" i="1"/>
  <c r="L3217" i="1"/>
  <c r="C6" i="1"/>
  <c r="O2148" i="1"/>
  <c r="O2156" i="1"/>
  <c r="O2180" i="1"/>
  <c r="O2212" i="1"/>
  <c r="O2228" i="1"/>
  <c r="O2236" i="1"/>
  <c r="O2276" i="1"/>
  <c r="O2284" i="1"/>
  <c r="O2332" i="1"/>
  <c r="O2404" i="1"/>
  <c r="O2436" i="1"/>
  <c r="O2484" i="1"/>
  <c r="O2492" i="1"/>
  <c r="O2516" i="1"/>
  <c r="O2524" i="1"/>
  <c r="O2548" i="1"/>
  <c r="O2556" i="1"/>
  <c r="O2564" i="1"/>
  <c r="O2580" i="1"/>
  <c r="O2588" i="1"/>
  <c r="L2668" i="1"/>
  <c r="O2668" i="1" s="1"/>
  <c r="L2684" i="1"/>
  <c r="L2692" i="1"/>
  <c r="Q2692" i="1" s="1"/>
  <c r="L2001" i="1"/>
  <c r="O2001" i="1" s="1"/>
  <c r="O2084" i="1"/>
  <c r="O2116" i="1"/>
  <c r="O2124" i="1"/>
  <c r="O2132" i="1"/>
  <c r="O2140" i="1"/>
  <c r="O2164" i="1"/>
  <c r="O2172" i="1"/>
  <c r="O2196" i="1"/>
  <c r="O2204" i="1"/>
  <c r="O2220" i="1"/>
  <c r="O2244" i="1"/>
  <c r="O2292" i="1"/>
  <c r="O2324" i="1"/>
  <c r="O2356" i="1"/>
  <c r="O2396" i="1"/>
  <c r="O2412" i="1"/>
  <c r="O2420" i="1"/>
  <c r="O2428" i="1"/>
  <c r="O2468" i="1"/>
  <c r="O2596" i="1"/>
  <c r="O2604" i="1"/>
  <c r="L2628" i="1"/>
  <c r="L2652" i="1"/>
  <c r="Q2652" i="1" s="1"/>
  <c r="L2676" i="1"/>
  <c r="O2676" i="1" s="1"/>
  <c r="O2252" i="1"/>
  <c r="O2348" i="1"/>
  <c r="L2708" i="1"/>
  <c r="L2732" i="1"/>
  <c r="Q2732" i="1" s="1"/>
  <c r="C26" i="1"/>
  <c r="O2452" i="1"/>
  <c r="O2508" i="1"/>
  <c r="L2700" i="1"/>
  <c r="O2700" i="1" s="1"/>
  <c r="C27" i="1"/>
  <c r="O1315" i="1"/>
  <c r="O1316" i="1"/>
  <c r="O1317" i="1"/>
  <c r="O1284" i="1"/>
  <c r="O2094" i="1"/>
  <c r="O2126" i="1"/>
  <c r="O2134" i="1"/>
  <c r="O2142" i="1"/>
  <c r="O2150" i="1"/>
  <c r="O2158" i="1"/>
  <c r="O2166" i="1"/>
  <c r="O2174" i="1"/>
  <c r="O2182" i="1"/>
  <c r="O2198" i="1"/>
  <c r="O2206" i="1"/>
  <c r="O2214" i="1"/>
  <c r="O2222" i="1"/>
  <c r="O2230" i="1"/>
  <c r="O2262" i="1"/>
  <c r="O2270" i="1"/>
  <c r="O2278" i="1"/>
  <c r="O2286" i="1"/>
  <c r="O2294" i="1"/>
  <c r="O2302" i="1"/>
  <c r="O2310" i="1"/>
  <c r="O2318" i="1"/>
  <c r="O2326" i="1"/>
  <c r="O2342" i="1"/>
  <c r="O2350" i="1"/>
  <c r="O2366" i="1"/>
  <c r="O2374" i="1"/>
  <c r="O2382" i="1"/>
  <c r="O2063" i="1"/>
  <c r="O2087" i="1"/>
  <c r="O2103" i="1"/>
  <c r="O2127" i="1"/>
  <c r="O2135" i="1"/>
  <c r="O2143" i="1"/>
  <c r="O2151" i="1"/>
  <c r="O2167" i="1"/>
  <c r="O2175" i="1"/>
  <c r="O2183" i="1"/>
  <c r="O2191" i="1"/>
  <c r="O2199" i="1"/>
  <c r="O2207" i="1"/>
  <c r="O2215" i="1"/>
  <c r="O2223" i="1"/>
  <c r="O2239" i="1"/>
  <c r="O2247" i="1"/>
  <c r="O2255" i="1"/>
  <c r="O2279" i="1"/>
  <c r="O2287" i="1"/>
  <c r="O2295" i="1"/>
  <c r="O2303" i="1"/>
  <c r="O2311" i="1"/>
  <c r="O2319" i="1"/>
  <c r="O2335" i="1"/>
  <c r="O2343" i="1"/>
  <c r="O2351" i="1"/>
  <c r="O2359" i="1"/>
  <c r="O2383" i="1"/>
  <c r="O2391" i="1"/>
  <c r="O2399" i="1"/>
  <c r="O2407" i="1"/>
  <c r="O2415" i="1"/>
  <c r="O2423" i="1"/>
  <c r="O2447" i="1"/>
  <c r="O2455" i="1"/>
  <c r="O2487" i="1"/>
  <c r="O2495" i="1"/>
  <c r="O2503" i="1"/>
  <c r="O2511" i="1"/>
  <c r="O2519" i="1"/>
  <c r="O2527" i="1"/>
  <c r="O2551" i="1"/>
  <c r="O2559" i="1"/>
  <c r="O2567" i="1"/>
  <c r="O2575" i="1"/>
  <c r="O2583" i="1"/>
  <c r="O2591" i="1"/>
  <c r="O2599" i="1"/>
  <c r="O2607" i="1"/>
  <c r="L2631" i="1"/>
  <c r="Q2631" i="1" s="1"/>
  <c r="L2639" i="1"/>
  <c r="Q2639" i="1" s="1"/>
  <c r="L2663" i="1"/>
  <c r="L2679" i="1"/>
  <c r="O2679" i="1" s="1"/>
  <c r="L2687" i="1"/>
  <c r="O2687" i="1" s="1"/>
  <c r="L2711" i="1"/>
  <c r="L2727" i="1"/>
  <c r="O2727" i="1" s="1"/>
  <c r="L1999" i="1"/>
  <c r="O2106" i="1"/>
  <c r="O2122" i="1"/>
  <c r="O2130" i="1"/>
  <c r="O2138" i="1"/>
  <c r="O2146" i="1"/>
  <c r="O2154" i="1"/>
  <c r="O2162" i="1"/>
  <c r="O2170" i="1"/>
  <c r="O2178" i="1"/>
  <c r="O2194" i="1"/>
  <c r="O2202" i="1"/>
  <c r="O2210" i="1"/>
  <c r="O2218" i="1"/>
  <c r="O2226" i="1"/>
  <c r="O2234" i="1"/>
  <c r="O2242" i="1"/>
  <c r="O2250" i="1"/>
  <c r="O2258" i="1"/>
  <c r="O2266" i="1"/>
  <c r="O2274" i="1"/>
  <c r="O2282" i="1"/>
  <c r="O2306" i="1"/>
  <c r="O2314" i="1"/>
  <c r="O2322" i="1"/>
  <c r="O2330" i="1"/>
  <c r="O2338" i="1"/>
  <c r="O2346" i="1"/>
  <c r="O2354" i="1"/>
  <c r="O2362" i="1"/>
  <c r="O2370" i="1"/>
  <c r="O2378" i="1"/>
  <c r="O2394" i="1"/>
  <c r="O2402" i="1"/>
  <c r="O2410" i="1"/>
  <c r="O2418" i="1"/>
  <c r="O2426" i="1"/>
  <c r="O2442" i="1"/>
  <c r="O2450" i="1"/>
  <c r="O2458" i="1"/>
  <c r="O2466" i="1"/>
  <c r="O2474" i="1"/>
  <c r="O2482" i="1"/>
  <c r="O2490" i="1"/>
  <c r="O2498" i="1"/>
  <c r="O2514" i="1"/>
  <c r="O2522" i="1"/>
  <c r="O2530" i="1"/>
  <c r="O2538" i="1"/>
  <c r="O2546" i="1"/>
  <c r="O2554" i="1"/>
  <c r="O2562" i="1"/>
  <c r="O2570" i="1"/>
  <c r="O2578" i="1"/>
  <c r="O2586" i="1"/>
  <c r="O2594" i="1"/>
  <c r="O2602" i="1"/>
  <c r="O2610" i="1"/>
  <c r="L2634" i="1"/>
  <c r="O2634" i="1" s="1"/>
  <c r="L2642" i="1"/>
  <c r="L2650" i="1"/>
  <c r="O2650" i="1" s="1"/>
  <c r="L2666" i="1"/>
  <c r="O2666" i="1" s="1"/>
  <c r="L2674" i="1"/>
  <c r="L2682" i="1"/>
  <c r="O2682" i="1" s="1"/>
  <c r="L2690" i="1"/>
  <c r="L2698" i="1"/>
  <c r="O2698" i="1" s="1"/>
  <c r="L2002" i="1"/>
  <c r="Q2002" i="1" s="1"/>
  <c r="O2077" i="1"/>
  <c r="O2101" i="1"/>
  <c r="O2117" i="1"/>
  <c r="O2125" i="1"/>
  <c r="O2133" i="1"/>
  <c r="O2141" i="1"/>
  <c r="O2149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2317" i="1"/>
  <c r="O2325" i="1"/>
  <c r="O2373" i="1"/>
  <c r="O2381" i="1"/>
  <c r="O2413" i="1"/>
  <c r="O2421" i="1"/>
  <c r="O2429" i="1"/>
  <c r="O2445" i="1"/>
  <c r="O2453" i="1"/>
  <c r="O2461" i="1"/>
  <c r="O2469" i="1"/>
  <c r="O2477" i="1"/>
  <c r="O2485" i="1"/>
  <c r="O2501" i="1"/>
  <c r="O2509" i="1"/>
  <c r="O2517" i="1"/>
  <c r="O2525" i="1"/>
  <c r="O2533" i="1"/>
  <c r="O2557" i="1"/>
  <c r="O2573" i="1"/>
  <c r="O2581" i="1"/>
  <c r="O2589" i="1"/>
  <c r="O2597" i="1"/>
  <c r="O2605" i="1"/>
  <c r="L2629" i="1"/>
  <c r="O2629" i="1" s="1"/>
  <c r="L2653" i="1"/>
  <c r="Q2653" i="1" s="1"/>
  <c r="L2661" i="1"/>
  <c r="O2661" i="1" s="1"/>
  <c r="L2693" i="1"/>
  <c r="O2693" i="1" s="1"/>
  <c r="L2701" i="1"/>
  <c r="L2717" i="1"/>
  <c r="O2717" i="1" s="1"/>
  <c r="L2733" i="1"/>
  <c r="O2733" i="1" s="1"/>
  <c r="L1997" i="1"/>
  <c r="O2064" i="1"/>
  <c r="O2072" i="1"/>
  <c r="O2080" i="1"/>
  <c r="O2088" i="1"/>
  <c r="O2096" i="1"/>
  <c r="O2104" i="1"/>
  <c r="O2112" i="1"/>
  <c r="O2120" i="1"/>
  <c r="O2128" i="1"/>
  <c r="O2136" i="1"/>
  <c r="O2144" i="1"/>
  <c r="O2152" i="1"/>
  <c r="O2160" i="1"/>
  <c r="O2168" i="1"/>
  <c r="O2176" i="1"/>
  <c r="O2184" i="1"/>
  <c r="O2192" i="1"/>
  <c r="O2200" i="1"/>
  <c r="O2208" i="1"/>
  <c r="O2224" i="1"/>
  <c r="O2232" i="1"/>
  <c r="O2240" i="1"/>
  <c r="O2256" i="1"/>
  <c r="O2272" i="1"/>
  <c r="O2288" i="1"/>
  <c r="O2304" i="1"/>
  <c r="O2320" i="1"/>
  <c r="O2336" i="1"/>
  <c r="O2344" i="1"/>
  <c r="O2360" i="1"/>
  <c r="O2384" i="1"/>
  <c r="O2392" i="1"/>
  <c r="O2408" i="1"/>
  <c r="O2416" i="1"/>
  <c r="O2424" i="1"/>
  <c r="O2432" i="1"/>
  <c r="O2464" i="1"/>
  <c r="O2472" i="1"/>
  <c r="O2480" i="1"/>
  <c r="O2488" i="1"/>
  <c r="O2496" i="1"/>
  <c r="O2504" i="1"/>
  <c r="O2512" i="1"/>
  <c r="O2520" i="1"/>
  <c r="O2528" i="1"/>
  <c r="O2544" i="1"/>
  <c r="O2552" i="1"/>
  <c r="O2560" i="1"/>
  <c r="O2568" i="1"/>
  <c r="O2576" i="1"/>
  <c r="O2584" i="1"/>
  <c r="O2592" i="1"/>
  <c r="O2600" i="1"/>
  <c r="O2608" i="1"/>
  <c r="L2648" i="1"/>
  <c r="O2648" i="1" s="1"/>
  <c r="L2656" i="1"/>
  <c r="O2656" i="1" s="1"/>
  <c r="L2664" i="1"/>
  <c r="O2664" i="1" s="1"/>
  <c r="L2688" i="1"/>
  <c r="Q2688" i="1" s="1"/>
  <c r="L2696" i="1"/>
  <c r="L2704" i="1"/>
  <c r="O2704" i="1" s="1"/>
  <c r="L2712" i="1"/>
  <c r="O2712" i="1" s="1"/>
  <c r="L2720" i="1"/>
  <c r="Q2720" i="1" s="1"/>
  <c r="L2728" i="1"/>
  <c r="O2728" i="1" s="1"/>
  <c r="O2091" i="1"/>
  <c r="O2099" i="1"/>
  <c r="O2115" i="1"/>
  <c r="O2123" i="1"/>
  <c r="O2131" i="1"/>
  <c r="O2139" i="1"/>
  <c r="O2147" i="1"/>
  <c r="O2155" i="1"/>
  <c r="O2163" i="1"/>
  <c r="O2171" i="1"/>
  <c r="O2187" i="1"/>
  <c r="O2203" i="1"/>
  <c r="O2219" i="1"/>
  <c r="O2227" i="1"/>
  <c r="O2235" i="1"/>
  <c r="O2243" i="1"/>
  <c r="O2251" i="1"/>
  <c r="O2259" i="1"/>
  <c r="O2267" i="1"/>
  <c r="O2275" i="1"/>
  <c r="O2283" i="1"/>
  <c r="O2291" i="1"/>
  <c r="O2299" i="1"/>
  <c r="O2307" i="1"/>
  <c r="O2315" i="1"/>
  <c r="O2339" i="1"/>
  <c r="O2347" i="1"/>
  <c r="O2355" i="1"/>
  <c r="O2371" i="1"/>
  <c r="O2379" i="1"/>
  <c r="O2387" i="1"/>
  <c r="O2395" i="1"/>
  <c r="O2403" i="1"/>
  <c r="O2411" i="1"/>
  <c r="O2419" i="1"/>
  <c r="O2427" i="1"/>
  <c r="O2451" i="1"/>
  <c r="O2459" i="1"/>
  <c r="O2467" i="1"/>
  <c r="O2475" i="1"/>
  <c r="O2483" i="1"/>
  <c r="O2499" i="1"/>
  <c r="O2507" i="1"/>
  <c r="O2523" i="1"/>
  <c r="O2531" i="1"/>
  <c r="O2539" i="1"/>
  <c r="O2547" i="1"/>
  <c r="O2555" i="1"/>
  <c r="O2563" i="1"/>
  <c r="O2571" i="1"/>
  <c r="O2579" i="1"/>
  <c r="O2587" i="1"/>
  <c r="O2595" i="1"/>
  <c r="O2603" i="1"/>
  <c r="O2611" i="1"/>
  <c r="L2635" i="1"/>
  <c r="O2635" i="1" s="1"/>
  <c r="L2659" i="1"/>
  <c r="O2659" i="1" s="1"/>
  <c r="L2667" i="1"/>
  <c r="L2683" i="1"/>
  <c r="Q2683" i="1" s="1"/>
  <c r="L2715" i="1"/>
  <c r="O2715" i="1" s="1"/>
  <c r="L2731" i="1"/>
  <c r="O2731" i="1" s="1"/>
  <c r="O2398" i="1"/>
  <c r="O2406" i="1"/>
  <c r="O2438" i="1"/>
  <c r="O2446" i="1"/>
  <c r="O2454" i="1"/>
  <c r="O2462" i="1"/>
  <c r="O2470" i="1"/>
  <c r="O2478" i="1"/>
  <c r="O2486" i="1"/>
  <c r="O2502" i="1"/>
  <c r="O2510" i="1"/>
  <c r="O2518" i="1"/>
  <c r="O2526" i="1"/>
  <c r="O2534" i="1"/>
  <c r="O2542" i="1"/>
  <c r="O2558" i="1"/>
  <c r="O2566" i="1"/>
  <c r="O2574" i="1"/>
  <c r="O2582" i="1"/>
  <c r="O2590" i="1"/>
  <c r="O2598" i="1"/>
  <c r="O2606" i="1"/>
  <c r="L2638" i="1"/>
  <c r="O2638" i="1" s="1"/>
  <c r="L2662" i="1"/>
  <c r="O2662" i="1" s="1"/>
  <c r="L2670" i="1"/>
  <c r="L2678" i="1"/>
  <c r="Q2678" i="1" s="1"/>
  <c r="L2686" i="1"/>
  <c r="O2686" i="1" s="1"/>
  <c r="L2694" i="1"/>
  <c r="L2710" i="1"/>
  <c r="L2726" i="1"/>
  <c r="O2726" i="1" s="1"/>
  <c r="L2742" i="1"/>
  <c r="O2742" i="1" s="1"/>
  <c r="L1998" i="1"/>
  <c r="O1998" i="1" s="1"/>
  <c r="O2065" i="1"/>
  <c r="O2081" i="1"/>
  <c r="O2089" i="1"/>
  <c r="O2105" i="1"/>
  <c r="O2121" i="1"/>
  <c r="O2129" i="1"/>
  <c r="O2137" i="1"/>
  <c r="O2145" i="1"/>
  <c r="O2153" i="1"/>
  <c r="O2161" i="1"/>
  <c r="O2169" i="1"/>
  <c r="O2177" i="1"/>
  <c r="O2185" i="1"/>
  <c r="O2193" i="1"/>
  <c r="O2201" i="1"/>
  <c r="O2225" i="1"/>
  <c r="O2233" i="1"/>
  <c r="O2241" i="1"/>
  <c r="O2249" i="1"/>
  <c r="O2265" i="1"/>
  <c r="O2273" i="1"/>
  <c r="O2281" i="1"/>
  <c r="O2289" i="1"/>
  <c r="O2297" i="1"/>
  <c r="O2305" i="1"/>
  <c r="O2313" i="1"/>
  <c r="O2329" i="1"/>
  <c r="O2337" i="1"/>
  <c r="O2345" i="1"/>
  <c r="O2353" i="1"/>
  <c r="O2369" i="1"/>
  <c r="O2377" i="1"/>
  <c r="O2385" i="1"/>
  <c r="O2393" i="1"/>
  <c r="O2409" i="1"/>
  <c r="O2417" i="1"/>
  <c r="O2425" i="1"/>
  <c r="O2433" i="1"/>
  <c r="O2449" i="1"/>
  <c r="O2457" i="1"/>
  <c r="O2465" i="1"/>
  <c r="O2473" i="1"/>
  <c r="O2481" i="1"/>
  <c r="O2489" i="1"/>
  <c r="O2497" i="1"/>
  <c r="O2505" i="1"/>
  <c r="O2513" i="1"/>
  <c r="O2521" i="1"/>
  <c r="O2537" i="1"/>
  <c r="O2545" i="1"/>
  <c r="O2553" i="1"/>
  <c r="O2561" i="1"/>
  <c r="O2569" i="1"/>
  <c r="O2577" i="1"/>
  <c r="O2585" i="1"/>
  <c r="O2593" i="1"/>
  <c r="O2601" i="1"/>
  <c r="O2609" i="1"/>
  <c r="L2633" i="1"/>
  <c r="O2633" i="1" s="1"/>
  <c r="L2649" i="1"/>
  <c r="O2649" i="1" s="1"/>
  <c r="L2665" i="1"/>
  <c r="Q2665" i="1" s="1"/>
  <c r="L2681" i="1"/>
  <c r="L2705" i="1"/>
  <c r="O2705" i="1" s="1"/>
  <c r="L2713" i="1"/>
  <c r="O2713" i="1" s="1"/>
  <c r="L2721" i="1"/>
  <c r="O2721" i="1" s="1"/>
  <c r="L2737" i="1"/>
  <c r="O2737" i="1" s="1"/>
  <c r="Q2049" i="1"/>
  <c r="A1300" i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O2921" i="1"/>
  <c r="Q2905" i="1"/>
  <c r="L2736" i="1"/>
  <c r="Q2645" i="1"/>
  <c r="L2702" i="1"/>
  <c r="Q2702" i="1" s="1"/>
  <c r="O2775" i="1"/>
  <c r="O2790" i="1"/>
  <c r="O2793" i="1"/>
  <c r="O2796" i="1"/>
  <c r="O2808" i="1"/>
  <c r="O2809" i="1"/>
  <c r="O2813" i="1"/>
  <c r="O2830" i="1"/>
  <c r="O2905" i="1"/>
  <c r="O1321" i="1"/>
  <c r="O1329" i="1"/>
  <c r="O1337" i="1"/>
  <c r="O1345" i="1"/>
  <c r="O1349" i="1"/>
  <c r="O1324" i="1"/>
  <c r="O1328" i="1"/>
  <c r="O1332" i="1"/>
  <c r="O1336" i="1"/>
  <c r="O1340" i="1"/>
  <c r="O1344" i="1"/>
  <c r="O1348" i="1"/>
  <c r="O1325" i="1"/>
  <c r="O1333" i="1"/>
  <c r="O1341" i="1"/>
  <c r="O1323" i="1"/>
  <c r="O1327" i="1"/>
  <c r="O1331" i="1"/>
  <c r="O1335" i="1"/>
  <c r="O1339" i="1"/>
  <c r="O1343" i="1"/>
  <c r="O1347" i="1"/>
  <c r="O1351" i="1"/>
  <c r="O1322" i="1"/>
  <c r="O1326" i="1"/>
  <c r="O1330" i="1"/>
  <c r="O1334" i="1"/>
  <c r="O1338" i="1"/>
  <c r="O1342" i="1"/>
  <c r="O1346" i="1"/>
  <c r="O1350" i="1"/>
  <c r="O1278" i="1"/>
  <c r="O1286" i="1"/>
  <c r="O1318" i="1"/>
  <c r="O1285" i="1"/>
  <c r="Q2790" i="1"/>
  <c r="Q2796" i="1"/>
  <c r="Q2808" i="1"/>
  <c r="Q2830" i="1"/>
  <c r="O2750" i="1"/>
  <c r="L56" i="1"/>
  <c r="Q2745" i="1"/>
  <c r="Q2748" i="1"/>
  <c r="O2748" i="1"/>
  <c r="O2751" i="1"/>
  <c r="C28" i="1"/>
  <c r="O80" i="1"/>
  <c r="O96" i="1"/>
  <c r="L1879" i="1"/>
  <c r="S1879" i="1" s="1"/>
  <c r="L1911" i="1"/>
  <c r="S1911" i="1" s="1"/>
  <c r="L1927" i="1"/>
  <c r="S1927" i="1" s="1"/>
  <c r="L1951" i="1"/>
  <c r="S1951" i="1" s="1"/>
  <c r="L1959" i="1"/>
  <c r="Q1959" i="1" s="1"/>
  <c r="L1991" i="1"/>
  <c r="Q1991" i="1" s="1"/>
  <c r="O59" i="1"/>
  <c r="O67" i="1"/>
  <c r="O75" i="1"/>
  <c r="O83" i="1"/>
  <c r="O91" i="1"/>
  <c r="O99" i="1"/>
  <c r="O107" i="1"/>
  <c r="O115" i="1"/>
  <c r="O123" i="1"/>
  <c r="O131" i="1"/>
  <c r="O139" i="1"/>
  <c r="O147" i="1"/>
  <c r="O155" i="1"/>
  <c r="O163" i="1"/>
  <c r="O171" i="1"/>
  <c r="O179" i="1"/>
  <c r="L558" i="1"/>
  <c r="S558" i="1" s="1"/>
  <c r="L566" i="1"/>
  <c r="S566" i="1" s="1"/>
  <c r="O72" i="1"/>
  <c r="O112" i="1"/>
  <c r="O128" i="1"/>
  <c r="O152" i="1"/>
  <c r="O168" i="1"/>
  <c r="L1871" i="1"/>
  <c r="S1871" i="1" s="1"/>
  <c r="L1887" i="1"/>
  <c r="S1887" i="1" s="1"/>
  <c r="L1895" i="1"/>
  <c r="Q1895" i="1" s="1"/>
  <c r="L1903" i="1"/>
  <c r="S1903" i="1" s="1"/>
  <c r="L1967" i="1"/>
  <c r="S1967" i="1" s="1"/>
  <c r="O70" i="1"/>
  <c r="O86" i="1"/>
  <c r="O102" i="1"/>
  <c r="O118" i="1"/>
  <c r="O150" i="1"/>
  <c r="O166" i="1"/>
  <c r="L561" i="1"/>
  <c r="Q561" i="1" s="1"/>
  <c r="L1276" i="1"/>
  <c r="S1276" i="1" s="1"/>
  <c r="L1317" i="1"/>
  <c r="S1317" i="1" s="1"/>
  <c r="O64" i="1"/>
  <c r="O176" i="1"/>
  <c r="L1919" i="1"/>
  <c r="S1919" i="1" s="1"/>
  <c r="O62" i="1"/>
  <c r="O94" i="1"/>
  <c r="O126" i="1"/>
  <c r="O142" i="1"/>
  <c r="O182" i="1"/>
  <c r="O65" i="1"/>
  <c r="O73" i="1"/>
  <c r="O81" i="1"/>
  <c r="O89" i="1"/>
  <c r="O97" i="1"/>
  <c r="O105" i="1"/>
  <c r="O113" i="1"/>
  <c r="O121" i="1"/>
  <c r="O129" i="1"/>
  <c r="O137" i="1"/>
  <c r="O145" i="1"/>
  <c r="O153" i="1"/>
  <c r="O161" i="1"/>
  <c r="O169" i="1"/>
  <c r="O177" i="1"/>
  <c r="L564" i="1"/>
  <c r="S564" i="1" s="1"/>
  <c r="O120" i="1"/>
  <c r="O136" i="1"/>
  <c r="L563" i="1"/>
  <c r="S563" i="1" s="1"/>
  <c r="O78" i="1"/>
  <c r="O110" i="1"/>
  <c r="O134" i="1"/>
  <c r="O158" i="1"/>
  <c r="O174" i="1"/>
  <c r="O84" i="1"/>
  <c r="O92" i="1"/>
  <c r="O100" i="1"/>
  <c r="O108" i="1"/>
  <c r="O116" i="1"/>
  <c r="O124" i="1"/>
  <c r="O132" i="1"/>
  <c r="O148" i="1"/>
  <c r="O156" i="1"/>
  <c r="O164" i="1"/>
  <c r="O172" i="1"/>
  <c r="O180" i="1"/>
  <c r="L559" i="1"/>
  <c r="S559" i="1" s="1"/>
  <c r="L567" i="1"/>
  <c r="S567" i="1" s="1"/>
  <c r="O60" i="1"/>
  <c r="O68" i="1"/>
  <c r="O76" i="1"/>
  <c r="O140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O159" i="1"/>
  <c r="O167" i="1"/>
  <c r="O175" i="1"/>
  <c r="O183" i="1"/>
  <c r="L562" i="1"/>
  <c r="S562" i="1" s="1"/>
  <c r="O88" i="1"/>
  <c r="O104" i="1"/>
  <c r="O144" i="1"/>
  <c r="O160" i="1"/>
  <c r="L1319" i="1"/>
  <c r="Q1319" i="1" s="1"/>
  <c r="O58" i="1"/>
  <c r="O66" i="1"/>
  <c r="O74" i="1"/>
  <c r="O82" i="1"/>
  <c r="O90" i="1"/>
  <c r="O98" i="1"/>
  <c r="O106" i="1"/>
  <c r="O114" i="1"/>
  <c r="O122" i="1"/>
  <c r="O130" i="1"/>
  <c r="O138" i="1"/>
  <c r="O146" i="1"/>
  <c r="O154" i="1"/>
  <c r="O162" i="1"/>
  <c r="O170" i="1"/>
  <c r="O178" i="1"/>
  <c r="L565" i="1"/>
  <c r="S565" i="1" s="1"/>
  <c r="O61" i="1"/>
  <c r="O69" i="1"/>
  <c r="O77" i="1"/>
  <c r="O85" i="1"/>
  <c r="O93" i="1"/>
  <c r="O101" i="1"/>
  <c r="O109" i="1"/>
  <c r="O117" i="1"/>
  <c r="O125" i="1"/>
  <c r="O133" i="1"/>
  <c r="O141" i="1"/>
  <c r="O149" i="1"/>
  <c r="O157" i="1"/>
  <c r="O165" i="1"/>
  <c r="O173" i="1"/>
  <c r="O181" i="1"/>
  <c r="L560" i="1"/>
  <c r="S560" i="1" s="1"/>
  <c r="L568" i="1"/>
  <c r="S568" i="1" s="1"/>
  <c r="L1275" i="1"/>
  <c r="S1275" i="1" s="1"/>
  <c r="L1316" i="1"/>
  <c r="S1316" i="1" s="1"/>
  <c r="L1254" i="1"/>
  <c r="S1254" i="1" s="1"/>
  <c r="L1866" i="1"/>
  <c r="S1866" i="1" s="1"/>
  <c r="L1874" i="1"/>
  <c r="S1874" i="1" s="1"/>
  <c r="L1882" i="1"/>
  <c r="Q1882" i="1" s="1"/>
  <c r="L1890" i="1"/>
  <c r="S1890" i="1" s="1"/>
  <c r="L1898" i="1"/>
  <c r="S1898" i="1" s="1"/>
  <c r="L1906" i="1"/>
  <c r="S1906" i="1" s="1"/>
  <c r="L1914" i="1"/>
  <c r="S1914" i="1" s="1"/>
  <c r="L1922" i="1"/>
  <c r="S1922" i="1" s="1"/>
  <c r="L1930" i="1"/>
  <c r="S1930" i="1" s="1"/>
  <c r="L1938" i="1"/>
  <c r="S1938" i="1" s="1"/>
  <c r="L1946" i="1"/>
  <c r="S1946" i="1" s="1"/>
  <c r="L1954" i="1"/>
  <c r="Q1954" i="1" s="1"/>
  <c r="L1962" i="1"/>
  <c r="S1962" i="1" s="1"/>
  <c r="L1970" i="1"/>
  <c r="S1970" i="1" s="1"/>
  <c r="L1978" i="1"/>
  <c r="S1978" i="1" s="1"/>
  <c r="L1986" i="1"/>
  <c r="S1986" i="1" s="1"/>
  <c r="L1994" i="1"/>
  <c r="Q1994" i="1" s="1"/>
  <c r="L1869" i="1"/>
  <c r="Q1869" i="1" s="1"/>
  <c r="L1885" i="1"/>
  <c r="S1885" i="1" s="1"/>
  <c r="L1893" i="1"/>
  <c r="S1893" i="1" s="1"/>
  <c r="L1901" i="1"/>
  <c r="S1901" i="1" s="1"/>
  <c r="L1917" i="1"/>
  <c r="S1917" i="1" s="1"/>
  <c r="L1933" i="1"/>
  <c r="S1933" i="1" s="1"/>
  <c r="L1941" i="1"/>
  <c r="S1941" i="1" s="1"/>
  <c r="L1949" i="1"/>
  <c r="S1949" i="1" s="1"/>
  <c r="L1957" i="1"/>
  <c r="S1957" i="1" s="1"/>
  <c r="L1965" i="1"/>
  <c r="S1965" i="1" s="1"/>
  <c r="L1981" i="1"/>
  <c r="S1981" i="1" s="1"/>
  <c r="L1989" i="1"/>
  <c r="S1989" i="1" s="1"/>
  <c r="L1320" i="1"/>
  <c r="S1320" i="1" s="1"/>
  <c r="L1872" i="1"/>
  <c r="Q1872" i="1" s="1"/>
  <c r="L1880" i="1"/>
  <c r="S1880" i="1" s="1"/>
  <c r="L1888" i="1"/>
  <c r="S1888" i="1" s="1"/>
  <c r="L1896" i="1"/>
  <c r="S1896" i="1" s="1"/>
  <c r="L1904" i="1"/>
  <c r="Q1904" i="1" s="1"/>
  <c r="L1912" i="1"/>
  <c r="S1912" i="1" s="1"/>
  <c r="L1920" i="1"/>
  <c r="S1920" i="1" s="1"/>
  <c r="L1928" i="1"/>
  <c r="S1928" i="1" s="1"/>
  <c r="L1936" i="1"/>
  <c r="Q1936" i="1" s="1"/>
  <c r="L1944" i="1"/>
  <c r="S1944" i="1" s="1"/>
  <c r="L1952" i="1"/>
  <c r="S1952" i="1" s="1"/>
  <c r="L1960" i="1"/>
  <c r="S1960" i="1" s="1"/>
  <c r="L1968" i="1"/>
  <c r="S1968" i="1" s="1"/>
  <c r="L1976" i="1"/>
  <c r="Q1976" i="1" s="1"/>
  <c r="L1984" i="1"/>
  <c r="S1984" i="1" s="1"/>
  <c r="L1992" i="1"/>
  <c r="S1992" i="1" s="1"/>
  <c r="L1255" i="1"/>
  <c r="S1255" i="1" s="1"/>
  <c r="L1315" i="1"/>
  <c r="S1315" i="1" s="1"/>
  <c r="L1867" i="1"/>
  <c r="Q1867" i="1" s="1"/>
  <c r="L1875" i="1"/>
  <c r="S1875" i="1" s="1"/>
  <c r="L1883" i="1"/>
  <c r="S1883" i="1" s="1"/>
  <c r="L1891" i="1"/>
  <c r="S1891" i="1" s="1"/>
  <c r="L1899" i="1"/>
  <c r="Q1899" i="1" s="1"/>
  <c r="L1907" i="1"/>
  <c r="S1907" i="1" s="1"/>
  <c r="L1915" i="1"/>
  <c r="S1915" i="1" s="1"/>
  <c r="L1923" i="1"/>
  <c r="Q1923" i="1" s="1"/>
  <c r="L1931" i="1"/>
  <c r="S1931" i="1" s="1"/>
  <c r="L1939" i="1"/>
  <c r="S1939" i="1" s="1"/>
  <c r="L1947" i="1"/>
  <c r="S1947" i="1" s="1"/>
  <c r="L1955" i="1"/>
  <c r="S1955" i="1" s="1"/>
  <c r="L1963" i="1"/>
  <c r="Q1963" i="1" s="1"/>
  <c r="L1971" i="1"/>
  <c r="S1971" i="1" s="1"/>
  <c r="L1979" i="1"/>
  <c r="S1979" i="1" s="1"/>
  <c r="L1987" i="1"/>
  <c r="S1987" i="1" s="1"/>
  <c r="L1995" i="1"/>
  <c r="S1995" i="1" s="1"/>
  <c r="L1870" i="1"/>
  <c r="S1870" i="1" s="1"/>
  <c r="L1878" i="1"/>
  <c r="S1878" i="1" s="1"/>
  <c r="L1886" i="1"/>
  <c r="Q1886" i="1" s="1"/>
  <c r="L1902" i="1"/>
  <c r="S1902" i="1" s="1"/>
  <c r="L1910" i="1"/>
  <c r="S1910" i="1" s="1"/>
  <c r="L1918" i="1"/>
  <c r="S1918" i="1" s="1"/>
  <c r="L1926" i="1"/>
  <c r="S1926" i="1" s="1"/>
  <c r="L1934" i="1"/>
  <c r="S1934" i="1" s="1"/>
  <c r="L1942" i="1"/>
  <c r="Q1942" i="1" s="1"/>
  <c r="L1950" i="1"/>
  <c r="S1950" i="1" s="1"/>
  <c r="L1958" i="1"/>
  <c r="S1958" i="1" s="1"/>
  <c r="L1966" i="1"/>
  <c r="Q1966" i="1" s="1"/>
  <c r="L1974" i="1"/>
  <c r="S1974" i="1" s="1"/>
  <c r="L1982" i="1"/>
  <c r="S1982" i="1" s="1"/>
  <c r="L1990" i="1"/>
  <c r="S1990" i="1" s="1"/>
  <c r="L1865" i="1"/>
  <c r="S1865" i="1" s="1"/>
  <c r="L1873" i="1"/>
  <c r="S1873" i="1" s="1"/>
  <c r="L1881" i="1"/>
  <c r="S1881" i="1" s="1"/>
  <c r="L1889" i="1"/>
  <c r="S1889" i="1" s="1"/>
  <c r="L1897" i="1"/>
  <c r="S1897" i="1" s="1"/>
  <c r="L1905" i="1"/>
  <c r="O1905" i="1" s="1"/>
  <c r="L1913" i="1"/>
  <c r="S1913" i="1" s="1"/>
  <c r="L1921" i="1"/>
  <c r="S1921" i="1" s="1"/>
  <c r="L1929" i="1"/>
  <c r="S1929" i="1" s="1"/>
  <c r="L1937" i="1"/>
  <c r="S1937" i="1" s="1"/>
  <c r="L1945" i="1"/>
  <c r="S1945" i="1" s="1"/>
  <c r="L1953" i="1"/>
  <c r="S1953" i="1" s="1"/>
  <c r="L1961" i="1"/>
  <c r="S1961" i="1" s="1"/>
  <c r="L1969" i="1"/>
  <c r="S1969" i="1" s="1"/>
  <c r="L1977" i="1"/>
  <c r="S1977" i="1" s="1"/>
  <c r="L1985" i="1"/>
  <c r="S1985" i="1" s="1"/>
  <c r="L1993" i="1"/>
  <c r="S1993" i="1" s="1"/>
  <c r="L1868" i="1"/>
  <c r="S1868" i="1" s="1"/>
  <c r="L1876" i="1"/>
  <c r="S1876" i="1" s="1"/>
  <c r="L1884" i="1"/>
  <c r="S1884" i="1" s="1"/>
  <c r="L1892" i="1"/>
  <c r="S1892" i="1" s="1"/>
  <c r="L1900" i="1"/>
  <c r="S1900" i="1" s="1"/>
  <c r="L1908" i="1"/>
  <c r="S1908" i="1" s="1"/>
  <c r="L1916" i="1"/>
  <c r="S1916" i="1" s="1"/>
  <c r="L1932" i="1"/>
  <c r="S1932" i="1" s="1"/>
  <c r="L1940" i="1"/>
  <c r="S1940" i="1" s="1"/>
  <c r="L1948" i="1"/>
  <c r="S1948" i="1" s="1"/>
  <c r="L1956" i="1"/>
  <c r="S1956" i="1" s="1"/>
  <c r="L1964" i="1"/>
  <c r="S1964" i="1" s="1"/>
  <c r="L1972" i="1"/>
  <c r="S1972" i="1" s="1"/>
  <c r="L1980" i="1"/>
  <c r="S1980" i="1" s="1"/>
  <c r="L1988" i="1"/>
  <c r="S1988" i="1" s="1"/>
  <c r="L1996" i="1"/>
  <c r="S1996" i="1" s="1"/>
  <c r="C21" i="1"/>
  <c r="C23" i="1" s="1"/>
  <c r="C29" i="1"/>
  <c r="C25" i="1"/>
  <c r="C30" i="1" s="1"/>
  <c r="Q58" i="1"/>
  <c r="S3094" i="1"/>
  <c r="C22" i="1"/>
  <c r="Q3010" i="1"/>
  <c r="O2987" i="1"/>
  <c r="O3186" i="1"/>
  <c r="O2007" i="1"/>
  <c r="O2027" i="1"/>
  <c r="O2031" i="1"/>
  <c r="O2035" i="1"/>
  <c r="O2039" i="1"/>
  <c r="O2043" i="1"/>
  <c r="O2055" i="1"/>
  <c r="O2059" i="1"/>
  <c r="O2071" i="1"/>
  <c r="O2075" i="1"/>
  <c r="O2079" i="1"/>
  <c r="O2095" i="1"/>
  <c r="O2363" i="1"/>
  <c r="O2367" i="1"/>
  <c r="O2375" i="1"/>
  <c r="O2431" i="1"/>
  <c r="O2435" i="1"/>
  <c r="O2439" i="1"/>
  <c r="O2443" i="1"/>
  <c r="O2463" i="1"/>
  <c r="O2535" i="1"/>
  <c r="O2543" i="1"/>
  <c r="O2619" i="1"/>
  <c r="O2623" i="1"/>
  <c r="O2005" i="1"/>
  <c r="O2041" i="1"/>
  <c r="O2049" i="1"/>
  <c r="O2053" i="1"/>
  <c r="O2057" i="1"/>
  <c r="O2061" i="1"/>
  <c r="O2069" i="1"/>
  <c r="O2073" i="1"/>
  <c r="O2085" i="1"/>
  <c r="O2093" i="1"/>
  <c r="O2097" i="1"/>
  <c r="O2357" i="1"/>
  <c r="O2361" i="1"/>
  <c r="O2365" i="1"/>
  <c r="O2529" i="1"/>
  <c r="O2541" i="1"/>
  <c r="O2549" i="1"/>
  <c r="O2565" i="1"/>
  <c r="O2613" i="1"/>
  <c r="O2617" i="1"/>
  <c r="O2621" i="1"/>
  <c r="O2625" i="1"/>
  <c r="O3192" i="1"/>
  <c r="O2004" i="1"/>
  <c r="O2008" i="1"/>
  <c r="O2012" i="1"/>
  <c r="O2016" i="1"/>
  <c r="O2020" i="1"/>
  <c r="O2024" i="1"/>
  <c r="O2028" i="1"/>
  <c r="O2032" i="1"/>
  <c r="O2036" i="1"/>
  <c r="O2040" i="1"/>
  <c r="O2044" i="1"/>
  <c r="O2048" i="1"/>
  <c r="O2052" i="1"/>
  <c r="O2056" i="1"/>
  <c r="O2060" i="1"/>
  <c r="O2068" i="1"/>
  <c r="O2076" i="1"/>
  <c r="O2092" i="1"/>
  <c r="O2100" i="1"/>
  <c r="O2352" i="1"/>
  <c r="O2364" i="1"/>
  <c r="O2368" i="1"/>
  <c r="O2372" i="1"/>
  <c r="O2376" i="1"/>
  <c r="O2380" i="1"/>
  <c r="O2388" i="1"/>
  <c r="O2400" i="1"/>
  <c r="O2440" i="1"/>
  <c r="O2444" i="1"/>
  <c r="O2448" i="1"/>
  <c r="O2456" i="1"/>
  <c r="O2460" i="1"/>
  <c r="O2476" i="1"/>
  <c r="O2500" i="1"/>
  <c r="O2532" i="1"/>
  <c r="O2536" i="1"/>
  <c r="O2540" i="1"/>
  <c r="O2572" i="1"/>
  <c r="O2612" i="1"/>
  <c r="O2616" i="1"/>
  <c r="O2620" i="1"/>
  <c r="O2624" i="1"/>
  <c r="O2011" i="1"/>
  <c r="O2015" i="1"/>
  <c r="O2019" i="1"/>
  <c r="O2023" i="1"/>
  <c r="O2067" i="1"/>
  <c r="O2083" i="1"/>
  <c r="O2479" i="1"/>
  <c r="O2491" i="1"/>
  <c r="O2515" i="1"/>
  <c r="O2615" i="1"/>
  <c r="O2743" i="1"/>
  <c r="O2006" i="1"/>
  <c r="O2010" i="1"/>
  <c r="O2014" i="1"/>
  <c r="O2018" i="1"/>
  <c r="O2022" i="1"/>
  <c r="O2026" i="1"/>
  <c r="O2030" i="1"/>
  <c r="O2034" i="1"/>
  <c r="O2038" i="1"/>
  <c r="O2042" i="1"/>
  <c r="O2050" i="1"/>
  <c r="O2054" i="1"/>
  <c r="O2058" i="1"/>
  <c r="O2062" i="1"/>
  <c r="O2066" i="1"/>
  <c r="O2070" i="1"/>
  <c r="O2074" i="1"/>
  <c r="O2078" i="1"/>
  <c r="O2082" i="1"/>
  <c r="O2086" i="1"/>
  <c r="O2090" i="1"/>
  <c r="O2098" i="1"/>
  <c r="O2358" i="1"/>
  <c r="O2386" i="1"/>
  <c r="O2390" i="1"/>
  <c r="O2414" i="1"/>
  <c r="O2422" i="1"/>
  <c r="O2430" i="1"/>
  <c r="O2434" i="1"/>
  <c r="O2494" i="1"/>
  <c r="O2506" i="1"/>
  <c r="O2550" i="1"/>
  <c r="O2614" i="1"/>
  <c r="O2618" i="1"/>
  <c r="O2622" i="1"/>
  <c r="O2626" i="1"/>
  <c r="O2009" i="1"/>
  <c r="O2013" i="1"/>
  <c r="O2017" i="1"/>
  <c r="O2021" i="1"/>
  <c r="O2025" i="1"/>
  <c r="O2029" i="1"/>
  <c r="O2037" i="1"/>
  <c r="O2389" i="1"/>
  <c r="O2397" i="1"/>
  <c r="O2401" i="1"/>
  <c r="O2405" i="1"/>
  <c r="O2437" i="1"/>
  <c r="O2441" i="1"/>
  <c r="O2493" i="1"/>
  <c r="O1999" i="1"/>
  <c r="O2663" i="1"/>
  <c r="O2711" i="1"/>
  <c r="O2744" i="1"/>
  <c r="O2745" i="1"/>
  <c r="O2746" i="1"/>
  <c r="O2747" i="1"/>
  <c r="O2749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1" i="1"/>
  <c r="O2792" i="1"/>
  <c r="O2794" i="1"/>
  <c r="O2795" i="1"/>
  <c r="O2797" i="1"/>
  <c r="O2798" i="1"/>
  <c r="O2799" i="1"/>
  <c r="O2800" i="1"/>
  <c r="O2801" i="1"/>
  <c r="O2802" i="1"/>
  <c r="O2803" i="1"/>
  <c r="O2804" i="1"/>
  <c r="O2805" i="1"/>
  <c r="O2806" i="1"/>
  <c r="O2807" i="1"/>
  <c r="O2810" i="1"/>
  <c r="O2811" i="1"/>
  <c r="O2812" i="1"/>
  <c r="O1997" i="1"/>
  <c r="O2701" i="1"/>
  <c r="O57" i="1"/>
  <c r="O2628" i="1"/>
  <c r="O2684" i="1"/>
  <c r="O2696" i="1"/>
  <c r="O2708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642" i="1"/>
  <c r="O2670" i="1"/>
  <c r="O2674" i="1"/>
  <c r="O2690" i="1"/>
  <c r="O2694" i="1"/>
  <c r="O3158" i="1"/>
  <c r="O3003" i="1"/>
  <c r="O3067" i="1"/>
  <c r="O3068" i="1"/>
  <c r="O3076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6" i="1"/>
  <c r="O2907" i="1"/>
  <c r="O2908" i="1"/>
  <c r="O2909" i="1"/>
  <c r="O2910" i="1"/>
  <c r="O2911" i="1"/>
  <c r="O2912" i="1"/>
  <c r="O2913" i="1"/>
  <c r="O2914" i="1"/>
  <c r="O2915" i="1"/>
  <c r="O2916" i="1"/>
  <c r="O2918" i="1"/>
  <c r="O2919" i="1"/>
  <c r="O2920" i="1"/>
  <c r="O2922" i="1"/>
  <c r="O2923" i="1"/>
  <c r="O2924" i="1"/>
  <c r="O2925" i="1"/>
  <c r="O2926" i="1"/>
  <c r="O3214" i="1"/>
  <c r="O2994" i="1"/>
  <c r="O3084" i="1"/>
  <c r="O3113" i="1"/>
  <c r="Q3130" i="1"/>
  <c r="Q2994" i="1"/>
  <c r="O2941" i="1"/>
  <c r="Q2948" i="1"/>
  <c r="O2949" i="1"/>
  <c r="Q2950" i="1"/>
  <c r="Q2953" i="1"/>
  <c r="Q2982" i="1"/>
  <c r="Q2984" i="1"/>
  <c r="Q2995" i="1"/>
  <c r="Q3008" i="1"/>
  <c r="O3010" i="1"/>
  <c r="Q3049" i="1"/>
  <c r="Q3053" i="1"/>
  <c r="Q3062" i="1"/>
  <c r="Q3064" i="1"/>
  <c r="Q3080" i="1"/>
  <c r="O3123" i="1"/>
  <c r="O3131" i="1"/>
  <c r="Q3132" i="1"/>
  <c r="O3133" i="1"/>
  <c r="O3135" i="1"/>
  <c r="Q3136" i="1"/>
  <c r="O3137" i="1"/>
  <c r="O3139" i="1"/>
  <c r="Q3140" i="1"/>
  <c r="O3141" i="1"/>
  <c r="O3143" i="1"/>
  <c r="Q3144" i="1"/>
  <c r="O3145" i="1"/>
  <c r="Q3148" i="1"/>
  <c r="Q3167" i="1"/>
  <c r="Q3173" i="1"/>
  <c r="O3194" i="1"/>
  <c r="O3204" i="1"/>
  <c r="O3206" i="1"/>
  <c r="Q2941" i="1"/>
  <c r="O2943" i="1"/>
  <c r="O2945" i="1"/>
  <c r="O2961" i="1"/>
  <c r="O2978" i="1"/>
  <c r="Q3002" i="1"/>
  <c r="Q3004" i="1"/>
  <c r="Q3012" i="1"/>
  <c r="Q3074" i="1"/>
  <c r="O3075" i="1"/>
  <c r="O3115" i="1"/>
  <c r="O3129" i="1"/>
  <c r="Q3135" i="1"/>
  <c r="Q3139" i="1"/>
  <c r="Q3143" i="1"/>
  <c r="Q3155" i="1"/>
  <c r="Q3177" i="1"/>
  <c r="O3210" i="1"/>
  <c r="O2937" i="1"/>
  <c r="O2957" i="1"/>
  <c r="Q2958" i="1"/>
  <c r="Q2978" i="1"/>
  <c r="Q2992" i="1"/>
  <c r="Q2998" i="1"/>
  <c r="Q3000" i="1"/>
  <c r="Q3011" i="1"/>
  <c r="Q3043" i="1"/>
  <c r="O3071" i="1"/>
  <c r="Q3193" i="1"/>
  <c r="Q3205" i="1"/>
  <c r="Q2938" i="1"/>
  <c r="O2953" i="1"/>
  <c r="Q2954" i="1"/>
  <c r="O2974" i="1"/>
  <c r="Q2986" i="1"/>
  <c r="Q2988" i="1"/>
  <c r="Q2996" i="1"/>
  <c r="Q3066" i="1"/>
  <c r="Q3082" i="1"/>
  <c r="O3125" i="1"/>
  <c r="Q3126" i="1"/>
  <c r="Q3150" i="1"/>
  <c r="O3174" i="1"/>
  <c r="O3180" i="1"/>
  <c r="O3190" i="1"/>
  <c r="O3193" i="1"/>
  <c r="O3202" i="1"/>
  <c r="O3205" i="1"/>
  <c r="Q2133" i="1"/>
  <c r="Q2261" i="1"/>
  <c r="C16" i="1"/>
  <c r="Q1797" i="1"/>
  <c r="R1797" i="1" s="1"/>
  <c r="Q1801" i="1"/>
  <c r="R1801" i="1" s="1"/>
  <c r="Q1805" i="1"/>
  <c r="R1805" i="1" s="1"/>
  <c r="C9" i="1"/>
  <c r="C7" i="1"/>
  <c r="C12" i="1"/>
  <c r="C14" i="1"/>
  <c r="Q1721" i="1"/>
  <c r="R1721" i="1" s="1"/>
  <c r="Q2148" i="1"/>
  <c r="Q2152" i="1"/>
  <c r="Q2357" i="1"/>
  <c r="Q2369" i="1"/>
  <c r="Q2613" i="1"/>
  <c r="Q2308" i="1"/>
  <c r="Q2424" i="1"/>
  <c r="Q2432" i="1"/>
  <c r="Q2577" i="1"/>
  <c r="Q2607" i="1"/>
  <c r="O2967" i="1"/>
  <c r="Q3071" i="1"/>
  <c r="O2992" i="1"/>
  <c r="R2992" i="1" s="1"/>
  <c r="S2992" i="1" s="1"/>
  <c r="Q1671" i="1"/>
  <c r="Q1675" i="1"/>
  <c r="Q1679" i="1"/>
  <c r="Q1683" i="1"/>
  <c r="Q1691" i="1"/>
  <c r="Q1703" i="1"/>
  <c r="R1703" i="1" s="1"/>
  <c r="Q1707" i="1"/>
  <c r="R1707" i="1" s="1"/>
  <c r="Q1711" i="1"/>
  <c r="R1711" i="1" s="1"/>
  <c r="Q1715" i="1"/>
  <c r="Q1719" i="1"/>
  <c r="R1719" i="1" s="1"/>
  <c r="Q2967" i="1"/>
  <c r="Q3079" i="1"/>
  <c r="Q3197" i="1"/>
  <c r="Q3209" i="1"/>
  <c r="Q585" i="1"/>
  <c r="R585" i="1" s="1"/>
  <c r="Q2027" i="1"/>
  <c r="Q2324" i="1"/>
  <c r="Q2329" i="1"/>
  <c r="Q2412" i="1"/>
  <c r="Q2778" i="1"/>
  <c r="Q2794" i="1"/>
  <c r="O2988" i="1"/>
  <c r="O3004" i="1"/>
  <c r="Q3117" i="1"/>
  <c r="Q3127" i="1"/>
  <c r="Q3128" i="1"/>
  <c r="Q3171" i="1"/>
  <c r="O3201" i="1"/>
  <c r="O2950" i="1"/>
  <c r="R2950" i="1" s="1"/>
  <c r="S2950" i="1" s="1"/>
  <c r="O2982" i="1"/>
  <c r="O2986" i="1"/>
  <c r="Q2991" i="1"/>
  <c r="O2998" i="1"/>
  <c r="O3002" i="1"/>
  <c r="Q3007" i="1"/>
  <c r="O3062" i="1"/>
  <c r="O3066" i="1"/>
  <c r="O3074" i="1"/>
  <c r="O3082" i="1"/>
  <c r="O3200" i="1"/>
  <c r="O3216" i="1"/>
  <c r="C15" i="1"/>
  <c r="C10" i="1"/>
  <c r="Q1670" i="1"/>
  <c r="C13" i="1"/>
  <c r="Q1627" i="1"/>
  <c r="C11" i="1"/>
  <c r="C18" i="1"/>
  <c r="Q1257" i="1"/>
  <c r="Q1261" i="1"/>
  <c r="Q1265" i="1"/>
  <c r="Q1269" i="1"/>
  <c r="Q1556" i="1"/>
  <c r="Q1615" i="1"/>
  <c r="R1615" i="1" s="1"/>
  <c r="Q1623" i="1"/>
  <c r="R1623" i="1" s="1"/>
  <c r="Q1624" i="1"/>
  <c r="Q1677" i="1"/>
  <c r="Q1709" i="1"/>
  <c r="Q1280" i="1"/>
  <c r="Q1284" i="1"/>
  <c r="Q1288" i="1"/>
  <c r="Q1292" i="1"/>
  <c r="Q1296" i="1"/>
  <c r="Q1301" i="1"/>
  <c r="R1301" i="1" s="1"/>
  <c r="Q1305" i="1"/>
  <c r="Q1309" i="1"/>
  <c r="Q1313" i="1"/>
  <c r="Q1325" i="1"/>
  <c r="Q1613" i="1"/>
  <c r="Q1614" i="1"/>
  <c r="Q1621" i="1"/>
  <c r="Q1622" i="1"/>
  <c r="Q1635" i="1"/>
  <c r="Q1644" i="1"/>
  <c r="Q1678" i="1"/>
  <c r="Q1710" i="1"/>
  <c r="Q1718" i="1"/>
  <c r="Q1737" i="1"/>
  <c r="R1737" i="1" s="1"/>
  <c r="Q2323" i="1"/>
  <c r="L2716" i="1"/>
  <c r="Q1636" i="1"/>
  <c r="Q1657" i="1"/>
  <c r="R1657" i="1" s="1"/>
  <c r="Q1665" i="1"/>
  <c r="R1665" i="1" s="1"/>
  <c r="Q1695" i="1"/>
  <c r="Q1697" i="1"/>
  <c r="Q1735" i="1"/>
  <c r="R1735" i="1" s="1"/>
  <c r="Q1736" i="1"/>
  <c r="Q1742" i="1"/>
  <c r="Q1789" i="1"/>
  <c r="R1789" i="1" s="1"/>
  <c r="Q1820" i="1"/>
  <c r="Q1824" i="1"/>
  <c r="Q1583" i="1"/>
  <c r="R1583" i="1" s="1"/>
  <c r="Q1591" i="1"/>
  <c r="Q1628" i="1"/>
  <c r="Q1639" i="1"/>
  <c r="Q1649" i="1"/>
  <c r="Q1654" i="1"/>
  <c r="Q1656" i="1"/>
  <c r="Q1659" i="1"/>
  <c r="Q1720" i="1"/>
  <c r="Q1729" i="1"/>
  <c r="L1909" i="1"/>
  <c r="S1909" i="1" s="1"/>
  <c r="L1924" i="1"/>
  <c r="S1924" i="1" s="1"/>
  <c r="L1935" i="1"/>
  <c r="S1935" i="1" s="1"/>
  <c r="L1983" i="1"/>
  <c r="S1983" i="1" s="1"/>
  <c r="Q2247" i="1"/>
  <c r="Q2225" i="1"/>
  <c r="Q2275" i="1"/>
  <c r="Q2281" i="1"/>
  <c r="Q2319" i="1"/>
  <c r="Q2335" i="1"/>
  <c r="Q2385" i="1"/>
  <c r="Q2527" i="1"/>
  <c r="Q2561" i="1"/>
  <c r="Q2591" i="1"/>
  <c r="Q2597" i="1"/>
  <c r="Q2801" i="1"/>
  <c r="Q2842" i="1"/>
  <c r="Q2846" i="1"/>
  <c r="Q2850" i="1"/>
  <c r="Q2858" i="1"/>
  <c r="Q2093" i="1"/>
  <c r="Q2115" i="1"/>
  <c r="Q2153" i="1"/>
  <c r="Q2164" i="1"/>
  <c r="Q2166" i="1"/>
  <c r="Q2228" i="1"/>
  <c r="Q2431" i="1"/>
  <c r="Q2559" i="1"/>
  <c r="Q2565" i="1"/>
  <c r="Q2593" i="1"/>
  <c r="Q2670" i="1"/>
  <c r="Q2694" i="1"/>
  <c r="Q2710" i="1"/>
  <c r="Q2872" i="1"/>
  <c r="Q2875" i="1"/>
  <c r="Q2876" i="1"/>
  <c r="Q2884" i="1"/>
  <c r="Q2279" i="1"/>
  <c r="Q2303" i="1"/>
  <c r="Q2305" i="1"/>
  <c r="Q2326" i="1"/>
  <c r="Q2345" i="1"/>
  <c r="Q2361" i="1"/>
  <c r="Q2575" i="1"/>
  <c r="Q2581" i="1"/>
  <c r="Q2609" i="1"/>
  <c r="Q2649" i="1"/>
  <c r="Q2880" i="1"/>
  <c r="Q2896" i="1"/>
  <c r="Q2902" i="1"/>
  <c r="Q1607" i="1"/>
  <c r="Q1643" i="1"/>
  <c r="Q1676" i="1"/>
  <c r="Q1686" i="1"/>
  <c r="Q1708" i="1"/>
  <c r="Q1741" i="1"/>
  <c r="Q1599" i="1"/>
  <c r="Q1696" i="1"/>
  <c r="Q1555" i="1"/>
  <c r="Q1587" i="1"/>
  <c r="Q1605" i="1"/>
  <c r="Q1662" i="1"/>
  <c r="L1877" i="1"/>
  <c r="Q1877" i="1" s="1"/>
  <c r="Q1579" i="1"/>
  <c r="Q1582" i="1"/>
  <c r="Q1590" i="1"/>
  <c r="Q1597" i="1"/>
  <c r="Q1603" i="1"/>
  <c r="L1973" i="1"/>
  <c r="S1973" i="1" s="1"/>
  <c r="L2672" i="1"/>
  <c r="Q1321" i="1"/>
  <c r="Q1576" i="1"/>
  <c r="Q1592" i="1"/>
  <c r="Q1608" i="1"/>
  <c r="Q1616" i="1"/>
  <c r="Q1629" i="1"/>
  <c r="Q1630" i="1"/>
  <c r="Q1637" i="1"/>
  <c r="Q1638" i="1"/>
  <c r="Q1646" i="1"/>
  <c r="Q1651" i="1"/>
  <c r="Q1669" i="1"/>
  <c r="Q1689" i="1"/>
  <c r="Q1701" i="1"/>
  <c r="Q1726" i="1"/>
  <c r="Q1733" i="1"/>
  <c r="Q1836" i="1"/>
  <c r="Q1852" i="1"/>
  <c r="L1894" i="1"/>
  <c r="S1894" i="1" s="1"/>
  <c r="L1943" i="1"/>
  <c r="S1943" i="1" s="1"/>
  <c r="Q2150" i="1"/>
  <c r="Q1323" i="1"/>
  <c r="Q1581" i="1"/>
  <c r="Q1589" i="1"/>
  <c r="Q1598" i="1"/>
  <c r="Q1606" i="1"/>
  <c r="C17" i="1"/>
  <c r="Q373" i="1"/>
  <c r="Q1327" i="1"/>
  <c r="Q1573" i="1"/>
  <c r="Q1577" i="1"/>
  <c r="R1577" i="1" s="1"/>
  <c r="Q1578" i="1"/>
  <c r="Q1585" i="1"/>
  <c r="Q1586" i="1"/>
  <c r="Q1593" i="1"/>
  <c r="R1593" i="1" s="1"/>
  <c r="Q1594" i="1"/>
  <c r="Q1601" i="1"/>
  <c r="Q1602" i="1"/>
  <c r="Q1609" i="1"/>
  <c r="R1609" i="1" s="1"/>
  <c r="Q1610" i="1"/>
  <c r="Q1617" i="1"/>
  <c r="Q1618" i="1"/>
  <c r="Q1648" i="1"/>
  <c r="Q1661" i="1"/>
  <c r="Q1681" i="1"/>
  <c r="Q1693" i="1"/>
  <c r="Q1713" i="1"/>
  <c r="L1925" i="1"/>
  <c r="S1925" i="1" s="1"/>
  <c r="Q2128" i="1"/>
  <c r="Q2337" i="1"/>
  <c r="Q1574" i="1"/>
  <c r="Q1580" i="1"/>
  <c r="Q1588" i="1"/>
  <c r="Q1596" i="1"/>
  <c r="Q1604" i="1"/>
  <c r="Q1612" i="1"/>
  <c r="Q1620" i="1"/>
  <c r="Q1626" i="1"/>
  <c r="R1626" i="1" s="1"/>
  <c r="Q1634" i="1"/>
  <c r="R1634" i="1" s="1"/>
  <c r="Q1641" i="1"/>
  <c r="Q1642" i="1"/>
  <c r="Q1650" i="1"/>
  <c r="R1650" i="1" s="1"/>
  <c r="Q1664" i="1"/>
  <c r="Q1667" i="1"/>
  <c r="Q1673" i="1"/>
  <c r="Q1685" i="1"/>
  <c r="Q1687" i="1"/>
  <c r="Q1688" i="1"/>
  <c r="Q1699" i="1"/>
  <c r="Q1705" i="1"/>
  <c r="Q1717" i="1"/>
  <c r="Q1730" i="1"/>
  <c r="Q1731" i="1"/>
  <c r="Q1732" i="1"/>
  <c r="Q1840" i="1"/>
  <c r="R1840" i="1" s="1"/>
  <c r="Q1856" i="1"/>
  <c r="R1856" i="1" s="1"/>
  <c r="Q1752" i="1"/>
  <c r="R1752" i="1" s="1"/>
  <c r="Q1765" i="1"/>
  <c r="Q1776" i="1"/>
  <c r="R1776" i="1" s="1"/>
  <c r="Q1819" i="1"/>
  <c r="Q1835" i="1"/>
  <c r="Q1851" i="1"/>
  <c r="Q2039" i="1"/>
  <c r="Q2063" i="1"/>
  <c r="Q2079" i="1"/>
  <c r="Q2095" i="1"/>
  <c r="Q2113" i="1"/>
  <c r="Q2156" i="1"/>
  <c r="Q2158" i="1"/>
  <c r="Q2160" i="1"/>
  <c r="Q2162" i="1"/>
  <c r="Q2209" i="1"/>
  <c r="Q2217" i="1"/>
  <c r="Q2223" i="1"/>
  <c r="Q2263" i="1"/>
  <c r="Q2271" i="1"/>
  <c r="Q2551" i="1"/>
  <c r="Q2618" i="1"/>
  <c r="Q1757" i="1"/>
  <c r="R1757" i="1" s="1"/>
  <c r="Q1792" i="1"/>
  <c r="Q1812" i="1"/>
  <c r="Q1816" i="1"/>
  <c r="Q1828" i="1"/>
  <c r="Q1832" i="1"/>
  <c r="R1832" i="1" s="1"/>
  <c r="Q1844" i="1"/>
  <c r="Q1848" i="1"/>
  <c r="Q1860" i="1"/>
  <c r="Q1864" i="1"/>
  <c r="R1864" i="1" s="1"/>
  <c r="L1975" i="1"/>
  <c r="S1975" i="1" s="1"/>
  <c r="Q2059" i="1"/>
  <c r="Q2075" i="1"/>
  <c r="Q2110" i="1"/>
  <c r="Q2124" i="1"/>
  <c r="Q2140" i="1"/>
  <c r="Q2141" i="1"/>
  <c r="Q2154" i="1"/>
  <c r="Q2185" i="1"/>
  <c r="Q2191" i="1"/>
  <c r="Q2193" i="1"/>
  <c r="Q2207" i="1"/>
  <c r="Q2227" i="1"/>
  <c r="Q2423" i="1"/>
  <c r="L2646" i="1"/>
  <c r="O2646" i="1" s="1"/>
  <c r="L2699" i="1"/>
  <c r="O2699" i="1" s="1"/>
  <c r="Q1744" i="1"/>
  <c r="Q1784" i="1"/>
  <c r="Q1806" i="1"/>
  <c r="Q1811" i="1"/>
  <c r="Q1827" i="1"/>
  <c r="Q1843" i="1"/>
  <c r="Q1859" i="1"/>
  <c r="Q2032" i="1"/>
  <c r="Q2055" i="1"/>
  <c r="Q2071" i="1"/>
  <c r="Q2087" i="1"/>
  <c r="Q2102" i="1"/>
  <c r="Q2111" i="1"/>
  <c r="Q2132" i="1"/>
  <c r="Q2165" i="1"/>
  <c r="Q2175" i="1"/>
  <c r="Q2177" i="1"/>
  <c r="Q2179" i="1"/>
  <c r="Q2196" i="1"/>
  <c r="Q2249" i="1"/>
  <c r="Q2287" i="1"/>
  <c r="Q2377" i="1"/>
  <c r="Q2445" i="1"/>
  <c r="Q2536" i="1"/>
  <c r="Q2259" i="1"/>
  <c r="Q2283" i="1"/>
  <c r="Q2299" i="1"/>
  <c r="Q2315" i="1"/>
  <c r="Q2318" i="1"/>
  <c r="Q2321" i="1"/>
  <c r="Q2341" i="1"/>
  <c r="Q2355" i="1"/>
  <c r="Q2373" i="1"/>
  <c r="Q2398" i="1"/>
  <c r="Q2403" i="1"/>
  <c r="Q2419" i="1"/>
  <c r="Q2420" i="1"/>
  <c r="Q2443" i="1"/>
  <c r="Q2444" i="1"/>
  <c r="Q2447" i="1"/>
  <c r="Q2450" i="1"/>
  <c r="Q2547" i="1"/>
  <c r="Q2549" i="1"/>
  <c r="Q2563" i="1"/>
  <c r="Q2595" i="1"/>
  <c r="Q2621" i="1"/>
  <c r="Q2752" i="1"/>
  <c r="Q2753" i="1"/>
  <c r="Q2754" i="1"/>
  <c r="Q2762" i="1"/>
  <c r="Q2888" i="1"/>
  <c r="Q2241" i="1"/>
  <c r="Q2245" i="1"/>
  <c r="Q2257" i="1"/>
  <c r="Q2267" i="1"/>
  <c r="Q2293" i="1"/>
  <c r="Q2297" i="1"/>
  <c r="Q2309" i="1"/>
  <c r="Q2313" i="1"/>
  <c r="Q2339" i="1"/>
  <c r="Q2349" i="1"/>
  <c r="Q2353" i="1"/>
  <c r="Q2365" i="1"/>
  <c r="Q2371" i="1"/>
  <c r="Q2382" i="1"/>
  <c r="Q2390" i="1"/>
  <c r="Q2393" i="1"/>
  <c r="Q2446" i="1"/>
  <c r="Q2494" i="1"/>
  <c r="Q2512" i="1"/>
  <c r="Q2519" i="1"/>
  <c r="Q2538" i="1"/>
  <c r="Q2619" i="1"/>
  <c r="L2660" i="1"/>
  <c r="Q2890" i="1"/>
  <c r="Q2918" i="1"/>
  <c r="Q2239" i="1"/>
  <c r="Q2243" i="1"/>
  <c r="Q2251" i="1"/>
  <c r="Q2273" i="1"/>
  <c r="Q2277" i="1"/>
  <c r="Q2291" i="1"/>
  <c r="Q2307" i="1"/>
  <c r="Q2325" i="1"/>
  <c r="Q2331" i="1"/>
  <c r="Q2347" i="1"/>
  <c r="Q2363" i="1"/>
  <c r="Q2379" i="1"/>
  <c r="Q2427" i="1"/>
  <c r="Q2440" i="1"/>
  <c r="Q2468" i="1"/>
  <c r="Q2476" i="1"/>
  <c r="Q2484" i="1"/>
  <c r="Q2507" i="1"/>
  <c r="Q2579" i="1"/>
  <c r="Q2611" i="1"/>
  <c r="Q2623" i="1"/>
  <c r="L2636" i="1"/>
  <c r="L2680" i="1"/>
  <c r="L2691" i="1"/>
  <c r="O2691" i="1" s="1"/>
  <c r="L2729" i="1"/>
  <c r="O2729" i="1" s="1"/>
  <c r="Q2553" i="1"/>
  <c r="Q2555" i="1"/>
  <c r="Q2557" i="1"/>
  <c r="Q2569" i="1"/>
  <c r="Q2571" i="1"/>
  <c r="Q2573" i="1"/>
  <c r="Q2585" i="1"/>
  <c r="Q2587" i="1"/>
  <c r="Q2589" i="1"/>
  <c r="Q2601" i="1"/>
  <c r="Q2603" i="1"/>
  <c r="Q2605" i="1"/>
  <c r="Q2620" i="1"/>
  <c r="Q2674" i="1"/>
  <c r="Q2679" i="1"/>
  <c r="Q2770" i="1"/>
  <c r="Q2844" i="1"/>
  <c r="Q2852" i="1"/>
  <c r="Q2855" i="1"/>
  <c r="Q2857" i="1"/>
  <c r="Q2866" i="1"/>
  <c r="Q2871" i="1"/>
  <c r="Q2878" i="1"/>
  <c r="Q2895" i="1"/>
  <c r="Q2910" i="1"/>
  <c r="Q2914" i="1"/>
  <c r="Q2554" i="1"/>
  <c r="Q2567" i="1"/>
  <c r="Q2583" i="1"/>
  <c r="Q2599" i="1"/>
  <c r="Q2626" i="1"/>
  <c r="Q2661" i="1"/>
  <c r="L2695" i="1"/>
  <c r="Q2769" i="1"/>
  <c r="Q2786" i="1"/>
  <c r="Q2860" i="1"/>
  <c r="Q2863" i="1"/>
  <c r="Q2865" i="1"/>
  <c r="Q2874" i="1"/>
  <c r="Q2879" i="1"/>
  <c r="Q2922" i="1"/>
  <c r="Q2926" i="1"/>
  <c r="Q2785" i="1"/>
  <c r="Q2802" i="1"/>
  <c r="Q2809" i="1"/>
  <c r="Q2867" i="1"/>
  <c r="Q2870" i="1"/>
  <c r="Q2881" i="1"/>
  <c r="Q845" i="1"/>
  <c r="Q1282" i="1"/>
  <c r="Q1286" i="1"/>
  <c r="Q1294" i="1"/>
  <c r="Q1298" i="1"/>
  <c r="Q1303" i="1"/>
  <c r="Q1307" i="1"/>
  <c r="Q1311" i="1"/>
  <c r="Q1414" i="1"/>
  <c r="R1414" i="1" s="1"/>
  <c r="Q1426" i="1"/>
  <c r="Q1547" i="1"/>
  <c r="Q1666" i="1"/>
  <c r="Q1674" i="1"/>
  <c r="Q1682" i="1"/>
  <c r="Q1690" i="1"/>
  <c r="Q1698" i="1"/>
  <c r="Q1706" i="1"/>
  <c r="Q1714" i="1"/>
  <c r="Q731" i="1"/>
  <c r="R731" i="1" s="1"/>
  <c r="Q1568" i="1"/>
  <c r="R1568" i="1" s="1"/>
  <c r="Q1569" i="1"/>
  <c r="Q1575" i="1"/>
  <c r="Q1658" i="1"/>
  <c r="Q2684" i="1"/>
  <c r="Q553" i="1"/>
  <c r="Q1749" i="1"/>
  <c r="R1749" i="1" s="1"/>
  <c r="Q1768" i="1"/>
  <c r="Q1781" i="1"/>
  <c r="R1781" i="1" s="1"/>
  <c r="Q1809" i="1"/>
  <c r="R1809" i="1" s="1"/>
  <c r="Q1823" i="1"/>
  <c r="Q1839" i="1"/>
  <c r="Q1997" i="1"/>
  <c r="Q2145" i="1"/>
  <c r="Q2514" i="1"/>
  <c r="Q1722" i="1"/>
  <c r="Q1727" i="1"/>
  <c r="Q1728" i="1"/>
  <c r="R1728" i="1" s="1"/>
  <c r="Q1760" i="1"/>
  <c r="Q1773" i="1"/>
  <c r="Q2129" i="1"/>
  <c r="Q2137" i="1"/>
  <c r="Q2157" i="1"/>
  <c r="Q2656" i="1"/>
  <c r="Q1723" i="1"/>
  <c r="Q1724" i="1"/>
  <c r="Q1734" i="1"/>
  <c r="Q1739" i="1"/>
  <c r="R1739" i="1" s="1"/>
  <c r="Q1740" i="1"/>
  <c r="Q1810" i="1"/>
  <c r="Q1814" i="1"/>
  <c r="Q1818" i="1"/>
  <c r="Q1822" i="1"/>
  <c r="Q1826" i="1"/>
  <c r="Q1830" i="1"/>
  <c r="R1830" i="1" s="1"/>
  <c r="Q1834" i="1"/>
  <c r="Q1838" i="1"/>
  <c r="R1838" i="1" s="1"/>
  <c r="Q1842" i="1"/>
  <c r="Q1846" i="1"/>
  <c r="Q1850" i="1"/>
  <c r="Q1854" i="1"/>
  <c r="Q1858" i="1"/>
  <c r="Q1862" i="1"/>
  <c r="R1862" i="1" s="1"/>
  <c r="Q2096" i="1"/>
  <c r="Q2020" i="1"/>
  <c r="Q2044" i="1"/>
  <c r="Q2048" i="1"/>
  <c r="Q2052" i="1"/>
  <c r="Q2056" i="1"/>
  <c r="Q2060" i="1"/>
  <c r="Q2064" i="1"/>
  <c r="Q2068" i="1"/>
  <c r="Q2072" i="1"/>
  <c r="Q2076" i="1"/>
  <c r="Q2080" i="1"/>
  <c r="Q2084" i="1"/>
  <c r="Q2088" i="1"/>
  <c r="Q2092" i="1"/>
  <c r="Q2117" i="1"/>
  <c r="Q2161" i="1"/>
  <c r="Q2211" i="1"/>
  <c r="Q2212" i="1"/>
  <c r="Q2286" i="1"/>
  <c r="Q2292" i="1"/>
  <c r="Q2327" i="1"/>
  <c r="Q2387" i="1"/>
  <c r="Q2416" i="1"/>
  <c r="Q2425" i="1"/>
  <c r="Q2466" i="1"/>
  <c r="Q2472" i="1"/>
  <c r="Q2474" i="1"/>
  <c r="Q2480" i="1"/>
  <c r="Q2482" i="1"/>
  <c r="Q2488" i="1"/>
  <c r="Q2492" i="1"/>
  <c r="Q2529" i="1"/>
  <c r="Q2543" i="1"/>
  <c r="Q2149" i="1"/>
  <c r="Q2180" i="1"/>
  <c r="Q2255" i="1"/>
  <c r="Q2270" i="1"/>
  <c r="Q2276" i="1"/>
  <c r="Q2278" i="1"/>
  <c r="Q2311" i="1"/>
  <c r="Q2334" i="1"/>
  <c r="Q2342" i="1"/>
  <c r="Q2374" i="1"/>
  <c r="Q2406" i="1"/>
  <c r="Q2421" i="1"/>
  <c r="Q2428" i="1"/>
  <c r="Q2436" i="1"/>
  <c r="Q2458" i="1"/>
  <c r="Q2522" i="1"/>
  <c r="Q2617" i="1"/>
  <c r="Q2990" i="1"/>
  <c r="O2990" i="1"/>
  <c r="Q3006" i="1"/>
  <c r="O3006" i="1"/>
  <c r="Q3070" i="1"/>
  <c r="O3070" i="1"/>
  <c r="Q3078" i="1"/>
  <c r="O3078" i="1"/>
  <c r="Q2295" i="1"/>
  <c r="Q2417" i="1"/>
  <c r="Q2503" i="1"/>
  <c r="Q2616" i="1"/>
  <c r="Q2760" i="1"/>
  <c r="Q2772" i="1"/>
  <c r="Q2776" i="1"/>
  <c r="Q2788" i="1"/>
  <c r="Q2792" i="1"/>
  <c r="Q2804" i="1"/>
  <c r="Q2849" i="1"/>
  <c r="Q2873" i="1"/>
  <c r="Q2877" i="1"/>
  <c r="Q2891" i="1"/>
  <c r="Q2898" i="1"/>
  <c r="O2938" i="1"/>
  <c r="R2938" i="1" s="1"/>
  <c r="S2938" i="1" s="1"/>
  <c r="Q2945" i="1"/>
  <c r="Q2957" i="1"/>
  <c r="O2971" i="1"/>
  <c r="Q2974" i="1"/>
  <c r="R2974" i="1" s="1"/>
  <c r="S2974" i="1" s="1"/>
  <c r="Q2983" i="1"/>
  <c r="O2991" i="1"/>
  <c r="O2996" i="1"/>
  <c r="Q2999" i="1"/>
  <c r="O3007" i="1"/>
  <c r="O3008" i="1"/>
  <c r="R3008" i="1" s="1"/>
  <c r="S3008" i="1" s="1"/>
  <c r="Q3041" i="1"/>
  <c r="O3127" i="1"/>
  <c r="Q3134" i="1"/>
  <c r="Q3189" i="1"/>
  <c r="O3197" i="1"/>
  <c r="O3209" i="1"/>
  <c r="Q3213" i="1"/>
  <c r="Q2761" i="1"/>
  <c r="Q2777" i="1"/>
  <c r="Q2793" i="1"/>
  <c r="Q2851" i="1"/>
  <c r="Q2887" i="1"/>
  <c r="Q2906" i="1"/>
  <c r="Q2937" i="1"/>
  <c r="Q2944" i="1"/>
  <c r="O2947" i="1"/>
  <c r="O2948" i="1"/>
  <c r="Q2949" i="1"/>
  <c r="O2954" i="1"/>
  <c r="O2956" i="1"/>
  <c r="Q2961" i="1"/>
  <c r="R2961" i="1" s="1"/>
  <c r="S2961" i="1" s="1"/>
  <c r="O2979" i="1"/>
  <c r="O2984" i="1"/>
  <c r="Q2987" i="1"/>
  <c r="R2987" i="1" s="1"/>
  <c r="S2987" i="1" s="1"/>
  <c r="O2995" i="1"/>
  <c r="O3000" i="1"/>
  <c r="Q3003" i="1"/>
  <c r="R3003" i="1" s="1"/>
  <c r="S3003" i="1" s="1"/>
  <c r="O3011" i="1"/>
  <c r="O3012" i="1"/>
  <c r="R3012" i="1" s="1"/>
  <c r="S3012" i="1" s="1"/>
  <c r="O3059" i="1"/>
  <c r="Q3075" i="1"/>
  <c r="O3080" i="1"/>
  <c r="Q3131" i="1"/>
  <c r="R3131" i="1" s="1"/>
  <c r="S3131" i="1" s="1"/>
  <c r="Q3138" i="1"/>
  <c r="O3140" i="1"/>
  <c r="R3140" i="1" s="1"/>
  <c r="S3140" i="1" s="1"/>
  <c r="Q3142" i="1"/>
  <c r="O3144" i="1"/>
  <c r="R3144" i="1" s="1"/>
  <c r="S3144" i="1" s="1"/>
  <c r="Q3146" i="1"/>
  <c r="O3150" i="1"/>
  <c r="Q3182" i="1"/>
  <c r="O3189" i="1"/>
  <c r="O3196" i="1"/>
  <c r="Q3201" i="1"/>
  <c r="O3208" i="1"/>
  <c r="O3213" i="1"/>
  <c r="Q3217" i="1"/>
  <c r="Q2667" i="1"/>
  <c r="Q2768" i="1"/>
  <c r="Q2780" i="1"/>
  <c r="Q2784" i="1"/>
  <c r="Q2800" i="1"/>
  <c r="Q2820" i="1"/>
  <c r="Q2824" i="1"/>
  <c r="Q2835" i="1"/>
  <c r="Q2838" i="1"/>
  <c r="Q2839" i="1"/>
  <c r="R2953" i="1"/>
  <c r="S2953" i="1" s="1"/>
  <c r="O2958" i="1"/>
  <c r="R2958" i="1" s="1"/>
  <c r="S2958" i="1" s="1"/>
  <c r="O2983" i="1"/>
  <c r="O2999" i="1"/>
  <c r="O3018" i="1"/>
  <c r="O3056" i="1"/>
  <c r="O3063" i="1"/>
  <c r="O3064" i="1"/>
  <c r="R3064" i="1" s="1"/>
  <c r="S3064" i="1" s="1"/>
  <c r="O3188" i="1"/>
  <c r="O3212" i="1"/>
  <c r="O3217" i="1"/>
  <c r="Q102" i="1"/>
  <c r="Q537" i="1"/>
  <c r="Q569" i="1"/>
  <c r="Q607" i="1"/>
  <c r="R607" i="1" s="1"/>
  <c r="Q611" i="1"/>
  <c r="Q932" i="1"/>
  <c r="Q596" i="1"/>
  <c r="Q405" i="1"/>
  <c r="Q449" i="1"/>
  <c r="Q1040" i="1"/>
  <c r="Q1044" i="1"/>
  <c r="Q483" i="1"/>
  <c r="Q515" i="1"/>
  <c r="Q730" i="1"/>
  <c r="R730" i="1" s="1"/>
  <c r="Q754" i="1"/>
  <c r="Q118" i="1"/>
  <c r="Q306" i="1"/>
  <c r="Q381" i="1"/>
  <c r="Q471" i="1"/>
  <c r="Q479" i="1"/>
  <c r="Q503" i="1"/>
  <c r="Q505" i="1"/>
  <c r="Q511" i="1"/>
  <c r="Q601" i="1"/>
  <c r="Q710" i="1"/>
  <c r="Q774" i="1"/>
  <c r="Q1055" i="1"/>
  <c r="Q1075" i="1"/>
  <c r="Q1079" i="1"/>
  <c r="R1079" i="1" s="1"/>
  <c r="Q1250" i="1"/>
  <c r="Q70" i="1"/>
  <c r="Q441" i="1"/>
  <c r="Q597" i="1"/>
  <c r="Q621" i="1"/>
  <c r="Q691" i="1"/>
  <c r="Q952" i="1"/>
  <c r="Q1175" i="1"/>
  <c r="Q1191" i="1"/>
  <c r="R1191" i="1" s="1"/>
  <c r="Q1207" i="1"/>
  <c r="Q1223" i="1"/>
  <c r="Q1239" i="1"/>
  <c r="Q86" i="1"/>
  <c r="Q463" i="1"/>
  <c r="Q487" i="1"/>
  <c r="Q495" i="1"/>
  <c r="Q519" i="1"/>
  <c r="Q521" i="1"/>
  <c r="Q690" i="1"/>
  <c r="Q971" i="1"/>
  <c r="Q975" i="1"/>
  <c r="Q1003" i="1"/>
  <c r="Q1017" i="1"/>
  <c r="Q1024" i="1"/>
  <c r="R1024" i="1" s="1"/>
  <c r="Q1025" i="1"/>
  <c r="Q1027" i="1"/>
  <c r="R1027" i="1" s="1"/>
  <c r="Q1035" i="1"/>
  <c r="Q1067" i="1"/>
  <c r="Q63" i="1"/>
  <c r="Q79" i="1"/>
  <c r="Q95" i="1"/>
  <c r="Q111" i="1"/>
  <c r="Q127" i="1"/>
  <c r="Q321" i="1"/>
  <c r="Q358" i="1"/>
  <c r="Q426" i="1"/>
  <c r="Q430" i="1"/>
  <c r="Q467" i="1"/>
  <c r="Q499" i="1"/>
  <c r="Q706" i="1"/>
  <c r="Q770" i="1"/>
  <c r="Q960" i="1"/>
  <c r="Q66" i="1"/>
  <c r="Q67" i="1"/>
  <c r="Q82" i="1"/>
  <c r="Q83" i="1"/>
  <c r="Q98" i="1"/>
  <c r="Q99" i="1"/>
  <c r="Q114" i="1"/>
  <c r="Q115" i="1"/>
  <c r="Q130" i="1"/>
  <c r="Q131" i="1"/>
  <c r="Q266" i="1"/>
  <c r="Q314" i="1"/>
  <c r="Q334" i="1"/>
  <c r="Q390" i="1"/>
  <c r="Q394" i="1"/>
  <c r="Q604" i="1"/>
  <c r="Q608" i="1"/>
  <c r="Q612" i="1"/>
  <c r="Q829" i="1"/>
  <c r="Q55" i="1"/>
  <c r="Q71" i="1"/>
  <c r="Q87" i="1"/>
  <c r="Q103" i="1"/>
  <c r="Q119" i="1"/>
  <c r="Q59" i="1"/>
  <c r="Q75" i="1"/>
  <c r="Q91" i="1"/>
  <c r="Q107" i="1"/>
  <c r="Q123" i="1"/>
  <c r="Q135" i="1"/>
  <c r="Q353" i="1"/>
  <c r="Q527" i="1"/>
  <c r="Q531" i="1"/>
  <c r="Q535" i="1"/>
  <c r="Q543" i="1"/>
  <c r="Q547" i="1"/>
  <c r="Q551" i="1"/>
  <c r="Q575" i="1"/>
  <c r="Q579" i="1"/>
  <c r="Q583" i="1"/>
  <c r="Q591" i="1"/>
  <c r="Q595" i="1"/>
  <c r="Q605" i="1"/>
  <c r="R605" i="1" s="1"/>
  <c r="Q714" i="1"/>
  <c r="Q758" i="1"/>
  <c r="Q763" i="1"/>
  <c r="Q900" i="1"/>
  <c r="Q920" i="1"/>
  <c r="R920" i="1" s="1"/>
  <c r="Q931" i="1"/>
  <c r="Q936" i="1"/>
  <c r="Q969" i="1"/>
  <c r="Q987" i="1"/>
  <c r="Q992" i="1"/>
  <c r="Q993" i="1"/>
  <c r="R993" i="1" s="1"/>
  <c r="Q995" i="1"/>
  <c r="Q1008" i="1"/>
  <c r="Q326" i="1"/>
  <c r="Q341" i="1"/>
  <c r="Q349" i="1"/>
  <c r="Q362" i="1"/>
  <c r="R362" i="1" s="1"/>
  <c r="S362" i="1" s="1"/>
  <c r="Q398" i="1"/>
  <c r="Q409" i="1"/>
  <c r="Q417" i="1"/>
  <c r="Q454" i="1"/>
  <c r="Q513" i="1"/>
  <c r="Q517" i="1"/>
  <c r="Q533" i="1"/>
  <c r="R533" i="1" s="1"/>
  <c r="Q545" i="1"/>
  <c r="Q549" i="1"/>
  <c r="Q577" i="1"/>
  <c r="Q581" i="1"/>
  <c r="Q593" i="1"/>
  <c r="Q599" i="1"/>
  <c r="R599" i="1" s="1"/>
  <c r="Q603" i="1"/>
  <c r="Q609" i="1"/>
  <c r="Q613" i="1"/>
  <c r="Q623" i="1"/>
  <c r="Q624" i="1"/>
  <c r="Q698" i="1"/>
  <c r="Q738" i="1"/>
  <c r="Q742" i="1"/>
  <c r="Q762" i="1"/>
  <c r="Q888" i="1"/>
  <c r="Q892" i="1"/>
  <c r="R892" i="1" s="1"/>
  <c r="Q899" i="1"/>
  <c r="Q904" i="1"/>
  <c r="R904" i="1" s="1"/>
  <c r="Q940" i="1"/>
  <c r="Q951" i="1"/>
  <c r="Q957" i="1"/>
  <c r="Q959" i="1"/>
  <c r="Q961" i="1"/>
  <c r="Q980" i="1"/>
  <c r="Q981" i="1"/>
  <c r="Q983" i="1"/>
  <c r="Q985" i="1"/>
  <c r="Q999" i="1"/>
  <c r="Q1012" i="1"/>
  <c r="Q1013" i="1"/>
  <c r="Q1015" i="1"/>
  <c r="Q330" i="1"/>
  <c r="Q366" i="1"/>
  <c r="Q385" i="1"/>
  <c r="Q422" i="1"/>
  <c r="Q437" i="1"/>
  <c r="Q458" i="1"/>
  <c r="Q459" i="1"/>
  <c r="Q469" i="1"/>
  <c r="Q474" i="1"/>
  <c r="R474" i="1" s="1"/>
  <c r="Q475" i="1"/>
  <c r="Q490" i="1"/>
  <c r="Q491" i="1"/>
  <c r="Q506" i="1"/>
  <c r="Q507" i="1"/>
  <c r="Q509" i="1"/>
  <c r="Q522" i="1"/>
  <c r="Q525" i="1"/>
  <c r="Q538" i="1"/>
  <c r="Q541" i="1"/>
  <c r="Q554" i="1"/>
  <c r="Q557" i="1"/>
  <c r="Q570" i="1"/>
  <c r="Q571" i="1"/>
  <c r="Q573" i="1"/>
  <c r="Q586" i="1"/>
  <c r="Q589" i="1"/>
  <c r="Q600" i="1"/>
  <c r="Q615" i="1"/>
  <c r="R615" i="1" s="1"/>
  <c r="Q616" i="1"/>
  <c r="R616" i="1" s="1"/>
  <c r="Q619" i="1"/>
  <c r="Q620" i="1"/>
  <c r="Q625" i="1"/>
  <c r="R625" i="1" s="1"/>
  <c r="Q628" i="1"/>
  <c r="Q682" i="1"/>
  <c r="Q702" i="1"/>
  <c r="Q722" i="1"/>
  <c r="Q726" i="1"/>
  <c r="Q746" i="1"/>
  <c r="Q908" i="1"/>
  <c r="Q919" i="1"/>
  <c r="Q923" i="1"/>
  <c r="Q973" i="1"/>
  <c r="Q991" i="1"/>
  <c r="Q996" i="1"/>
  <c r="Q1021" i="1"/>
  <c r="Q1023" i="1"/>
  <c r="Q1043" i="1"/>
  <c r="Q1047" i="1"/>
  <c r="Q617" i="1"/>
  <c r="R617" i="1" s="1"/>
  <c r="Q627" i="1"/>
  <c r="Q694" i="1"/>
  <c r="Q718" i="1"/>
  <c r="Q734" i="1"/>
  <c r="Q739" i="1"/>
  <c r="Q750" i="1"/>
  <c r="Q766" i="1"/>
  <c r="Q813" i="1"/>
  <c r="Q856" i="1"/>
  <c r="Q895" i="1"/>
  <c r="Q955" i="1"/>
  <c r="R955" i="1" s="1"/>
  <c r="Q964" i="1"/>
  <c r="Q967" i="1"/>
  <c r="Q976" i="1"/>
  <c r="Q979" i="1"/>
  <c r="R979" i="1" s="1"/>
  <c r="Q1007" i="1"/>
  <c r="Q1019" i="1"/>
  <c r="R1019" i="1" s="1"/>
  <c r="Q1028" i="1"/>
  <c r="Q1031" i="1"/>
  <c r="Q1072" i="1"/>
  <c r="Q1076" i="1"/>
  <c r="Q1129" i="1"/>
  <c r="Q1164" i="1"/>
  <c r="Q1176" i="1"/>
  <c r="Q1188" i="1"/>
  <c r="Q1204" i="1"/>
  <c r="Q1220" i="1"/>
  <c r="Q1236" i="1"/>
  <c r="Q1155" i="1"/>
  <c r="Q1156" i="1"/>
  <c r="Q1184" i="1"/>
  <c r="Q1187" i="1"/>
  <c r="Q1200" i="1"/>
  <c r="Q1203" i="1"/>
  <c r="R1203" i="1" s="1"/>
  <c r="Q1216" i="1"/>
  <c r="Q1219" i="1"/>
  <c r="Q1232" i="1"/>
  <c r="Q1235" i="1"/>
  <c r="R1235" i="1" s="1"/>
  <c r="Q1049" i="1"/>
  <c r="Q1060" i="1"/>
  <c r="Q1061" i="1"/>
  <c r="Q1063" i="1"/>
  <c r="Q1081" i="1"/>
  <c r="Q1097" i="1"/>
  <c r="Q1160" i="1"/>
  <c r="R1160" i="1" s="1"/>
  <c r="Q1179" i="1"/>
  <c r="Q1181" i="1"/>
  <c r="Q1193" i="1"/>
  <c r="Q1197" i="1"/>
  <c r="Q1209" i="1"/>
  <c r="Q1213" i="1"/>
  <c r="Q1225" i="1"/>
  <c r="Q1229" i="1"/>
  <c r="Q1241" i="1"/>
  <c r="Q1259" i="1"/>
  <c r="Q1263" i="1"/>
  <c r="L1274" i="1"/>
  <c r="S1274" i="1" s="1"/>
  <c r="Q1039" i="1"/>
  <c r="R1039" i="1" s="1"/>
  <c r="Q1041" i="1"/>
  <c r="Q1051" i="1"/>
  <c r="Q1056" i="1"/>
  <c r="Q1057" i="1"/>
  <c r="Q1059" i="1"/>
  <c r="Q1069" i="1"/>
  <c r="R1069" i="1" s="1"/>
  <c r="Q1071" i="1"/>
  <c r="Q1073" i="1"/>
  <c r="Q1083" i="1"/>
  <c r="Q1113" i="1"/>
  <c r="Q1183" i="1"/>
  <c r="Q1185" i="1"/>
  <c r="Q1195" i="1"/>
  <c r="Q1199" i="1"/>
  <c r="R1199" i="1" s="1"/>
  <c r="Q1201" i="1"/>
  <c r="Q1211" i="1"/>
  <c r="Q1215" i="1"/>
  <c r="Q1217" i="1"/>
  <c r="Q1227" i="1"/>
  <c r="Q1231" i="1"/>
  <c r="Q1233" i="1"/>
  <c r="Q1243" i="1"/>
  <c r="Q1249" i="1"/>
  <c r="Q1253" i="1"/>
  <c r="Q1258" i="1"/>
  <c r="Q1262" i="1"/>
  <c r="Q1266" i="1"/>
  <c r="Q1270" i="1"/>
  <c r="Q1245" i="1"/>
  <c r="L1277" i="1"/>
  <c r="S1277" i="1" s="1"/>
  <c r="L1318" i="1"/>
  <c r="S1318" i="1" s="1"/>
  <c r="Q1248" i="1"/>
  <c r="R1248" i="1" s="1"/>
  <c r="Q1256" i="1"/>
  <c r="R1256" i="1" s="1"/>
  <c r="Q62" i="1"/>
  <c r="Q94" i="1"/>
  <c r="Q126" i="1"/>
  <c r="Q134" i="1"/>
  <c r="C5" i="1"/>
  <c r="Q90" i="1"/>
  <c r="Q122" i="1"/>
  <c r="Q78" i="1"/>
  <c r="Q110" i="1"/>
  <c r="Q74" i="1"/>
  <c r="Q106" i="1"/>
  <c r="Q177" i="1"/>
  <c r="Q260" i="1"/>
  <c r="Q313" i="1"/>
  <c r="Q602" i="1"/>
  <c r="Q160" i="1"/>
  <c r="Q206" i="1"/>
  <c r="Q209" i="1"/>
  <c r="Q238" i="1"/>
  <c r="Q241" i="1"/>
  <c r="Q270" i="1"/>
  <c r="Q304" i="1"/>
  <c r="Q614" i="1"/>
  <c r="Q639" i="1"/>
  <c r="Q60" i="1"/>
  <c r="Q80" i="1"/>
  <c r="Q84" i="1"/>
  <c r="Q88" i="1"/>
  <c r="Q96" i="1"/>
  <c r="Q100" i="1"/>
  <c r="Q108" i="1"/>
  <c r="Q112" i="1"/>
  <c r="Q116" i="1"/>
  <c r="Q120" i="1"/>
  <c r="Q124" i="1"/>
  <c r="Q128" i="1"/>
  <c r="Q147" i="1"/>
  <c r="Q163" i="1"/>
  <c r="Q179" i="1"/>
  <c r="Q189" i="1"/>
  <c r="Q195" i="1"/>
  <c r="Q210" i="1"/>
  <c r="Q236" i="1"/>
  <c r="Q242" i="1"/>
  <c r="Q245" i="1"/>
  <c r="Q274" i="1"/>
  <c r="Q302" i="1"/>
  <c r="Q338" i="1"/>
  <c r="Q370" i="1"/>
  <c r="Q402" i="1"/>
  <c r="Q434" i="1"/>
  <c r="Q462" i="1"/>
  <c r="Q478" i="1"/>
  <c r="Q494" i="1"/>
  <c r="Q510" i="1"/>
  <c r="Q526" i="1"/>
  <c r="Q542" i="1"/>
  <c r="Q574" i="1"/>
  <c r="Q590" i="1"/>
  <c r="Q626" i="1"/>
  <c r="Q836" i="1"/>
  <c r="Q140" i="1"/>
  <c r="Q146" i="1"/>
  <c r="Q162" i="1"/>
  <c r="Q178" i="1"/>
  <c r="Q188" i="1"/>
  <c r="Q231" i="1"/>
  <c r="Q240" i="1"/>
  <c r="Q325" i="1"/>
  <c r="Q342" i="1"/>
  <c r="Q357" i="1"/>
  <c r="Q374" i="1"/>
  <c r="Q389" i="1"/>
  <c r="Q406" i="1"/>
  <c r="Q421" i="1"/>
  <c r="Q438" i="1"/>
  <c r="Q453" i="1"/>
  <c r="Q606" i="1"/>
  <c r="Q812" i="1"/>
  <c r="Q57" i="1"/>
  <c r="Q61" i="1"/>
  <c r="Q69" i="1"/>
  <c r="Q73" i="1"/>
  <c r="Q77" i="1"/>
  <c r="Q85" i="1"/>
  <c r="Q89" i="1"/>
  <c r="Q93" i="1"/>
  <c r="Q97" i="1"/>
  <c r="Q105" i="1"/>
  <c r="Q109" i="1"/>
  <c r="Q113" i="1"/>
  <c r="Q117" i="1"/>
  <c r="Q121" i="1"/>
  <c r="Q125" i="1"/>
  <c r="Q129" i="1"/>
  <c r="Q139" i="1"/>
  <c r="Q143" i="1"/>
  <c r="Q159" i="1"/>
  <c r="Q170" i="1"/>
  <c r="Q175" i="1"/>
  <c r="Q187" i="1"/>
  <c r="Q203" i="1"/>
  <c r="Q218" i="1"/>
  <c r="Q226" i="1"/>
  <c r="Q250" i="1"/>
  <c r="Q267" i="1"/>
  <c r="Q282" i="1"/>
  <c r="Q294" i="1"/>
  <c r="Q310" i="1"/>
  <c r="Q318" i="1"/>
  <c r="Q329" i="1"/>
  <c r="Q346" i="1"/>
  <c r="Q361" i="1"/>
  <c r="R361" i="1" s="1"/>
  <c r="S361" i="1" s="1"/>
  <c r="Q378" i="1"/>
  <c r="Q393" i="1"/>
  <c r="Q410" i="1"/>
  <c r="Q425" i="1"/>
  <c r="Q442" i="1"/>
  <c r="Q457" i="1"/>
  <c r="Q461" i="1"/>
  <c r="Q466" i="1"/>
  <c r="Q482" i="1"/>
  <c r="Q498" i="1"/>
  <c r="Q514" i="1"/>
  <c r="Q530" i="1"/>
  <c r="Q546" i="1"/>
  <c r="Q578" i="1"/>
  <c r="Q594" i="1"/>
  <c r="Q618" i="1"/>
  <c r="H2931" i="1"/>
  <c r="Q142" i="1"/>
  <c r="Q158" i="1"/>
  <c r="Q174" i="1"/>
  <c r="Q190" i="1"/>
  <c r="Q207" i="1"/>
  <c r="Q239" i="1"/>
  <c r="Q262" i="1"/>
  <c r="Q293" i="1"/>
  <c r="Q298" i="1"/>
  <c r="Q333" i="1"/>
  <c r="Q350" i="1"/>
  <c r="Q365" i="1"/>
  <c r="Q382" i="1"/>
  <c r="Q397" i="1"/>
  <c r="Q414" i="1"/>
  <c r="Q429" i="1"/>
  <c r="Q446" i="1"/>
  <c r="Q598" i="1"/>
  <c r="K51" i="1"/>
  <c r="S51" i="1" s="1"/>
  <c r="Q151" i="1"/>
  <c r="Q202" i="1"/>
  <c r="Q220" i="1"/>
  <c r="Q234" i="1"/>
  <c r="Q275" i="1"/>
  <c r="Q284" i="1"/>
  <c r="Q305" i="1"/>
  <c r="Q322" i="1"/>
  <c r="Q337" i="1"/>
  <c r="Q354" i="1"/>
  <c r="Q369" i="1"/>
  <c r="Q386" i="1"/>
  <c r="Q401" i="1"/>
  <c r="Q418" i="1"/>
  <c r="Q433" i="1"/>
  <c r="Q450" i="1"/>
  <c r="Q465" i="1"/>
  <c r="Q470" i="1"/>
  <c r="R470" i="1" s="1"/>
  <c r="S470" i="1" s="1"/>
  <c r="Q486" i="1"/>
  <c r="Q502" i="1"/>
  <c r="Q518" i="1"/>
  <c r="Q534" i="1"/>
  <c r="Q550" i="1"/>
  <c r="Q582" i="1"/>
  <c r="Q610" i="1"/>
  <c r="Q164" i="1"/>
  <c r="Q256" i="1"/>
  <c r="Q622" i="1"/>
  <c r="Q657" i="1"/>
  <c r="Q685" i="1"/>
  <c r="Q686" i="1"/>
  <c r="Q695" i="1"/>
  <c r="Q709" i="1"/>
  <c r="Q727" i="1"/>
  <c r="Q732" i="1"/>
  <c r="Q759" i="1"/>
  <c r="Q860" i="1"/>
  <c r="Q1105" i="1"/>
  <c r="Q295" i="1"/>
  <c r="Q303" i="1"/>
  <c r="Q323" i="1"/>
  <c r="Q343" i="1"/>
  <c r="Q351" i="1"/>
  <c r="Q359" i="1"/>
  <c r="Q419" i="1"/>
  <c r="Q423" i="1"/>
  <c r="Q447" i="1"/>
  <c r="Q473" i="1"/>
  <c r="Q477" i="1"/>
  <c r="Q481" i="1"/>
  <c r="Q485" i="1"/>
  <c r="Q489" i="1"/>
  <c r="Q493" i="1"/>
  <c r="Q497" i="1"/>
  <c r="Q501" i="1"/>
  <c r="Q529" i="1"/>
  <c r="R529" i="1" s="1"/>
  <c r="S529" i="1" s="1"/>
  <c r="Q652" i="1"/>
  <c r="Q668" i="1"/>
  <c r="Q675" i="1"/>
  <c r="Q683" i="1"/>
  <c r="Q699" i="1"/>
  <c r="Q723" i="1"/>
  <c r="Q728" i="1"/>
  <c r="Q755" i="1"/>
  <c r="Q677" i="1"/>
  <c r="Q678" i="1"/>
  <c r="Q700" i="1"/>
  <c r="Q703" i="1"/>
  <c r="Q719" i="1"/>
  <c r="Q751" i="1"/>
  <c r="Q316" i="1"/>
  <c r="Q324" i="1"/>
  <c r="Q328" i="1"/>
  <c r="Q332" i="1"/>
  <c r="Q340" i="1"/>
  <c r="Q344" i="1"/>
  <c r="Q348" i="1"/>
  <c r="Q352" i="1"/>
  <c r="Q356" i="1"/>
  <c r="Q360" i="1"/>
  <c r="Q364" i="1"/>
  <c r="Q372" i="1"/>
  <c r="Q376" i="1"/>
  <c r="Q380" i="1"/>
  <c r="Q388" i="1"/>
  <c r="Q392" i="1"/>
  <c r="Q404" i="1"/>
  <c r="Q408" i="1"/>
  <c r="Q412" i="1"/>
  <c r="Q420" i="1"/>
  <c r="Q424" i="1"/>
  <c r="Q428" i="1"/>
  <c r="Q436" i="1"/>
  <c r="Q444" i="1"/>
  <c r="Q452" i="1"/>
  <c r="Q456" i="1"/>
  <c r="Q460" i="1"/>
  <c r="Q468" i="1"/>
  <c r="Q476" i="1"/>
  <c r="Q484" i="1"/>
  <c r="Q488" i="1"/>
  <c r="Q492" i="1"/>
  <c r="Q500" i="1"/>
  <c r="Q504" i="1"/>
  <c r="Q508" i="1"/>
  <c r="Q516" i="1"/>
  <c r="Q520" i="1"/>
  <c r="Q524" i="1"/>
  <c r="Q532" i="1"/>
  <c r="Q536" i="1"/>
  <c r="Q540" i="1"/>
  <c r="Q548" i="1"/>
  <c r="Q552" i="1"/>
  <c r="Q556" i="1"/>
  <c r="Q564" i="1"/>
  <c r="Q572" i="1"/>
  <c r="Q580" i="1"/>
  <c r="Q584" i="1"/>
  <c r="Q588" i="1"/>
  <c r="Q656" i="1"/>
  <c r="Q663" i="1"/>
  <c r="Q672" i="1"/>
  <c r="Q704" i="1"/>
  <c r="Q707" i="1"/>
  <c r="Q715" i="1"/>
  <c r="Q720" i="1"/>
  <c r="Q747" i="1"/>
  <c r="Q629" i="1"/>
  <c r="Q635" i="1"/>
  <c r="Q649" i="1"/>
  <c r="Q665" i="1"/>
  <c r="Q711" i="1"/>
  <c r="Q716" i="1"/>
  <c r="Q743" i="1"/>
  <c r="Q780" i="1"/>
  <c r="Q789" i="1"/>
  <c r="Q796" i="1"/>
  <c r="Q805" i="1"/>
  <c r="Q632" i="1"/>
  <c r="Q644" i="1"/>
  <c r="Q651" i="1"/>
  <c r="Q712" i="1"/>
  <c r="Q744" i="1"/>
  <c r="Q771" i="1"/>
  <c r="Q844" i="1"/>
  <c r="Q1120" i="1"/>
  <c r="Q637" i="1"/>
  <c r="Q735" i="1"/>
  <c r="Q767" i="1"/>
  <c r="Q1096" i="1"/>
  <c r="Q809" i="1"/>
  <c r="Q825" i="1"/>
  <c r="Q835" i="1"/>
  <c r="Q841" i="1"/>
  <c r="Q858" i="1"/>
  <c r="Q864" i="1"/>
  <c r="Q867" i="1"/>
  <c r="Q890" i="1"/>
  <c r="Q912" i="1"/>
  <c r="Q944" i="1"/>
  <c r="Q1268" i="1"/>
  <c r="Q808" i="1"/>
  <c r="Q824" i="1"/>
  <c r="Q840" i="1"/>
  <c r="Q862" i="1"/>
  <c r="Q868" i="1"/>
  <c r="Q871" i="1"/>
  <c r="Q891" i="1"/>
  <c r="Q916" i="1"/>
  <c r="Q948" i="1"/>
  <c r="Q968" i="1"/>
  <c r="Q984" i="1"/>
  <c r="Q1000" i="1"/>
  <c r="Q1016" i="1"/>
  <c r="Q1032" i="1"/>
  <c r="R1032" i="1" s="1"/>
  <c r="Q1048" i="1"/>
  <c r="Q1064" i="1"/>
  <c r="Q1080" i="1"/>
  <c r="Q1088" i="1"/>
  <c r="Q1287" i="1"/>
  <c r="Q713" i="1"/>
  <c r="Q725" i="1"/>
  <c r="Q729" i="1"/>
  <c r="Q733" i="1"/>
  <c r="Q745" i="1"/>
  <c r="Q753" i="1"/>
  <c r="Q757" i="1"/>
  <c r="Q761" i="1"/>
  <c r="Q783" i="1"/>
  <c r="Q785" i="1"/>
  <c r="Q799" i="1"/>
  <c r="Q800" i="1"/>
  <c r="Q815" i="1"/>
  <c r="Q817" i="1"/>
  <c r="Q832" i="1"/>
  <c r="Q833" i="1"/>
  <c r="Q847" i="1"/>
  <c r="Q857" i="1"/>
  <c r="Q866" i="1"/>
  <c r="Q875" i="1"/>
  <c r="Q903" i="1"/>
  <c r="Q935" i="1"/>
  <c r="R935" i="1" s="1"/>
  <c r="Q1112" i="1"/>
  <c r="Q1304" i="1"/>
  <c r="Q861" i="1"/>
  <c r="Q876" i="1"/>
  <c r="Q896" i="1"/>
  <c r="Q907" i="1"/>
  <c r="Q924" i="1"/>
  <c r="Q956" i="1"/>
  <c r="Q972" i="1"/>
  <c r="Q988" i="1"/>
  <c r="Q1004" i="1"/>
  <c r="Q1020" i="1"/>
  <c r="Q1036" i="1"/>
  <c r="Q1052" i="1"/>
  <c r="Q1068" i="1"/>
  <c r="Q1084" i="1"/>
  <c r="Q642" i="1"/>
  <c r="Q654" i="1"/>
  <c r="Q666" i="1"/>
  <c r="Q843" i="1"/>
  <c r="Q865" i="1"/>
  <c r="Q911" i="1"/>
  <c r="Q928" i="1"/>
  <c r="Q943" i="1"/>
  <c r="Q1104" i="1"/>
  <c r="Q794" i="1"/>
  <c r="Q878" i="1"/>
  <c r="Q915" i="1"/>
  <c r="Q947" i="1"/>
  <c r="R947" i="1" s="1"/>
  <c r="Q777" i="1"/>
  <c r="Q781" i="1"/>
  <c r="Q791" i="1"/>
  <c r="Q792" i="1"/>
  <c r="Q797" i="1"/>
  <c r="Q823" i="1"/>
  <c r="Q859" i="1"/>
  <c r="Q1093" i="1"/>
  <c r="Q1109" i="1"/>
  <c r="Q1119" i="1"/>
  <c r="Q1125" i="1"/>
  <c r="Q1168" i="1"/>
  <c r="Q905" i="1"/>
  <c r="Q913" i="1"/>
  <c r="Q941" i="1"/>
  <c r="Q949" i="1"/>
  <c r="Q1086" i="1"/>
  <c r="Q1092" i="1"/>
  <c r="Q1102" i="1"/>
  <c r="Q1108" i="1"/>
  <c r="Q1118" i="1"/>
  <c r="Q1124" i="1"/>
  <c r="Q1136" i="1"/>
  <c r="Q1172" i="1"/>
  <c r="Q1192" i="1"/>
  <c r="R1192" i="1" s="1"/>
  <c r="Q1208" i="1"/>
  <c r="Q1224" i="1"/>
  <c r="Q1240" i="1"/>
  <c r="R1240" i="1" s="1"/>
  <c r="Q1264" i="1"/>
  <c r="Q1283" i="1"/>
  <c r="Q1299" i="1"/>
  <c r="Q1099" i="1"/>
  <c r="Q1100" i="1"/>
  <c r="Q1132" i="1"/>
  <c r="Q1133" i="1"/>
  <c r="Q1159" i="1"/>
  <c r="Q902" i="1"/>
  <c r="Q906" i="1"/>
  <c r="Q914" i="1"/>
  <c r="Q930" i="1"/>
  <c r="Q946" i="1"/>
  <c r="Q962" i="1"/>
  <c r="Q966" i="1"/>
  <c r="Q1002" i="1"/>
  <c r="Q1010" i="1"/>
  <c r="Q1014" i="1"/>
  <c r="Q1030" i="1"/>
  <c r="Q1042" i="1"/>
  <c r="Q1046" i="1"/>
  <c r="Q1050" i="1"/>
  <c r="Q1062" i="1"/>
  <c r="Q1078" i="1"/>
  <c r="Q1144" i="1"/>
  <c r="Q1147" i="1"/>
  <c r="Q1163" i="1"/>
  <c r="Q1180" i="1"/>
  <c r="Q1196" i="1"/>
  <c r="Q1212" i="1"/>
  <c r="Q1228" i="1"/>
  <c r="Q1244" i="1"/>
  <c r="Q1252" i="1"/>
  <c r="Q1260" i="1"/>
  <c r="Q1279" i="1"/>
  <c r="Q1295" i="1"/>
  <c r="Q1312" i="1"/>
  <c r="Q1330" i="1"/>
  <c r="Q1152" i="1"/>
  <c r="Q1167" i="1"/>
  <c r="Q1126" i="1"/>
  <c r="Q1171" i="1"/>
  <c r="Q1246" i="1"/>
  <c r="Q1291" i="1"/>
  <c r="Q1308" i="1"/>
  <c r="Q1324" i="1"/>
  <c r="Q1141" i="1"/>
  <c r="Q1150" i="1"/>
  <c r="Q1486" i="1"/>
  <c r="Q1502" i="1"/>
  <c r="Q1518" i="1"/>
  <c r="Q1534" i="1"/>
  <c r="Q1633" i="1"/>
  <c r="Q1655" i="1"/>
  <c r="Q1153" i="1"/>
  <c r="Q1161" i="1"/>
  <c r="Q1418" i="1"/>
  <c r="Q1471" i="1"/>
  <c r="Q1663" i="1"/>
  <c r="Q1482" i="1"/>
  <c r="Q1498" i="1"/>
  <c r="Q1514" i="1"/>
  <c r="Q1530" i="1"/>
  <c r="Q1154" i="1"/>
  <c r="Q1158" i="1"/>
  <c r="Q1162" i="1"/>
  <c r="Q1166" i="1"/>
  <c r="Q1170" i="1"/>
  <c r="Q1178" i="1"/>
  <c r="Q1182" i="1"/>
  <c r="Q1186" i="1"/>
  <c r="Q1190" i="1"/>
  <c r="Q1194" i="1"/>
  <c r="Q1198" i="1"/>
  <c r="Q1202" i="1"/>
  <c r="Q1206" i="1"/>
  <c r="Q1210" i="1"/>
  <c r="Q1214" i="1"/>
  <c r="Q1218" i="1"/>
  <c r="Q1222" i="1"/>
  <c r="Q1226" i="1"/>
  <c r="Q1230" i="1"/>
  <c r="Q1234" i="1"/>
  <c r="Q1238" i="1"/>
  <c r="Q1242" i="1"/>
  <c r="Q1422" i="1"/>
  <c r="Q1478" i="1"/>
  <c r="Q1494" i="1"/>
  <c r="Q1510" i="1"/>
  <c r="Q1526" i="1"/>
  <c r="Q1542" i="1"/>
  <c r="Q1430" i="1"/>
  <c r="Q1434" i="1"/>
  <c r="Q1438" i="1"/>
  <c r="Q1442" i="1"/>
  <c r="Q1446" i="1"/>
  <c r="Q1450" i="1"/>
  <c r="Q1454" i="1"/>
  <c r="Q1458" i="1"/>
  <c r="Q1462" i="1"/>
  <c r="Q1466" i="1"/>
  <c r="Q1470" i="1"/>
  <c r="Q1474" i="1"/>
  <c r="Q1490" i="1"/>
  <c r="Q1506" i="1"/>
  <c r="Q1522" i="1"/>
  <c r="Q1538" i="1"/>
  <c r="Q1554" i="1"/>
  <c r="R1554" i="1" s="1"/>
  <c r="Q1562" i="1"/>
  <c r="R1562" i="1" s="1"/>
  <c r="Q1625" i="1"/>
  <c r="R1625" i="1" s="1"/>
  <c r="Q1647" i="1"/>
  <c r="R1647" i="1" s="1"/>
  <c r="Q1552" i="1"/>
  <c r="R1552" i="1" s="1"/>
  <c r="Q1572" i="1"/>
  <c r="Q1551" i="1"/>
  <c r="Q1561" i="1"/>
  <c r="Q1566" i="1"/>
  <c r="R1566" i="1" s="1"/>
  <c r="Q1548" i="1"/>
  <c r="R1548" i="1" s="1"/>
  <c r="Q1560" i="1"/>
  <c r="Q1546" i="1"/>
  <c r="Q1565" i="1"/>
  <c r="Q1570" i="1"/>
  <c r="R1570" i="1" s="1"/>
  <c r="Q1645" i="1"/>
  <c r="R1645" i="1" s="1"/>
  <c r="Q1564" i="1"/>
  <c r="Q1558" i="1"/>
  <c r="Q1653" i="1"/>
  <c r="Q1747" i="1"/>
  <c r="Q1748" i="1"/>
  <c r="Q1763" i="1"/>
  <c r="Q1764" i="1"/>
  <c r="Q1779" i="1"/>
  <c r="Q1780" i="1"/>
  <c r="Q1795" i="1"/>
  <c r="Q1796" i="1"/>
  <c r="Q1813" i="1"/>
  <c r="R1813" i="1" s="1"/>
  <c r="Q1845" i="1"/>
  <c r="R1845" i="1" s="1"/>
  <c r="Q1745" i="1"/>
  <c r="Q1761" i="1"/>
  <c r="Q1777" i="1"/>
  <c r="Q1793" i="1"/>
  <c r="Q1743" i="1"/>
  <c r="Q1759" i="1"/>
  <c r="Q1775" i="1"/>
  <c r="Q1791" i="1"/>
  <c r="Q1803" i="1"/>
  <c r="Q1825" i="1"/>
  <c r="Q1841" i="1"/>
  <c r="R1841" i="1" s="1"/>
  <c r="Q1857" i="1"/>
  <c r="Q1755" i="1"/>
  <c r="Q1756" i="1"/>
  <c r="Q1771" i="1"/>
  <c r="Q1772" i="1"/>
  <c r="Q1788" i="1"/>
  <c r="Q1807" i="1"/>
  <c r="Q1837" i="1"/>
  <c r="Q1853" i="1"/>
  <c r="R1853" i="1" s="1"/>
  <c r="Q1753" i="1"/>
  <c r="Q1769" i="1"/>
  <c r="Q1785" i="1"/>
  <c r="Q1751" i="1"/>
  <c r="Q1767" i="1"/>
  <c r="Q1783" i="1"/>
  <c r="Q1799" i="1"/>
  <c r="Q1817" i="1"/>
  <c r="Q1833" i="1"/>
  <c r="Q1849" i="1"/>
  <c r="Q1999" i="1"/>
  <c r="L2003" i="1"/>
  <c r="O2003" i="1" s="1"/>
  <c r="Q2009" i="1"/>
  <c r="Q2041" i="1"/>
  <c r="Q2159" i="1"/>
  <c r="Q2187" i="1"/>
  <c r="Q2035" i="1"/>
  <c r="Q2008" i="1"/>
  <c r="Q2031" i="1"/>
  <c r="Q2043" i="1"/>
  <c r="Q2045" i="1"/>
  <c r="Q2053" i="1"/>
  <c r="Q2061" i="1"/>
  <c r="Q2069" i="1"/>
  <c r="Q2077" i="1"/>
  <c r="Q2085" i="1"/>
  <c r="Q2097" i="1"/>
  <c r="Q2139" i="1"/>
  <c r="Q2094" i="1"/>
  <c r="Q2135" i="1"/>
  <c r="Q2004" i="1"/>
  <c r="Q2011" i="1"/>
  <c r="Q2017" i="1"/>
  <c r="Q2040" i="1"/>
  <c r="Q2005" i="1"/>
  <c r="Q2012" i="1"/>
  <c r="Q2103" i="1"/>
  <c r="Q2119" i="1"/>
  <c r="L2000" i="1"/>
  <c r="O2000" i="1" s="1"/>
  <c r="Q2007" i="1"/>
  <c r="Q2057" i="1"/>
  <c r="Q2065" i="1"/>
  <c r="Q2073" i="1"/>
  <c r="Q2081" i="1"/>
  <c r="Q2089" i="1"/>
  <c r="Q2106" i="1"/>
  <c r="Q2168" i="1"/>
  <c r="Q2195" i="1"/>
  <c r="Q2246" i="1"/>
  <c r="Q2014" i="1"/>
  <c r="Q2104" i="1"/>
  <c r="Q2171" i="1"/>
  <c r="Q2301" i="1"/>
  <c r="Q2322" i="1"/>
  <c r="Q2120" i="1"/>
  <c r="Q2143" i="1"/>
  <c r="Q2163" i="1"/>
  <c r="Q2183" i="1"/>
  <c r="Q2233" i="1"/>
  <c r="Q2236" i="1"/>
  <c r="Q2269" i="1"/>
  <c r="Q2144" i="1"/>
  <c r="Q2230" i="1"/>
  <c r="Q2262" i="1"/>
  <c r="Q2290" i="1"/>
  <c r="Q2101" i="1"/>
  <c r="Q2107" i="1"/>
  <c r="Q2181" i="1"/>
  <c r="Q2201" i="1"/>
  <c r="Q2204" i="1"/>
  <c r="Q2221" i="1"/>
  <c r="Q2268" i="1"/>
  <c r="Q2317" i="1"/>
  <c r="Q2114" i="1"/>
  <c r="Q2188" i="1"/>
  <c r="Q2205" i="1"/>
  <c r="Q2235" i="1"/>
  <c r="Q2254" i="1"/>
  <c r="Q2100" i="1"/>
  <c r="Q2121" i="1"/>
  <c r="Q2123" i="1"/>
  <c r="Q2169" i="1"/>
  <c r="Q2219" i="1"/>
  <c r="Q2229" i="1"/>
  <c r="Q2258" i="1"/>
  <c r="Q2260" i="1"/>
  <c r="Q2285" i="1"/>
  <c r="Q2105" i="1"/>
  <c r="Q2116" i="1"/>
  <c r="Q2173" i="1"/>
  <c r="Q2184" i="1"/>
  <c r="Q2203" i="1"/>
  <c r="Q2213" i="1"/>
  <c r="Q2231" i="1"/>
  <c r="Q2238" i="1"/>
  <c r="Q2253" i="1"/>
  <c r="Q2333" i="1"/>
  <c r="Q2176" i="1"/>
  <c r="Q2192" i="1"/>
  <c r="Q2208" i="1"/>
  <c r="Q2224" i="1"/>
  <c r="Q2250" i="1"/>
  <c r="Q2266" i="1"/>
  <c r="Q2282" i="1"/>
  <c r="Q2298" i="1"/>
  <c r="Q2314" i="1"/>
  <c r="Q2330" i="1"/>
  <c r="Q2346" i="1"/>
  <c r="Q2362" i="1"/>
  <c r="Q2378" i="1"/>
  <c r="Q2401" i="1"/>
  <c r="Q2407" i="1"/>
  <c r="Q2340" i="1"/>
  <c r="Q2351" i="1"/>
  <c r="Q2356" i="1"/>
  <c r="Q2367" i="1"/>
  <c r="Q2372" i="1"/>
  <c r="Q2383" i="1"/>
  <c r="Q2186" i="1"/>
  <c r="Q2202" i="1"/>
  <c r="Q2218" i="1"/>
  <c r="Q2234" i="1"/>
  <c r="Q2248" i="1"/>
  <c r="Q2264" i="1"/>
  <c r="Q2280" i="1"/>
  <c r="Q2296" i="1"/>
  <c r="Q2312" i="1"/>
  <c r="Q2328" i="1"/>
  <c r="Q2344" i="1"/>
  <c r="Q2376" i="1"/>
  <c r="Q2394" i="1"/>
  <c r="Q2395" i="1"/>
  <c r="Q2435" i="1"/>
  <c r="Q2338" i="1"/>
  <c r="Q2354" i="1"/>
  <c r="Q2370" i="1"/>
  <c r="Q2414" i="1"/>
  <c r="Q2415" i="1"/>
  <c r="Q2439" i="1"/>
  <c r="Q2509" i="1"/>
  <c r="Q2284" i="1"/>
  <c r="Q2300" i="1"/>
  <c r="Q2316" i="1"/>
  <c r="Q2332" i="1"/>
  <c r="Q2343" i="1"/>
  <c r="Q2348" i="1"/>
  <c r="Q2359" i="1"/>
  <c r="Q2364" i="1"/>
  <c r="Q2375" i="1"/>
  <c r="Q2380" i="1"/>
  <c r="Q2402" i="1"/>
  <c r="Q2409" i="1"/>
  <c r="Q2442" i="1"/>
  <c r="Q2178" i="1"/>
  <c r="Q2194" i="1"/>
  <c r="Q2210" i="1"/>
  <c r="Q2226" i="1"/>
  <c r="Q2240" i="1"/>
  <c r="Q2256" i="1"/>
  <c r="Q2272" i="1"/>
  <c r="Q2288" i="1"/>
  <c r="Q2304" i="1"/>
  <c r="Q2320" i="1"/>
  <c r="Q2336" i="1"/>
  <c r="Q2384" i="1"/>
  <c r="Q2411" i="1"/>
  <c r="Q2413" i="1"/>
  <c r="Q2429" i="1"/>
  <c r="Q2404" i="1"/>
  <c r="Q2465" i="1"/>
  <c r="Q2473" i="1"/>
  <c r="Q2475" i="1"/>
  <c r="Q2481" i="1"/>
  <c r="Q2483" i="1"/>
  <c r="Q2489" i="1"/>
  <c r="Q2506" i="1"/>
  <c r="Q2533" i="1"/>
  <c r="L2627" i="1"/>
  <c r="O2627" i="1" s="1"/>
  <c r="Q2455" i="1"/>
  <c r="Q2501" i="1"/>
  <c r="Q2511" i="1"/>
  <c r="Q2526" i="1"/>
  <c r="Q2541" i="1"/>
  <c r="L2734" i="1"/>
  <c r="O2734" i="1" s="1"/>
  <c r="Q2449" i="1"/>
  <c r="Q2451" i="1"/>
  <c r="Q2469" i="1"/>
  <c r="Q2477" i="1"/>
  <c r="Q2485" i="1"/>
  <c r="Q2493" i="1"/>
  <c r="Q2505" i="1"/>
  <c r="L2637" i="1"/>
  <c r="L2654" i="1"/>
  <c r="O2654" i="1" s="1"/>
  <c r="Q2664" i="1"/>
  <c r="Q2396" i="1"/>
  <c r="Q2463" i="1"/>
  <c r="Q2479" i="1"/>
  <c r="L2724" i="1"/>
  <c r="Q2448" i="1"/>
  <c r="Q2453" i="1"/>
  <c r="Q2498" i="1"/>
  <c r="Q2499" i="1"/>
  <c r="Q2513" i="1"/>
  <c r="Q2523" i="1"/>
  <c r="Q2542" i="1"/>
  <c r="L2655" i="1"/>
  <c r="Q2545" i="1"/>
  <c r="Q2606" i="1"/>
  <c r="Q2464" i="1"/>
  <c r="Q2518" i="1"/>
  <c r="Q2520" i="1"/>
  <c r="Q2535" i="1"/>
  <c r="Q2560" i="1"/>
  <c r="Q2568" i="1"/>
  <c r="Q2576" i="1"/>
  <c r="Q2584" i="1"/>
  <c r="Q2592" i="1"/>
  <c r="Q2600" i="1"/>
  <c r="Q2635" i="1"/>
  <c r="Q2696" i="1"/>
  <c r="Q2837" i="1"/>
  <c r="Q2457" i="1"/>
  <c r="Q2500" i="1"/>
  <c r="Q2534" i="1"/>
  <c r="Q2540" i="1"/>
  <c r="Q2614" i="1"/>
  <c r="Q2624" i="1"/>
  <c r="Q2625" i="1"/>
  <c r="Q2456" i="1"/>
  <c r="Q2496" i="1"/>
  <c r="Q2502" i="1"/>
  <c r="Q2504" i="1"/>
  <c r="L2640" i="1"/>
  <c r="Q2640" i="1" s="1"/>
  <c r="L2669" i="1"/>
  <c r="L2671" i="1"/>
  <c r="Q2516" i="1"/>
  <c r="Q2546" i="1"/>
  <c r="Q2562" i="1"/>
  <c r="Q2578" i="1"/>
  <c r="Q2594" i="1"/>
  <c r="L2689" i="1"/>
  <c r="O2689" i="1" s="1"/>
  <c r="Q2528" i="1"/>
  <c r="Q2544" i="1"/>
  <c r="Q2622" i="1"/>
  <c r="L2632" i="1"/>
  <c r="L2644" i="1"/>
  <c r="L2741" i="1"/>
  <c r="Q2744" i="1"/>
  <c r="Q2659" i="1"/>
  <c r="Q2834" i="1"/>
  <c r="Q2548" i="1"/>
  <c r="Q2564" i="1"/>
  <c r="Q2580" i="1"/>
  <c r="Q2596" i="1"/>
  <c r="Q2612" i="1"/>
  <c r="L2643" i="1"/>
  <c r="O2643" i="1" s="1"/>
  <c r="L2697" i="1"/>
  <c r="O2697" i="1" s="1"/>
  <c r="Q2854" i="1"/>
  <c r="L2657" i="1"/>
  <c r="O2657" i="1" s="1"/>
  <c r="L2725" i="1"/>
  <c r="Q2663" i="1"/>
  <c r="L2740" i="1"/>
  <c r="L2630" i="1"/>
  <c r="Q2630" i="1" s="1"/>
  <c r="L2641" i="1"/>
  <c r="O2641" i="1" s="1"/>
  <c r="L2651" i="1"/>
  <c r="O2651" i="1" s="1"/>
  <c r="L2685" i="1"/>
  <c r="L2718" i="1"/>
  <c r="Q2718" i="1" s="1"/>
  <c r="L2722" i="1"/>
  <c r="L2738" i="1"/>
  <c r="Q2628" i="1"/>
  <c r="Q2642" i="1"/>
  <c r="L2647" i="1"/>
  <c r="L2723" i="1"/>
  <c r="O2723" i="1" s="1"/>
  <c r="Q2746" i="1"/>
  <c r="L2658" i="1"/>
  <c r="L2673" i="1"/>
  <c r="O2673" i="1" s="1"/>
  <c r="L2703" i="1"/>
  <c r="L2719" i="1"/>
  <c r="L2739" i="1"/>
  <c r="O2739" i="1" s="1"/>
  <c r="Q2686" i="1"/>
  <c r="Q2690" i="1"/>
  <c r="Q2750" i="1"/>
  <c r="Q2759" i="1"/>
  <c r="Q2767" i="1"/>
  <c r="Q2775" i="1"/>
  <c r="Q2783" i="1"/>
  <c r="Q2791" i="1"/>
  <c r="Q2799" i="1"/>
  <c r="Q2650" i="1"/>
  <c r="L2706" i="1"/>
  <c r="Q2812" i="1"/>
  <c r="Q2829" i="1"/>
  <c r="Q2831" i="1"/>
  <c r="Q2862" i="1"/>
  <c r="Q2708" i="1"/>
  <c r="L2735" i="1"/>
  <c r="Q2758" i="1"/>
  <c r="Q2766" i="1"/>
  <c r="Q2774" i="1"/>
  <c r="Q2782" i="1"/>
  <c r="Q2798" i="1"/>
  <c r="Q2806" i="1"/>
  <c r="Q2816" i="1"/>
  <c r="L2677" i="1"/>
  <c r="Q2701" i="1"/>
  <c r="L2707" i="1"/>
  <c r="O2707" i="1" s="1"/>
  <c r="L2709" i="1"/>
  <c r="Q2712" i="1"/>
  <c r="Q2711" i="1"/>
  <c r="Q2743" i="1"/>
  <c r="Q2747" i="1"/>
  <c r="Q2749" i="1"/>
  <c r="Q2751" i="1"/>
  <c r="Q2892" i="1"/>
  <c r="L2972" i="1"/>
  <c r="O2970" i="1"/>
  <c r="Q2970" i="1"/>
  <c r="Q2886" i="1"/>
  <c r="L2675" i="1"/>
  <c r="O2675" i="1" s="1"/>
  <c r="Q2721" i="1"/>
  <c r="Q2757" i="1"/>
  <c r="Q2765" i="1"/>
  <c r="Q2773" i="1"/>
  <c r="Q2781" i="1"/>
  <c r="Q2789" i="1"/>
  <c r="Q2797" i="1"/>
  <c r="Q2805" i="1"/>
  <c r="Q2894" i="1"/>
  <c r="L2714" i="1"/>
  <c r="L2730" i="1"/>
  <c r="Q2756" i="1"/>
  <c r="Q2764" i="1"/>
  <c r="Q2810" i="1"/>
  <c r="Q2833" i="1"/>
  <c r="Q2868" i="1"/>
  <c r="Q2755" i="1"/>
  <c r="Q2763" i="1"/>
  <c r="Q2771" i="1"/>
  <c r="Q2779" i="1"/>
  <c r="Q2787" i="1"/>
  <c r="Q2795" i="1"/>
  <c r="Q2803" i="1"/>
  <c r="Q2814" i="1"/>
  <c r="Q2818" i="1"/>
  <c r="Q2822" i="1"/>
  <c r="Q2826" i="1"/>
  <c r="Q2841" i="1"/>
  <c r="Q2847" i="1"/>
  <c r="Q2807" i="1"/>
  <c r="Q2832" i="1"/>
  <c r="Q2840" i="1"/>
  <c r="Q2845" i="1"/>
  <c r="Q2856" i="1"/>
  <c r="Q2861" i="1"/>
  <c r="O2946" i="1"/>
  <c r="Q2946" i="1"/>
  <c r="O2960" i="1"/>
  <c r="Q2960" i="1"/>
  <c r="D22" i="1" s="1"/>
  <c r="Q2882" i="1"/>
  <c r="Q2811" i="1"/>
  <c r="Q2828" i="1"/>
  <c r="Q2836" i="1"/>
  <c r="Q2843" i="1"/>
  <c r="Q2848" i="1"/>
  <c r="Q2853" i="1"/>
  <c r="Q2859" i="1"/>
  <c r="Q2864" i="1"/>
  <c r="Q2869" i="1"/>
  <c r="Q2813" i="1"/>
  <c r="Q2815" i="1"/>
  <c r="Q2817" i="1"/>
  <c r="Q2819" i="1"/>
  <c r="Q2821" i="1"/>
  <c r="Q2823" i="1"/>
  <c r="Q2825" i="1"/>
  <c r="Q2827" i="1"/>
  <c r="Q2947" i="1"/>
  <c r="Q2889" i="1"/>
  <c r="Q2897" i="1"/>
  <c r="Q2901" i="1"/>
  <c r="Q2909" i="1"/>
  <c r="Q2913" i="1"/>
  <c r="Q2917" i="1"/>
  <c r="Q2921" i="1"/>
  <c r="Q2925" i="1"/>
  <c r="Q2943" i="1"/>
  <c r="R2943" i="1" s="1"/>
  <c r="S2943" i="1" s="1"/>
  <c r="Q2900" i="1"/>
  <c r="Q2904" i="1"/>
  <c r="Q2908" i="1"/>
  <c r="Q2912" i="1"/>
  <c r="Q2916" i="1"/>
  <c r="Q2920" i="1"/>
  <c r="Q2924" i="1"/>
  <c r="L3017" i="1"/>
  <c r="Q2883" i="1"/>
  <c r="Q2885" i="1"/>
  <c r="Q2893" i="1"/>
  <c r="O2944" i="1"/>
  <c r="Q2899" i="1"/>
  <c r="Q2903" i="1"/>
  <c r="Q2907" i="1"/>
  <c r="Q2911" i="1"/>
  <c r="Q2915" i="1"/>
  <c r="Q2919" i="1"/>
  <c r="Q2923" i="1"/>
  <c r="Q2956" i="1"/>
  <c r="L2966" i="1"/>
  <c r="L2977" i="1"/>
  <c r="L3023" i="1"/>
  <c r="O3023" i="1" s="1"/>
  <c r="L3039" i="1"/>
  <c r="O3039" i="1" s="1"/>
  <c r="L2951" i="1"/>
  <c r="O2951" i="1" s="1"/>
  <c r="L2955" i="1"/>
  <c r="L2959" i="1"/>
  <c r="O2959" i="1" s="1"/>
  <c r="L2963" i="1"/>
  <c r="L2965" i="1"/>
  <c r="L3042" i="1"/>
  <c r="O3042" i="1" s="1"/>
  <c r="L2964" i="1"/>
  <c r="L2976" i="1"/>
  <c r="O2976" i="1" s="1"/>
  <c r="Q2979" i="1"/>
  <c r="L3028" i="1"/>
  <c r="K3087" i="1"/>
  <c r="L2969" i="1"/>
  <c r="O2980" i="1"/>
  <c r="Q2971" i="1"/>
  <c r="L2968" i="1"/>
  <c r="Q2968" i="1" s="1"/>
  <c r="L2973" i="1"/>
  <c r="Q2973" i="1" s="1"/>
  <c r="Q2980" i="1"/>
  <c r="O3015" i="1"/>
  <c r="L3016" i="1"/>
  <c r="O3016" i="1" s="1"/>
  <c r="O3027" i="1"/>
  <c r="O3035" i="1"/>
  <c r="L3101" i="1"/>
  <c r="Q3114" i="1"/>
  <c r="L3013" i="1"/>
  <c r="Q3013" i="1" s="1"/>
  <c r="L3022" i="1"/>
  <c r="L3038" i="1"/>
  <c r="L3050" i="1"/>
  <c r="O3050" i="1" s="1"/>
  <c r="Q3051" i="1"/>
  <c r="L3215" i="1"/>
  <c r="Q3018" i="1"/>
  <c r="L3026" i="1"/>
  <c r="Q3026" i="1" s="1"/>
  <c r="L3031" i="1"/>
  <c r="Q3031" i="1" s="1"/>
  <c r="L3034" i="1"/>
  <c r="O3034" i="1" s="1"/>
  <c r="L3047" i="1"/>
  <c r="Q3056" i="1"/>
  <c r="L3097" i="1"/>
  <c r="Q3097" i="1" s="1"/>
  <c r="L2981" i="1"/>
  <c r="Q2981" i="1" s="1"/>
  <c r="L2985" i="1"/>
  <c r="L2989" i="1"/>
  <c r="Q2989" i="1" s="1"/>
  <c r="L2993" i="1"/>
  <c r="L2997" i="1"/>
  <c r="Q2997" i="1" s="1"/>
  <c r="L3001" i="1"/>
  <c r="L3005" i="1"/>
  <c r="Q3005" i="1" s="1"/>
  <c r="L3009" i="1"/>
  <c r="Q3015" i="1"/>
  <c r="L3021" i="1"/>
  <c r="Q3027" i="1"/>
  <c r="L3030" i="1"/>
  <c r="Q3035" i="1"/>
  <c r="L3109" i="1"/>
  <c r="L3025" i="1"/>
  <c r="L3037" i="1"/>
  <c r="O3037" i="1" s="1"/>
  <c r="O3043" i="1"/>
  <c r="L3046" i="1"/>
  <c r="L3055" i="1"/>
  <c r="Q3055" i="1" s="1"/>
  <c r="L3020" i="1"/>
  <c r="L3029" i="1"/>
  <c r="O3029" i="1" s="1"/>
  <c r="L3033" i="1"/>
  <c r="Q3151" i="1"/>
  <c r="L3176" i="1"/>
  <c r="O3176" i="1" s="1"/>
  <c r="L3178" i="1"/>
  <c r="L3024" i="1"/>
  <c r="O3051" i="1"/>
  <c r="L3054" i="1"/>
  <c r="L3057" i="1"/>
  <c r="L3105" i="1"/>
  <c r="O3105" i="1" s="1"/>
  <c r="Q3118" i="1"/>
  <c r="L3183" i="1"/>
  <c r="O3041" i="1"/>
  <c r="O3049" i="1"/>
  <c r="R3049" i="1" s="1"/>
  <c r="S3049" i="1" s="1"/>
  <c r="O3053" i="1"/>
  <c r="R3053" i="1" s="1"/>
  <c r="S3053" i="1" s="1"/>
  <c r="Q3068" i="1"/>
  <c r="R3068" i="1" s="1"/>
  <c r="S3068" i="1" s="1"/>
  <c r="Q3115" i="1"/>
  <c r="Q3124" i="1"/>
  <c r="L3098" i="1"/>
  <c r="L3102" i="1"/>
  <c r="Q3102" i="1" s="1"/>
  <c r="L3106" i="1"/>
  <c r="L3110" i="1"/>
  <c r="Q3110" i="1" s="1"/>
  <c r="Q3119" i="1"/>
  <c r="L3032" i="1"/>
  <c r="Q3032" i="1" s="1"/>
  <c r="L3036" i="1"/>
  <c r="L3040" i="1"/>
  <c r="O3040" i="1" s="1"/>
  <c r="L3044" i="1"/>
  <c r="L3048" i="1"/>
  <c r="O3048" i="1" s="1"/>
  <c r="L3052" i="1"/>
  <c r="Q3059" i="1"/>
  <c r="L3061" i="1"/>
  <c r="O3061" i="1" s="1"/>
  <c r="Q3067" i="1"/>
  <c r="R3067" i="1" s="1"/>
  <c r="S3067" i="1" s="1"/>
  <c r="Q3084" i="1"/>
  <c r="O3104" i="1"/>
  <c r="O3108" i="1"/>
  <c r="Q3063" i="1"/>
  <c r="R3066" i="1"/>
  <c r="S3066" i="1" s="1"/>
  <c r="Q3125" i="1"/>
  <c r="L3161" i="1"/>
  <c r="Q3161" i="1" s="1"/>
  <c r="L3191" i="1"/>
  <c r="Q3076" i="1"/>
  <c r="R3076" i="1" s="1"/>
  <c r="S3076" i="1" s="1"/>
  <c r="Q3096" i="1"/>
  <c r="Q3100" i="1"/>
  <c r="Q3104" i="1"/>
  <c r="Q3108" i="1"/>
  <c r="L3149" i="1"/>
  <c r="O3096" i="1"/>
  <c r="O3100" i="1"/>
  <c r="L3153" i="1"/>
  <c r="O3153" i="1" s="1"/>
  <c r="L3159" i="1"/>
  <c r="Q3179" i="1"/>
  <c r="L3187" i="1"/>
  <c r="Q3187" i="1" s="1"/>
  <c r="Q3113" i="1"/>
  <c r="Q3163" i="1"/>
  <c r="L3170" i="1"/>
  <c r="L3195" i="1"/>
  <c r="O3195" i="1" s="1"/>
  <c r="L3065" i="1"/>
  <c r="L3069" i="1"/>
  <c r="Q3069" i="1" s="1"/>
  <c r="L3073" i="1"/>
  <c r="L3077" i="1"/>
  <c r="Q3077" i="1" s="1"/>
  <c r="L3081" i="1"/>
  <c r="L3085" i="1"/>
  <c r="Q3085" i="1" s="1"/>
  <c r="Q3123" i="1"/>
  <c r="Q3129" i="1"/>
  <c r="R3129" i="1" s="1"/>
  <c r="S3129" i="1" s="1"/>
  <c r="Q3133" i="1"/>
  <c r="Q3137" i="1"/>
  <c r="Q3141" i="1"/>
  <c r="R3141" i="1" s="1"/>
  <c r="S3141" i="1" s="1"/>
  <c r="Q3145" i="1"/>
  <c r="Q3168" i="1"/>
  <c r="L3199" i="1"/>
  <c r="L3095" i="1"/>
  <c r="L3099" i="1"/>
  <c r="Q3099" i="1" s="1"/>
  <c r="L3103" i="1"/>
  <c r="L3107" i="1"/>
  <c r="O3107" i="1" s="1"/>
  <c r="L3111" i="1"/>
  <c r="O3118" i="1"/>
  <c r="L3120" i="1"/>
  <c r="Q3120" i="1" s="1"/>
  <c r="O3121" i="1"/>
  <c r="O3126" i="1"/>
  <c r="O3148" i="1"/>
  <c r="R3148" i="1" s="1"/>
  <c r="S3148" i="1" s="1"/>
  <c r="L3160" i="1"/>
  <c r="O3160" i="1" s="1"/>
  <c r="L3162" i="1"/>
  <c r="O3177" i="1"/>
  <c r="L3203" i="1"/>
  <c r="K3219" i="1"/>
  <c r="Q3121" i="1"/>
  <c r="L3154" i="1"/>
  <c r="L3169" i="1"/>
  <c r="Q3169" i="1" s="1"/>
  <c r="L3175" i="1"/>
  <c r="R3205" i="1"/>
  <c r="S3205" i="1" s="1"/>
  <c r="L3207" i="1"/>
  <c r="L3112" i="1"/>
  <c r="O3114" i="1"/>
  <c r="L3116" i="1"/>
  <c r="O3119" i="1"/>
  <c r="O3130" i="1"/>
  <c r="O3134" i="1"/>
  <c r="O3138" i="1"/>
  <c r="O3142" i="1"/>
  <c r="O3146" i="1"/>
  <c r="Q3152" i="1"/>
  <c r="L3211" i="1"/>
  <c r="O3124" i="1"/>
  <c r="O3128" i="1"/>
  <c r="O3132" i="1"/>
  <c r="R3132" i="1" s="1"/>
  <c r="S3132" i="1" s="1"/>
  <c r="O3136" i="1"/>
  <c r="Q3164" i="1"/>
  <c r="O3173" i="1"/>
  <c r="Q3180" i="1"/>
  <c r="Q3186" i="1"/>
  <c r="Q3190" i="1"/>
  <c r="Q3194" i="1"/>
  <c r="R3194" i="1" s="1"/>
  <c r="S3194" i="1" s="1"/>
  <c r="Q3198" i="1"/>
  <c r="Q3202" i="1"/>
  <c r="Q3206" i="1"/>
  <c r="Q3210" i="1"/>
  <c r="Q3214" i="1"/>
  <c r="R3214" i="1" s="1"/>
  <c r="S3214" i="1" s="1"/>
  <c r="O3155" i="1"/>
  <c r="O3171" i="1"/>
  <c r="O3156" i="1"/>
  <c r="Q3158" i="1"/>
  <c r="O3167" i="1"/>
  <c r="R3167" i="1" s="1"/>
  <c r="S3167" i="1" s="1"/>
  <c r="O3172" i="1"/>
  <c r="Q3174" i="1"/>
  <c r="R3174" i="1" s="1"/>
  <c r="S3174" i="1" s="1"/>
  <c r="Q3156" i="1"/>
  <c r="Q3172" i="1"/>
  <c r="Q3188" i="1"/>
  <c r="Q3192" i="1"/>
  <c r="Q3196" i="1"/>
  <c r="Q3200" i="1"/>
  <c r="Q3204" i="1"/>
  <c r="R3204" i="1" s="1"/>
  <c r="S3204" i="1" s="1"/>
  <c r="Q3208" i="1"/>
  <c r="Q3212" i="1"/>
  <c r="Q3216" i="1"/>
  <c r="O3152" i="1"/>
  <c r="O3163" i="1"/>
  <c r="L3165" i="1"/>
  <c r="O3168" i="1"/>
  <c r="O3179" i="1"/>
  <c r="L3181" i="1"/>
  <c r="R3045" i="1" l="1"/>
  <c r="S3045" i="1" s="1"/>
  <c r="R2952" i="1"/>
  <c r="S2952" i="1" s="1"/>
  <c r="Q3045" i="1"/>
  <c r="Q2952" i="1"/>
  <c r="R3164" i="1"/>
  <c r="S3164" i="1" s="1"/>
  <c r="Q3157" i="1"/>
  <c r="Q2939" i="1"/>
  <c r="R2939" i="1" s="1"/>
  <c r="S2939" i="1" s="1"/>
  <c r="O3147" i="1"/>
  <c r="R3147" i="1" s="1"/>
  <c r="S3147" i="1" s="1"/>
  <c r="R2941" i="1"/>
  <c r="S2941" i="1" s="1"/>
  <c r="R2957" i="1"/>
  <c r="S2957" i="1" s="1"/>
  <c r="Q2962" i="1"/>
  <c r="O3184" i="1"/>
  <c r="O3185" i="1"/>
  <c r="O3058" i="1"/>
  <c r="O2942" i="1"/>
  <c r="R2942" i="1" s="1"/>
  <c r="S2942" i="1" s="1"/>
  <c r="O3122" i="1"/>
  <c r="R3123" i="1"/>
  <c r="S3123" i="1" s="1"/>
  <c r="O3019" i="1"/>
  <c r="O2940" i="1"/>
  <c r="O3072" i="1"/>
  <c r="R3072" i="1" s="1"/>
  <c r="S3072" i="1" s="1"/>
  <c r="R3071" i="1"/>
  <c r="S3071" i="1" s="1"/>
  <c r="Q3060" i="1"/>
  <c r="Q3014" i="1"/>
  <c r="R3014" i="1" s="1"/>
  <c r="S3014" i="1" s="1"/>
  <c r="R2954" i="1"/>
  <c r="S2954" i="1" s="1"/>
  <c r="O2975" i="1"/>
  <c r="R2975" i="1" s="1"/>
  <c r="S2975" i="1" s="1"/>
  <c r="R3180" i="1"/>
  <c r="S3180" i="1" s="1"/>
  <c r="Q3166" i="1"/>
  <c r="R3043" i="1"/>
  <c r="S3043" i="1" s="1"/>
  <c r="R3173" i="1"/>
  <c r="S3173" i="1" s="1"/>
  <c r="Q3083" i="1"/>
  <c r="R2937" i="1"/>
  <c r="S2937" i="1" s="1"/>
  <c r="Q1998" i="1"/>
  <c r="Q2704" i="1"/>
  <c r="R2704" i="1" s="1"/>
  <c r="S2704" i="1" s="1"/>
  <c r="Q1958" i="1"/>
  <c r="Q2693" i="1"/>
  <c r="Q2713" i="1"/>
  <c r="Q1955" i="1"/>
  <c r="Q2727" i="1"/>
  <c r="Q2662" i="1"/>
  <c r="R2662" i="1" s="1"/>
  <c r="S2662" i="1" s="1"/>
  <c r="Q1970" i="1"/>
  <c r="Q1275" i="1"/>
  <c r="O2652" i="1"/>
  <c r="Q2633" i="1"/>
  <c r="R2633" i="1" s="1"/>
  <c r="Q1914" i="1"/>
  <c r="Q2728" i="1"/>
  <c r="Q2733" i="1"/>
  <c r="R2733" i="1" s="1"/>
  <c r="S2733" i="1" s="1"/>
  <c r="Q2634" i="1"/>
  <c r="R2634" i="1" s="1"/>
  <c r="O2002" i="1"/>
  <c r="O2639" i="1"/>
  <c r="R2639" i="1" s="1"/>
  <c r="R2593" i="1"/>
  <c r="Q2731" i="1"/>
  <c r="R2731" i="1" s="1"/>
  <c r="S2731" i="1" s="1"/>
  <c r="Q2648" i="1"/>
  <c r="R1284" i="1"/>
  <c r="Q2682" i="1"/>
  <c r="Q2668" i="1"/>
  <c r="R2668" i="1" s="1"/>
  <c r="S2668" i="1" s="1"/>
  <c r="O2732" i="1"/>
  <c r="R2732" i="1" s="1"/>
  <c r="S2732" i="1" s="1"/>
  <c r="Q1905" i="1"/>
  <c r="R1905" i="1" s="1"/>
  <c r="O2678" i="1"/>
  <c r="O2720" i="1"/>
  <c r="R2720" i="1" s="1"/>
  <c r="S2720" i="1" s="1"/>
  <c r="Q2698" i="1"/>
  <c r="Q1320" i="1"/>
  <c r="O2631" i="1"/>
  <c r="R2546" i="1"/>
  <c r="Q2717" i="1"/>
  <c r="Q2737" i="1"/>
  <c r="R2737" i="1" s="1"/>
  <c r="S2737" i="1" s="1"/>
  <c r="Q2705" i="1"/>
  <c r="Q2638" i="1"/>
  <c r="Q2715" i="1"/>
  <c r="Q2666" i="1"/>
  <c r="Q2742" i="1"/>
  <c r="R2742" i="1" s="1"/>
  <c r="S2742" i="1" s="1"/>
  <c r="R2690" i="1"/>
  <c r="S2690" i="1" s="1"/>
  <c r="Q2001" i="1"/>
  <c r="O2665" i="1"/>
  <c r="R2665" i="1" s="1"/>
  <c r="S2665" i="1" s="1"/>
  <c r="Q2687" i="1"/>
  <c r="R2859" i="1"/>
  <c r="S2859" i="1" s="1"/>
  <c r="Q2700" i="1"/>
  <c r="S1976" i="1"/>
  <c r="S1994" i="1"/>
  <c r="S1319" i="1"/>
  <c r="R3082" i="1"/>
  <c r="S3082" i="1" s="1"/>
  <c r="O2653" i="1"/>
  <c r="R2653" i="1" s="1"/>
  <c r="S2653" i="1" s="1"/>
  <c r="S1867" i="1"/>
  <c r="S1904" i="1"/>
  <c r="R3080" i="1"/>
  <c r="S3080" i="1" s="1"/>
  <c r="R3000" i="1"/>
  <c r="S3000" i="1" s="1"/>
  <c r="R3192" i="1"/>
  <c r="S3192" i="1" s="1"/>
  <c r="R3158" i="1"/>
  <c r="S3158" i="1" s="1"/>
  <c r="R3177" i="1"/>
  <c r="S3177" i="1" s="1"/>
  <c r="R3075" i="1"/>
  <c r="S3075" i="1" s="1"/>
  <c r="S1923" i="1"/>
  <c r="R3166" i="1"/>
  <c r="S3166" i="1" s="1"/>
  <c r="R3198" i="1"/>
  <c r="S3198" i="1" s="1"/>
  <c r="Q2676" i="1"/>
  <c r="R2676" i="1" s="1"/>
  <c r="S2676" i="1" s="1"/>
  <c r="S1959" i="1"/>
  <c r="S561" i="1"/>
  <c r="S1877" i="1"/>
  <c r="R3137" i="1"/>
  <c r="S3137" i="1" s="1"/>
  <c r="S1905" i="1"/>
  <c r="S1895" i="1"/>
  <c r="S1869" i="1"/>
  <c r="S1942" i="1"/>
  <c r="S1963" i="1"/>
  <c r="S1899" i="1"/>
  <c r="S1936" i="1"/>
  <c r="S1872" i="1"/>
  <c r="S1954" i="1"/>
  <c r="O2683" i="1"/>
  <c r="S1882" i="1"/>
  <c r="S1991" i="1"/>
  <c r="S1966" i="1"/>
  <c r="S1886" i="1"/>
  <c r="O2714" i="1"/>
  <c r="R2650" i="1"/>
  <c r="S2650" i="1" s="1"/>
  <c r="O2680" i="1"/>
  <c r="O2710" i="1"/>
  <c r="R2710" i="1" s="1"/>
  <c r="S2710" i="1" s="1"/>
  <c r="O2692" i="1"/>
  <c r="O2667" i="1"/>
  <c r="R2667" i="1" s="1"/>
  <c r="S2667" i="1" s="1"/>
  <c r="R2986" i="1"/>
  <c r="S2986" i="1" s="1"/>
  <c r="O2688" i="1"/>
  <c r="R2688" i="1" s="1"/>
  <c r="S2688" i="1" s="1"/>
  <c r="O56" i="1"/>
  <c r="O3101" i="1"/>
  <c r="Q2977" i="1"/>
  <c r="O3181" i="1"/>
  <c r="R3155" i="1"/>
  <c r="S3155" i="1" s="1"/>
  <c r="Q3154" i="1"/>
  <c r="R3126" i="1"/>
  <c r="S3126" i="1" s="1"/>
  <c r="Q3095" i="1"/>
  <c r="O3170" i="1"/>
  <c r="Q3191" i="1"/>
  <c r="Q3036" i="1"/>
  <c r="Q3001" i="1"/>
  <c r="Q3047" i="1"/>
  <c r="O3038" i="1"/>
  <c r="O2677" i="1"/>
  <c r="Q2726" i="1"/>
  <c r="R2726" i="1" s="1"/>
  <c r="S2726" i="1" s="1"/>
  <c r="Q2629" i="1"/>
  <c r="R2629" i="1" s="1"/>
  <c r="Q2669" i="1"/>
  <c r="O3165" i="1"/>
  <c r="O3112" i="1"/>
  <c r="O2972" i="1"/>
  <c r="Q2685" i="1"/>
  <c r="O3207" i="1"/>
  <c r="Q3073" i="1"/>
  <c r="Q3052" i="1"/>
  <c r="O3025" i="1"/>
  <c r="Q2985" i="1"/>
  <c r="O2964" i="1"/>
  <c r="Q2709" i="1"/>
  <c r="O2655" i="1"/>
  <c r="O2660" i="1"/>
  <c r="O3159" i="1"/>
  <c r="O3106" i="1"/>
  <c r="Q3065" i="1"/>
  <c r="Q3054" i="1"/>
  <c r="O3109" i="1"/>
  <c r="Q3009" i="1"/>
  <c r="Q2966" i="1"/>
  <c r="O2672" i="1"/>
  <c r="Q3098" i="1"/>
  <c r="Q3020" i="1"/>
  <c r="Q2963" i="1"/>
  <c r="R2962" i="1"/>
  <c r="S2962" i="1" s="1"/>
  <c r="Q2681" i="1"/>
  <c r="O2703" i="1"/>
  <c r="O2738" i="1"/>
  <c r="Q2740" i="1"/>
  <c r="Q2671" i="1"/>
  <c r="O3116" i="1"/>
  <c r="Q3199" i="1"/>
  <c r="O3046" i="1"/>
  <c r="O3022" i="1"/>
  <c r="Q3028" i="1"/>
  <c r="O2955" i="1"/>
  <c r="O2735" i="1"/>
  <c r="O2706" i="1"/>
  <c r="O2658" i="1"/>
  <c r="Q2722" i="1"/>
  <c r="Q3057" i="1"/>
  <c r="O3215" i="1"/>
  <c r="O3017" i="1"/>
  <c r="O3175" i="1"/>
  <c r="O3103" i="1"/>
  <c r="Q3044" i="1"/>
  <c r="R3044" i="1" s="1"/>
  <c r="S3044" i="1" s="1"/>
  <c r="O2719" i="1"/>
  <c r="Q3081" i="1"/>
  <c r="O3149" i="1"/>
  <c r="O3183" i="1"/>
  <c r="O3178" i="1"/>
  <c r="O3030" i="1"/>
  <c r="Q2993" i="1"/>
  <c r="O2730" i="1"/>
  <c r="Q2741" i="1"/>
  <c r="R2988" i="1"/>
  <c r="S2988" i="1" s="1"/>
  <c r="O2681" i="1"/>
  <c r="O2736" i="1"/>
  <c r="O2725" i="1"/>
  <c r="O2637" i="1"/>
  <c r="O3111" i="1"/>
  <c r="O2647" i="1"/>
  <c r="Q2644" i="1"/>
  <c r="O2636" i="1"/>
  <c r="R3136" i="1"/>
  <c r="S3136" i="1" s="1"/>
  <c r="Q2632" i="1"/>
  <c r="O2724" i="1"/>
  <c r="O2695" i="1"/>
  <c r="Q2716" i="1"/>
  <c r="R2998" i="1"/>
  <c r="S2998" i="1" s="1"/>
  <c r="R3197" i="1"/>
  <c r="S3197" i="1" s="1"/>
  <c r="R2994" i="1"/>
  <c r="S2994" i="1" s="1"/>
  <c r="Q2736" i="1"/>
  <c r="R2807" i="1"/>
  <c r="S2807" i="1" s="1"/>
  <c r="A2927" i="1"/>
  <c r="A2925" i="1"/>
  <c r="A2926" i="1" s="1"/>
  <c r="R2642" i="1"/>
  <c r="Q1890" i="1"/>
  <c r="Q1939" i="1"/>
  <c r="Q1965" i="1"/>
  <c r="Q562" i="1"/>
  <c r="Q1992" i="1"/>
  <c r="R2711" i="1"/>
  <c r="S2711" i="1" s="1"/>
  <c r="Q1933" i="1"/>
  <c r="Q1875" i="1"/>
  <c r="O2702" i="1"/>
  <c r="R2702" i="1" s="1"/>
  <c r="S2702" i="1" s="1"/>
  <c r="Q1993" i="1"/>
  <c r="Q1949" i="1"/>
  <c r="R2995" i="1"/>
  <c r="S2995" i="1" s="1"/>
  <c r="R3079" i="1"/>
  <c r="S3079" i="1" s="1"/>
  <c r="R2996" i="1"/>
  <c r="S2996" i="1" s="1"/>
  <c r="R3062" i="1"/>
  <c r="S3062" i="1" s="1"/>
  <c r="R3216" i="1"/>
  <c r="S3216" i="1" s="1"/>
  <c r="R3074" i="1"/>
  <c r="S3074" i="1" s="1"/>
  <c r="R2905" i="1"/>
  <c r="S2905" i="1" s="1"/>
  <c r="Q1919" i="1"/>
  <c r="R2456" i="1"/>
  <c r="R2367" i="1"/>
  <c r="R2947" i="1"/>
  <c r="S2947" i="1" s="1"/>
  <c r="R2956" i="1"/>
  <c r="S2956" i="1" s="1"/>
  <c r="R2830" i="1"/>
  <c r="S2830" i="1" s="1"/>
  <c r="R3127" i="1"/>
  <c r="S3127" i="1" s="1"/>
  <c r="O1962" i="1"/>
  <c r="O1946" i="1"/>
  <c r="O1930" i="1"/>
  <c r="O1914" i="1"/>
  <c r="R1914" i="1" s="1"/>
  <c r="O1898" i="1"/>
  <c r="O1886" i="1"/>
  <c r="R1886" i="1" s="1"/>
  <c r="O1870" i="1"/>
  <c r="O1991" i="1"/>
  <c r="R1991" i="1" s="1"/>
  <c r="O1983" i="1"/>
  <c r="O1975" i="1"/>
  <c r="O1967" i="1"/>
  <c r="O1951" i="1"/>
  <c r="O1939" i="1"/>
  <c r="O1927" i="1"/>
  <c r="O1911" i="1"/>
  <c r="O1895" i="1"/>
  <c r="R1895" i="1" s="1"/>
  <c r="O1879" i="1"/>
  <c r="O1985" i="1"/>
  <c r="O1977" i="1"/>
  <c r="O1969" i="1"/>
  <c r="O1869" i="1"/>
  <c r="R1869" i="1" s="1"/>
  <c r="O1960" i="1"/>
  <c r="O1944" i="1"/>
  <c r="O1928" i="1"/>
  <c r="O1916" i="1"/>
  <c r="O1900" i="1"/>
  <c r="O1884" i="1"/>
  <c r="O1868" i="1"/>
  <c r="O1945" i="1"/>
  <c r="O1901" i="1"/>
  <c r="O1933" i="1"/>
  <c r="O1913" i="1"/>
  <c r="O1897" i="1"/>
  <c r="O1994" i="1"/>
  <c r="R1994" i="1" s="1"/>
  <c r="O1986" i="1"/>
  <c r="O1978" i="1"/>
  <c r="O1970" i="1"/>
  <c r="O1958" i="1"/>
  <c r="R1958" i="1" s="1"/>
  <c r="O1942" i="1"/>
  <c r="R1942" i="1" s="1"/>
  <c r="O1926" i="1"/>
  <c r="O1910" i="1"/>
  <c r="O1894" i="1"/>
  <c r="O1882" i="1"/>
  <c r="R1882" i="1" s="1"/>
  <c r="O1866" i="1"/>
  <c r="O1963" i="1"/>
  <c r="O1947" i="1"/>
  <c r="O1935" i="1"/>
  <c r="O1923" i="1"/>
  <c r="R1923" i="1" s="1"/>
  <c r="O1907" i="1"/>
  <c r="O1891" i="1"/>
  <c r="O1875" i="1"/>
  <c r="O1992" i="1"/>
  <c r="O1984" i="1"/>
  <c r="O1976" i="1"/>
  <c r="R1976" i="1" s="1"/>
  <c r="O1968" i="1"/>
  <c r="O1956" i="1"/>
  <c r="O1940" i="1"/>
  <c r="O1924" i="1"/>
  <c r="O1912" i="1"/>
  <c r="O1896" i="1"/>
  <c r="O1880" i="1"/>
  <c r="O1941" i="1"/>
  <c r="O1893" i="1"/>
  <c r="O1993" i="1"/>
  <c r="O1953" i="1"/>
  <c r="O1925" i="1"/>
  <c r="O1909" i="1"/>
  <c r="O1889" i="1"/>
  <c r="O1873" i="1"/>
  <c r="O1954" i="1"/>
  <c r="R1954" i="1" s="1"/>
  <c r="O1938" i="1"/>
  <c r="O1922" i="1"/>
  <c r="O1906" i="1"/>
  <c r="O1878" i="1"/>
  <c r="O1995" i="1"/>
  <c r="O1987" i="1"/>
  <c r="O1979" i="1"/>
  <c r="O1971" i="1"/>
  <c r="O1959" i="1"/>
  <c r="R1959" i="1" s="1"/>
  <c r="O1943" i="1"/>
  <c r="O1919" i="1"/>
  <c r="O1903" i="1"/>
  <c r="O1887" i="1"/>
  <c r="O1871" i="1"/>
  <c r="O1981" i="1"/>
  <c r="O1973" i="1"/>
  <c r="O1965" i="1"/>
  <c r="O1952" i="1"/>
  <c r="O1936" i="1"/>
  <c r="R1936" i="1" s="1"/>
  <c r="O1908" i="1"/>
  <c r="O1892" i="1"/>
  <c r="O1876" i="1"/>
  <c r="O1885" i="1"/>
  <c r="O1949" i="1"/>
  <c r="O1881" i="1"/>
  <c r="O1990" i="1"/>
  <c r="O1982" i="1"/>
  <c r="O1974" i="1"/>
  <c r="O1966" i="1"/>
  <c r="R1966" i="1" s="1"/>
  <c r="O1934" i="1"/>
  <c r="O1918" i="1"/>
  <c r="O1902" i="1"/>
  <c r="O1890" i="1"/>
  <c r="O1874" i="1"/>
  <c r="O1955" i="1"/>
  <c r="R1955" i="1" s="1"/>
  <c r="O1931" i="1"/>
  <c r="O1915" i="1"/>
  <c r="O1899" i="1"/>
  <c r="R1899" i="1" s="1"/>
  <c r="O1883" i="1"/>
  <c r="O1867" i="1"/>
  <c r="R1867" i="1" s="1"/>
  <c r="O1957" i="1"/>
  <c r="O1996" i="1"/>
  <c r="O1988" i="1"/>
  <c r="O1980" i="1"/>
  <c r="O1972" i="1"/>
  <c r="O1964" i="1"/>
  <c r="O1948" i="1"/>
  <c r="O1932" i="1"/>
  <c r="O1920" i="1"/>
  <c r="O1904" i="1"/>
  <c r="R1904" i="1" s="1"/>
  <c r="O1888" i="1"/>
  <c r="O1872" i="1"/>
  <c r="R1872" i="1" s="1"/>
  <c r="O1961" i="1"/>
  <c r="O1917" i="1"/>
  <c r="O1865" i="1"/>
  <c r="O1989" i="1"/>
  <c r="O1937" i="1"/>
  <c r="O1921" i="1"/>
  <c r="O1877" i="1"/>
  <c r="R1877" i="1" s="1"/>
  <c r="R2918" i="1"/>
  <c r="S2918" i="1" s="1"/>
  <c r="Q1316" i="1"/>
  <c r="R1316" i="1" s="1"/>
  <c r="Q1317" i="1"/>
  <c r="R1317" i="1" s="1"/>
  <c r="Q1315" i="1"/>
  <c r="R1315" i="1" s="1"/>
  <c r="O1320" i="1"/>
  <c r="O1319" i="1"/>
  <c r="R1319" i="1" s="1"/>
  <c r="Q1996" i="1"/>
  <c r="R1996" i="1" s="1"/>
  <c r="Q1865" i="1"/>
  <c r="Q1912" i="1"/>
  <c r="Q566" i="1"/>
  <c r="R566" i="1" s="1"/>
  <c r="Q1951" i="1"/>
  <c r="Q1945" i="1"/>
  <c r="Q1896" i="1"/>
  <c r="R2133" i="1"/>
  <c r="Q568" i="1"/>
  <c r="R568" i="1" s="1"/>
  <c r="R2193" i="1"/>
  <c r="Q1920" i="1"/>
  <c r="Q1978" i="1"/>
  <c r="R2907" i="1"/>
  <c r="S2907" i="1" s="1"/>
  <c r="R2445" i="1"/>
  <c r="R2919" i="1"/>
  <c r="S2919" i="1" s="1"/>
  <c r="Q1974" i="1"/>
  <c r="Q1921" i="1"/>
  <c r="R2661" i="1"/>
  <c r="S2661" i="1" s="1"/>
  <c r="R2844" i="1"/>
  <c r="S2844" i="1" s="1"/>
  <c r="R2620" i="1"/>
  <c r="R2589" i="1"/>
  <c r="R2553" i="1"/>
  <c r="Q1979" i="1"/>
  <c r="R2093" i="1"/>
  <c r="R2591" i="1"/>
  <c r="R2701" i="1"/>
  <c r="S2701" i="1" s="1"/>
  <c r="Q1903" i="1"/>
  <c r="Q567" i="1"/>
  <c r="R567" i="1" s="1"/>
  <c r="R2824" i="1"/>
  <c r="S2824" i="1" s="1"/>
  <c r="R2428" i="1"/>
  <c r="Q1888" i="1"/>
  <c r="R2361" i="1"/>
  <c r="R2765" i="1"/>
  <c r="S2765" i="1" s="1"/>
  <c r="R2204" i="1"/>
  <c r="Q1887" i="1"/>
  <c r="Q1873" i="1"/>
  <c r="R2809" i="1"/>
  <c r="S2809" i="1" s="1"/>
  <c r="R2239" i="1"/>
  <c r="R2177" i="1"/>
  <c r="R2607" i="1"/>
  <c r="Q1889" i="1"/>
  <c r="R2246" i="1"/>
  <c r="Q565" i="1"/>
  <c r="R565" i="1" s="1"/>
  <c r="R2529" i="1"/>
  <c r="R2573" i="1"/>
  <c r="R2102" i="1"/>
  <c r="Q1937" i="1"/>
  <c r="Q1876" i="1"/>
  <c r="Q1953" i="1"/>
  <c r="Q1902" i="1"/>
  <c r="Q1917" i="1"/>
  <c r="R2432" i="1"/>
  <c r="R2325" i="1"/>
  <c r="R2349" i="1"/>
  <c r="R2754" i="1"/>
  <c r="S2754" i="1" s="1"/>
  <c r="Q1918" i="1"/>
  <c r="Q1982" i="1"/>
  <c r="Q1947" i="1"/>
  <c r="R2320" i="1"/>
  <c r="R2365" i="1"/>
  <c r="R2283" i="1"/>
  <c r="R2179" i="1"/>
  <c r="Q1988" i="1"/>
  <c r="Q1948" i="1"/>
  <c r="Q1883" i="1"/>
  <c r="Q1915" i="1"/>
  <c r="R1915" i="1" s="1"/>
  <c r="R2613" i="1"/>
  <c r="R2913" i="1"/>
  <c r="S2913" i="1" s="1"/>
  <c r="R2825" i="1"/>
  <c r="S2825" i="1" s="1"/>
  <c r="R2817" i="1"/>
  <c r="S2817" i="1" s="1"/>
  <c r="R2528" i="1"/>
  <c r="Q1981" i="1"/>
  <c r="R2557" i="1"/>
  <c r="R2623" i="1"/>
  <c r="R2762" i="1"/>
  <c r="S2762" i="1" s="1"/>
  <c r="R2263" i="1"/>
  <c r="R2039" i="1"/>
  <c r="R2153" i="1"/>
  <c r="Q1931" i="1"/>
  <c r="R2577" i="1"/>
  <c r="R2329" i="1"/>
  <c r="R58" i="1"/>
  <c r="R2684" i="1"/>
  <c r="S2684" i="1" s="1"/>
  <c r="R2870" i="1"/>
  <c r="S2870" i="1" s="1"/>
  <c r="R2874" i="1"/>
  <c r="S2874" i="1" s="1"/>
  <c r="R2866" i="1"/>
  <c r="S2866" i="1" s="1"/>
  <c r="R2363" i="1"/>
  <c r="R2446" i="1"/>
  <c r="Q1961" i="1"/>
  <c r="Q1884" i="1"/>
  <c r="Q1929" i="1"/>
  <c r="R2148" i="1"/>
  <c r="R2713" i="1"/>
  <c r="S2713" i="1" s="1"/>
  <c r="Q1879" i="1"/>
  <c r="R2270" i="1"/>
  <c r="Q1913" i="1"/>
  <c r="Q1995" i="1"/>
  <c r="Q1968" i="1"/>
  <c r="R2902" i="1"/>
  <c r="S2902" i="1" s="1"/>
  <c r="R2670" i="1"/>
  <c r="S2670" i="1" s="1"/>
  <c r="R2561" i="1"/>
  <c r="Q1868" i="1"/>
  <c r="Q1874" i="1"/>
  <c r="Q1985" i="1"/>
  <c r="Q1897" i="1"/>
  <c r="Q1946" i="1"/>
  <c r="R2423" i="1"/>
  <c r="R2027" i="1"/>
  <c r="Q1900" i="1"/>
  <c r="R2578" i="1"/>
  <c r="R2439" i="1"/>
  <c r="R2784" i="1"/>
  <c r="S2784" i="1" s="1"/>
  <c r="R2776" i="1"/>
  <c r="S2776" i="1" s="1"/>
  <c r="Q1989" i="1"/>
  <c r="Q1950" i="1"/>
  <c r="Q1870" i="1"/>
  <c r="Q1906" i="1"/>
  <c r="R2867" i="1"/>
  <c r="S2867" i="1" s="1"/>
  <c r="R2752" i="1"/>
  <c r="S2752" i="1" s="1"/>
  <c r="R2079" i="1"/>
  <c r="Q1980" i="1"/>
  <c r="Q1932" i="1"/>
  <c r="R2115" i="1"/>
  <c r="Q1891" i="1"/>
  <c r="Q1928" i="1"/>
  <c r="R2104" i="1"/>
  <c r="Q558" i="1"/>
  <c r="R558" i="1" s="1"/>
  <c r="R2780" i="1"/>
  <c r="S2780" i="1" s="1"/>
  <c r="R2772" i="1"/>
  <c r="S2772" i="1" s="1"/>
  <c r="Q1977" i="1"/>
  <c r="Q1927" i="1"/>
  <c r="R2450" i="1"/>
  <c r="Q1880" i="1"/>
  <c r="R2369" i="1"/>
  <c r="R2760" i="1"/>
  <c r="S2760" i="1" s="1"/>
  <c r="Q1962" i="1"/>
  <c r="R2871" i="1"/>
  <c r="S2871" i="1" s="1"/>
  <c r="R2162" i="1"/>
  <c r="Q1908" i="1"/>
  <c r="R2875" i="1"/>
  <c r="S2875" i="1" s="1"/>
  <c r="R2323" i="1"/>
  <c r="Q1934" i="1"/>
  <c r="R2700" i="1"/>
  <c r="S2700" i="1" s="1"/>
  <c r="Q1986" i="1"/>
  <c r="Q1938" i="1"/>
  <c r="Q1881" i="1"/>
  <c r="Q1967" i="1"/>
  <c r="R2398" i="1"/>
  <c r="R2132" i="1"/>
  <c r="Q1944" i="1"/>
  <c r="Q1990" i="1"/>
  <c r="R2551" i="1"/>
  <c r="R2158" i="1"/>
  <c r="Q1941" i="1"/>
  <c r="Q1960" i="1"/>
  <c r="Q1940" i="1"/>
  <c r="Q1892" i="1"/>
  <c r="R2850" i="1"/>
  <c r="S2850" i="1" s="1"/>
  <c r="R2527" i="1"/>
  <c r="Q1255" i="1"/>
  <c r="R1255" i="1" s="1"/>
  <c r="Q1910" i="1"/>
  <c r="Q1969" i="1"/>
  <c r="Q1871" i="1"/>
  <c r="R2922" i="1"/>
  <c r="S2922" i="1" s="1"/>
  <c r="R2878" i="1"/>
  <c r="S2878" i="1" s="1"/>
  <c r="R2353" i="1"/>
  <c r="Q1984" i="1"/>
  <c r="R2271" i="1"/>
  <c r="Q1956" i="1"/>
  <c r="R2581" i="1"/>
  <c r="R2597" i="1"/>
  <c r="R2247" i="1"/>
  <c r="Q1987" i="1"/>
  <c r="Q559" i="1"/>
  <c r="R559" i="1" s="1"/>
  <c r="R2898" i="1"/>
  <c r="S2898" i="1" s="1"/>
  <c r="R2617" i="1"/>
  <c r="Q1866" i="1"/>
  <c r="R2599" i="1"/>
  <c r="R2914" i="1"/>
  <c r="S2914" i="1" s="1"/>
  <c r="R2245" i="1"/>
  <c r="Q1957" i="1"/>
  <c r="R2141" i="1"/>
  <c r="R2842" i="1"/>
  <c r="S2842" i="1" s="1"/>
  <c r="Q1885" i="1"/>
  <c r="Q1922" i="1"/>
  <c r="Q1276" i="1"/>
  <c r="R1276" i="1" s="1"/>
  <c r="Q1898" i="1"/>
  <c r="Q1964" i="1"/>
  <c r="R2846" i="1"/>
  <c r="S2846" i="1" s="1"/>
  <c r="R3018" i="1"/>
  <c r="S3018" i="1" s="1"/>
  <c r="R2949" i="1"/>
  <c r="S2949" i="1" s="1"/>
  <c r="R3208" i="1"/>
  <c r="S3208" i="1" s="1"/>
  <c r="R3186" i="1"/>
  <c r="S3186" i="1" s="1"/>
  <c r="R3060" i="1"/>
  <c r="S3060" i="1" s="1"/>
  <c r="R2226" i="1"/>
  <c r="Q1254" i="1"/>
  <c r="R1254" i="1" s="1"/>
  <c r="R2792" i="1"/>
  <c r="S2792" i="1" s="1"/>
  <c r="Q1952" i="1"/>
  <c r="O3110" i="1"/>
  <c r="R3110" i="1" s="1"/>
  <c r="S3110" i="1" s="1"/>
  <c r="R2915" i="1"/>
  <c r="S2915" i="1" s="1"/>
  <c r="R2883" i="1"/>
  <c r="S2883" i="1" s="1"/>
  <c r="Q1911" i="1"/>
  <c r="R2796" i="1"/>
  <c r="S2796" i="1" s="1"/>
  <c r="R2626" i="1"/>
  <c r="R2585" i="1"/>
  <c r="R3171" i="1"/>
  <c r="S3171" i="1" s="1"/>
  <c r="R3130" i="1"/>
  <c r="S3130" i="1" s="1"/>
  <c r="R2594" i="1"/>
  <c r="R2120" i="1"/>
  <c r="R2984" i="1"/>
  <c r="S2984" i="1" s="1"/>
  <c r="Q1926" i="1"/>
  <c r="Q1916" i="1"/>
  <c r="R2899" i="1"/>
  <c r="S2899" i="1" s="1"/>
  <c r="R2178" i="1"/>
  <c r="R2248" i="1"/>
  <c r="R3010" i="1"/>
  <c r="S3010" i="1" s="1"/>
  <c r="R3146" i="1"/>
  <c r="S3146" i="1" s="1"/>
  <c r="R3182" i="1"/>
  <c r="S3182" i="1" s="1"/>
  <c r="Q1901" i="1"/>
  <c r="R2835" i="1"/>
  <c r="S2835" i="1" s="1"/>
  <c r="R3202" i="1"/>
  <c r="S3202" i="1" s="1"/>
  <c r="R3125" i="1"/>
  <c r="S3125" i="1" s="1"/>
  <c r="R2344" i="1"/>
  <c r="R2031" i="1"/>
  <c r="R3185" i="1"/>
  <c r="S3185" i="1" s="1"/>
  <c r="R2804" i="1"/>
  <c r="S2804" i="1" s="1"/>
  <c r="R2543" i="1"/>
  <c r="R2211" i="1"/>
  <c r="R2152" i="1"/>
  <c r="Q1907" i="1"/>
  <c r="R2342" i="1"/>
  <c r="Q1878" i="1"/>
  <c r="Q1972" i="1"/>
  <c r="Q1893" i="1"/>
  <c r="Q1930" i="1"/>
  <c r="Q563" i="1"/>
  <c r="R563" i="1" s="1"/>
  <c r="R2575" i="1"/>
  <c r="Q1971" i="1"/>
  <c r="Q1975" i="1"/>
  <c r="R3059" i="1"/>
  <c r="S3059" i="1" s="1"/>
  <c r="Q1973" i="1"/>
  <c r="R2940" i="1"/>
  <c r="S2940" i="1" s="1"/>
  <c r="R2424" i="1"/>
  <c r="R2357" i="1"/>
  <c r="R2889" i="1"/>
  <c r="S2889" i="1" s="1"/>
  <c r="R2240" i="1"/>
  <c r="R2474" i="1"/>
  <c r="R2064" i="1"/>
  <c r="R2601" i="1"/>
  <c r="R2419" i="1"/>
  <c r="R2154" i="1"/>
  <c r="R2893" i="1"/>
  <c r="S2893" i="1" s="1"/>
  <c r="R2909" i="1"/>
  <c r="S2909" i="1" s="1"/>
  <c r="R2810" i="1"/>
  <c r="S2810" i="1" s="1"/>
  <c r="R2288" i="1"/>
  <c r="R2375" i="1"/>
  <c r="R2186" i="1"/>
  <c r="R2085" i="1"/>
  <c r="R2849" i="1"/>
  <c r="S2849" i="1" s="1"/>
  <c r="R2786" i="1"/>
  <c r="S2786" i="1" s="1"/>
  <c r="R2549" i="1"/>
  <c r="R2403" i="1"/>
  <c r="R2341" i="1"/>
  <c r="R2315" i="1"/>
  <c r="R2778" i="1"/>
  <c r="S2778" i="1" s="1"/>
  <c r="R2682" i="1"/>
  <c r="S2682" i="1" s="1"/>
  <c r="R2705" i="1"/>
  <c r="S2705" i="1" s="1"/>
  <c r="R2464" i="1"/>
  <c r="R2885" i="1"/>
  <c r="S2885" i="1" s="1"/>
  <c r="R2921" i="1"/>
  <c r="S2921" i="1" s="1"/>
  <c r="R2821" i="1"/>
  <c r="S2821" i="1" s="1"/>
  <c r="R2506" i="1"/>
  <c r="R2917" i="1"/>
  <c r="S2917" i="1" s="1"/>
  <c r="R2901" i="1"/>
  <c r="S2901" i="1" s="1"/>
  <c r="R2698" i="1"/>
  <c r="S2698" i="1" s="1"/>
  <c r="R2544" i="1"/>
  <c r="R2272" i="1"/>
  <c r="R2421" i="1"/>
  <c r="R2865" i="1"/>
  <c r="S2865" i="1" s="1"/>
  <c r="R2857" i="1"/>
  <c r="S2857" i="1" s="1"/>
  <c r="R2770" i="1"/>
  <c r="S2770" i="1" s="1"/>
  <c r="R2507" i="1"/>
  <c r="R2299" i="1"/>
  <c r="R2165" i="1"/>
  <c r="R2225" i="1"/>
  <c r="R2983" i="1"/>
  <c r="S2983" i="1" s="1"/>
  <c r="O3097" i="1"/>
  <c r="Q3149" i="1"/>
  <c r="R3196" i="1"/>
  <c r="S3196" i="1" s="1"/>
  <c r="R3041" i="1"/>
  <c r="S3041" i="1" s="1"/>
  <c r="R3056" i="1"/>
  <c r="S3056" i="1" s="1"/>
  <c r="Q3195" i="1"/>
  <c r="R3195" i="1" s="1"/>
  <c r="S3195" i="1" s="1"/>
  <c r="R3114" i="1"/>
  <c r="S3114" i="1" s="1"/>
  <c r="Q3170" i="1"/>
  <c r="R3170" i="1" s="1"/>
  <c r="S3170" i="1" s="1"/>
  <c r="Q3159" i="1"/>
  <c r="O3187" i="1"/>
  <c r="R3187" i="1" s="1"/>
  <c r="S3187" i="1" s="1"/>
  <c r="Q3106" i="1"/>
  <c r="R3106" i="1" s="1"/>
  <c r="S3106" i="1" s="1"/>
  <c r="O3013" i="1"/>
  <c r="R3013" i="1" s="1"/>
  <c r="S3013" i="1" s="1"/>
  <c r="Q3176" i="1"/>
  <c r="R3176" i="1" s="1"/>
  <c r="S3176" i="1" s="1"/>
  <c r="Q3101" i="1"/>
  <c r="Q2976" i="1"/>
  <c r="R3217" i="1"/>
  <c r="S3217" i="1" s="1"/>
  <c r="R2999" i="1"/>
  <c r="S2999" i="1" s="1"/>
  <c r="Q3215" i="1"/>
  <c r="R3215" i="1" s="1"/>
  <c r="S3215" i="1" s="1"/>
  <c r="R2896" i="1"/>
  <c r="S2896" i="1" s="1"/>
  <c r="R2884" i="1"/>
  <c r="S2884" i="1" s="1"/>
  <c r="R2769" i="1"/>
  <c r="S2769" i="1" s="1"/>
  <c r="R1827" i="1"/>
  <c r="R1683" i="1"/>
  <c r="R1675" i="1"/>
  <c r="R1812" i="1"/>
  <c r="R2771" i="1"/>
  <c r="S2771" i="1" s="1"/>
  <c r="R2745" i="1"/>
  <c r="S2745" i="1" s="1"/>
  <c r="R2775" i="1"/>
  <c r="S2775" i="1" s="1"/>
  <c r="R2548" i="1"/>
  <c r="R1084" i="1"/>
  <c r="R1220" i="1"/>
  <c r="R2076" i="1"/>
  <c r="R2060" i="1"/>
  <c r="R2044" i="1"/>
  <c r="R2860" i="1"/>
  <c r="S2860" i="1" s="1"/>
  <c r="R2287" i="1"/>
  <c r="R2227" i="1"/>
  <c r="R1731" i="1"/>
  <c r="R1699" i="1"/>
  <c r="R1620" i="1"/>
  <c r="R1588" i="1"/>
  <c r="R1555" i="1"/>
  <c r="R2813" i="1"/>
  <c r="S2813" i="1" s="1"/>
  <c r="R2803" i="1"/>
  <c r="S2803" i="1" s="1"/>
  <c r="R2612" i="1"/>
  <c r="R2396" i="1"/>
  <c r="R1795" i="1"/>
  <c r="R1572" i="1"/>
  <c r="R2781" i="1"/>
  <c r="S2781" i="1" s="1"/>
  <c r="R2751" i="1"/>
  <c r="S2751" i="1" s="1"/>
  <c r="R2799" i="1"/>
  <c r="S2799" i="1" s="1"/>
  <c r="R1564" i="1"/>
  <c r="R421" i="1"/>
  <c r="S421" i="1" s="1"/>
  <c r="R1013" i="1"/>
  <c r="R2793" i="1"/>
  <c r="S2793" i="1" s="1"/>
  <c r="R2295" i="1"/>
  <c r="R2311" i="1"/>
  <c r="R2255" i="1"/>
  <c r="R2020" i="1"/>
  <c r="R2444" i="1"/>
  <c r="R2063" i="1"/>
  <c r="R1580" i="1"/>
  <c r="R1581" i="1"/>
  <c r="R2303" i="1"/>
  <c r="R2559" i="1"/>
  <c r="R2801" i="1"/>
  <c r="S2801" i="1" s="1"/>
  <c r="R1820" i="1"/>
  <c r="R1556" i="1"/>
  <c r="R2811" i="1"/>
  <c r="S2811" i="1" s="1"/>
  <c r="R2787" i="1"/>
  <c r="S2787" i="1" s="1"/>
  <c r="R2755" i="1"/>
  <c r="S2755" i="1" s="1"/>
  <c r="R2749" i="1"/>
  <c r="S2749" i="1" s="1"/>
  <c r="R2791" i="1"/>
  <c r="S2791" i="1" s="1"/>
  <c r="R2759" i="1"/>
  <c r="S2759" i="1" s="1"/>
  <c r="R2580" i="1"/>
  <c r="R2188" i="1"/>
  <c r="R1779" i="1"/>
  <c r="R1747" i="1"/>
  <c r="R1228" i="1"/>
  <c r="R1172" i="1"/>
  <c r="R907" i="1"/>
  <c r="R1076" i="1"/>
  <c r="R981" i="1"/>
  <c r="R2777" i="1"/>
  <c r="S2777" i="1" s="1"/>
  <c r="R2292" i="1"/>
  <c r="R1723" i="1"/>
  <c r="R2267" i="1"/>
  <c r="R2888" i="1"/>
  <c r="S2888" i="1" s="1"/>
  <c r="R1844" i="1"/>
  <c r="R1627" i="1"/>
  <c r="R2880" i="1"/>
  <c r="S2880" i="1" s="1"/>
  <c r="R2872" i="1"/>
  <c r="S2872" i="1" s="1"/>
  <c r="R2264" i="1"/>
  <c r="R2466" i="1"/>
  <c r="R2137" i="1"/>
  <c r="R2785" i="1"/>
  <c r="S2785" i="1" s="1"/>
  <c r="R2631" i="1"/>
  <c r="R2443" i="1"/>
  <c r="R2095" i="1"/>
  <c r="R2308" i="1"/>
  <c r="R2502" i="1"/>
  <c r="R2328" i="1"/>
  <c r="R2827" i="1"/>
  <c r="S2827" i="1" s="1"/>
  <c r="R2819" i="1"/>
  <c r="S2819" i="1" s="1"/>
  <c r="R2795" i="1"/>
  <c r="S2795" i="1" s="1"/>
  <c r="R2763" i="1"/>
  <c r="S2763" i="1" s="1"/>
  <c r="R2596" i="1"/>
  <c r="R2284" i="1"/>
  <c r="R2043" i="1"/>
  <c r="R2839" i="1"/>
  <c r="S2839" i="1" s="1"/>
  <c r="R2068" i="1"/>
  <c r="R2373" i="1"/>
  <c r="R2249" i="1"/>
  <c r="R2166" i="1"/>
  <c r="R2335" i="1"/>
  <c r="R2261" i="1"/>
  <c r="Q2660" i="1"/>
  <c r="Q2707" i="1"/>
  <c r="R2707" i="1" s="1"/>
  <c r="S2707" i="1" s="1"/>
  <c r="Q2651" i="1"/>
  <c r="R2651" i="1" s="1"/>
  <c r="S2651" i="1" s="1"/>
  <c r="O3154" i="1"/>
  <c r="R3154" i="1" s="1"/>
  <c r="S3154" i="1" s="1"/>
  <c r="Q3181" i="1"/>
  <c r="R3181" i="1" s="1"/>
  <c r="S3181" i="1" s="1"/>
  <c r="O3095" i="1"/>
  <c r="R3095" i="1" s="1"/>
  <c r="Q3109" i="1"/>
  <c r="R3109" i="1" s="1"/>
  <c r="S3109" i="1" s="1"/>
  <c r="Q3042" i="1"/>
  <c r="R3042" i="1" s="1"/>
  <c r="S3042" i="1" s="1"/>
  <c r="R2564" i="1"/>
  <c r="R2336" i="1"/>
  <c r="Q2391" i="1"/>
  <c r="R2391" i="1" s="1"/>
  <c r="R2296" i="1"/>
  <c r="R2236" i="1"/>
  <c r="Q1808" i="1"/>
  <c r="R1808" i="1" s="1"/>
  <c r="Q1563" i="1"/>
  <c r="R1563" i="1" s="1"/>
  <c r="Q1525" i="1"/>
  <c r="R1525" i="1" s="1"/>
  <c r="Q1509" i="1"/>
  <c r="R1509" i="1" s="1"/>
  <c r="Q1461" i="1"/>
  <c r="R1461" i="1" s="1"/>
  <c r="Q1429" i="1"/>
  <c r="R1429" i="1" s="1"/>
  <c r="Q1379" i="1"/>
  <c r="R1379" i="1" s="1"/>
  <c r="Q1382" i="1"/>
  <c r="R1382" i="1" s="1"/>
  <c r="Q1393" i="1"/>
  <c r="R1393" i="1" s="1"/>
  <c r="Q1531" i="1"/>
  <c r="R1531" i="1" s="1"/>
  <c r="Q1331" i="1"/>
  <c r="R1331" i="1" s="1"/>
  <c r="Q1397" i="1"/>
  <c r="R1397" i="1" s="1"/>
  <c r="Q1367" i="1"/>
  <c r="Q1370" i="1"/>
  <c r="R1370" i="1" s="1"/>
  <c r="Q1341" i="1"/>
  <c r="R1341" i="1" s="1"/>
  <c r="Q1491" i="1"/>
  <c r="R1491" i="1" s="1"/>
  <c r="Q1376" i="1"/>
  <c r="R1376" i="1" s="1"/>
  <c r="Q1400" i="1"/>
  <c r="R1400" i="1" s="1"/>
  <c r="Q1384" i="1"/>
  <c r="R1384" i="1" s="1"/>
  <c r="R3070" i="1"/>
  <c r="S3070" i="1" s="1"/>
  <c r="R2554" i="1"/>
  <c r="Q1716" i="1"/>
  <c r="R1716" i="1" s="1"/>
  <c r="Q1640" i="1"/>
  <c r="R1640" i="1" s="1"/>
  <c r="Q1611" i="1"/>
  <c r="O2685" i="1"/>
  <c r="O2630" i="1"/>
  <c r="R2630" i="1" s="1"/>
  <c r="O2632" i="1"/>
  <c r="R2536" i="1"/>
  <c r="R2393" i="1"/>
  <c r="Q1314" i="1"/>
  <c r="R1314" i="1" s="1"/>
  <c r="Q1281" i="1"/>
  <c r="R1281" i="1" s="1"/>
  <c r="Q1631" i="1"/>
  <c r="O2722" i="1"/>
  <c r="O2709" i="1"/>
  <c r="R2709" i="1" s="1"/>
  <c r="S2709" i="1" s="1"/>
  <c r="O2740" i="1"/>
  <c r="O2644" i="1"/>
  <c r="O2669" i="1"/>
  <c r="R2256" i="1"/>
  <c r="Q2399" i="1"/>
  <c r="R2399" i="1" s="1"/>
  <c r="R2218" i="1"/>
  <c r="Q1457" i="1"/>
  <c r="R1457" i="1" s="1"/>
  <c r="Q1508" i="1"/>
  <c r="R1508" i="1" s="1"/>
  <c r="Q1549" i="1"/>
  <c r="R1549" i="1" s="1"/>
  <c r="Q1406" i="1"/>
  <c r="R1406" i="1" s="1"/>
  <c r="Q1374" i="1"/>
  <c r="R1374" i="1" s="1"/>
  <c r="Q1421" i="1"/>
  <c r="R1421" i="1" s="1"/>
  <c r="Q1452" i="1"/>
  <c r="R1452" i="1" s="1"/>
  <c r="Q1391" i="1"/>
  <c r="R1391" i="1" s="1"/>
  <c r="Q1332" i="1"/>
  <c r="R1332" i="1" s="1"/>
  <c r="R2440" i="1"/>
  <c r="Q1894" i="1"/>
  <c r="Q1738" i="1"/>
  <c r="R1738" i="1" s="1"/>
  <c r="Q1704" i="1"/>
  <c r="R1704" i="1" s="1"/>
  <c r="Q1692" i="1"/>
  <c r="R1692" i="1" s="1"/>
  <c r="Q1652" i="1"/>
  <c r="R1652" i="1" s="1"/>
  <c r="R3212" i="1"/>
  <c r="S3212" i="1" s="1"/>
  <c r="R3142" i="1"/>
  <c r="S3142" i="1" s="1"/>
  <c r="Q3153" i="1"/>
  <c r="R3153" i="1" s="1"/>
  <c r="S3153" i="1" s="1"/>
  <c r="Q3111" i="1"/>
  <c r="R3111" i="1" s="1"/>
  <c r="S3111" i="1" s="1"/>
  <c r="R3051" i="1"/>
  <c r="S3051" i="1" s="1"/>
  <c r="Q3103" i="1"/>
  <c r="R2496" i="1"/>
  <c r="Q2368" i="1"/>
  <c r="R2368" i="1" s="1"/>
  <c r="R2304" i="1"/>
  <c r="Q2199" i="1"/>
  <c r="R2199" i="1" s="1"/>
  <c r="Q2147" i="1"/>
  <c r="R2147" i="1" s="1"/>
  <c r="Q2038" i="1"/>
  <c r="R2038" i="1" s="1"/>
  <c r="Q1804" i="1"/>
  <c r="R1804" i="1" s="1"/>
  <c r="Q1567" i="1"/>
  <c r="Q1533" i="1"/>
  <c r="R1533" i="1" s="1"/>
  <c r="Q1517" i="1"/>
  <c r="R1517" i="1" s="1"/>
  <c r="Q1501" i="1"/>
  <c r="R1501" i="1" s="1"/>
  <c r="Q1485" i="1"/>
  <c r="R1485" i="1" s="1"/>
  <c r="Q1469" i="1"/>
  <c r="R1469" i="1" s="1"/>
  <c r="Q1437" i="1"/>
  <c r="R1437" i="1" s="1"/>
  <c r="Q1536" i="1"/>
  <c r="R1536" i="1" s="1"/>
  <c r="Q1504" i="1"/>
  <c r="R1504" i="1" s="1"/>
  <c r="Q1488" i="1"/>
  <c r="R1488" i="1" s="1"/>
  <c r="Q1369" i="1"/>
  <c r="R1369" i="1" s="1"/>
  <c r="Q1398" i="1"/>
  <c r="R1398" i="1" s="1"/>
  <c r="Q1366" i="1"/>
  <c r="R1366" i="1" s="1"/>
  <c r="Q1334" i="1"/>
  <c r="R1334" i="1" s="1"/>
  <c r="Q1377" i="1"/>
  <c r="R1377" i="1" s="1"/>
  <c r="Q1464" i="1"/>
  <c r="R1464" i="1" s="1"/>
  <c r="Q1412" i="1"/>
  <c r="R1412" i="1" s="1"/>
  <c r="Q1383" i="1"/>
  <c r="R1383" i="1" s="1"/>
  <c r="Q1535" i="1"/>
  <c r="R1535" i="1" s="1"/>
  <c r="Q1475" i="1"/>
  <c r="R1475" i="1" s="1"/>
  <c r="Q1354" i="1"/>
  <c r="R1354" i="1" s="1"/>
  <c r="Q1523" i="1"/>
  <c r="R1523" i="1" s="1"/>
  <c r="Q1443" i="1"/>
  <c r="R1443" i="1" s="1"/>
  <c r="Q1274" i="1"/>
  <c r="R1274" i="1" s="1"/>
  <c r="Q1684" i="1"/>
  <c r="R1684" i="1" s="1"/>
  <c r="Q1619" i="1"/>
  <c r="R1619" i="1" s="1"/>
  <c r="Q1600" i="1"/>
  <c r="R1600" i="1" s="1"/>
  <c r="Q1322" i="1"/>
  <c r="R1322" i="1" s="1"/>
  <c r="Q1924" i="1"/>
  <c r="Q1712" i="1"/>
  <c r="R1712" i="1" s="1"/>
  <c r="Q1702" i="1"/>
  <c r="R2978" i="1"/>
  <c r="S2978" i="1" s="1"/>
  <c r="R3143" i="1"/>
  <c r="S3143" i="1" s="1"/>
  <c r="R3004" i="1"/>
  <c r="S3004" i="1" s="1"/>
  <c r="R2945" i="1"/>
  <c r="S2945" i="1" s="1"/>
  <c r="R3135" i="1"/>
  <c r="S3135" i="1" s="1"/>
  <c r="R2982" i="1"/>
  <c r="S2982" i="1" s="1"/>
  <c r="R2948" i="1"/>
  <c r="S2948" i="1" s="1"/>
  <c r="O2741" i="1"/>
  <c r="O2718" i="1"/>
  <c r="R2718" i="1" s="1"/>
  <c r="S2718" i="1" s="1"/>
  <c r="R2542" i="1"/>
  <c r="O2640" i="1"/>
  <c r="R2640" i="1" s="1"/>
  <c r="R2624" i="1"/>
  <c r="R2533" i="1"/>
  <c r="O2671" i="1"/>
  <c r="Q2036" i="1"/>
  <c r="R2036" i="1" s="1"/>
  <c r="Q1786" i="1"/>
  <c r="R1786" i="1" s="1"/>
  <c r="Q1802" i="1"/>
  <c r="R1802" i="1" s="1"/>
  <c r="Q1540" i="1"/>
  <c r="R1540" i="1" s="1"/>
  <c r="Q1524" i="1"/>
  <c r="R1524" i="1" s="1"/>
  <c r="Q1492" i="1"/>
  <c r="R1492" i="1" s="1"/>
  <c r="Q1476" i="1"/>
  <c r="R1476" i="1" s="1"/>
  <c r="Q1371" i="1"/>
  <c r="R1371" i="1" s="1"/>
  <c r="Q1468" i="1"/>
  <c r="R1468" i="1" s="1"/>
  <c r="Q1436" i="1"/>
  <c r="R1436" i="1" s="1"/>
  <c r="Q1297" i="1"/>
  <c r="R1297" i="1" s="1"/>
  <c r="Q1278" i="1"/>
  <c r="R1278" i="1" s="1"/>
  <c r="O2968" i="1"/>
  <c r="R2968" i="1" s="1"/>
  <c r="S2968" i="1" s="1"/>
  <c r="Q2972" i="1"/>
  <c r="R2972" i="1" s="1"/>
  <c r="S2972" i="1" s="1"/>
  <c r="R2312" i="1"/>
  <c r="Q1821" i="1"/>
  <c r="R1821" i="1" s="1"/>
  <c r="Q1782" i="1"/>
  <c r="R1782" i="1" s="1"/>
  <c r="Q1800" i="1"/>
  <c r="R1800" i="1" s="1"/>
  <c r="Q1770" i="1"/>
  <c r="R1770" i="1" s="1"/>
  <c r="Q1529" i="1"/>
  <c r="R1529" i="1" s="1"/>
  <c r="Q1513" i="1"/>
  <c r="R1513" i="1" s="1"/>
  <c r="Q1481" i="1"/>
  <c r="R1481" i="1" s="1"/>
  <c r="Q1465" i="1"/>
  <c r="R1465" i="1" s="1"/>
  <c r="Q1433" i="1"/>
  <c r="R1433" i="1" s="1"/>
  <c r="Q1425" i="1"/>
  <c r="R1425" i="1" s="1"/>
  <c r="Q1363" i="1"/>
  <c r="R1363" i="1" s="1"/>
  <c r="Q1329" i="1"/>
  <c r="R1329" i="1" s="1"/>
  <c r="Q1423" i="1"/>
  <c r="R1423" i="1" s="1"/>
  <c r="Q1390" i="1"/>
  <c r="R1390" i="1" s="1"/>
  <c r="Q1571" i="1"/>
  <c r="R1571" i="1" s="1"/>
  <c r="Q1401" i="1"/>
  <c r="R1401" i="1" s="1"/>
  <c r="Q1337" i="1"/>
  <c r="R1337" i="1" s="1"/>
  <c r="Q1483" i="1"/>
  <c r="R1483" i="1" s="1"/>
  <c r="Q1460" i="1"/>
  <c r="R1460" i="1" s="1"/>
  <c r="Q1444" i="1"/>
  <c r="R1444" i="1" s="1"/>
  <c r="Q1428" i="1"/>
  <c r="R1428" i="1" s="1"/>
  <c r="Q1372" i="1"/>
  <c r="R1372" i="1" s="1"/>
  <c r="Q1519" i="1"/>
  <c r="R1519" i="1" s="1"/>
  <c r="Q1346" i="1"/>
  <c r="R1346" i="1" s="1"/>
  <c r="Q1333" i="1"/>
  <c r="R1333" i="1" s="1"/>
  <c r="Q1427" i="1"/>
  <c r="R1427" i="1" s="1"/>
  <c r="Q1306" i="1"/>
  <c r="R1306" i="1" s="1"/>
  <c r="Q1289" i="1"/>
  <c r="R1289" i="1" s="1"/>
  <c r="R2420" i="1"/>
  <c r="Q1680" i="1"/>
  <c r="R3139" i="1"/>
  <c r="S3139" i="1" s="1"/>
  <c r="R2442" i="1"/>
  <c r="O2716" i="1"/>
  <c r="R2991" i="1"/>
  <c r="S2991" i="1" s="1"/>
  <c r="R3151" i="1"/>
  <c r="S3151" i="1" s="1"/>
  <c r="R3157" i="1"/>
  <c r="S3157" i="1" s="1"/>
  <c r="R3128" i="1"/>
  <c r="S3128" i="1" s="1"/>
  <c r="R3134" i="1"/>
  <c r="S3134" i="1" s="1"/>
  <c r="R3063" i="1"/>
  <c r="S3063" i="1" s="1"/>
  <c r="R3084" i="1"/>
  <c r="S3084" i="1" s="1"/>
  <c r="R2944" i="1"/>
  <c r="S2944" i="1" s="1"/>
  <c r="R3150" i="1"/>
  <c r="S3150" i="1" s="1"/>
  <c r="R3168" i="1"/>
  <c r="S3168" i="1" s="1"/>
  <c r="R3188" i="1"/>
  <c r="S3188" i="1" s="1"/>
  <c r="R3011" i="1"/>
  <c r="S3011" i="1" s="1"/>
  <c r="R3200" i="1"/>
  <c r="S3200" i="1" s="1"/>
  <c r="R3206" i="1"/>
  <c r="S3206" i="1" s="1"/>
  <c r="R3190" i="1"/>
  <c r="S3190" i="1" s="1"/>
  <c r="R3138" i="1"/>
  <c r="S3138" i="1" s="1"/>
  <c r="R3145" i="1"/>
  <c r="S3145" i="1" s="1"/>
  <c r="R3133" i="1"/>
  <c r="S3133" i="1" s="1"/>
  <c r="R3113" i="1"/>
  <c r="S3113" i="1" s="1"/>
  <c r="R3115" i="1"/>
  <c r="S3115" i="1" s="1"/>
  <c r="R3083" i="1"/>
  <c r="S3083" i="1" s="1"/>
  <c r="R2971" i="1"/>
  <c r="S2971" i="1" s="1"/>
  <c r="R3002" i="1"/>
  <c r="S3002" i="1" s="1"/>
  <c r="R3117" i="1"/>
  <c r="S3117" i="1" s="1"/>
  <c r="O3073" i="1"/>
  <c r="Q3030" i="1"/>
  <c r="R3030" i="1" s="1"/>
  <c r="S3030" i="1" s="1"/>
  <c r="O3044" i="1"/>
  <c r="O3031" i="1"/>
  <c r="O3028" i="1"/>
  <c r="R3028" i="1" s="1"/>
  <c r="S3028" i="1" s="1"/>
  <c r="Q2050" i="1"/>
  <c r="R2050" i="1" s="1"/>
  <c r="Q1375" i="1"/>
  <c r="R1375" i="1" s="1"/>
  <c r="R1231" i="1"/>
  <c r="Q1128" i="1"/>
  <c r="R1128" i="1" s="1"/>
  <c r="R1052" i="1"/>
  <c r="R454" i="1"/>
  <c r="S454" i="1" s="1"/>
  <c r="R398" i="1"/>
  <c r="S398" i="1" s="1"/>
  <c r="R573" i="1"/>
  <c r="R393" i="1"/>
  <c r="S393" i="1" s="1"/>
  <c r="R1072" i="1"/>
  <c r="R682" i="1"/>
  <c r="R603" i="1"/>
  <c r="Q1831" i="1"/>
  <c r="R1831" i="1" s="1"/>
  <c r="R2110" i="1"/>
  <c r="R1664" i="1"/>
  <c r="R2150" i="1"/>
  <c r="O2989" i="1"/>
  <c r="R2989" i="1" s="1"/>
  <c r="S2989" i="1" s="1"/>
  <c r="Q3016" i="1"/>
  <c r="R3016" i="1" s="1"/>
  <c r="S3016" i="1" s="1"/>
  <c r="Q3022" i="1"/>
  <c r="R3022" i="1" s="1"/>
  <c r="S3022" i="1" s="1"/>
  <c r="Q3178" i="1"/>
  <c r="Q3038" i="1"/>
  <c r="Q3039" i="1"/>
  <c r="Q2951" i="1"/>
  <c r="R2951" i="1" s="1"/>
  <c r="S2951" i="1" s="1"/>
  <c r="R2818" i="1"/>
  <c r="S2818" i="1" s="1"/>
  <c r="Q1344" i="1"/>
  <c r="R1344" i="1" s="1"/>
  <c r="Q2366" i="1"/>
  <c r="R2366" i="1" s="1"/>
  <c r="R1646" i="1"/>
  <c r="Q1539" i="1"/>
  <c r="R1539" i="1" s="1"/>
  <c r="R2990" i="1"/>
  <c r="S2990" i="1" s="1"/>
  <c r="R3193" i="1"/>
  <c r="S3193" i="1" s="1"/>
  <c r="Q3105" i="1"/>
  <c r="R3105" i="1" s="1"/>
  <c r="S3105" i="1" s="1"/>
  <c r="R3184" i="1"/>
  <c r="S3184" i="1" s="1"/>
  <c r="R3201" i="1"/>
  <c r="S3201" i="1" s="1"/>
  <c r="R3209" i="1"/>
  <c r="S3209" i="1" s="1"/>
  <c r="Q2460" i="1"/>
  <c r="R2460" i="1" s="1"/>
  <c r="R1227" i="1"/>
  <c r="R754" i="1"/>
  <c r="R620" i="1"/>
  <c r="R549" i="1"/>
  <c r="R1075" i="1"/>
  <c r="R2579" i="1"/>
  <c r="R2416" i="1"/>
  <c r="R2656" i="1"/>
  <c r="S2656" i="1" s="1"/>
  <c r="R1773" i="1"/>
  <c r="Q2220" i="1"/>
  <c r="R2220" i="1" s="1"/>
  <c r="R1835" i="1"/>
  <c r="Q1595" i="1"/>
  <c r="Q1863" i="1"/>
  <c r="R1863" i="1" s="1"/>
  <c r="Q2590" i="1"/>
  <c r="R2590" i="1" s="1"/>
  <c r="Q1417" i="1"/>
  <c r="R1417" i="1" s="1"/>
  <c r="R2926" i="1"/>
  <c r="S2926" i="1" s="1"/>
  <c r="R2925" i="1"/>
  <c r="S2925" i="1" s="1"/>
  <c r="R2820" i="1"/>
  <c r="S2820" i="1" s="1"/>
  <c r="R2779" i="1"/>
  <c r="S2779" i="1" s="1"/>
  <c r="R2855" i="1"/>
  <c r="S2855" i="1" s="1"/>
  <c r="Q2725" i="1"/>
  <c r="R2693" i="1"/>
  <c r="S2693" i="1" s="1"/>
  <c r="R2583" i="1"/>
  <c r="R2262" i="1"/>
  <c r="R2081" i="1"/>
  <c r="Q2033" i="1"/>
  <c r="R2033" i="1" s="1"/>
  <c r="R1803" i="1"/>
  <c r="R1426" i="1"/>
  <c r="R975" i="1"/>
  <c r="Q634" i="1"/>
  <c r="R634" i="1" s="1"/>
  <c r="R2458" i="1"/>
  <c r="R2476" i="1"/>
  <c r="R1811" i="1"/>
  <c r="Q1584" i="1"/>
  <c r="R1584" i="1" s="1"/>
  <c r="Q1115" i="1"/>
  <c r="R1115" i="1" s="1"/>
  <c r="Q1451" i="1"/>
  <c r="R1451" i="1" s="1"/>
  <c r="Q1135" i="1"/>
  <c r="R1135" i="1" s="1"/>
  <c r="Q249" i="1"/>
  <c r="R249" i="1" s="1"/>
  <c r="S249" i="1" s="1"/>
  <c r="Q2729" i="1"/>
  <c r="R2729" i="1" s="1"/>
  <c r="S2729" i="1" s="1"/>
  <c r="Q1829" i="1"/>
  <c r="R1829" i="1" s="1"/>
  <c r="Q2172" i="1"/>
  <c r="R2172" i="1" s="1"/>
  <c r="Q1909" i="1"/>
  <c r="Q1668" i="1"/>
  <c r="R1668" i="1" s="1"/>
  <c r="R2503" i="1"/>
  <c r="R2520" i="1"/>
  <c r="R2404" i="1"/>
  <c r="R2307" i="1"/>
  <c r="R2243" i="1"/>
  <c r="R2359" i="1"/>
  <c r="R2223" i="1"/>
  <c r="R2309" i="1"/>
  <c r="R2277" i="1"/>
  <c r="R2209" i="1"/>
  <c r="R2351" i="1"/>
  <c r="R2324" i="1"/>
  <c r="R2185" i="1"/>
  <c r="R2161" i="1"/>
  <c r="R2116" i="1"/>
  <c r="R2100" i="1"/>
  <c r="R2107" i="1"/>
  <c r="R1998" i="1"/>
  <c r="S1998" i="1" s="1"/>
  <c r="R2084" i="1"/>
  <c r="R2052" i="1"/>
  <c r="R2097" i="1"/>
  <c r="R1852" i="1"/>
  <c r="R1999" i="1"/>
  <c r="S1999" i="1" s="1"/>
  <c r="R1849" i="1"/>
  <c r="R1817" i="1"/>
  <c r="R1858" i="1"/>
  <c r="R1826" i="1"/>
  <c r="R1727" i="1"/>
  <c r="R1679" i="1"/>
  <c r="R1269" i="1"/>
  <c r="R1113" i="1"/>
  <c r="R940" i="1"/>
  <c r="R972" i="1"/>
  <c r="R984" i="1"/>
  <c r="R550" i="1"/>
  <c r="S550" i="1" s="1"/>
  <c r="R1303" i="1"/>
  <c r="R1286" i="1"/>
  <c r="R1200" i="1"/>
  <c r="R409" i="1"/>
  <c r="S409" i="1" s="1"/>
  <c r="R714" i="1"/>
  <c r="R135" i="1"/>
  <c r="R321" i="1"/>
  <c r="S321" i="1" s="1"/>
  <c r="R2436" i="1"/>
  <c r="R2374" i="1"/>
  <c r="R2492" i="1"/>
  <c r="R1851" i="1"/>
  <c r="R1701" i="1"/>
  <c r="R1685" i="1"/>
  <c r="R1698" i="1"/>
  <c r="R2538" i="1"/>
  <c r="R2318" i="1"/>
  <c r="R1730" i="1"/>
  <c r="R1183" i="1"/>
  <c r="R931" i="1"/>
  <c r="R1211" i="1"/>
  <c r="Q1798" i="1"/>
  <c r="R1798" i="1" s="1"/>
  <c r="R762" i="1"/>
  <c r="R1003" i="1"/>
  <c r="R1195" i="1"/>
  <c r="Q2510" i="1"/>
  <c r="R2510" i="1" s="1"/>
  <c r="R1596" i="1"/>
  <c r="R2845" i="1"/>
  <c r="S2845" i="1" s="1"/>
  <c r="Q1766" i="1"/>
  <c r="R1766" i="1" s="1"/>
  <c r="Q1148" i="1"/>
  <c r="R1148" i="1" s="1"/>
  <c r="R1843" i="1"/>
  <c r="R2746" i="1"/>
  <c r="S2746" i="1" s="1"/>
  <c r="Q2615" i="1"/>
  <c r="R2615" i="1" s="1"/>
  <c r="Q2108" i="1"/>
  <c r="R2108" i="1" s="1"/>
  <c r="Q1388" i="1"/>
  <c r="R1388" i="1" s="1"/>
  <c r="Q1359" i="1"/>
  <c r="R1359" i="1" s="1"/>
  <c r="R525" i="1"/>
  <c r="R1061" i="1"/>
  <c r="R2555" i="1"/>
  <c r="Q2433" i="1"/>
  <c r="R2433" i="1" s="1"/>
  <c r="R1239" i="1"/>
  <c r="R1015" i="1"/>
  <c r="R968" i="1"/>
  <c r="R899" i="1"/>
  <c r="R475" i="1"/>
  <c r="S475" i="1" s="1"/>
  <c r="Q2352" i="1"/>
  <c r="R2352" i="1" s="1"/>
  <c r="Q2388" i="1"/>
  <c r="Q2610" i="1"/>
  <c r="R2906" i="1"/>
  <c r="S2906" i="1" s="1"/>
  <c r="R2837" i="1"/>
  <c r="S2837" i="1" s="1"/>
  <c r="R2744" i="1"/>
  <c r="S2744" i="1" s="1"/>
  <c r="Q2724" i="1"/>
  <c r="Q2582" i="1"/>
  <c r="R2582" i="1" s="1"/>
  <c r="Q2525" i="1"/>
  <c r="R2525" i="1" s="1"/>
  <c r="Q2242" i="1"/>
  <c r="R2242" i="1" s="1"/>
  <c r="R1771" i="1"/>
  <c r="R1756" i="1"/>
  <c r="R1639" i="1"/>
  <c r="R1265" i="1"/>
  <c r="Q1402" i="1"/>
  <c r="R1402" i="1" s="1"/>
  <c r="R1164" i="1"/>
  <c r="R1156" i="1"/>
  <c r="R763" i="1"/>
  <c r="R401" i="1"/>
  <c r="S401" i="1" s="1"/>
  <c r="R429" i="1"/>
  <c r="S429" i="1" s="1"/>
  <c r="R365" i="1"/>
  <c r="S365" i="1" s="1"/>
  <c r="R505" i="1"/>
  <c r="S505" i="1" s="1"/>
  <c r="Q254" i="1"/>
  <c r="R254" i="1" s="1"/>
  <c r="Q1855" i="1"/>
  <c r="R1855" i="1" s="1"/>
  <c r="Q2047" i="1"/>
  <c r="R2047" i="1" s="1"/>
  <c r="R1612" i="1"/>
  <c r="Q1847" i="1"/>
  <c r="R1847" i="1" s="1"/>
  <c r="Q2360" i="1"/>
  <c r="R2360" i="1" s="1"/>
  <c r="Q1499" i="1"/>
  <c r="R1499" i="1" s="1"/>
  <c r="Q1378" i="1"/>
  <c r="R1378" i="1" s="1"/>
  <c r="Q1467" i="1"/>
  <c r="R1467" i="1" s="1"/>
  <c r="Q2734" i="1"/>
  <c r="R2734" i="1" s="1"/>
  <c r="S2734" i="1" s="1"/>
  <c r="Q2430" i="1"/>
  <c r="R2430" i="1" s="1"/>
  <c r="R2089" i="1"/>
  <c r="Q2274" i="1"/>
  <c r="R2274" i="1" s="1"/>
  <c r="R2080" i="1"/>
  <c r="R2048" i="1"/>
  <c r="R1560" i="1"/>
  <c r="Q1448" i="1"/>
  <c r="R1448" i="1" s="1"/>
  <c r="R1067" i="1"/>
  <c r="R983" i="1"/>
  <c r="R829" i="1"/>
  <c r="Q2490" i="1"/>
  <c r="R2490" i="1" s="1"/>
  <c r="Q2170" i="1"/>
  <c r="R2170" i="1" s="1"/>
  <c r="Q2091" i="1"/>
  <c r="R2091" i="1" s="1"/>
  <c r="R2516" i="1"/>
  <c r="R2500" i="1"/>
  <c r="R2387" i="1"/>
  <c r="R2291" i="1"/>
  <c r="R2210" i="1"/>
  <c r="R2207" i="1"/>
  <c r="R2347" i="1"/>
  <c r="R2417" i="1"/>
  <c r="R2385" i="1"/>
  <c r="R2280" i="1"/>
  <c r="R2234" i="1"/>
  <c r="R2276" i="1"/>
  <c r="R2145" i="1"/>
  <c r="R2144" i="1"/>
  <c r="R1824" i="1"/>
  <c r="R1850" i="1"/>
  <c r="R1818" i="1"/>
  <c r="R1653" i="1"/>
  <c r="R1321" i="1"/>
  <c r="R1305" i="1"/>
  <c r="R1288" i="1"/>
  <c r="R1244" i="1"/>
  <c r="R1180" i="1"/>
  <c r="R1047" i="1"/>
  <c r="R1068" i="1"/>
  <c r="R1096" i="1"/>
  <c r="R796" i="1"/>
  <c r="R485" i="1"/>
  <c r="S485" i="1" s="1"/>
  <c r="R430" i="1"/>
  <c r="S430" i="1" s="1"/>
  <c r="R358" i="1"/>
  <c r="S358" i="1" s="1"/>
  <c r="R334" i="1"/>
  <c r="R486" i="1"/>
  <c r="S486" i="1" s="1"/>
  <c r="R146" i="1"/>
  <c r="R83" i="1"/>
  <c r="R66" i="1"/>
  <c r="R127" i="1"/>
  <c r="R95" i="1"/>
  <c r="R1044" i="1"/>
  <c r="R115" i="1"/>
  <c r="R581" i="1"/>
  <c r="R2887" i="1"/>
  <c r="S2887" i="1" s="1"/>
  <c r="R2156" i="1"/>
  <c r="R2286" i="1"/>
  <c r="R1734" i="1"/>
  <c r="R1638" i="1"/>
  <c r="R1732" i="1"/>
  <c r="R537" i="1"/>
  <c r="S537" i="1" s="1"/>
  <c r="R1298" i="1"/>
  <c r="R1282" i="1"/>
  <c r="R1059" i="1"/>
  <c r="R1216" i="1"/>
  <c r="R1236" i="1"/>
  <c r="R957" i="1"/>
  <c r="R923" i="1"/>
  <c r="R1025" i="1"/>
  <c r="R1012" i="1"/>
  <c r="R623" i="1"/>
  <c r="R593" i="1"/>
  <c r="R495" i="1"/>
  <c r="R471" i="1"/>
  <c r="S471" i="1" s="1"/>
  <c r="R517" i="1"/>
  <c r="S517" i="1" s="1"/>
  <c r="R2761" i="1"/>
  <c r="S2761" i="1" s="1"/>
  <c r="R2873" i="1"/>
  <c r="S2873" i="1" s="1"/>
  <c r="R2692" i="1"/>
  <c r="S2692" i="1" s="1"/>
  <c r="R2334" i="1"/>
  <c r="R2482" i="1"/>
  <c r="R2096" i="1"/>
  <c r="R1722" i="1"/>
  <c r="R1629" i="1"/>
  <c r="R1651" i="1"/>
  <c r="R1590" i="1"/>
  <c r="R2390" i="1"/>
  <c r="Q880" i="1"/>
  <c r="Q186" i="1"/>
  <c r="R186" i="1" s="1"/>
  <c r="S186" i="1" s="1"/>
  <c r="Q879" i="1"/>
  <c r="Q655" i="1"/>
  <c r="R655" i="1" s="1"/>
  <c r="Q872" i="1"/>
  <c r="Q939" i="1"/>
  <c r="R939" i="1" s="1"/>
  <c r="R405" i="1"/>
  <c r="S405" i="1" s="1"/>
  <c r="R577" i="1"/>
  <c r="R2297" i="1"/>
  <c r="R2619" i="1"/>
  <c r="Q2051" i="1"/>
  <c r="R2051" i="1" s="1"/>
  <c r="Q1935" i="1"/>
  <c r="R1736" i="1"/>
  <c r="Q2550" i="1"/>
  <c r="R2550" i="1" s="1"/>
  <c r="Q2200" i="1"/>
  <c r="R2200" i="1" s="1"/>
  <c r="Q2112" i="1"/>
  <c r="R2112" i="1" s="1"/>
  <c r="Q2222" i="1"/>
  <c r="R2222" i="1" s="1"/>
  <c r="Q2058" i="1"/>
  <c r="R2058" i="1" s="1"/>
  <c r="Q788" i="1"/>
  <c r="R788" i="1" s="1"/>
  <c r="Q277" i="1"/>
  <c r="R277" i="1" s="1"/>
  <c r="S277" i="1" s="1"/>
  <c r="Q927" i="1"/>
  <c r="R927" i="1" s="1"/>
  <c r="R1598" i="1"/>
  <c r="R1307" i="1"/>
  <c r="Q2358" i="1"/>
  <c r="R2358" i="1" s="1"/>
  <c r="Q997" i="1"/>
  <c r="Q2310" i="1"/>
  <c r="Q1861" i="1"/>
  <c r="R1861" i="1" s="1"/>
  <c r="Q2090" i="1"/>
  <c r="R2090" i="1" s="1"/>
  <c r="Q2003" i="1"/>
  <c r="R2003" i="1" s="1"/>
  <c r="S2003" i="1" s="1"/>
  <c r="Q2029" i="1"/>
  <c r="R2029" i="1" s="1"/>
  <c r="Q1520" i="1"/>
  <c r="R1520" i="1" s="1"/>
  <c r="Q1515" i="1"/>
  <c r="R1515" i="1" s="1"/>
  <c r="Q297" i="1"/>
  <c r="R297" i="1" s="1"/>
  <c r="S297" i="1" s="1"/>
  <c r="Q309" i="1"/>
  <c r="R309" i="1" s="1"/>
  <c r="S309" i="1" s="1"/>
  <c r="R1819" i="1"/>
  <c r="Q1925" i="1"/>
  <c r="Q1787" i="1"/>
  <c r="R2379" i="1"/>
  <c r="R2376" i="1"/>
  <c r="R2129" i="1"/>
  <c r="R2117" i="1"/>
  <c r="R2032" i="1"/>
  <c r="R2035" i="1"/>
  <c r="R2002" i="1"/>
  <c r="S2002" i="1" s="1"/>
  <c r="R1860" i="1"/>
  <c r="R1828" i="1"/>
  <c r="R2072" i="1"/>
  <c r="R1833" i="1"/>
  <c r="R1760" i="1"/>
  <c r="R1744" i="1"/>
  <c r="R1842" i="1"/>
  <c r="R1810" i="1"/>
  <c r="R1784" i="1"/>
  <c r="R1667" i="1"/>
  <c r="R1603" i="1"/>
  <c r="R1591" i="1"/>
  <c r="R1579" i="1"/>
  <c r="Q1439" i="1"/>
  <c r="R1439" i="1" s="1"/>
  <c r="R1108" i="1"/>
  <c r="R948" i="1"/>
  <c r="R1071" i="1"/>
  <c r="R501" i="1"/>
  <c r="S501" i="1" s="1"/>
  <c r="R594" i="1"/>
  <c r="R94" i="1"/>
  <c r="R627" i="1"/>
  <c r="R86" i="1"/>
  <c r="R2649" i="1"/>
  <c r="R2683" i="1"/>
  <c r="S2683" i="1" s="1"/>
  <c r="R2180" i="1"/>
  <c r="R1713" i="1"/>
  <c r="S1713" i="1" s="1"/>
  <c r="R1690" i="1"/>
  <c r="R1597" i="1"/>
  <c r="R1610" i="1"/>
  <c r="R1854" i="1"/>
  <c r="R1822" i="1"/>
  <c r="R1695" i="1"/>
  <c r="R1643" i="1"/>
  <c r="R1599" i="1"/>
  <c r="R1587" i="1"/>
  <c r="R1573" i="1"/>
  <c r="R1547" i="1"/>
  <c r="R1325" i="1"/>
  <c r="R1207" i="1"/>
  <c r="R1097" i="1"/>
  <c r="R1215" i="1"/>
  <c r="R1004" i="1"/>
  <c r="R991" i="1"/>
  <c r="R691" i="1"/>
  <c r="R389" i="1"/>
  <c r="S389" i="1" s="1"/>
  <c r="R718" i="1"/>
  <c r="R710" i="1"/>
  <c r="R381" i="1"/>
  <c r="S381" i="1" s="1"/>
  <c r="R1729" i="1"/>
  <c r="R2111" i="1"/>
  <c r="R2075" i="1"/>
  <c r="R1670" i="1"/>
  <c r="Q1544" i="1"/>
  <c r="R1544" i="1" s="1"/>
  <c r="Q1356" i="1"/>
  <c r="R1356" i="1" s="1"/>
  <c r="Q1407" i="1"/>
  <c r="R1407" i="1" s="1"/>
  <c r="Q1386" i="1"/>
  <c r="R1386" i="1" s="1"/>
  <c r="Q1413" i="1"/>
  <c r="R1413" i="1" s="1"/>
  <c r="Q1507" i="1"/>
  <c r="R1507" i="1" s="1"/>
  <c r="Q199" i="1"/>
  <c r="R199" i="1" s="1"/>
  <c r="S199" i="1" s="1"/>
  <c r="R612" i="1"/>
  <c r="Q2434" i="1"/>
  <c r="R2434" i="1" s="1"/>
  <c r="Q2452" i="1"/>
  <c r="R2452" i="1" s="1"/>
  <c r="Q2441" i="1"/>
  <c r="R2441" i="1" s="1"/>
  <c r="Q1009" i="1"/>
  <c r="R1009" i="1" s="1"/>
  <c r="R2278" i="1"/>
  <c r="R2056" i="1"/>
  <c r="Q2302" i="1"/>
  <c r="Q1983" i="1"/>
  <c r="Q1660" i="1"/>
  <c r="R2832" i="1"/>
  <c r="S2832" i="1" s="1"/>
  <c r="Q2566" i="1"/>
  <c r="R2566" i="1" s="1"/>
  <c r="Q2654" i="1"/>
  <c r="R2654" i="1" s="1"/>
  <c r="S2654" i="1" s="1"/>
  <c r="Q2410" i="1"/>
  <c r="R2410" i="1" s="1"/>
  <c r="Q2386" i="1"/>
  <c r="R2386" i="1" s="1"/>
  <c r="Q2252" i="1"/>
  <c r="R2252" i="1" s="1"/>
  <c r="Q2198" i="1"/>
  <c r="R2198" i="1" s="1"/>
  <c r="Q1385" i="1"/>
  <c r="R1385" i="1" s="1"/>
  <c r="Q1472" i="1"/>
  <c r="R1472" i="1" s="1"/>
  <c r="Q1503" i="1"/>
  <c r="R1503" i="1" s="1"/>
  <c r="Q1424" i="1"/>
  <c r="R1424" i="1" s="1"/>
  <c r="Q1410" i="1"/>
  <c r="R1410" i="1" s="1"/>
  <c r="Q1394" i="1"/>
  <c r="R1394" i="1" s="1"/>
  <c r="Q1357" i="1"/>
  <c r="R1357" i="1" s="1"/>
  <c r="Q1459" i="1"/>
  <c r="R1459" i="1" s="1"/>
  <c r="Q1420" i="1"/>
  <c r="R1420" i="1" s="1"/>
  <c r="Q1408" i="1"/>
  <c r="R1408" i="1" s="1"/>
  <c r="Q1360" i="1"/>
  <c r="R1360" i="1" s="1"/>
  <c r="R1246" i="1"/>
  <c r="Q1139" i="1"/>
  <c r="R1139" i="1" s="1"/>
  <c r="Q852" i="1"/>
  <c r="R852" i="1" s="1"/>
  <c r="R1031" i="1"/>
  <c r="R911" i="1"/>
  <c r="R1048" i="1"/>
  <c r="Q283" i="1"/>
  <c r="R283" i="1" s="1"/>
  <c r="S283" i="1" s="1"/>
  <c r="R459" i="1"/>
  <c r="S459" i="1" s="1"/>
  <c r="Q1033" i="1"/>
  <c r="R1033" i="1" s="1"/>
  <c r="Q2572" i="1"/>
  <c r="R2572" i="1" s="1"/>
  <c r="R1642" i="1"/>
  <c r="Q2695" i="1"/>
  <c r="Q2586" i="1"/>
  <c r="R2586" i="1" s="1"/>
  <c r="Q2083" i="1"/>
  <c r="R2083" i="1" s="1"/>
  <c r="Q2719" i="1"/>
  <c r="Q2426" i="1"/>
  <c r="R2426" i="1" s="1"/>
  <c r="Q2400" i="1"/>
  <c r="R2400" i="1" s="1"/>
  <c r="R2316" i="1"/>
  <c r="R2123" i="1"/>
  <c r="R1772" i="1"/>
  <c r="Q1456" i="1"/>
  <c r="R1456" i="1" s="1"/>
  <c r="Q1419" i="1"/>
  <c r="R1419" i="1" s="1"/>
  <c r="Q1396" i="1"/>
  <c r="R1396" i="1" s="1"/>
  <c r="Q1340" i="1"/>
  <c r="R1340" i="1" s="1"/>
  <c r="R856" i="1"/>
  <c r="Q863" i="1"/>
  <c r="Q736" i="1"/>
  <c r="R736" i="1" s="1"/>
  <c r="Q221" i="1"/>
  <c r="R221" i="1" s="1"/>
  <c r="S221" i="1" s="1"/>
  <c r="R534" i="1"/>
  <c r="S534" i="1" s="1"/>
  <c r="R509" i="1"/>
  <c r="S509" i="1" s="1"/>
  <c r="R546" i="1"/>
  <c r="S546" i="1" s="1"/>
  <c r="Q253" i="1"/>
  <c r="R253" i="1" s="1"/>
  <c r="R1717" i="1"/>
  <c r="R2514" i="1"/>
  <c r="R1661" i="1"/>
  <c r="R1594" i="1"/>
  <c r="R1578" i="1"/>
  <c r="R373" i="1"/>
  <c r="Q2672" i="1"/>
  <c r="R813" i="1"/>
  <c r="R1064" i="1"/>
  <c r="R1000" i="1"/>
  <c r="R1007" i="1"/>
  <c r="R477" i="1"/>
  <c r="R601" i="1"/>
  <c r="R90" i="1"/>
  <c r="R964" i="1"/>
  <c r="R538" i="1"/>
  <c r="S538" i="1" s="1"/>
  <c r="R971" i="1"/>
  <c r="R123" i="1"/>
  <c r="R82" i="1"/>
  <c r="R774" i="1"/>
  <c r="R2891" i="1"/>
  <c r="S2891" i="1" s="1"/>
  <c r="R2305" i="1"/>
  <c r="R2679" i="1"/>
  <c r="S2679" i="1" s="1"/>
  <c r="R2595" i="1"/>
  <c r="R2571" i="1"/>
  <c r="R1630" i="1"/>
  <c r="R1617" i="1"/>
  <c r="R1601" i="1"/>
  <c r="R1585" i="1"/>
  <c r="R1327" i="1"/>
  <c r="R2879" i="1"/>
  <c r="S2879" i="1" s="1"/>
  <c r="R2674" i="1"/>
  <c r="S2674" i="1" s="1"/>
  <c r="R2494" i="1"/>
  <c r="R2468" i="1"/>
  <c r="R2281" i="1"/>
  <c r="R2228" i="1"/>
  <c r="R2753" i="1"/>
  <c r="S2753" i="1" s="1"/>
  <c r="R2563" i="1"/>
  <c r="R2055" i="1"/>
  <c r="R1859" i="1"/>
  <c r="R1656" i="1"/>
  <c r="R1323" i="1"/>
  <c r="R1576" i="1"/>
  <c r="R1696" i="1"/>
  <c r="R2382" i="1"/>
  <c r="R1628" i="1"/>
  <c r="R1574" i="1"/>
  <c r="R1741" i="1"/>
  <c r="R611" i="1"/>
  <c r="R2412" i="1"/>
  <c r="R2512" i="1"/>
  <c r="R1720" i="1"/>
  <c r="R1616" i="1"/>
  <c r="R1708" i="1"/>
  <c r="R2843" i="1"/>
  <c r="S2843" i="1" s="1"/>
  <c r="R2838" i="1"/>
  <c r="S2838" i="1" s="1"/>
  <c r="R2970" i="1"/>
  <c r="S2970" i="1" s="1"/>
  <c r="R2788" i="1"/>
  <c r="S2788" i="1" s="1"/>
  <c r="R2666" i="1"/>
  <c r="S2666" i="1" s="1"/>
  <c r="R2686" i="1"/>
  <c r="S2686" i="1" s="1"/>
  <c r="R2319" i="1"/>
  <c r="R2425" i="1"/>
  <c r="R2157" i="1"/>
  <c r="R2007" i="1"/>
  <c r="R2040" i="1"/>
  <c r="R1857" i="1"/>
  <c r="R1825" i="1"/>
  <c r="R1691" i="1"/>
  <c r="R1575" i="1"/>
  <c r="R1224" i="1"/>
  <c r="R329" i="1"/>
  <c r="S329" i="1" s="1"/>
  <c r="R1188" i="1"/>
  <c r="R99" i="1"/>
  <c r="R1697" i="1"/>
  <c r="R111" i="1"/>
  <c r="R1666" i="1"/>
  <c r="R1614" i="1"/>
  <c r="R1705" i="1"/>
  <c r="R1604" i="1"/>
  <c r="R2326" i="1"/>
  <c r="R1742" i="1"/>
  <c r="R1155" i="1"/>
  <c r="R3007" i="1"/>
  <c r="S3007" i="1" s="1"/>
  <c r="R2979" i="1"/>
  <c r="S2979" i="1" s="1"/>
  <c r="R3118" i="1"/>
  <c r="S3118" i="1" s="1"/>
  <c r="R2910" i="1"/>
  <c r="S2910" i="1" s="1"/>
  <c r="R2890" i="1"/>
  <c r="S2890" i="1" s="1"/>
  <c r="R2800" i="1"/>
  <c r="S2800" i="1" s="1"/>
  <c r="R2768" i="1"/>
  <c r="S2768" i="1" s="1"/>
  <c r="R2743" i="1"/>
  <c r="S2743" i="1" s="1"/>
  <c r="R2518" i="1"/>
  <c r="R2348" i="1"/>
  <c r="R2088" i="1"/>
  <c r="R1799" i="1"/>
  <c r="R1837" i="1"/>
  <c r="R1846" i="1"/>
  <c r="R1814" i="1"/>
  <c r="R1768" i="1"/>
  <c r="R1671" i="1"/>
  <c r="R1635" i="1"/>
  <c r="R915" i="1"/>
  <c r="R988" i="1"/>
  <c r="R510" i="1"/>
  <c r="S510" i="1" s="1"/>
  <c r="R385" i="1"/>
  <c r="R1649" i="1"/>
  <c r="R91" i="1"/>
  <c r="R2967" i="1"/>
  <c r="S2967" i="1" s="1"/>
  <c r="R1733" i="1"/>
  <c r="R1636" i="1"/>
  <c r="R2848" i="1"/>
  <c r="S2848" i="1" s="1"/>
  <c r="R2829" i="1"/>
  <c r="S2829" i="1" s="1"/>
  <c r="R2616" i="1"/>
  <c r="R2327" i="1"/>
  <c r="R2275" i="1"/>
  <c r="R2149" i="1"/>
  <c r="R1715" i="1"/>
  <c r="R1834" i="1"/>
  <c r="R1309" i="1"/>
  <c r="R1292" i="1"/>
  <c r="R1257" i="1"/>
  <c r="R1252" i="1"/>
  <c r="R1196" i="1"/>
  <c r="R70" i="1"/>
  <c r="R503" i="1"/>
  <c r="S503" i="1" s="1"/>
  <c r="R2687" i="1"/>
  <c r="S2687" i="1" s="1"/>
  <c r="R3213" i="1"/>
  <c r="S3213" i="1" s="1"/>
  <c r="R1765" i="1"/>
  <c r="R1311" i="1"/>
  <c r="R2903" i="1"/>
  <c r="S2903" i="1" s="1"/>
  <c r="R2823" i="1"/>
  <c r="S2823" i="1" s="1"/>
  <c r="R2815" i="1"/>
  <c r="S2815" i="1" s="1"/>
  <c r="R2721" i="1"/>
  <c r="S2721" i="1" s="1"/>
  <c r="R2431" i="1"/>
  <c r="R2191" i="1"/>
  <c r="R2355" i="1"/>
  <c r="R2339" i="1"/>
  <c r="R1806" i="1"/>
  <c r="R943" i="1"/>
  <c r="R1020" i="1"/>
  <c r="R956" i="1"/>
  <c r="R1021" i="1"/>
  <c r="R1294" i="1"/>
  <c r="R3019" i="1"/>
  <c r="S3019" i="1" s="1"/>
  <c r="R3035" i="1"/>
  <c r="S3035" i="1" s="1"/>
  <c r="R2805" i="1"/>
  <c r="S2805" i="1" s="1"/>
  <c r="R2789" i="1"/>
  <c r="S2789" i="1" s="1"/>
  <c r="R2757" i="1"/>
  <c r="S2757" i="1" s="1"/>
  <c r="R2802" i="1"/>
  <c r="S2802" i="1" s="1"/>
  <c r="R489" i="1"/>
  <c r="S489" i="1" s="1"/>
  <c r="R473" i="1"/>
  <c r="S473" i="1" s="1"/>
  <c r="R2569" i="1"/>
  <c r="R2519" i="1"/>
  <c r="R2504" i="1"/>
  <c r="R2005" i="1"/>
  <c r="R1836" i="1"/>
  <c r="R2747" i="1"/>
  <c r="S2747" i="1" s="1"/>
  <c r="R2727" i="1"/>
  <c r="S2727" i="1" s="1"/>
  <c r="R2767" i="1"/>
  <c r="S2767" i="1" s="1"/>
  <c r="R2565" i="1"/>
  <c r="R2567" i="1"/>
  <c r="R2562" i="1"/>
  <c r="R2259" i="1"/>
  <c r="R2175" i="1"/>
  <c r="R2293" i="1"/>
  <c r="R2371" i="1"/>
  <c r="R1912" i="1"/>
  <c r="R1848" i="1"/>
  <c r="R1792" i="1"/>
  <c r="R1807" i="1"/>
  <c r="R1607" i="1"/>
  <c r="R1558" i="1"/>
  <c r="R1129" i="1"/>
  <c r="R1208" i="1"/>
  <c r="R936" i="1"/>
  <c r="R1035" i="1"/>
  <c r="R888" i="1"/>
  <c r="R959" i="1"/>
  <c r="R422" i="1"/>
  <c r="S422" i="1" s="1"/>
  <c r="R390" i="1"/>
  <c r="R366" i="1"/>
  <c r="S366" i="1" s="1"/>
  <c r="R326" i="1"/>
  <c r="S326" i="1" s="1"/>
  <c r="R178" i="1"/>
  <c r="R106" i="1"/>
  <c r="R2694" i="1"/>
  <c r="S2694" i="1" s="1"/>
  <c r="R2877" i="1"/>
  <c r="S2877" i="1" s="1"/>
  <c r="R1681" i="1"/>
  <c r="R1606" i="1"/>
  <c r="R2895" i="1"/>
  <c r="S2895" i="1" s="1"/>
  <c r="R1676" i="1"/>
  <c r="R2876" i="1"/>
  <c r="S2876" i="1" s="1"/>
  <c r="R2852" i="1"/>
  <c r="S2852" i="1" s="1"/>
  <c r="R2863" i="1"/>
  <c r="S2863" i="1" s="1"/>
  <c r="R2794" i="1"/>
  <c r="S2794" i="1" s="1"/>
  <c r="R2609" i="1"/>
  <c r="R2331" i="1"/>
  <c r="R2345" i="1"/>
  <c r="R2194" i="1"/>
  <c r="R2380" i="1"/>
  <c r="R2364" i="1"/>
  <c r="R2343" i="1"/>
  <c r="R2202" i="1"/>
  <c r="R2254" i="1"/>
  <c r="R1816" i="1"/>
  <c r="R482" i="1"/>
  <c r="R521" i="1"/>
  <c r="S521" i="1" s="1"/>
  <c r="R2406" i="1"/>
  <c r="R2164" i="1"/>
  <c r="R2923" i="1"/>
  <c r="S2923" i="1" s="1"/>
  <c r="R2911" i="1"/>
  <c r="S2911" i="1" s="1"/>
  <c r="R2897" i="1"/>
  <c r="S2897" i="1" s="1"/>
  <c r="R2864" i="1"/>
  <c r="S2864" i="1" s="1"/>
  <c r="R2869" i="1"/>
  <c r="S2869" i="1" s="1"/>
  <c r="R2858" i="1"/>
  <c r="S2858" i="1" s="1"/>
  <c r="R2797" i="1"/>
  <c r="S2797" i="1" s="1"/>
  <c r="R2773" i="1"/>
  <c r="S2773" i="1" s="1"/>
  <c r="R2783" i="1"/>
  <c r="S2783" i="1" s="1"/>
  <c r="R2628" i="1"/>
  <c r="R2605" i="1"/>
  <c r="R2427" i="1"/>
  <c r="R2279" i="1"/>
  <c r="R2251" i="1"/>
  <c r="R2217" i="1"/>
  <c r="R2113" i="1"/>
  <c r="R1753" i="1"/>
  <c r="R1755" i="1"/>
  <c r="R1687" i="1"/>
  <c r="R1763" i="1"/>
  <c r="R1569" i="1"/>
  <c r="R900" i="1"/>
  <c r="R1016" i="1"/>
  <c r="R433" i="1"/>
  <c r="S433" i="1" s="1"/>
  <c r="R369" i="1"/>
  <c r="S369" i="1" s="1"/>
  <c r="R541" i="1"/>
  <c r="S541" i="1" s="1"/>
  <c r="R1028" i="1"/>
  <c r="R545" i="1"/>
  <c r="S545" i="1" s="1"/>
  <c r="R2522" i="1"/>
  <c r="R557" i="1"/>
  <c r="R621" i="1"/>
  <c r="R609" i="1"/>
  <c r="R494" i="1"/>
  <c r="S494" i="1" s="1"/>
  <c r="R1219" i="1"/>
  <c r="R1187" i="1"/>
  <c r="R1040" i="1"/>
  <c r="R600" i="1"/>
  <c r="R79" i="1"/>
  <c r="R3189" i="1"/>
  <c r="S3189" i="1" s="1"/>
  <c r="R2547" i="1"/>
  <c r="R2321" i="1"/>
  <c r="R1637" i="1"/>
  <c r="R1714" i="1"/>
  <c r="R1613" i="1"/>
  <c r="R1605" i="1"/>
  <c r="R2377" i="1"/>
  <c r="R1592" i="1"/>
  <c r="R1624" i="1"/>
  <c r="R1171" i="1"/>
  <c r="R1223" i="1"/>
  <c r="R1163" i="1"/>
  <c r="R1159" i="1"/>
  <c r="R1083" i="1"/>
  <c r="R999" i="1"/>
  <c r="R967" i="1"/>
  <c r="R1112" i="1"/>
  <c r="R903" i="1"/>
  <c r="R1055" i="1"/>
  <c r="R493" i="1"/>
  <c r="S493" i="1" s="1"/>
  <c r="R426" i="1"/>
  <c r="S426" i="1" s="1"/>
  <c r="R394" i="1"/>
  <c r="S394" i="1" s="1"/>
  <c r="R314" i="1"/>
  <c r="S314" i="1" s="1"/>
  <c r="R306" i="1"/>
  <c r="R578" i="1"/>
  <c r="R514" i="1"/>
  <c r="R461" i="1"/>
  <c r="R553" i="1"/>
  <c r="R478" i="1"/>
  <c r="S478" i="1" s="1"/>
  <c r="R1243" i="1"/>
  <c r="R1184" i="1"/>
  <c r="R437" i="1"/>
  <c r="S437" i="1" s="1"/>
  <c r="R738" i="1"/>
  <c r="R583" i="1"/>
  <c r="R561" i="1"/>
  <c r="R349" i="1"/>
  <c r="R107" i="1"/>
  <c r="R3078" i="1"/>
  <c r="S3078" i="1" s="1"/>
  <c r="R1618" i="1"/>
  <c r="R1602" i="1"/>
  <c r="R1586" i="1"/>
  <c r="R2881" i="1"/>
  <c r="S2881" i="1" s="1"/>
  <c r="R2071" i="1"/>
  <c r="R1688" i="1"/>
  <c r="R1659" i="1"/>
  <c r="R2337" i="1"/>
  <c r="R1648" i="1"/>
  <c r="R2196" i="1"/>
  <c r="R1608" i="1"/>
  <c r="R1644" i="1"/>
  <c r="R1621" i="1"/>
  <c r="R2856" i="1"/>
  <c r="S2856" i="1" s="1"/>
  <c r="Q2739" i="1"/>
  <c r="R2739" i="1" s="1"/>
  <c r="S2739" i="1" s="1"/>
  <c r="R2708" i="1"/>
  <c r="S2708" i="1" s="1"/>
  <c r="R2862" i="1"/>
  <c r="S2862" i="1" s="1"/>
  <c r="R2659" i="1"/>
  <c r="S2659" i="1" s="1"/>
  <c r="Q2689" i="1"/>
  <c r="R2689" i="1" s="1"/>
  <c r="S2689" i="1" s="1"/>
  <c r="Q2438" i="1"/>
  <c r="R2438" i="1" s="1"/>
  <c r="Q2214" i="1"/>
  <c r="R2214" i="1" s="1"/>
  <c r="Q2182" i="1"/>
  <c r="R2182" i="1" s="1"/>
  <c r="Q2437" i="1"/>
  <c r="R2437" i="1" s="1"/>
  <c r="R2414" i="1"/>
  <c r="R2394" i="1"/>
  <c r="R2258" i="1"/>
  <c r="R2290" i="1"/>
  <c r="Q2021" i="1"/>
  <c r="R2021" i="1" s="1"/>
  <c r="Q2074" i="1"/>
  <c r="R2074" i="1" s="1"/>
  <c r="R2004" i="1"/>
  <c r="R1793" i="1"/>
  <c r="Q1353" i="1"/>
  <c r="R1353" i="1" s="1"/>
  <c r="Q1404" i="1"/>
  <c r="R1404" i="1" s="1"/>
  <c r="Q1380" i="1"/>
  <c r="R1380" i="1" s="1"/>
  <c r="Q1351" i="1"/>
  <c r="Q1455" i="1"/>
  <c r="R1455" i="1" s="1"/>
  <c r="R812" i="1"/>
  <c r="Q1085" i="1"/>
  <c r="R722" i="1"/>
  <c r="Q828" i="1"/>
  <c r="R828" i="1" s="1"/>
  <c r="Q2636" i="1"/>
  <c r="Q2602" i="1"/>
  <c r="Q2289" i="1"/>
  <c r="Q2265" i="1"/>
  <c r="R2265" i="1" s="1"/>
  <c r="Q1326" i="1"/>
  <c r="Q1496" i="1"/>
  <c r="R1496" i="1" s="1"/>
  <c r="Q1387" i="1"/>
  <c r="Q1029" i="1"/>
  <c r="Q2680" i="1"/>
  <c r="Q1632" i="1"/>
  <c r="Q1700" i="1"/>
  <c r="R2900" i="1"/>
  <c r="S2900" i="1" s="1"/>
  <c r="R2816" i="1"/>
  <c r="S2816" i="1" s="1"/>
  <c r="Q2703" i="1"/>
  <c r="R2703" i="1" s="1"/>
  <c r="S2703" i="1" s="1"/>
  <c r="R2894" i="1"/>
  <c r="S2894" i="1" s="1"/>
  <c r="R2798" i="1"/>
  <c r="S2798" i="1" s="1"/>
  <c r="Q2454" i="1"/>
  <c r="R2454" i="1" s="1"/>
  <c r="Q2392" i="1"/>
  <c r="R2392" i="1" s="1"/>
  <c r="Q2461" i="1"/>
  <c r="R2461" i="1" s="1"/>
  <c r="Q2237" i="1"/>
  <c r="R2237" i="1" s="1"/>
  <c r="R2143" i="1"/>
  <c r="R2012" i="1"/>
  <c r="Q1440" i="1"/>
  <c r="R1440" i="1" s="1"/>
  <c r="Q1399" i="1"/>
  <c r="R1399" i="1" s="1"/>
  <c r="Q1348" i="1"/>
  <c r="R1348" i="1" s="1"/>
  <c r="Q1441" i="1"/>
  <c r="R1441" i="1" s="1"/>
  <c r="Q1389" i="1"/>
  <c r="R1389" i="1" s="1"/>
  <c r="Q1335" i="1"/>
  <c r="R1335" i="1" s="1"/>
  <c r="Q1349" i="1"/>
  <c r="R1349" i="1" s="1"/>
  <c r="Q1392" i="1"/>
  <c r="R1392" i="1" s="1"/>
  <c r="Q1143" i="1"/>
  <c r="R1143" i="1" s="1"/>
  <c r="Q1352" i="1"/>
  <c r="R1352" i="1" s="1"/>
  <c r="R209" i="1"/>
  <c r="S209" i="1" s="1"/>
  <c r="R570" i="1"/>
  <c r="R507" i="1"/>
  <c r="Q2588" i="1"/>
  <c r="R2588" i="1" s="1"/>
  <c r="Q2470" i="1"/>
  <c r="R2470" i="1" s="1"/>
  <c r="Q2627" i="1"/>
  <c r="R2627" i="1" s="1"/>
  <c r="Q2151" i="1"/>
  <c r="R2151" i="1" s="1"/>
  <c r="Q1750" i="1"/>
  <c r="R1750" i="1" s="1"/>
  <c r="Q1559" i="1"/>
  <c r="R1559" i="1" s="1"/>
  <c r="Q1550" i="1"/>
  <c r="R1550" i="1" s="1"/>
  <c r="Q1480" i="1"/>
  <c r="R1480" i="1" s="1"/>
  <c r="Q1432" i="1"/>
  <c r="R1432" i="1" s="1"/>
  <c r="Q1431" i="1"/>
  <c r="R1431" i="1" s="1"/>
  <c r="Q1415" i="1"/>
  <c r="R1415" i="1" s="1"/>
  <c r="Q1338" i="1"/>
  <c r="Q1447" i="1"/>
  <c r="R1447" i="1" s="1"/>
  <c r="Q1463" i="1"/>
  <c r="Q413" i="1"/>
  <c r="Q2691" i="1"/>
  <c r="Q2508" i="1"/>
  <c r="Q1815" i="1"/>
  <c r="R1313" i="1"/>
  <c r="R1296" i="1"/>
  <c r="R1280" i="1"/>
  <c r="R1261" i="1"/>
  <c r="R1167" i="1"/>
  <c r="R1212" i="1"/>
  <c r="R932" i="1"/>
  <c r="R908" i="1"/>
  <c r="R1051" i="1"/>
  <c r="R1063" i="1"/>
  <c r="R1036" i="1"/>
  <c r="R845" i="1"/>
  <c r="R1080" i="1"/>
  <c r="R891" i="1"/>
  <c r="R739" i="1"/>
  <c r="R844" i="1"/>
  <c r="R780" i="1"/>
  <c r="R497" i="1"/>
  <c r="S497" i="1" s="1"/>
  <c r="R481" i="1"/>
  <c r="R613" i="1"/>
  <c r="R582" i="1"/>
  <c r="R518" i="1"/>
  <c r="R465" i="1"/>
  <c r="S465" i="1" s="1"/>
  <c r="R337" i="1"/>
  <c r="R589" i="1"/>
  <c r="R453" i="1"/>
  <c r="S453" i="1" s="1"/>
  <c r="R325" i="1"/>
  <c r="S325" i="1" s="1"/>
  <c r="R597" i="1"/>
  <c r="R55" i="1"/>
  <c r="R78" i="1"/>
  <c r="R1060" i="1"/>
  <c r="Q587" i="1"/>
  <c r="R587" i="1" s="1"/>
  <c r="R506" i="1"/>
  <c r="R770" i="1"/>
  <c r="R491" i="1"/>
  <c r="R519" i="1"/>
  <c r="S519" i="1" s="1"/>
  <c r="R487" i="1"/>
  <c r="S487" i="1" s="1"/>
  <c r="R341" i="1"/>
  <c r="S341" i="1" s="1"/>
  <c r="R1992" i="1"/>
  <c r="Q2604" i="1"/>
  <c r="R2604" i="1" s="1"/>
  <c r="R2587" i="1"/>
  <c r="R2212" i="1"/>
  <c r="R1724" i="1"/>
  <c r="R2160" i="1"/>
  <c r="R1709" i="1"/>
  <c r="R1677" i="1"/>
  <c r="R1823" i="1"/>
  <c r="R1658" i="1"/>
  <c r="R1682" i="1"/>
  <c r="R1582" i="1"/>
  <c r="Q2486" i="1"/>
  <c r="R2486" i="1" s="1"/>
  <c r="R1718" i="1"/>
  <c r="R1654" i="1"/>
  <c r="R2652" i="1"/>
  <c r="S2652" i="1" s="1"/>
  <c r="R1710" i="1"/>
  <c r="Q1725" i="1"/>
  <c r="R1725" i="1" s="1"/>
  <c r="R126" i="1"/>
  <c r="R1179" i="1"/>
  <c r="R1232" i="1"/>
  <c r="R976" i="1"/>
  <c r="R694" i="1"/>
  <c r="R980" i="1"/>
  <c r="R746" i="1"/>
  <c r="R551" i="1"/>
  <c r="R513" i="1"/>
  <c r="S513" i="1" s="1"/>
  <c r="R535" i="1"/>
  <c r="S535" i="1" s="1"/>
  <c r="R63" i="1"/>
  <c r="R2851" i="1"/>
  <c r="S2851" i="1" s="1"/>
  <c r="R2621" i="1"/>
  <c r="R2447" i="1"/>
  <c r="R2603" i="1"/>
  <c r="Q2556" i="1"/>
  <c r="R2556" i="1" s="1"/>
  <c r="R1689" i="1"/>
  <c r="R1673" i="1"/>
  <c r="R1997" i="1"/>
  <c r="S1997" i="1" s="1"/>
  <c r="R1669" i="1"/>
  <c r="R1641" i="1"/>
  <c r="R1706" i="1"/>
  <c r="R1674" i="1"/>
  <c r="R1622" i="1"/>
  <c r="R1589" i="1"/>
  <c r="Q2570" i="1"/>
  <c r="R2570" i="1" s="1"/>
  <c r="R2124" i="1"/>
  <c r="R2087" i="1"/>
  <c r="R1678" i="1"/>
  <c r="R103" i="1"/>
  <c r="R130" i="1"/>
  <c r="R1740" i="1"/>
  <c r="R1839" i="1"/>
  <c r="R1726" i="1"/>
  <c r="Q259" i="1"/>
  <c r="R259" i="1" s="1"/>
  <c r="S259" i="1" s="1"/>
  <c r="R734" i="1"/>
  <c r="Q345" i="1"/>
  <c r="R345" i="1" s="1"/>
  <c r="S345" i="1" s="1"/>
  <c r="Q2350" i="1"/>
  <c r="R2750" i="1"/>
  <c r="S2750" i="1" s="1"/>
  <c r="Q2738" i="1"/>
  <c r="R2738" i="1" s="1"/>
  <c r="S2738" i="1" s="1"/>
  <c r="Q2574" i="1"/>
  <c r="R2574" i="1" s="1"/>
  <c r="Q2697" i="1"/>
  <c r="R2697" i="1" s="1"/>
  <c r="S2697" i="1" s="1"/>
  <c r="Q2462" i="1"/>
  <c r="R2462" i="1" s="1"/>
  <c r="R2513" i="1"/>
  <c r="R2499" i="1"/>
  <c r="R2475" i="1"/>
  <c r="Q2016" i="1"/>
  <c r="R2016" i="1" s="1"/>
  <c r="R2139" i="1"/>
  <c r="R2008" i="1"/>
  <c r="Q2006" i="1"/>
  <c r="R2006" i="1" s="1"/>
  <c r="R1777" i="1"/>
  <c r="R1546" i="1"/>
  <c r="Q1364" i="1"/>
  <c r="R1364" i="1" s="1"/>
  <c r="Q1487" i="1"/>
  <c r="R1487" i="1" s="1"/>
  <c r="Q1405" i="1"/>
  <c r="R1405" i="1" s="1"/>
  <c r="Q1435" i="1"/>
  <c r="R1435" i="1" s="1"/>
  <c r="Q1403" i="1"/>
  <c r="R1403" i="1" s="1"/>
  <c r="Q1339" i="1"/>
  <c r="R1339" i="1" s="1"/>
  <c r="R1291" i="1"/>
  <c r="Q1116" i="1"/>
  <c r="R1116" i="1" s="1"/>
  <c r="R170" i="1"/>
  <c r="Q1251" i="1"/>
  <c r="R1251" i="1" s="1"/>
  <c r="Q989" i="1"/>
  <c r="Q136" i="1"/>
  <c r="R136" i="1" s="1"/>
  <c r="R2833" i="1"/>
  <c r="S2833" i="1" s="1"/>
  <c r="Q2723" i="1"/>
  <c r="R2723" i="1" s="1"/>
  <c r="S2723" i="1" s="1"/>
  <c r="Q2558" i="1"/>
  <c r="R2558" i="1" s="1"/>
  <c r="R2854" i="1"/>
  <c r="S2854" i="1" s="1"/>
  <c r="Q2598" i="1"/>
  <c r="R2598" i="1" s="1"/>
  <c r="R2592" i="1"/>
  <c r="R2451" i="1"/>
  <c r="R2511" i="1"/>
  <c r="Q2422" i="1"/>
  <c r="R2422" i="1" s="1"/>
  <c r="R2483" i="1"/>
  <c r="Q2408" i="1"/>
  <c r="R2408" i="1" s="1"/>
  <c r="R2332" i="1"/>
  <c r="R2354" i="1"/>
  <c r="Q2306" i="1"/>
  <c r="R2306" i="1" s="1"/>
  <c r="Q2216" i="1"/>
  <c r="R2205" i="1"/>
  <c r="Q2174" i="1"/>
  <c r="R2174" i="1" s="1"/>
  <c r="Q2025" i="1"/>
  <c r="R2025" i="1" s="1"/>
  <c r="R1785" i="1"/>
  <c r="R1788" i="1"/>
  <c r="R1743" i="1"/>
  <c r="Q1343" i="1"/>
  <c r="R1343" i="1" s="1"/>
  <c r="Q1528" i="1"/>
  <c r="R1528" i="1" s="1"/>
  <c r="Q1362" i="1"/>
  <c r="R1362" i="1" s="1"/>
  <c r="Q1381" i="1"/>
  <c r="R1381" i="1" s="1"/>
  <c r="Q1365" i="1"/>
  <c r="R1365" i="1" s="1"/>
  <c r="Q1532" i="1"/>
  <c r="R1532" i="1" s="1"/>
  <c r="Q1516" i="1"/>
  <c r="R1516" i="1" s="1"/>
  <c r="Q1500" i="1"/>
  <c r="R1500" i="1" s="1"/>
  <c r="Q1484" i="1"/>
  <c r="R1484" i="1" s="1"/>
  <c r="Q1368" i="1"/>
  <c r="R1368" i="1" s="1"/>
  <c r="Q1355" i="1"/>
  <c r="R1355" i="1" s="1"/>
  <c r="Q1121" i="1"/>
  <c r="R1121" i="1" s="1"/>
  <c r="Q633" i="1"/>
  <c r="R633" i="1" s="1"/>
  <c r="R677" i="1"/>
  <c r="Q271" i="1"/>
  <c r="R271" i="1" s="1"/>
  <c r="S271" i="1" s="1"/>
  <c r="Q191" i="1"/>
  <c r="R191" i="1" s="1"/>
  <c r="S191" i="1" s="1"/>
  <c r="R162" i="1"/>
  <c r="Q2530" i="1"/>
  <c r="R2530" i="1" s="1"/>
  <c r="Q2294" i="1"/>
  <c r="Q2646" i="1"/>
  <c r="Q2478" i="1"/>
  <c r="R2861" i="1"/>
  <c r="S2861" i="1" s="1"/>
  <c r="R2812" i="1"/>
  <c r="S2812" i="1" s="1"/>
  <c r="Q2673" i="1"/>
  <c r="R2673" i="1" s="1"/>
  <c r="S2673" i="1" s="1"/>
  <c r="Q2532" i="1"/>
  <c r="R2532" i="1" s="1"/>
  <c r="R2600" i="1"/>
  <c r="R2523" i="1"/>
  <c r="Q2418" i="1"/>
  <c r="R2418" i="1" s="1"/>
  <c r="R2401" i="1"/>
  <c r="R2509" i="1"/>
  <c r="R2338" i="1"/>
  <c r="Q2232" i="1"/>
  <c r="R2232" i="1" s="1"/>
  <c r="R2407" i="1"/>
  <c r="R2260" i="1"/>
  <c r="R2181" i="1"/>
  <c r="Q2206" i="1"/>
  <c r="R2206" i="1" s="1"/>
  <c r="Q2082" i="1"/>
  <c r="R2082" i="1" s="1"/>
  <c r="Q2066" i="1"/>
  <c r="R2066" i="1" s="1"/>
  <c r="R2017" i="1"/>
  <c r="R1767" i="1"/>
  <c r="Q1512" i="1"/>
  <c r="R1512" i="1" s="1"/>
  <c r="Q1473" i="1"/>
  <c r="R1473" i="1" s="1"/>
  <c r="Q1131" i="1"/>
  <c r="R1131" i="1" s="1"/>
  <c r="R1324" i="1"/>
  <c r="R800" i="1"/>
  <c r="Q661" i="1"/>
  <c r="R661" i="1" s="1"/>
  <c r="Q255" i="1"/>
  <c r="R255" i="1" s="1"/>
  <c r="S255" i="1" s="1"/>
  <c r="Q555" i="1"/>
  <c r="R555" i="1" s="1"/>
  <c r="R498" i="1"/>
  <c r="R569" i="1"/>
  <c r="R1176" i="1"/>
  <c r="Q377" i="1"/>
  <c r="R377" i="1" s="1"/>
  <c r="S377" i="1" s="1"/>
  <c r="R87" i="1"/>
  <c r="R131" i="1"/>
  <c r="R2313" i="1"/>
  <c r="R2257" i="1"/>
  <c r="R2648" i="1"/>
  <c r="Q2699" i="1"/>
  <c r="R2699" i="1" s="1"/>
  <c r="S2699" i="1" s="1"/>
  <c r="R2241" i="1"/>
  <c r="R2059" i="1"/>
  <c r="Q1943" i="1"/>
  <c r="Q2136" i="1"/>
  <c r="R2136" i="1" s="1"/>
  <c r="R449" i="1"/>
  <c r="S449" i="1" s="1"/>
  <c r="R2611" i="1"/>
  <c r="R2484" i="1"/>
  <c r="R1693" i="1"/>
  <c r="R2273" i="1"/>
  <c r="Q1694" i="1"/>
  <c r="R1694" i="1" s="1"/>
  <c r="R397" i="1"/>
  <c r="S397" i="1" s="1"/>
  <c r="R333" i="1"/>
  <c r="S333" i="1" s="1"/>
  <c r="R530" i="1"/>
  <c r="S530" i="1" s="1"/>
  <c r="R425" i="1"/>
  <c r="S425" i="1" s="1"/>
  <c r="R74" i="1"/>
  <c r="R1204" i="1"/>
  <c r="Q977" i="1"/>
  <c r="R977" i="1" s="1"/>
  <c r="R628" i="1"/>
  <c r="Q523" i="1"/>
  <c r="R523" i="1" s="1"/>
  <c r="S523" i="1" s="1"/>
  <c r="R515" i="1"/>
  <c r="S515" i="1" s="1"/>
  <c r="R758" i="1"/>
  <c r="R75" i="1"/>
  <c r="R119" i="1"/>
  <c r="R960" i="1"/>
  <c r="R952" i="1"/>
  <c r="R2618" i="1"/>
  <c r="R2140" i="1"/>
  <c r="Q2067" i="1"/>
  <c r="R2067" i="1" s="1"/>
  <c r="R2128" i="1"/>
  <c r="Q1672" i="1"/>
  <c r="R1672" i="1" s="1"/>
  <c r="R1662" i="1"/>
  <c r="R1686" i="1"/>
  <c r="R3152" i="1"/>
  <c r="S3152" i="1" s="1"/>
  <c r="R2840" i="1"/>
  <c r="S2840" i="1" s="1"/>
  <c r="R2916" i="1"/>
  <c r="S2916" i="1" s="1"/>
  <c r="R2828" i="1"/>
  <c r="S2828" i="1" s="1"/>
  <c r="R2814" i="1"/>
  <c r="S2814" i="1" s="1"/>
  <c r="R2960" i="1"/>
  <c r="S2960" i="1" s="1"/>
  <c r="R2748" i="1"/>
  <c r="S2748" i="1" s="1"/>
  <c r="R2847" i="1"/>
  <c r="S2847" i="1" s="1"/>
  <c r="R2606" i="1"/>
  <c r="R2384" i="1"/>
  <c r="R2409" i="1"/>
  <c r="R2231" i="1"/>
  <c r="R2183" i="1"/>
  <c r="R2073" i="1"/>
  <c r="R1791" i="1"/>
  <c r="R3179" i="1"/>
  <c r="S3179" i="1" s="1"/>
  <c r="R3163" i="1"/>
  <c r="S3163" i="1" s="1"/>
  <c r="R3124" i="1"/>
  <c r="S3124" i="1" s="1"/>
  <c r="R2976" i="1"/>
  <c r="S2976" i="1" s="1"/>
  <c r="R3039" i="1"/>
  <c r="S3039" i="1" s="1"/>
  <c r="R2841" i="1"/>
  <c r="S2841" i="1" s="1"/>
  <c r="R2766" i="1"/>
  <c r="S2766" i="1" s="1"/>
  <c r="R2534" i="1"/>
  <c r="R2560" i="1"/>
  <c r="R2498" i="1"/>
  <c r="R2340" i="1"/>
  <c r="R1751" i="1"/>
  <c r="R1759" i="1"/>
  <c r="R1761" i="1"/>
  <c r="R3108" i="1"/>
  <c r="S3108" i="1" s="1"/>
  <c r="R3015" i="1"/>
  <c r="S3015" i="1" s="1"/>
  <c r="R2568" i="1"/>
  <c r="R2065" i="1"/>
  <c r="R2049" i="1"/>
  <c r="R3097" i="1"/>
  <c r="S3097" i="1" s="1"/>
  <c r="R2892" i="1"/>
  <c r="S2892" i="1" s="1"/>
  <c r="R2372" i="1"/>
  <c r="R2238" i="1"/>
  <c r="R1783" i="1"/>
  <c r="R1522" i="1"/>
  <c r="R1470" i="1"/>
  <c r="R1454" i="1"/>
  <c r="R1438" i="1"/>
  <c r="R1534" i="1"/>
  <c r="R657" i="1"/>
  <c r="R622" i="1"/>
  <c r="R218" i="1"/>
  <c r="S218" i="1" s="1"/>
  <c r="R624" i="1"/>
  <c r="R3006" i="1"/>
  <c r="S3006" i="1" s="1"/>
  <c r="R2472" i="1"/>
  <c r="R1466" i="1"/>
  <c r="R1450" i="1"/>
  <c r="R1434" i="1"/>
  <c r="R1542" i="1"/>
  <c r="R1478" i="1"/>
  <c r="R726" i="1"/>
  <c r="R619" i="1"/>
  <c r="R690" i="1"/>
  <c r="R483" i="1"/>
  <c r="R71" i="1"/>
  <c r="R441" i="1"/>
  <c r="R102" i="1"/>
  <c r="R2480" i="1"/>
  <c r="R2092" i="1"/>
  <c r="R1561" i="1"/>
  <c r="R604" i="1"/>
  <c r="R2488" i="1"/>
  <c r="R59" i="1"/>
  <c r="R2678" i="1"/>
  <c r="S2678" i="1" s="1"/>
  <c r="R1963" i="1"/>
  <c r="R1312" i="1"/>
  <c r="R1260" i="1"/>
  <c r="Q1140" i="1"/>
  <c r="R1140" i="1" s="1"/>
  <c r="Q1145" i="1"/>
  <c r="R1145" i="1" s="1"/>
  <c r="Q848" i="1"/>
  <c r="R848" i="1" s="1"/>
  <c r="Q885" i="1"/>
  <c r="R885" i="1" s="1"/>
  <c r="Q317" i="1"/>
  <c r="R317" i="1" s="1"/>
  <c r="S317" i="1" s="1"/>
  <c r="Q285" i="1"/>
  <c r="R285" i="1" s="1"/>
  <c r="S285" i="1" s="1"/>
  <c r="Q138" i="1"/>
  <c r="R138" i="1" s="1"/>
  <c r="Q806" i="1"/>
  <c r="Q278" i="1"/>
  <c r="R278" i="1" s="1"/>
  <c r="R542" i="1"/>
  <c r="S542" i="1" s="1"/>
  <c r="Q291" i="1"/>
  <c r="R291" i="1" s="1"/>
  <c r="S291" i="1" s="1"/>
  <c r="Q268" i="1"/>
  <c r="Q301" i="1"/>
  <c r="Q219" i="1"/>
  <c r="Q56" i="1"/>
  <c r="Q1001" i="1"/>
  <c r="R1001" i="1" s="1"/>
  <c r="Q963" i="1"/>
  <c r="R963" i="1" s="1"/>
  <c r="Q445" i="1"/>
  <c r="Q680" i="1"/>
  <c r="R680" i="1" s="1"/>
  <c r="Q155" i="1"/>
  <c r="Q705" i="1"/>
  <c r="R705" i="1" s="1"/>
  <c r="Q1011" i="1"/>
  <c r="R118" i="1"/>
  <c r="R1144" i="1"/>
  <c r="Q801" i="1"/>
  <c r="R801" i="1" s="1"/>
  <c r="R824" i="1"/>
  <c r="Q756" i="1"/>
  <c r="R756" i="1" s="1"/>
  <c r="Q645" i="1"/>
  <c r="R645" i="1" s="1"/>
  <c r="Q319" i="1"/>
  <c r="R319" i="1" s="1"/>
  <c r="S319" i="1" s="1"/>
  <c r="Q296" i="1"/>
  <c r="Q235" i="1"/>
  <c r="R235" i="1" s="1"/>
  <c r="S235" i="1" s="1"/>
  <c r="R175" i="1"/>
  <c r="Q286" i="1"/>
  <c r="Q246" i="1"/>
  <c r="R246" i="1" s="1"/>
  <c r="S246" i="1" s="1"/>
  <c r="R574" i="1"/>
  <c r="Q251" i="1"/>
  <c r="R251" i="1" s="1"/>
  <c r="R236" i="1"/>
  <c r="S236" i="1" s="1"/>
  <c r="Q1247" i="1"/>
  <c r="R1247" i="1" s="1"/>
  <c r="R1056" i="1"/>
  <c r="R1017" i="1"/>
  <c r="R995" i="1"/>
  <c r="R114" i="1"/>
  <c r="R67" i="1"/>
  <c r="Q539" i="1"/>
  <c r="Q784" i="1"/>
  <c r="R784" i="1" s="1"/>
  <c r="Q630" i="1"/>
  <c r="R630" i="1" s="1"/>
  <c r="Q1267" i="1"/>
  <c r="Q1045" i="1"/>
  <c r="R1023" i="1"/>
  <c r="R458" i="1"/>
  <c r="S458" i="1" s="1"/>
  <c r="R330" i="1"/>
  <c r="S330" i="1" s="1"/>
  <c r="R502" i="1"/>
  <c r="S502" i="1" s="1"/>
  <c r="R266" i="1"/>
  <c r="S266" i="1" s="1"/>
  <c r="R142" i="1"/>
  <c r="R457" i="1"/>
  <c r="S457" i="1" s="1"/>
  <c r="R143" i="1"/>
  <c r="R590" i="1"/>
  <c r="R526" i="1"/>
  <c r="S526" i="1" s="1"/>
  <c r="R110" i="1"/>
  <c r="R122" i="1"/>
  <c r="Q1065" i="1"/>
  <c r="R1065" i="1" s="1"/>
  <c r="Q965" i="1"/>
  <c r="R965" i="1" s="1"/>
  <c r="R750" i="1"/>
  <c r="R698" i="1"/>
  <c r="R511" i="1"/>
  <c r="S511" i="1" s="1"/>
  <c r="R417" i="1"/>
  <c r="S417" i="1" s="1"/>
  <c r="R62" i="1"/>
  <c r="R1175" i="1"/>
  <c r="R766" i="1"/>
  <c r="Q1037" i="1"/>
  <c r="R1037" i="1" s="1"/>
  <c r="R996" i="1"/>
  <c r="R586" i="1"/>
  <c r="R554" i="1"/>
  <c r="R522" i="1"/>
  <c r="R490" i="1"/>
  <c r="S490" i="1" s="1"/>
  <c r="R469" i="1"/>
  <c r="S469" i="1" s="1"/>
  <c r="R479" i="1"/>
  <c r="S479" i="1" s="1"/>
  <c r="R596" i="1"/>
  <c r="R1275" i="1"/>
  <c r="Q816" i="1"/>
  <c r="R816" i="1" s="1"/>
  <c r="R794" i="1"/>
  <c r="Q877" i="1"/>
  <c r="Q854" i="1"/>
  <c r="R854" i="1" s="1"/>
  <c r="R668" i="1"/>
  <c r="Q641" i="1"/>
  <c r="R641" i="1" s="1"/>
  <c r="Q288" i="1"/>
  <c r="R245" i="1"/>
  <c r="S245" i="1" s="1"/>
  <c r="Q176" i="1"/>
  <c r="Q849" i="1"/>
  <c r="Q670" i="1"/>
  <c r="R670" i="1" s="1"/>
  <c r="Q659" i="1"/>
  <c r="Q673" i="1"/>
  <c r="R673" i="1" s="1"/>
  <c r="Q223" i="1"/>
  <c r="Q145" i="1"/>
  <c r="R145" i="1" s="1"/>
  <c r="R1153" i="1"/>
  <c r="Q1169" i="1"/>
  <c r="R1169" i="1" s="1"/>
  <c r="Q1117" i="1"/>
  <c r="R1117" i="1" s="1"/>
  <c r="Q1101" i="1"/>
  <c r="R1101" i="1" s="1"/>
  <c r="R1124" i="1"/>
  <c r="Q882" i="1"/>
  <c r="R882" i="1" s="1"/>
  <c r="R865" i="1"/>
  <c r="Q658" i="1"/>
  <c r="Q1106" i="1"/>
  <c r="Q689" i="1"/>
  <c r="R689" i="1" s="1"/>
  <c r="Q687" i="1"/>
  <c r="Q664" i="1"/>
  <c r="Q671" i="1"/>
  <c r="R671" i="1" s="1"/>
  <c r="Q171" i="1"/>
  <c r="Q237" i="1"/>
  <c r="Q1089" i="1"/>
  <c r="Q748" i="1"/>
  <c r="Q724" i="1"/>
  <c r="R724" i="1" s="1"/>
  <c r="Q198" i="1"/>
  <c r="R198" i="1" s="1"/>
  <c r="S198" i="1" s="1"/>
  <c r="Q263" i="1"/>
  <c r="R263" i="1" s="1"/>
  <c r="S263" i="1" s="1"/>
  <c r="R781" i="1"/>
  <c r="R876" i="1"/>
  <c r="R1287" i="1"/>
  <c r="R864" i="1"/>
  <c r="Q693" i="1"/>
  <c r="R693" i="1" s="1"/>
  <c r="R637" i="1"/>
  <c r="Q640" i="1"/>
  <c r="R640" i="1" s="1"/>
  <c r="R447" i="1"/>
  <c r="S447" i="1" s="1"/>
  <c r="R284" i="1"/>
  <c r="S284" i="1" s="1"/>
  <c r="R190" i="1"/>
  <c r="S190" i="1" s="1"/>
  <c r="R158" i="1"/>
  <c r="R318" i="1"/>
  <c r="S318" i="1" s="1"/>
  <c r="R241" i="1"/>
  <c r="S241" i="1" s="1"/>
  <c r="R84" i="1"/>
  <c r="Q1005" i="1"/>
  <c r="R1005" i="1" s="1"/>
  <c r="R895" i="1"/>
  <c r="R973" i="1"/>
  <c r="R951" i="1"/>
  <c r="R742" i="1"/>
  <c r="R1057" i="1"/>
  <c r="R969" i="1"/>
  <c r="R353" i="1"/>
  <c r="S353" i="1" s="1"/>
  <c r="R571" i="1"/>
  <c r="R159" i="1"/>
  <c r="R606" i="1"/>
  <c r="R626" i="1"/>
  <c r="R1266" i="1"/>
  <c r="R1258" i="1"/>
  <c r="R1249" i="1"/>
  <c r="R919" i="1"/>
  <c r="R702" i="1"/>
  <c r="R463" i="1"/>
  <c r="S463" i="1" s="1"/>
  <c r="R98" i="1"/>
  <c r="R1250" i="1"/>
  <c r="R1259" i="1"/>
  <c r="R564" i="1"/>
  <c r="Q311" i="1"/>
  <c r="R311" i="1" s="1"/>
  <c r="S311" i="1" s="1"/>
  <c r="R1262" i="1"/>
  <c r="Q842" i="1"/>
  <c r="Q802" i="1"/>
  <c r="Q279" i="1"/>
  <c r="Q281" i="1"/>
  <c r="Q790" i="1"/>
  <c r="Q269" i="1"/>
  <c r="R269" i="1" s="1"/>
  <c r="S269" i="1" s="1"/>
  <c r="R1308" i="1"/>
  <c r="R1279" i="1"/>
  <c r="Q1165" i="1"/>
  <c r="R1165" i="1" s="1"/>
  <c r="R1102" i="1"/>
  <c r="Q901" i="1"/>
  <c r="Q873" i="1"/>
  <c r="Q869" i="1"/>
  <c r="Q827" i="1"/>
  <c r="Q870" i="1"/>
  <c r="R870" i="1" s="1"/>
  <c r="Q472" i="1"/>
  <c r="R472" i="1" s="1"/>
  <c r="S472" i="1" s="1"/>
  <c r="Q440" i="1"/>
  <c r="Q396" i="1"/>
  <c r="R396" i="1" s="1"/>
  <c r="Q636" i="1"/>
  <c r="Q435" i="1"/>
  <c r="R435" i="1" s="1"/>
  <c r="S435" i="1" s="1"/>
  <c r="Q411" i="1"/>
  <c r="Q403" i="1"/>
  <c r="Q355" i="1"/>
  <c r="Q347" i="1"/>
  <c r="Q315" i="1"/>
  <c r="Q299" i="1"/>
  <c r="R299" i="1" s="1"/>
  <c r="Q692" i="1"/>
  <c r="Q339" i="1"/>
  <c r="R339" i="1" s="1"/>
  <c r="S339" i="1" s="1"/>
  <c r="Q252" i="1"/>
  <c r="R252" i="1" s="1"/>
  <c r="S252" i="1" s="1"/>
  <c r="Q200" i="1"/>
  <c r="R200" i="1" s="1"/>
  <c r="S200" i="1" s="1"/>
  <c r="R313" i="1"/>
  <c r="S313" i="1" s="1"/>
  <c r="R588" i="1"/>
  <c r="Q1177" i="1"/>
  <c r="R1177" i="1" s="1"/>
  <c r="R1141" i="1"/>
  <c r="R1295" i="1"/>
  <c r="R1125" i="1"/>
  <c r="Q917" i="1"/>
  <c r="R917" i="1" s="1"/>
  <c r="R928" i="1"/>
  <c r="Q721" i="1"/>
  <c r="Q853" i="1"/>
  <c r="R853" i="1" s="1"/>
  <c r="Q838" i="1"/>
  <c r="Q752" i="1"/>
  <c r="Q290" i="1"/>
  <c r="Q154" i="1"/>
  <c r="Q227" i="1"/>
  <c r="Q204" i="1"/>
  <c r="Q798" i="1"/>
  <c r="R1152" i="1"/>
  <c r="Q937" i="1"/>
  <c r="R875" i="1"/>
  <c r="Q688" i="1"/>
  <c r="Q820" i="1"/>
  <c r="Q647" i="1"/>
  <c r="Q264" i="1"/>
  <c r="Q161" i="1"/>
  <c r="Q1318" i="1"/>
  <c r="R1318" i="1" s="1"/>
  <c r="Q1302" i="1"/>
  <c r="R1302" i="1" s="1"/>
  <c r="Q1285" i="1"/>
  <c r="R1285" i="1" s="1"/>
  <c r="Q1237" i="1"/>
  <c r="R1237" i="1" s="1"/>
  <c r="Q1205" i="1"/>
  <c r="R1205" i="1" s="1"/>
  <c r="Q1053" i="1"/>
  <c r="R1053" i="1" s="1"/>
  <c r="R985" i="1"/>
  <c r="R543" i="1"/>
  <c r="S543" i="1" s="1"/>
  <c r="R467" i="1"/>
  <c r="S467" i="1" s="1"/>
  <c r="R944" i="1"/>
  <c r="R859" i="1"/>
  <c r="R841" i="1"/>
  <c r="R642" i="1"/>
  <c r="R745" i="1"/>
  <c r="R350" i="1"/>
  <c r="R452" i="1"/>
  <c r="S452" i="1" s="1"/>
  <c r="R302" i="1"/>
  <c r="S302" i="1" s="1"/>
  <c r="Q76" i="1"/>
  <c r="R76" i="1" s="1"/>
  <c r="Q196" i="1"/>
  <c r="R196" i="1" s="1"/>
  <c r="S196" i="1" s="1"/>
  <c r="R1270" i="1"/>
  <c r="R1263" i="1"/>
  <c r="R1233" i="1"/>
  <c r="R1217" i="1"/>
  <c r="R1201" i="1"/>
  <c r="R1185" i="1"/>
  <c r="R1073" i="1"/>
  <c r="Q1077" i="1"/>
  <c r="R1077" i="1" s="1"/>
  <c r="R1043" i="1"/>
  <c r="R1008" i="1"/>
  <c r="R987" i="1"/>
  <c r="R961" i="1"/>
  <c r="R579" i="1"/>
  <c r="R757" i="1"/>
  <c r="R761" i="1"/>
  <c r="R729" i="1"/>
  <c r="R743" i="1"/>
  <c r="R678" i="1"/>
  <c r="R713" i="1"/>
  <c r="R303" i="1"/>
  <c r="R476" i="1"/>
  <c r="S476" i="1" s="1"/>
  <c r="R332" i="1"/>
  <c r="S332" i="1" s="1"/>
  <c r="Q431" i="1"/>
  <c r="R431" i="1" s="1"/>
  <c r="S431" i="1" s="1"/>
  <c r="Q335" i="1"/>
  <c r="R335" i="1" s="1"/>
  <c r="S335" i="1" s="1"/>
  <c r="R298" i="1"/>
  <c r="S298" i="1" s="1"/>
  <c r="R442" i="1"/>
  <c r="S442" i="1" s="1"/>
  <c r="R282" i="1"/>
  <c r="S282" i="1" s="1"/>
  <c r="R1229" i="1"/>
  <c r="R1213" i="1"/>
  <c r="R1197" i="1"/>
  <c r="R1181" i="1"/>
  <c r="R1049" i="1"/>
  <c r="Q1310" i="1"/>
  <c r="R1310" i="1" s="1"/>
  <c r="Q1293" i="1"/>
  <c r="R1293" i="1" s="1"/>
  <c r="Q1277" i="1"/>
  <c r="R1277" i="1" s="1"/>
  <c r="Q1221" i="1"/>
  <c r="R1221" i="1" s="1"/>
  <c r="Q1189" i="1"/>
  <c r="R1189" i="1" s="1"/>
  <c r="R595" i="1"/>
  <c r="R575" i="1"/>
  <c r="R531" i="1"/>
  <c r="S531" i="1" s="1"/>
  <c r="Q132" i="1"/>
  <c r="R132" i="1" s="1"/>
  <c r="R499" i="1"/>
  <c r="S499" i="1" s="1"/>
  <c r="R808" i="1"/>
  <c r="R791" i="1"/>
  <c r="R735" i="1"/>
  <c r="R256" i="1"/>
  <c r="S256" i="1" s="1"/>
  <c r="R275" i="1"/>
  <c r="S275" i="1" s="1"/>
  <c r="R382" i="1"/>
  <c r="S382" i="1" s="1"/>
  <c r="R202" i="1"/>
  <c r="S202" i="1" s="1"/>
  <c r="R412" i="1"/>
  <c r="S412" i="1" s="1"/>
  <c r="Q233" i="1"/>
  <c r="R233" i="1" s="1"/>
  <c r="S233" i="1" s="1"/>
  <c r="R189" i="1"/>
  <c r="S189" i="1" s="1"/>
  <c r="R270" i="1"/>
  <c r="S270" i="1" s="1"/>
  <c r="R160" i="1"/>
  <c r="R340" i="1"/>
  <c r="S340" i="1" s="1"/>
  <c r="R1245" i="1"/>
  <c r="R1253" i="1"/>
  <c r="R1241" i="1"/>
  <c r="R1225" i="1"/>
  <c r="R1209" i="1"/>
  <c r="R1193" i="1"/>
  <c r="R1081" i="1"/>
  <c r="R1041" i="1"/>
  <c r="R992" i="1"/>
  <c r="R591" i="1"/>
  <c r="R547" i="1"/>
  <c r="R527" i="1"/>
  <c r="S527" i="1" s="1"/>
  <c r="R608" i="1"/>
  <c r="R706" i="1"/>
  <c r="R3156" i="1"/>
  <c r="S3156" i="1" s="1"/>
  <c r="R3119" i="1"/>
  <c r="S3119" i="1" s="1"/>
  <c r="R3100" i="1"/>
  <c r="S3100" i="1" s="1"/>
  <c r="Q3183" i="1"/>
  <c r="R3183" i="1" s="1"/>
  <c r="S3183" i="1" s="1"/>
  <c r="O3033" i="1"/>
  <c r="R3058" i="1"/>
  <c r="S3058" i="1" s="1"/>
  <c r="O3047" i="1"/>
  <c r="R3047" i="1" s="1"/>
  <c r="S3047" i="1" s="1"/>
  <c r="Q3040" i="1"/>
  <c r="R3040" i="1" s="1"/>
  <c r="S3040" i="1" s="1"/>
  <c r="Q3033" i="1"/>
  <c r="Q2964" i="1"/>
  <c r="R2964" i="1" s="1"/>
  <c r="S2964" i="1" s="1"/>
  <c r="Q3046" i="1"/>
  <c r="R3046" i="1" s="1"/>
  <c r="S3046" i="1" s="1"/>
  <c r="R2808" i="1"/>
  <c r="S2808" i="1" s="1"/>
  <c r="R2904" i="1"/>
  <c r="S2904" i="1" s="1"/>
  <c r="R2822" i="1"/>
  <c r="S2822" i="1" s="1"/>
  <c r="R2946" i="1"/>
  <c r="S2946" i="1" s="1"/>
  <c r="R2717" i="1"/>
  <c r="S2717" i="1" s="1"/>
  <c r="R2712" i="1"/>
  <c r="S2712" i="1" s="1"/>
  <c r="Q2677" i="1"/>
  <c r="Q2647" i="1"/>
  <c r="Q2706" i="1"/>
  <c r="Q2655" i="1"/>
  <c r="R2479" i="1"/>
  <c r="R2526" i="1"/>
  <c r="R2715" i="1"/>
  <c r="S2715" i="1" s="1"/>
  <c r="R2465" i="1"/>
  <c r="Q2497" i="1"/>
  <c r="R2497" i="1" s="1"/>
  <c r="Q2459" i="1"/>
  <c r="R2415" i="1"/>
  <c r="Q2389" i="1"/>
  <c r="R2383" i="1"/>
  <c r="Q2539" i="1"/>
  <c r="R2539" i="1" s="1"/>
  <c r="R2330" i="1"/>
  <c r="R2229" i="1"/>
  <c r="Q2244" i="1"/>
  <c r="R2244" i="1" s="1"/>
  <c r="R2317" i="1"/>
  <c r="R2201" i="1"/>
  <c r="R2230" i="1"/>
  <c r="R2269" i="1"/>
  <c r="R2168" i="1"/>
  <c r="Q2000" i="1"/>
  <c r="Q1411" i="1"/>
  <c r="R3096" i="1"/>
  <c r="S3096" i="1" s="1"/>
  <c r="O3161" i="1"/>
  <c r="R3161" i="1" s="1"/>
  <c r="S3161" i="1" s="1"/>
  <c r="O3069" i="1"/>
  <c r="R3069" i="1" s="1"/>
  <c r="S3069" i="1" s="1"/>
  <c r="O3099" i="1"/>
  <c r="R3099" i="1" s="1"/>
  <c r="S3099" i="1" s="1"/>
  <c r="O3057" i="1"/>
  <c r="Q3048" i="1"/>
  <c r="R3048" i="1" s="1"/>
  <c r="S3048" i="1" s="1"/>
  <c r="O2993" i="1"/>
  <c r="R2993" i="1" s="1"/>
  <c r="S2993" i="1" s="1"/>
  <c r="Q3029" i="1"/>
  <c r="R3029" i="1" s="1"/>
  <c r="S3029" i="1" s="1"/>
  <c r="Q2675" i="1"/>
  <c r="R2831" i="1"/>
  <c r="S2831" i="1" s="1"/>
  <c r="Q2643" i="1"/>
  <c r="R2643" i="1" s="1"/>
  <c r="R2614" i="1"/>
  <c r="R2696" i="1"/>
  <c r="S2696" i="1" s="1"/>
  <c r="R2584" i="1"/>
  <c r="Q2524" i="1"/>
  <c r="R2524" i="1" s="1"/>
  <c r="R2638" i="1"/>
  <c r="R2501" i="1"/>
  <c r="Q2515" i="1"/>
  <c r="R2515" i="1" s="1"/>
  <c r="R2489" i="1"/>
  <c r="Q2491" i="1"/>
  <c r="Q2521" i="1"/>
  <c r="R2521" i="1" s="1"/>
  <c r="R2395" i="1"/>
  <c r="Q2381" i="1"/>
  <c r="R2192" i="1"/>
  <c r="R2253" i="1"/>
  <c r="R2203" i="1"/>
  <c r="R2173" i="1"/>
  <c r="R2285" i="1"/>
  <c r="R2235" i="1"/>
  <c r="R2114" i="1"/>
  <c r="R2221" i="1"/>
  <c r="Q2190" i="1"/>
  <c r="R2190" i="1" s="1"/>
  <c r="Q2138" i="1"/>
  <c r="R2138" i="1" s="1"/>
  <c r="R2103" i="1"/>
  <c r="R2053" i="1"/>
  <c r="Q2019" i="1"/>
  <c r="R2187" i="1"/>
  <c r="R2009" i="1"/>
  <c r="Q3211" i="1"/>
  <c r="D29" i="1" s="1"/>
  <c r="Q3165" i="1"/>
  <c r="Q3112" i="1"/>
  <c r="R3112" i="1" s="1"/>
  <c r="S3112" i="1" s="1"/>
  <c r="O3191" i="1"/>
  <c r="O3098" i="1"/>
  <c r="R3098" i="1" s="1"/>
  <c r="S3098" i="1" s="1"/>
  <c r="O3024" i="1"/>
  <c r="O3020" i="1"/>
  <c r="R3020" i="1" s="1"/>
  <c r="S3020" i="1" s="1"/>
  <c r="Q3025" i="1"/>
  <c r="O3055" i="1"/>
  <c r="R3055" i="1" s="1"/>
  <c r="S3055" i="1" s="1"/>
  <c r="O3036" i="1"/>
  <c r="R3036" i="1" s="1"/>
  <c r="S3036" i="1" s="1"/>
  <c r="O2973" i="1"/>
  <c r="R2973" i="1" s="1"/>
  <c r="S2973" i="1" s="1"/>
  <c r="O2965" i="1"/>
  <c r="R2663" i="1"/>
  <c r="S2663" i="1" s="1"/>
  <c r="Q2537" i="1"/>
  <c r="Q2657" i="1"/>
  <c r="R2657" i="1" s="1"/>
  <c r="S2657" i="1" s="1"/>
  <c r="R2540" i="1"/>
  <c r="Q2608" i="1"/>
  <c r="R2608" i="1" s="1"/>
  <c r="R2455" i="1"/>
  <c r="Q2467" i="1"/>
  <c r="R2467" i="1" s="1"/>
  <c r="R2346" i="1"/>
  <c r="R2298" i="1"/>
  <c r="R2219" i="1"/>
  <c r="R2101" i="1"/>
  <c r="Q2189" i="1"/>
  <c r="R2189" i="1" s="1"/>
  <c r="Q2070" i="1"/>
  <c r="Q2127" i="1"/>
  <c r="R2127" i="1" s="1"/>
  <c r="Q2197" i="1"/>
  <c r="Q2026" i="1"/>
  <c r="R2159" i="1"/>
  <c r="Q1790" i="1"/>
  <c r="R1790" i="1" s="1"/>
  <c r="Q1347" i="1"/>
  <c r="Q3203" i="1"/>
  <c r="O3203" i="1"/>
  <c r="O3199" i="1"/>
  <c r="R3172" i="1"/>
  <c r="S3172" i="1" s="1"/>
  <c r="Q3162" i="1"/>
  <c r="O3211" i="1"/>
  <c r="Q3160" i="1"/>
  <c r="R3160" i="1" s="1"/>
  <c r="S3160" i="1" s="1"/>
  <c r="O3169" i="1"/>
  <c r="R3169" i="1" s="1"/>
  <c r="S3169" i="1" s="1"/>
  <c r="O3162" i="1"/>
  <c r="R3121" i="1"/>
  <c r="S3121" i="1" s="1"/>
  <c r="O3120" i="1"/>
  <c r="R3120" i="1" s="1"/>
  <c r="S3120" i="1" s="1"/>
  <c r="R3104" i="1"/>
  <c r="S3104" i="1" s="1"/>
  <c r="Q3061" i="1"/>
  <c r="R3061" i="1" s="1"/>
  <c r="S3061" i="1" s="1"/>
  <c r="Q3107" i="1"/>
  <c r="O3085" i="1"/>
  <c r="R3085" i="1" s="1"/>
  <c r="S3085" i="1" s="1"/>
  <c r="O3052" i="1"/>
  <c r="R3052" i="1" s="1"/>
  <c r="S3052" i="1" s="1"/>
  <c r="Q3050" i="1"/>
  <c r="R3050" i="1" s="1"/>
  <c r="S3050" i="1" s="1"/>
  <c r="Q3023" i="1"/>
  <c r="R3023" i="1" s="1"/>
  <c r="S3023" i="1" s="1"/>
  <c r="O3032" i="1"/>
  <c r="R3032" i="1" s="1"/>
  <c r="S3032" i="1" s="1"/>
  <c r="O2985" i="1"/>
  <c r="O3005" i="1"/>
  <c r="R3005" i="1" s="1"/>
  <c r="S3005" i="1" s="1"/>
  <c r="O2966" i="1"/>
  <c r="R2966" i="1" s="1"/>
  <c r="S2966" i="1" s="1"/>
  <c r="O2977" i="1"/>
  <c r="R2977" i="1" s="1"/>
  <c r="S2977" i="1" s="1"/>
  <c r="Q2959" i="1"/>
  <c r="R2959" i="1" s="1"/>
  <c r="S2959" i="1" s="1"/>
  <c r="R2853" i="1"/>
  <c r="S2853" i="1" s="1"/>
  <c r="R2920" i="1"/>
  <c r="S2920" i="1" s="1"/>
  <c r="Q2735" i="1"/>
  <c r="R2868" i="1"/>
  <c r="S2868" i="1" s="1"/>
  <c r="R2782" i="1"/>
  <c r="S2782" i="1" s="1"/>
  <c r="Q2658" i="1"/>
  <c r="R2576" i="1"/>
  <c r="Q2552" i="1"/>
  <c r="R2552" i="1" s="1"/>
  <c r="Q2714" i="1"/>
  <c r="R2714" i="1" s="1"/>
  <c r="S2714" i="1" s="1"/>
  <c r="Q2637" i="1"/>
  <c r="R2485" i="1"/>
  <c r="R2449" i="1"/>
  <c r="Q2517" i="1"/>
  <c r="R2517" i="1" s="1"/>
  <c r="R2402" i="1"/>
  <c r="R2473" i="1"/>
  <c r="Q2471" i="1"/>
  <c r="R2471" i="1" s="1"/>
  <c r="R2411" i="1"/>
  <c r="Q2397" i="1"/>
  <c r="R2397" i="1" s="1"/>
  <c r="R2300" i="1"/>
  <c r="R2322" i="1"/>
  <c r="Q2487" i="1"/>
  <c r="R2487" i="1" s="1"/>
  <c r="Q2405" i="1"/>
  <c r="R2405" i="1" s="1"/>
  <c r="R2224" i="1"/>
  <c r="R2169" i="1"/>
  <c r="R2105" i="1"/>
  <c r="Q2167" i="1"/>
  <c r="R2167" i="1" s="1"/>
  <c r="Q2215" i="1"/>
  <c r="R2215" i="1" s="1"/>
  <c r="R2106" i="1"/>
  <c r="Q2010" i="1"/>
  <c r="Q2046" i="1"/>
  <c r="Q2015" i="1"/>
  <c r="R2011" i="1"/>
  <c r="Q2013" i="1"/>
  <c r="Q2131" i="1"/>
  <c r="R2131" i="1" s="1"/>
  <c r="R2077" i="1"/>
  <c r="R2045" i="1"/>
  <c r="Q2037" i="1"/>
  <c r="Q2126" i="1"/>
  <c r="R2126" i="1" s="1"/>
  <c r="Q1545" i="1"/>
  <c r="Q1358" i="1"/>
  <c r="Q3175" i="1"/>
  <c r="R3175" i="1" s="1"/>
  <c r="S3175" i="1" s="1"/>
  <c r="Q3037" i="1"/>
  <c r="R3037" i="1" s="1"/>
  <c r="S3037" i="1" s="1"/>
  <c r="O3021" i="1"/>
  <c r="R3210" i="1"/>
  <c r="S3210" i="1" s="1"/>
  <c r="R2980" i="1"/>
  <c r="S2980" i="1" s="1"/>
  <c r="O3077" i="1"/>
  <c r="R3077" i="1" s="1"/>
  <c r="S3077" i="1" s="1"/>
  <c r="O2997" i="1"/>
  <c r="R2997" i="1" s="1"/>
  <c r="S2997" i="1" s="1"/>
  <c r="O2963" i="1"/>
  <c r="Q2955" i="1"/>
  <c r="R2955" i="1" s="1"/>
  <c r="S2955" i="1" s="1"/>
  <c r="Q3021" i="1"/>
  <c r="R2826" i="1"/>
  <c r="S2826" i="1" s="1"/>
  <c r="R2882" i="1"/>
  <c r="S2882" i="1" s="1"/>
  <c r="R2908" i="1"/>
  <c r="S2908" i="1" s="1"/>
  <c r="Q2730" i="1"/>
  <c r="Q2641" i="1"/>
  <c r="R2645" i="1"/>
  <c r="R2625" i="1"/>
  <c r="R2834" i="1"/>
  <c r="S2834" i="1" s="1"/>
  <c r="R2448" i="1"/>
  <c r="R2453" i="1"/>
  <c r="R2664" i="1"/>
  <c r="S2664" i="1" s="1"/>
  <c r="R2477" i="1"/>
  <c r="Q2531" i="1"/>
  <c r="R2531" i="1" s="1"/>
  <c r="Q2495" i="1"/>
  <c r="R2495" i="1" s="1"/>
  <c r="R2370" i="1"/>
  <c r="R2435" i="1"/>
  <c r="R2356" i="1"/>
  <c r="R2362" i="1"/>
  <c r="R2266" i="1"/>
  <c r="R2176" i="1"/>
  <c r="R2333" i="1"/>
  <c r="R2184" i="1"/>
  <c r="Q2146" i="1"/>
  <c r="R2146" i="1" s="1"/>
  <c r="R2268" i="1"/>
  <c r="R2233" i="1"/>
  <c r="R2163" i="1"/>
  <c r="R2014" i="1"/>
  <c r="Q2125" i="1"/>
  <c r="R2125" i="1" s="1"/>
  <c r="R2094" i="1"/>
  <c r="Q1758" i="1"/>
  <c r="Q3207" i="1"/>
  <c r="Q3116" i="1"/>
  <c r="R3116" i="1" s="1"/>
  <c r="S3116" i="1" s="1"/>
  <c r="R3031" i="1"/>
  <c r="S3031" i="1" s="1"/>
  <c r="R3027" i="1"/>
  <c r="S3027" i="1" s="1"/>
  <c r="O3009" i="1"/>
  <c r="R3009" i="1" s="1"/>
  <c r="S3009" i="1" s="1"/>
  <c r="R2764" i="1"/>
  <c r="S2764" i="1" s="1"/>
  <c r="R2635" i="1"/>
  <c r="R2457" i="1"/>
  <c r="R2463" i="1"/>
  <c r="R2469" i="1"/>
  <c r="R2493" i="1"/>
  <c r="R2413" i="1"/>
  <c r="R2314" i="1"/>
  <c r="R2213" i="1"/>
  <c r="Q2142" i="1"/>
  <c r="R2142" i="1" s="1"/>
  <c r="Q2118" i="1"/>
  <c r="R2118" i="1" s="1"/>
  <c r="Q2109" i="1"/>
  <c r="R2109" i="1" s="1"/>
  <c r="Q2155" i="1"/>
  <c r="R2155" i="1" s="1"/>
  <c r="Q2062" i="1"/>
  <c r="Q2098" i="1"/>
  <c r="R2069" i="1"/>
  <c r="Q2042" i="1"/>
  <c r="Q2030" i="1"/>
  <c r="O3065" i="1"/>
  <c r="O3081" i="1"/>
  <c r="Q3024" i="1"/>
  <c r="Q2969" i="1"/>
  <c r="Q2965" i="1"/>
  <c r="Q3017" i="1"/>
  <c r="R3017" i="1" s="1"/>
  <c r="S3017" i="1" s="1"/>
  <c r="R2924" i="1"/>
  <c r="S2924" i="1" s="1"/>
  <c r="R2728" i="1"/>
  <c r="S2728" i="1" s="1"/>
  <c r="R2622" i="1"/>
  <c r="R2505" i="1"/>
  <c r="R2541" i="1"/>
  <c r="R2481" i="1"/>
  <c r="R2378" i="1"/>
  <c r="R2208" i="1"/>
  <c r="Q2122" i="1"/>
  <c r="R2122" i="1" s="1"/>
  <c r="Q2134" i="1"/>
  <c r="R2134" i="1" s="1"/>
  <c r="Q2130" i="1"/>
  <c r="R2057" i="1"/>
  <c r="Q2024" i="1"/>
  <c r="R2024" i="1" s="1"/>
  <c r="Q2086" i="1"/>
  <c r="R2086" i="1" s="1"/>
  <c r="L3219" i="1"/>
  <c r="R3122" i="1"/>
  <c r="S3122" i="1" s="1"/>
  <c r="O3102" i="1"/>
  <c r="R3102" i="1" s="1"/>
  <c r="S3102" i="1" s="1"/>
  <c r="O3054" i="1"/>
  <c r="Q3034" i="1"/>
  <c r="R3034" i="1" s="1"/>
  <c r="S3034" i="1" s="1"/>
  <c r="O3026" i="1"/>
  <c r="R3026" i="1" s="1"/>
  <c r="S3026" i="1" s="1"/>
  <c r="O3001" i="1"/>
  <c r="R3001" i="1" s="1"/>
  <c r="S3001" i="1" s="1"/>
  <c r="L3087" i="1"/>
  <c r="O2969" i="1"/>
  <c r="O2981" i="1"/>
  <c r="R2981" i="1" s="1"/>
  <c r="S2981" i="1" s="1"/>
  <c r="R2836" i="1"/>
  <c r="S2836" i="1" s="1"/>
  <c r="R2912" i="1"/>
  <c r="S2912" i="1" s="1"/>
  <c r="R2886" i="1"/>
  <c r="S2886" i="1" s="1"/>
  <c r="R2756" i="1"/>
  <c r="S2756" i="1" s="1"/>
  <c r="R2806" i="1"/>
  <c r="S2806" i="1" s="1"/>
  <c r="R2790" i="1"/>
  <c r="S2790" i="1" s="1"/>
  <c r="R2774" i="1"/>
  <c r="S2774" i="1" s="1"/>
  <c r="R2758" i="1"/>
  <c r="S2758" i="1" s="1"/>
  <c r="R2535" i="1"/>
  <c r="R2545" i="1"/>
  <c r="R2429" i="1"/>
  <c r="R2282" i="1"/>
  <c r="R2250" i="1"/>
  <c r="R2121" i="1"/>
  <c r="Q2099" i="1"/>
  <c r="R2099" i="1" s="1"/>
  <c r="R2195" i="1"/>
  <c r="Q2078" i="1"/>
  <c r="R2078" i="1" s="1"/>
  <c r="R2135" i="1"/>
  <c r="R2061" i="1"/>
  <c r="Q2022" i="1"/>
  <c r="Q2054" i="1"/>
  <c r="R2054" i="1" s="1"/>
  <c r="Q1774" i="1"/>
  <c r="R2301" i="1"/>
  <c r="R2171" i="1"/>
  <c r="R2119" i="1"/>
  <c r="Q2028" i="1"/>
  <c r="R1745" i="1"/>
  <c r="R1796" i="1"/>
  <c r="R1780" i="1"/>
  <c r="R1764" i="1"/>
  <c r="R1748" i="1"/>
  <c r="R1565" i="1"/>
  <c r="Q1762" i="1"/>
  <c r="R1762" i="1" s="1"/>
  <c r="R1446" i="1"/>
  <c r="R1230" i="1"/>
  <c r="R1198" i="1"/>
  <c r="R1166" i="1"/>
  <c r="R1514" i="1"/>
  <c r="Q1453" i="1"/>
  <c r="R1453" i="1" s="1"/>
  <c r="Q1373" i="1"/>
  <c r="R1373" i="1" s="1"/>
  <c r="R1190" i="1"/>
  <c r="R1150" i="1"/>
  <c r="Q1173" i="1"/>
  <c r="R1173" i="1" s="1"/>
  <c r="R1126" i="1"/>
  <c r="R1100" i="1"/>
  <c r="Q1527" i="1"/>
  <c r="R1527" i="1" s="1"/>
  <c r="Q1350" i="1"/>
  <c r="R1350" i="1" s="1"/>
  <c r="R1147" i="1"/>
  <c r="Q1342" i="1"/>
  <c r="R1342" i="1" s="1"/>
  <c r="R1136" i="1"/>
  <c r="R1078" i="1"/>
  <c r="Q776" i="1"/>
  <c r="R1104" i="1"/>
  <c r="Q650" i="1"/>
  <c r="Q909" i="1"/>
  <c r="R909" i="1" s="1"/>
  <c r="Q884" i="1"/>
  <c r="R884" i="1" s="1"/>
  <c r="Q889" i="1"/>
  <c r="R889" i="1" s="1"/>
  <c r="R785" i="1"/>
  <c r="R941" i="1"/>
  <c r="Q893" i="1"/>
  <c r="R792" i="1"/>
  <c r="Q679" i="1"/>
  <c r="R635" i="1"/>
  <c r="Q496" i="1"/>
  <c r="Q336" i="1"/>
  <c r="Q320" i="1"/>
  <c r="Q804" i="1"/>
  <c r="R652" i="1"/>
  <c r="Q331" i="1"/>
  <c r="R352" i="1"/>
  <c r="S352" i="1" s="1"/>
  <c r="Q104" i="1"/>
  <c r="Q72" i="1"/>
  <c r="Q144" i="1"/>
  <c r="Q1746" i="1"/>
  <c r="R1746" i="1" s="1"/>
  <c r="R1551" i="1"/>
  <c r="R1538" i="1"/>
  <c r="R1474" i="1"/>
  <c r="R1442" i="1"/>
  <c r="R1494" i="1"/>
  <c r="Q1537" i="1"/>
  <c r="R1537" i="1" s="1"/>
  <c r="Q1521" i="1"/>
  <c r="R1521" i="1" s="1"/>
  <c r="Q1505" i="1"/>
  <c r="R1505" i="1" s="1"/>
  <c r="Q1489" i="1"/>
  <c r="R1489" i="1" s="1"/>
  <c r="R1498" i="1"/>
  <c r="Q1449" i="1"/>
  <c r="R1449" i="1" s="1"/>
  <c r="Q1094" i="1"/>
  <c r="R1330" i="1"/>
  <c r="Q1098" i="1"/>
  <c r="R1062" i="1"/>
  <c r="R1014" i="1"/>
  <c r="Q998" i="1"/>
  <c r="Q982" i="1"/>
  <c r="Q950" i="1"/>
  <c r="Q934" i="1"/>
  <c r="Q918" i="1"/>
  <c r="R1093" i="1"/>
  <c r="R966" i="1"/>
  <c r="Q793" i="1"/>
  <c r="R793" i="1" s="1"/>
  <c r="Q775" i="1"/>
  <c r="Q826" i="1"/>
  <c r="Q646" i="1"/>
  <c r="Q830" i="1"/>
  <c r="R832" i="1"/>
  <c r="Q925" i="1"/>
  <c r="Q822" i="1"/>
  <c r="Q643" i="1"/>
  <c r="R343" i="1"/>
  <c r="S343" i="1" s="1"/>
  <c r="Q287" i="1"/>
  <c r="Q2018" i="1"/>
  <c r="R2018" i="1" s="1"/>
  <c r="Q1557" i="1"/>
  <c r="R1482" i="1"/>
  <c r="Q1445" i="1"/>
  <c r="R1445" i="1" s="1"/>
  <c r="Q1328" i="1"/>
  <c r="R1328" i="1" s="1"/>
  <c r="Q1336" i="1"/>
  <c r="R1336" i="1" s="1"/>
  <c r="R1655" i="1"/>
  <c r="R1222" i="1"/>
  <c r="Q1511" i="1"/>
  <c r="R1162" i="1"/>
  <c r="Q1157" i="1"/>
  <c r="Q945" i="1"/>
  <c r="R1242" i="1"/>
  <c r="R1210" i="1"/>
  <c r="R1178" i="1"/>
  <c r="R1030" i="1"/>
  <c r="Q855" i="1"/>
  <c r="R962" i="1"/>
  <c r="Q883" i="1"/>
  <c r="R902" i="1"/>
  <c r="R1268" i="1"/>
  <c r="Q881" i="1"/>
  <c r="R881" i="1" s="1"/>
  <c r="R651" i="1"/>
  <c r="Q773" i="1"/>
  <c r="R773" i="1" s="1"/>
  <c r="R704" i="1"/>
  <c r="Q560" i="1"/>
  <c r="R666" i="1"/>
  <c r="Q427" i="1"/>
  <c r="Q764" i="1"/>
  <c r="Q211" i="1"/>
  <c r="R226" i="1"/>
  <c r="S226" i="1" s="1"/>
  <c r="Q768" i="1"/>
  <c r="R462" i="1"/>
  <c r="S462" i="1" s="1"/>
  <c r="Q1142" i="1"/>
  <c r="Q1074" i="1"/>
  <c r="Q1058" i="1"/>
  <c r="Q1026" i="1"/>
  <c r="Q994" i="1"/>
  <c r="Q978" i="1"/>
  <c r="Q898" i="1"/>
  <c r="Q1497" i="1"/>
  <c r="Q1087" i="1"/>
  <c r="R946" i="1"/>
  <c r="R823" i="1"/>
  <c r="R930" i="1"/>
  <c r="Q831" i="1"/>
  <c r="Q741" i="1"/>
  <c r="R871" i="1"/>
  <c r="Q819" i="1"/>
  <c r="R805" i="1"/>
  <c r="Q512" i="1"/>
  <c r="Q439" i="1"/>
  <c r="Q653" i="1"/>
  <c r="Q183" i="1"/>
  <c r="Q133" i="1"/>
  <c r="R133" i="1" s="1"/>
  <c r="Q101" i="1"/>
  <c r="Q81" i="1"/>
  <c r="Q65" i="1"/>
  <c r="Q228" i="1"/>
  <c r="Q2023" i="1"/>
  <c r="R2041" i="1"/>
  <c r="Q1794" i="1"/>
  <c r="R1794" i="1" s="1"/>
  <c r="R1769" i="1"/>
  <c r="R1567" i="1"/>
  <c r="R1462" i="1"/>
  <c r="R1430" i="1"/>
  <c r="Q1361" i="1"/>
  <c r="R1238" i="1"/>
  <c r="Q1174" i="1"/>
  <c r="R1633" i="1"/>
  <c r="R1518" i="1"/>
  <c r="R1170" i="1"/>
  <c r="Q1110" i="1"/>
  <c r="R1110" i="1" s="1"/>
  <c r="Q1495" i="1"/>
  <c r="Q1138" i="1"/>
  <c r="R1138" i="1" s="1"/>
  <c r="Q1114" i="1"/>
  <c r="R1114" i="1" s="1"/>
  <c r="R1099" i="1"/>
  <c r="R1118" i="1"/>
  <c r="R1161" i="1"/>
  <c r="Q921" i="1"/>
  <c r="R921" i="1" s="1"/>
  <c r="Q1134" i="1"/>
  <c r="R1134" i="1" s="1"/>
  <c r="Q851" i="1"/>
  <c r="Q769" i="1"/>
  <c r="Q737" i="1"/>
  <c r="Q697" i="1"/>
  <c r="R697" i="1" s="1"/>
  <c r="Q667" i="1"/>
  <c r="Q576" i="1"/>
  <c r="Q384" i="1"/>
  <c r="Q368" i="1"/>
  <c r="R368" i="1" s="1"/>
  <c r="S368" i="1" s="1"/>
  <c r="Q395" i="1"/>
  <c r="Q1107" i="1"/>
  <c r="R1107" i="1" s="1"/>
  <c r="Q257" i="1"/>
  <c r="Q230" i="1"/>
  <c r="R639" i="1"/>
  <c r="Q273" i="1"/>
  <c r="Q2034" i="1"/>
  <c r="R1775" i="1"/>
  <c r="Q1778" i="1"/>
  <c r="R1506" i="1"/>
  <c r="R1458" i="1"/>
  <c r="R1526" i="1"/>
  <c r="Q1541" i="1"/>
  <c r="R1541" i="1" s="1"/>
  <c r="Q1493" i="1"/>
  <c r="R1493" i="1" s="1"/>
  <c r="Q1477" i="1"/>
  <c r="R1477" i="1" s="1"/>
  <c r="R1502" i="1"/>
  <c r="R1206" i="1"/>
  <c r="Q1123" i="1"/>
  <c r="R1123" i="1" s="1"/>
  <c r="R1186" i="1"/>
  <c r="Q1070" i="1"/>
  <c r="Q1054" i="1"/>
  <c r="Q1038" i="1"/>
  <c r="Q1022" i="1"/>
  <c r="Q1006" i="1"/>
  <c r="Q990" i="1"/>
  <c r="Q974" i="1"/>
  <c r="Q958" i="1"/>
  <c r="Q942" i="1"/>
  <c r="Q926" i="1"/>
  <c r="Q910" i="1"/>
  <c r="R910" i="1" s="1"/>
  <c r="Q929" i="1"/>
  <c r="Q1122" i="1"/>
  <c r="Q778" i="1"/>
  <c r="Q846" i="1"/>
  <c r="R913" i="1"/>
  <c r="Q765" i="1"/>
  <c r="R765" i="1" s="1"/>
  <c r="R733" i="1"/>
  <c r="Q818" i="1"/>
  <c r="Q1137" i="1"/>
  <c r="Q528" i="1"/>
  <c r="Q400" i="1"/>
  <c r="Q837" i="1"/>
  <c r="Q407" i="1"/>
  <c r="Q307" i="1"/>
  <c r="R1105" i="1"/>
  <c r="R860" i="1"/>
  <c r="Q244" i="1"/>
  <c r="Q201" i="1"/>
  <c r="R201" i="1" s="1"/>
  <c r="S201" i="1" s="1"/>
  <c r="L2931" i="1"/>
  <c r="R2001" i="1"/>
  <c r="S2001" i="1" s="1"/>
  <c r="Q1754" i="1"/>
  <c r="R1754" i="1" s="1"/>
  <c r="Q1409" i="1"/>
  <c r="Q1345" i="1"/>
  <c r="R1345" i="1" s="1"/>
  <c r="R1367" i="1"/>
  <c r="R1422" i="1"/>
  <c r="R1218" i="1"/>
  <c r="R1202" i="1"/>
  <c r="R1154" i="1"/>
  <c r="R1663" i="1"/>
  <c r="R1486" i="1"/>
  <c r="Q1091" i="1"/>
  <c r="R1132" i="1"/>
  <c r="Q1543" i="1"/>
  <c r="R1543" i="1" s="1"/>
  <c r="Q1479" i="1"/>
  <c r="R1234" i="1"/>
  <c r="Q1151" i="1"/>
  <c r="R1133" i="1"/>
  <c r="R1158" i="1"/>
  <c r="R1471" i="1"/>
  <c r="R1086" i="1"/>
  <c r="R1226" i="1"/>
  <c r="R1194" i="1"/>
  <c r="Q1149" i="1"/>
  <c r="R1109" i="1"/>
  <c r="R914" i="1"/>
  <c r="Q779" i="1"/>
  <c r="R924" i="1"/>
  <c r="Q782" i="1"/>
  <c r="R782" i="1" s="1"/>
  <c r="Q1103" i="1"/>
  <c r="Q1127" i="1"/>
  <c r="R1050" i="1"/>
  <c r="R716" i="1"/>
  <c r="Q592" i="1"/>
  <c r="Q416" i="1"/>
  <c r="Q363" i="1"/>
  <c r="Q631" i="1"/>
  <c r="Q172" i="1"/>
  <c r="R1490" i="1"/>
  <c r="Q1416" i="1"/>
  <c r="R1416" i="1" s="1"/>
  <c r="R1510" i="1"/>
  <c r="Q1553" i="1"/>
  <c r="R1553" i="1" s="1"/>
  <c r="R1530" i="1"/>
  <c r="R1418" i="1"/>
  <c r="Q1395" i="1"/>
  <c r="Q1146" i="1"/>
  <c r="R1146" i="1" s="1"/>
  <c r="Q1111" i="1"/>
  <c r="Q1130" i="1"/>
  <c r="R1130" i="1" s="1"/>
  <c r="Q1082" i="1"/>
  <c r="Q1066" i="1"/>
  <c r="Q1034" i="1"/>
  <c r="Q1018" i="1"/>
  <c r="R1002" i="1"/>
  <c r="Q986" i="1"/>
  <c r="Q970" i="1"/>
  <c r="Q954" i="1"/>
  <c r="Q938" i="1"/>
  <c r="Q922" i="1"/>
  <c r="R906" i="1"/>
  <c r="R1214" i="1"/>
  <c r="R1182" i="1"/>
  <c r="Q953" i="1"/>
  <c r="R1046" i="1"/>
  <c r="Q887" i="1"/>
  <c r="R1042" i="1"/>
  <c r="R1010" i="1"/>
  <c r="R843" i="1"/>
  <c r="R654" i="1"/>
  <c r="Q1095" i="1"/>
  <c r="R1095" i="1" s="1"/>
  <c r="R847" i="1"/>
  <c r="Q1090" i="1"/>
  <c r="Q701" i="1"/>
  <c r="R701" i="1" s="1"/>
  <c r="R789" i="1"/>
  <c r="Q684" i="1"/>
  <c r="R684" i="1" s="1"/>
  <c r="Q544" i="1"/>
  <c r="Q480" i="1"/>
  <c r="Q464" i="1"/>
  <c r="Q448" i="1"/>
  <c r="Q432" i="1"/>
  <c r="Q375" i="1"/>
  <c r="Q886" i="1"/>
  <c r="Q795" i="1"/>
  <c r="R795" i="1" s="1"/>
  <c r="Q215" i="1"/>
  <c r="Q648" i="1"/>
  <c r="R905" i="1"/>
  <c r="Q807" i="1"/>
  <c r="R807" i="1" s="1"/>
  <c r="Q850" i="1"/>
  <c r="R850" i="1" s="1"/>
  <c r="R707" i="1"/>
  <c r="R324" i="1"/>
  <c r="S324" i="1" s="1"/>
  <c r="Q839" i="1"/>
  <c r="R755" i="1"/>
  <c r="R723" i="1"/>
  <c r="R354" i="1"/>
  <c r="Q217" i="1"/>
  <c r="R217" i="1" s="1"/>
  <c r="S217" i="1" s="1"/>
  <c r="Q149" i="1"/>
  <c r="R683" i="1"/>
  <c r="R410" i="1"/>
  <c r="Q212" i="1"/>
  <c r="R212" i="1" s="1"/>
  <c r="S212" i="1" s="1"/>
  <c r="Q153" i="1"/>
  <c r="Q137" i="1"/>
  <c r="R516" i="1"/>
  <c r="R484" i="1"/>
  <c r="S484" i="1" s="1"/>
  <c r="R438" i="1"/>
  <c r="S438" i="1" s="1"/>
  <c r="Q391" i="1"/>
  <c r="R177" i="1"/>
  <c r="R753" i="1"/>
  <c r="R408" i="1"/>
  <c r="S408" i="1" s="1"/>
  <c r="R359" i="1"/>
  <c r="S359" i="1" s="1"/>
  <c r="R238" i="1"/>
  <c r="S238" i="1" s="1"/>
  <c r="Q150" i="1"/>
  <c r="R150" i="1" s="1"/>
  <c r="Q443" i="1"/>
  <c r="R443" i="1" s="1"/>
  <c r="R140" i="1"/>
  <c r="Q292" i="1"/>
  <c r="R292" i="1" s="1"/>
  <c r="S292" i="1" s="1"/>
  <c r="R108" i="1"/>
  <c r="Q68" i="1"/>
  <c r="Q232" i="1"/>
  <c r="R85" i="1"/>
  <c r="Q224" i="1"/>
  <c r="R224" i="1" s="1"/>
  <c r="S224" i="1" s="1"/>
  <c r="R105" i="1"/>
  <c r="Q208" i="1"/>
  <c r="R208" i="1" s="1"/>
  <c r="R80" i="1"/>
  <c r="R610" i="1"/>
  <c r="R386" i="1"/>
  <c r="S386" i="1" s="1"/>
  <c r="Q216" i="1"/>
  <c r="Q184" i="1"/>
  <c r="Q276" i="1"/>
  <c r="Q810" i="1"/>
  <c r="R810" i="1" s="1"/>
  <c r="R342" i="1"/>
  <c r="S342" i="1" s="1"/>
  <c r="Q451" i="1"/>
  <c r="R451" i="1" s="1"/>
  <c r="S451" i="1" s="1"/>
  <c r="R402" i="1"/>
  <c r="S402" i="1" s="1"/>
  <c r="Q674" i="1"/>
  <c r="R674" i="1" s="1"/>
  <c r="R614" i="1"/>
  <c r="Q197" i="1"/>
  <c r="R197" i="1" s="1"/>
  <c r="S197" i="1" s="1"/>
  <c r="R436" i="1"/>
  <c r="S436" i="1" s="1"/>
  <c r="Q379" i="1"/>
  <c r="R379" i="1" s="1"/>
  <c r="S379" i="1" s="1"/>
  <c r="Q156" i="1"/>
  <c r="R156" i="1" s="1"/>
  <c r="Q180" i="1"/>
  <c r="R100" i="1"/>
  <c r="R134" i="1"/>
  <c r="R1283" i="1"/>
  <c r="R783" i="1"/>
  <c r="R949" i="1"/>
  <c r="Q821" i="1"/>
  <c r="R821" i="1" s="1"/>
  <c r="Q933" i="1"/>
  <c r="R933" i="1" s="1"/>
  <c r="R868" i="1"/>
  <c r="R809" i="1"/>
  <c r="R725" i="1"/>
  <c r="Q638" i="1"/>
  <c r="R638" i="1" s="1"/>
  <c r="R663" i="1"/>
  <c r="R751" i="1"/>
  <c r="R675" i="1"/>
  <c r="R686" i="1"/>
  <c r="R540" i="1"/>
  <c r="R492" i="1"/>
  <c r="R351" i="1"/>
  <c r="S351" i="1" s="1"/>
  <c r="R164" i="1"/>
  <c r="R428" i="1"/>
  <c r="S428" i="1" s="1"/>
  <c r="R536" i="1"/>
  <c r="S536" i="1" s="1"/>
  <c r="R424" i="1"/>
  <c r="R356" i="1"/>
  <c r="S356" i="1" s="1"/>
  <c r="Q300" i="1"/>
  <c r="R93" i="1"/>
  <c r="R532" i="1"/>
  <c r="S532" i="1" s="1"/>
  <c r="R468" i="1"/>
  <c r="R231" i="1"/>
  <c r="S231" i="1" s="1"/>
  <c r="Q205" i="1"/>
  <c r="R205" i="1" s="1"/>
  <c r="S205" i="1" s="1"/>
  <c r="R188" i="1"/>
  <c r="S188" i="1" s="1"/>
  <c r="R836" i="1"/>
  <c r="R348" i="1"/>
  <c r="Q265" i="1"/>
  <c r="R265" i="1" s="1"/>
  <c r="R210" i="1"/>
  <c r="S210" i="1" s="1"/>
  <c r="R195" i="1"/>
  <c r="S195" i="1" s="1"/>
  <c r="R163" i="1"/>
  <c r="Q383" i="1"/>
  <c r="R383" i="1" s="1"/>
  <c r="S383" i="1" s="1"/>
  <c r="Q166" i="1"/>
  <c r="R166" i="1" s="1"/>
  <c r="R323" i="1"/>
  <c r="S323" i="1" s="1"/>
  <c r="Q225" i="1"/>
  <c r="R225" i="1" s="1"/>
  <c r="S225" i="1" s="1"/>
  <c r="Q167" i="1"/>
  <c r="R167" i="1" s="1"/>
  <c r="R77" i="1"/>
  <c r="R121" i="1"/>
  <c r="Q312" i="1"/>
  <c r="R125" i="1"/>
  <c r="R88" i="1"/>
  <c r="Q173" i="1"/>
  <c r="Q92" i="1"/>
  <c r="R92" i="1" s="1"/>
  <c r="R97" i="1"/>
  <c r="R60" i="1"/>
  <c r="R1119" i="1"/>
  <c r="Q874" i="1"/>
  <c r="R874" i="1" s="1"/>
  <c r="R1304" i="1"/>
  <c r="R866" i="1"/>
  <c r="R840" i="1"/>
  <c r="R817" i="1"/>
  <c r="R858" i="1"/>
  <c r="R744" i="1"/>
  <c r="R712" i="1"/>
  <c r="R711" i="1"/>
  <c r="R649" i="1"/>
  <c r="R629" i="1"/>
  <c r="R720" i="1"/>
  <c r="R572" i="1"/>
  <c r="R556" i="1"/>
  <c r="R508" i="1"/>
  <c r="Q749" i="1"/>
  <c r="R749" i="1" s="1"/>
  <c r="R719" i="1"/>
  <c r="Q696" i="1"/>
  <c r="R696" i="1" s="1"/>
  <c r="R699" i="1"/>
  <c r="Q662" i="1"/>
  <c r="R662" i="1" s="1"/>
  <c r="R732" i="1"/>
  <c r="R709" i="1"/>
  <c r="Q676" i="1"/>
  <c r="R676" i="1" s="1"/>
  <c r="R418" i="1"/>
  <c r="S418" i="1" s="1"/>
  <c r="Q371" i="1"/>
  <c r="R371" i="1" s="1"/>
  <c r="S371" i="1" s="1"/>
  <c r="Q308" i="1"/>
  <c r="R308" i="1" s="1"/>
  <c r="S308" i="1" s="1"/>
  <c r="Q194" i="1"/>
  <c r="Q181" i="1"/>
  <c r="R139" i="1"/>
  <c r="R584" i="1"/>
  <c r="R504" i="1"/>
  <c r="S504" i="1" s="1"/>
  <c r="R414" i="1"/>
  <c r="S414" i="1" s="1"/>
  <c r="Q367" i="1"/>
  <c r="R367" i="1" s="1"/>
  <c r="S367" i="1" s="1"/>
  <c r="R293" i="1"/>
  <c r="S293" i="1" s="1"/>
  <c r="Q280" i="1"/>
  <c r="R280" i="1" s="1"/>
  <c r="R239" i="1"/>
  <c r="Q152" i="1"/>
  <c r="R152" i="1" s="1"/>
  <c r="R346" i="1"/>
  <c r="S346" i="1" s="1"/>
  <c r="R203" i="1"/>
  <c r="S203" i="1" s="1"/>
  <c r="R580" i="1"/>
  <c r="Q455" i="1"/>
  <c r="R455" i="1" s="1"/>
  <c r="R374" i="1"/>
  <c r="S374" i="1" s="1"/>
  <c r="Q327" i="1"/>
  <c r="R327" i="1" s="1"/>
  <c r="Q214" i="1"/>
  <c r="R214" i="1" s="1"/>
  <c r="S214" i="1" s="1"/>
  <c r="R187" i="1"/>
  <c r="S187" i="1" s="1"/>
  <c r="R444" i="1"/>
  <c r="S444" i="1" s="1"/>
  <c r="Q387" i="1"/>
  <c r="R387" i="1" s="1"/>
  <c r="S387" i="1" s="1"/>
  <c r="R338" i="1"/>
  <c r="S338" i="1" s="1"/>
  <c r="R295" i="1"/>
  <c r="S295" i="1" s="1"/>
  <c r="R242" i="1"/>
  <c r="S242" i="1" s="1"/>
  <c r="R423" i="1"/>
  <c r="S423" i="1" s="1"/>
  <c r="R344" i="1"/>
  <c r="Q247" i="1"/>
  <c r="R247" i="1" s="1"/>
  <c r="S247" i="1" s="1"/>
  <c r="Q229" i="1"/>
  <c r="R229" i="1" s="1"/>
  <c r="S229" i="1" s="1"/>
  <c r="R602" i="1"/>
  <c r="R419" i="1"/>
  <c r="R372" i="1"/>
  <c r="S372" i="1" s="1"/>
  <c r="R316" i="1"/>
  <c r="Q289" i="1"/>
  <c r="R289" i="1" s="1"/>
  <c r="S289" i="1" s="1"/>
  <c r="Q243" i="1"/>
  <c r="R243" i="1" s="1"/>
  <c r="S243" i="1" s="1"/>
  <c r="R116" i="1"/>
  <c r="R96" i="1"/>
  <c r="R117" i="1"/>
  <c r="R129" i="1"/>
  <c r="Q64" i="1"/>
  <c r="R835" i="1"/>
  <c r="R777" i="1"/>
  <c r="R700" i="1"/>
  <c r="Q811" i="1"/>
  <c r="R811" i="1" s="1"/>
  <c r="Q717" i="1"/>
  <c r="R759" i="1"/>
  <c r="R456" i="1"/>
  <c r="S456" i="1" s="1"/>
  <c r="R328" i="1"/>
  <c r="S328" i="1" s="1"/>
  <c r="Q213" i="1"/>
  <c r="R213" i="1" s="1"/>
  <c r="S213" i="1" s="1"/>
  <c r="R466" i="1"/>
  <c r="S466" i="1" s="1"/>
  <c r="R388" i="1"/>
  <c r="S388" i="1" s="1"/>
  <c r="R500" i="1"/>
  <c r="S500" i="1" s="1"/>
  <c r="R434" i="1"/>
  <c r="S434" i="1" s="1"/>
  <c r="R274" i="1"/>
  <c r="S274" i="1" s="1"/>
  <c r="Q787" i="1"/>
  <c r="Q415" i="1"/>
  <c r="R415" i="1" s="1"/>
  <c r="S415" i="1" s="1"/>
  <c r="Q681" i="1"/>
  <c r="R681" i="1" s="1"/>
  <c r="R120" i="1"/>
  <c r="Q148" i="1"/>
  <c r="R73" i="1"/>
  <c r="R112" i="1"/>
  <c r="R896" i="1"/>
  <c r="R799" i="1"/>
  <c r="R1088" i="1"/>
  <c r="R862" i="1"/>
  <c r="R890" i="1"/>
  <c r="R825" i="1"/>
  <c r="Q894" i="1"/>
  <c r="R1120" i="1"/>
  <c r="R771" i="1"/>
  <c r="R632" i="1"/>
  <c r="Q897" i="1"/>
  <c r="R897" i="1" s="1"/>
  <c r="Q786" i="1"/>
  <c r="R786" i="1" s="1"/>
  <c r="R747" i="1"/>
  <c r="R715" i="1"/>
  <c r="R672" i="1"/>
  <c r="R392" i="1"/>
  <c r="S392" i="1" s="1"/>
  <c r="Q760" i="1"/>
  <c r="R760" i="1" s="1"/>
  <c r="Q834" i="1"/>
  <c r="R728" i="1"/>
  <c r="R727" i="1"/>
  <c r="R695" i="1"/>
  <c r="R685" i="1"/>
  <c r="Q669" i="1"/>
  <c r="R524" i="1"/>
  <c r="R450" i="1"/>
  <c r="S450" i="1" s="1"/>
  <c r="R322" i="1"/>
  <c r="Q258" i="1"/>
  <c r="R220" i="1"/>
  <c r="S220" i="1" s="1"/>
  <c r="Q165" i="1"/>
  <c r="R552" i="1"/>
  <c r="R446" i="1"/>
  <c r="S446" i="1" s="1"/>
  <c r="Q399" i="1"/>
  <c r="R399" i="1" s="1"/>
  <c r="S399" i="1" s="1"/>
  <c r="R234" i="1"/>
  <c r="S234" i="1" s="1"/>
  <c r="Q222" i="1"/>
  <c r="R222" i="1" s="1"/>
  <c r="S222" i="1" s="1"/>
  <c r="R174" i="1"/>
  <c r="R151" i="1"/>
  <c r="R378" i="1"/>
  <c r="R310" i="1"/>
  <c r="R267" i="1"/>
  <c r="S267" i="1" s="1"/>
  <c r="R250" i="1"/>
  <c r="S250" i="1" s="1"/>
  <c r="Q185" i="1"/>
  <c r="R185" i="1" s="1"/>
  <c r="S185" i="1" s="1"/>
  <c r="R548" i="1"/>
  <c r="R406" i="1"/>
  <c r="S406" i="1" s="1"/>
  <c r="R380" i="1"/>
  <c r="Q772" i="1"/>
  <c r="R772" i="1" s="1"/>
  <c r="R376" i="1"/>
  <c r="S376" i="1" s="1"/>
  <c r="R304" i="1"/>
  <c r="S304" i="1" s="1"/>
  <c r="Q261" i="1"/>
  <c r="R261" i="1" s="1"/>
  <c r="R206" i="1"/>
  <c r="S206" i="1" s="1"/>
  <c r="Q182" i="1"/>
  <c r="R182" i="1" s="1"/>
  <c r="R260" i="1"/>
  <c r="S260" i="1" s="1"/>
  <c r="Q192" i="1"/>
  <c r="R192" i="1" s="1"/>
  <c r="S192" i="1" s="1"/>
  <c r="R128" i="1"/>
  <c r="R113" i="1"/>
  <c r="Q141" i="1"/>
  <c r="R141" i="1" s="1"/>
  <c r="Q272" i="1"/>
  <c r="R272" i="1" s="1"/>
  <c r="S272" i="1" s="1"/>
  <c r="R124" i="1"/>
  <c r="R1299" i="1"/>
  <c r="R1264" i="1"/>
  <c r="R1092" i="1"/>
  <c r="R1168" i="1"/>
  <c r="R797" i="1"/>
  <c r="R878" i="1"/>
  <c r="R861" i="1"/>
  <c r="Q814" i="1"/>
  <c r="R814" i="1" s="1"/>
  <c r="R857" i="1"/>
  <c r="R815" i="1"/>
  <c r="R916" i="1"/>
  <c r="R833" i="1"/>
  <c r="R912" i="1"/>
  <c r="R867" i="1"/>
  <c r="R767" i="1"/>
  <c r="Q708" i="1"/>
  <c r="R656" i="1"/>
  <c r="R644" i="1"/>
  <c r="R665" i="1"/>
  <c r="R703" i="1"/>
  <c r="Q740" i="1"/>
  <c r="R460" i="1"/>
  <c r="S460" i="1" s="1"/>
  <c r="R364" i="1"/>
  <c r="S364" i="1" s="1"/>
  <c r="R305" i="1"/>
  <c r="Q660" i="1"/>
  <c r="R598" i="1"/>
  <c r="R520" i="1"/>
  <c r="S520" i="1" s="1"/>
  <c r="R488" i="1"/>
  <c r="S488" i="1" s="1"/>
  <c r="R360" i="1"/>
  <c r="S360" i="1" s="1"/>
  <c r="Q248" i="1"/>
  <c r="R248" i="1" s="1"/>
  <c r="R207" i="1"/>
  <c r="S207" i="1" s="1"/>
  <c r="Q168" i="1"/>
  <c r="R168" i="1" s="1"/>
  <c r="R618" i="1"/>
  <c r="R562" i="1"/>
  <c r="R420" i="1"/>
  <c r="S420" i="1" s="1"/>
  <c r="R262" i="1"/>
  <c r="S262" i="1" s="1"/>
  <c r="Q169" i="1"/>
  <c r="R169" i="1" s="1"/>
  <c r="R109" i="1"/>
  <c r="Q803" i="1"/>
  <c r="R357" i="1"/>
  <c r="S357" i="1" s="1"/>
  <c r="R294" i="1"/>
  <c r="S294" i="1" s="1"/>
  <c r="R240" i="1"/>
  <c r="S240" i="1" s="1"/>
  <c r="R370" i="1"/>
  <c r="S370" i="1" s="1"/>
  <c r="R179" i="1"/>
  <c r="R147" i="1"/>
  <c r="R404" i="1"/>
  <c r="Q193" i="1"/>
  <c r="R193" i="1" s="1"/>
  <c r="S193" i="1" s="1"/>
  <c r="Q157" i="1"/>
  <c r="R157" i="1" s="1"/>
  <c r="R89" i="1"/>
  <c r="R69" i="1"/>
  <c r="R61" i="1"/>
  <c r="R57" i="1"/>
  <c r="S57" i="1" s="1"/>
  <c r="R3065" i="1" l="1"/>
  <c r="S3065" i="1" s="1"/>
  <c r="R3199" i="1"/>
  <c r="S3199" i="1" s="1"/>
  <c r="R2963" i="1"/>
  <c r="S2963" i="1" s="1"/>
  <c r="R3025" i="1"/>
  <c r="S3025" i="1" s="1"/>
  <c r="R3101" i="1"/>
  <c r="S3101" i="1" s="1"/>
  <c r="R3178" i="1"/>
  <c r="S3178" i="1" s="1"/>
  <c r="R3073" i="1"/>
  <c r="S3073" i="1" s="1"/>
  <c r="R3081" i="1"/>
  <c r="S3081" i="1" s="1"/>
  <c r="R1875" i="1"/>
  <c r="R1970" i="1"/>
  <c r="R2716" i="1"/>
  <c r="S2716" i="1" s="1"/>
  <c r="R2735" i="1"/>
  <c r="S2735" i="1" s="1"/>
  <c r="R2740" i="1"/>
  <c r="S2740" i="1" s="1"/>
  <c r="R2677" i="1"/>
  <c r="S2677" i="1" s="1"/>
  <c r="R1949" i="1"/>
  <c r="R2669" i="1"/>
  <c r="S2669" i="1" s="1"/>
  <c r="R1320" i="1"/>
  <c r="R1961" i="1"/>
  <c r="R2719" i="1"/>
  <c r="S2719" i="1" s="1"/>
  <c r="R2658" i="1"/>
  <c r="S2658" i="1" s="1"/>
  <c r="R56" i="1"/>
  <c r="S56" i="1" s="1"/>
  <c r="R1983" i="1"/>
  <c r="R2722" i="1"/>
  <c r="S2722" i="1" s="1"/>
  <c r="R2671" i="1"/>
  <c r="S2671" i="1" s="1"/>
  <c r="R2685" i="1"/>
  <c r="S2685" i="1" s="1"/>
  <c r="R2637" i="1"/>
  <c r="R2647" i="1"/>
  <c r="R2736" i="1"/>
  <c r="S2736" i="1" s="1"/>
  <c r="R2681" i="1"/>
  <c r="S2681" i="1" s="1"/>
  <c r="R2695" i="1"/>
  <c r="S2695" i="1" s="1"/>
  <c r="R2741" i="1"/>
  <c r="S2741" i="1" s="1"/>
  <c r="R2632" i="1"/>
  <c r="R1871" i="1"/>
  <c r="R3149" i="1"/>
  <c r="S3149" i="1" s="1"/>
  <c r="R3165" i="1"/>
  <c r="S3165" i="1" s="1"/>
  <c r="R3159" i="1"/>
  <c r="S3159" i="1" s="1"/>
  <c r="R1939" i="1"/>
  <c r="R1932" i="1"/>
  <c r="R2725" i="1"/>
  <c r="S2725" i="1" s="1"/>
  <c r="R3057" i="1"/>
  <c r="S3057" i="1" s="1"/>
  <c r="R3103" i="1"/>
  <c r="S3103" i="1" s="1"/>
  <c r="R3207" i="1"/>
  <c r="S3207" i="1" s="1"/>
  <c r="R2985" i="1"/>
  <c r="S2985" i="1" s="1"/>
  <c r="R3191" i="1"/>
  <c r="S3191" i="1" s="1"/>
  <c r="R3038" i="1"/>
  <c r="S3038" i="1" s="1"/>
  <c r="R2644" i="1"/>
  <c r="R2660" i="1"/>
  <c r="S2660" i="1" s="1"/>
  <c r="R2724" i="1"/>
  <c r="S2724" i="1" s="1"/>
  <c r="R3054" i="1"/>
  <c r="S3054" i="1" s="1"/>
  <c r="R1917" i="1"/>
  <c r="R1989" i="1"/>
  <c r="R1974" i="1"/>
  <c r="R1965" i="1"/>
  <c r="R1890" i="1"/>
  <c r="R1933" i="1"/>
  <c r="R1995" i="1"/>
  <c r="R1927" i="1"/>
  <c r="R1980" i="1"/>
  <c r="R1993" i="1"/>
  <c r="R1964" i="1"/>
  <c r="R1901" i="1"/>
  <c r="R1921" i="1"/>
  <c r="R1950" i="1"/>
  <c r="R1919" i="1"/>
  <c r="R1973" i="1"/>
  <c r="R1897" i="1"/>
  <c r="R1975" i="1"/>
  <c r="R1920" i="1"/>
  <c r="R1937" i="1"/>
  <c r="R1948" i="1"/>
  <c r="R1918" i="1"/>
  <c r="R1865" i="1"/>
  <c r="R1934" i="1"/>
  <c r="R1931" i="1"/>
  <c r="R1907" i="1"/>
  <c r="R1978" i="1"/>
  <c r="R1943" i="1"/>
  <c r="R1935" i="1"/>
  <c r="R1909" i="1"/>
  <c r="R1952" i="1"/>
  <c r="R1881" i="1"/>
  <c r="R1981" i="1"/>
  <c r="R1984" i="1"/>
  <c r="R1960" i="1"/>
  <c r="R1900" i="1"/>
  <c r="R1985" i="1"/>
  <c r="R1884" i="1"/>
  <c r="R1971" i="1"/>
  <c r="R1878" i="1"/>
  <c r="R1908" i="1"/>
  <c r="R1928" i="1"/>
  <c r="R1868" i="1"/>
  <c r="R1968" i="1"/>
  <c r="R1951" i="1"/>
  <c r="R1888" i="1"/>
  <c r="R1988" i="1"/>
  <c r="R1893" i="1"/>
  <c r="R1885" i="1"/>
  <c r="R1969" i="1"/>
  <c r="R1986" i="1"/>
  <c r="R1913" i="1"/>
  <c r="R1903" i="1"/>
  <c r="D17" i="1"/>
  <c r="R1925" i="1"/>
  <c r="R1894" i="1"/>
  <c r="R1926" i="1"/>
  <c r="R1866" i="1"/>
  <c r="R1990" i="1"/>
  <c r="R1967" i="1"/>
  <c r="R1891" i="1"/>
  <c r="R1870" i="1"/>
  <c r="R1883" i="1"/>
  <c r="R1887" i="1"/>
  <c r="R1916" i="1"/>
  <c r="R1972" i="1"/>
  <c r="R1987" i="1"/>
  <c r="R1956" i="1"/>
  <c r="R1910" i="1"/>
  <c r="R1892" i="1"/>
  <c r="R1938" i="1"/>
  <c r="R1962" i="1"/>
  <c r="R1880" i="1"/>
  <c r="R1874" i="1"/>
  <c r="R1982" i="1"/>
  <c r="R1953" i="1"/>
  <c r="R1889" i="1"/>
  <c r="R1945" i="1"/>
  <c r="R1922" i="1"/>
  <c r="R1957" i="1"/>
  <c r="R1940" i="1"/>
  <c r="R1946" i="1"/>
  <c r="R1876" i="1"/>
  <c r="R1873" i="1"/>
  <c r="R1930" i="1"/>
  <c r="R1911" i="1"/>
  <c r="R1906" i="1"/>
  <c r="R1879" i="1"/>
  <c r="R1929" i="1"/>
  <c r="R1898" i="1"/>
  <c r="R1941" i="1"/>
  <c r="R1944" i="1"/>
  <c r="R1977" i="1"/>
  <c r="R1947" i="1"/>
  <c r="R1902" i="1"/>
  <c r="R1979" i="1"/>
  <c r="R1896" i="1"/>
  <c r="D25" i="1"/>
  <c r="D26" i="1"/>
  <c r="D27" i="1"/>
  <c r="R1702" i="1"/>
  <c r="R1924" i="1"/>
  <c r="R1680" i="1"/>
  <c r="R1611" i="1"/>
  <c r="R1631" i="1"/>
  <c r="R2289" i="1"/>
  <c r="R1351" i="1"/>
  <c r="R2388" i="1"/>
  <c r="R315" i="1"/>
  <c r="S315" i="1" s="1"/>
  <c r="R1595" i="1"/>
  <c r="R879" i="1"/>
  <c r="R863" i="1"/>
  <c r="R2610" i="1"/>
  <c r="R347" i="1"/>
  <c r="S347" i="1" s="1"/>
  <c r="R403" i="1"/>
  <c r="S403" i="1" s="1"/>
  <c r="R281" i="1"/>
  <c r="S281" i="1" s="1"/>
  <c r="R658" i="1"/>
  <c r="R539" i="1"/>
  <c r="S539" i="1" s="1"/>
  <c r="R286" i="1"/>
  <c r="S286" i="1" s="1"/>
  <c r="R296" i="1"/>
  <c r="R445" i="1"/>
  <c r="R872" i="1"/>
  <c r="R2730" i="1"/>
  <c r="S2730" i="1" s="1"/>
  <c r="R880" i="1"/>
  <c r="R2675" i="1"/>
  <c r="S2675" i="1" s="1"/>
  <c r="R171" i="1"/>
  <c r="R664" i="1"/>
  <c r="R223" i="1"/>
  <c r="S223" i="1" s="1"/>
  <c r="R2310" i="1"/>
  <c r="R1787" i="1"/>
  <c r="R869" i="1"/>
  <c r="R901" i="1"/>
  <c r="R790" i="1"/>
  <c r="R1089" i="1"/>
  <c r="R237" i="1"/>
  <c r="S237" i="1" s="1"/>
  <c r="R687" i="1"/>
  <c r="R268" i="1"/>
  <c r="S268" i="1" s="1"/>
  <c r="R2691" i="1"/>
  <c r="S2691" i="1" s="1"/>
  <c r="R1660" i="1"/>
  <c r="R997" i="1"/>
  <c r="R2022" i="1"/>
  <c r="R219" i="1"/>
  <c r="S219" i="1" s="1"/>
  <c r="R2672" i="1"/>
  <c r="S2672" i="1" s="1"/>
  <c r="R2302" i="1"/>
  <c r="D15" i="1"/>
  <c r="R820" i="1"/>
  <c r="R227" i="1"/>
  <c r="S227" i="1" s="1"/>
  <c r="R290" i="1"/>
  <c r="S290" i="1" s="1"/>
  <c r="R989" i="1"/>
  <c r="D16" i="1"/>
  <c r="R355" i="1"/>
  <c r="S355" i="1" s="1"/>
  <c r="R636" i="1"/>
  <c r="R440" i="1"/>
  <c r="S440" i="1" s="1"/>
  <c r="R748" i="1"/>
  <c r="R659" i="1"/>
  <c r="R849" i="1"/>
  <c r="R176" i="1"/>
  <c r="R2508" i="1"/>
  <c r="R1326" i="1"/>
  <c r="R660" i="1"/>
  <c r="R1479" i="1"/>
  <c r="R775" i="1"/>
  <c r="D28" i="1"/>
  <c r="R3211" i="1"/>
  <c r="S3211" i="1" s="1"/>
  <c r="R3203" i="1"/>
  <c r="S3203" i="1" s="1"/>
  <c r="R798" i="1"/>
  <c r="R752" i="1"/>
  <c r="R1106" i="1"/>
  <c r="R2478" i="1"/>
  <c r="R2294" i="1"/>
  <c r="D21" i="1"/>
  <c r="D23" i="1" s="1"/>
  <c r="R1463" i="1"/>
  <c r="R1338" i="1"/>
  <c r="R1387" i="1"/>
  <c r="R1267" i="1"/>
  <c r="R104" i="1"/>
  <c r="R2491" i="1"/>
  <c r="R721" i="1"/>
  <c r="R1700" i="1"/>
  <c r="R1029" i="1"/>
  <c r="R2098" i="1"/>
  <c r="R2019" i="1"/>
  <c r="R288" i="1"/>
  <c r="S288" i="1" s="1"/>
  <c r="R65" i="1"/>
  <c r="R512" i="1"/>
  <c r="S512" i="1" s="1"/>
  <c r="R918" i="1"/>
  <c r="R2197" i="1"/>
  <c r="R2389" i="1"/>
  <c r="R2646" i="1"/>
  <c r="R1815" i="1"/>
  <c r="R2680" i="1"/>
  <c r="S2680" i="1" s="1"/>
  <c r="R2636" i="1"/>
  <c r="R2062" i="1"/>
  <c r="R2015" i="1"/>
  <c r="R1411" i="1"/>
  <c r="R877" i="1"/>
  <c r="R2350" i="1"/>
  <c r="R413" i="1"/>
  <c r="S413" i="1" s="1"/>
  <c r="R1632" i="1"/>
  <c r="R2602" i="1"/>
  <c r="R1085" i="1"/>
  <c r="R320" i="1"/>
  <c r="R2013" i="1"/>
  <c r="R2026" i="1"/>
  <c r="R1149" i="1"/>
  <c r="R1778" i="1"/>
  <c r="R301" i="1"/>
  <c r="S301" i="1" s="1"/>
  <c r="R806" i="1"/>
  <c r="R2216" i="1"/>
  <c r="R1395" i="1"/>
  <c r="R258" i="1"/>
  <c r="S258" i="1" s="1"/>
  <c r="R2042" i="1"/>
  <c r="R647" i="1"/>
  <c r="R384" i="1"/>
  <c r="S384" i="1" s="1"/>
  <c r="R2023" i="1"/>
  <c r="R1511" i="1"/>
  <c r="R2130" i="1"/>
  <c r="R1545" i="1"/>
  <c r="R717" i="1"/>
  <c r="R1409" i="1"/>
  <c r="R929" i="1"/>
  <c r="R1497" i="1"/>
  <c r="R1774" i="1"/>
  <c r="R1758" i="1"/>
  <c r="Q3087" i="1"/>
  <c r="R1358" i="1"/>
  <c r="R1011" i="1"/>
  <c r="R1127" i="1"/>
  <c r="R244" i="1"/>
  <c r="S244" i="1" s="1"/>
  <c r="R1058" i="1"/>
  <c r="R1045" i="1"/>
  <c r="R1137" i="1"/>
  <c r="R926" i="1"/>
  <c r="R958" i="1"/>
  <c r="R1022" i="1"/>
  <c r="R211" i="1"/>
  <c r="S211" i="1" s="1"/>
  <c r="R395" i="1"/>
  <c r="S395" i="1" s="1"/>
  <c r="R768" i="1"/>
  <c r="R155" i="1"/>
  <c r="D12" i="1"/>
  <c r="R834" i="1"/>
  <c r="R64" i="1"/>
  <c r="R1018" i="1"/>
  <c r="R1103" i="1"/>
  <c r="R1038" i="1"/>
  <c r="R1070" i="1"/>
  <c r="R769" i="1"/>
  <c r="R336" i="1"/>
  <c r="R264" i="1"/>
  <c r="R204" i="1"/>
  <c r="S204" i="1" s="1"/>
  <c r="R154" i="1"/>
  <c r="R708" i="1"/>
  <c r="R375" i="1"/>
  <c r="S375" i="1" s="1"/>
  <c r="R439" i="1"/>
  <c r="S439" i="1" s="1"/>
  <c r="R1094" i="1"/>
  <c r="R803" i="1"/>
  <c r="R165" i="1"/>
  <c r="R312" i="1"/>
  <c r="S312" i="1" s="1"/>
  <c r="R232" i="1"/>
  <c r="S232" i="1" s="1"/>
  <c r="R432" i="1"/>
  <c r="S432" i="1" s="1"/>
  <c r="R464" i="1"/>
  <c r="S464" i="1" s="1"/>
  <c r="R970" i="1"/>
  <c r="R407" i="1"/>
  <c r="R230" i="1"/>
  <c r="S230" i="1" s="1"/>
  <c r="R883" i="1"/>
  <c r="R643" i="1"/>
  <c r="R945" i="1"/>
  <c r="R688" i="1"/>
  <c r="R692" i="1"/>
  <c r="R411" i="1"/>
  <c r="R279" i="1"/>
  <c r="S279" i="1" s="1"/>
  <c r="R842" i="1"/>
  <c r="R669" i="1"/>
  <c r="R839" i="1"/>
  <c r="R215" i="1"/>
  <c r="S215" i="1" s="1"/>
  <c r="R448" i="1"/>
  <c r="S448" i="1" s="1"/>
  <c r="R480" i="1"/>
  <c r="S480" i="1" s="1"/>
  <c r="R1090" i="1"/>
  <c r="R922" i="1"/>
  <c r="R986" i="1"/>
  <c r="R1066" i="1"/>
  <c r="R161" i="1"/>
  <c r="R838" i="1"/>
  <c r="R827" i="1"/>
  <c r="R873" i="1"/>
  <c r="R216" i="1"/>
  <c r="S216" i="1" s="1"/>
  <c r="R181" i="1"/>
  <c r="R1111" i="1"/>
  <c r="R416" i="1"/>
  <c r="R1122" i="1"/>
  <c r="R942" i="1"/>
  <c r="R1054" i="1"/>
  <c r="R576" i="1"/>
  <c r="R737" i="1"/>
  <c r="R81" i="1"/>
  <c r="R978" i="1"/>
  <c r="R1026" i="1"/>
  <c r="R934" i="1"/>
  <c r="R937" i="1"/>
  <c r="R802" i="1"/>
  <c r="R894" i="1"/>
  <c r="R148" i="1"/>
  <c r="D14" i="1"/>
  <c r="R184" i="1"/>
  <c r="R886" i="1"/>
  <c r="R544" i="1"/>
  <c r="S544" i="1" s="1"/>
  <c r="R887" i="1"/>
  <c r="R631" i="1"/>
  <c r="R400" i="1"/>
  <c r="S400" i="1" s="1"/>
  <c r="R818" i="1"/>
  <c r="R778" i="1"/>
  <c r="R990" i="1"/>
  <c r="R273" i="1"/>
  <c r="S273" i="1" s="1"/>
  <c r="R653" i="1"/>
  <c r="R1157" i="1"/>
  <c r="R2030" i="1"/>
  <c r="R2459" i="1"/>
  <c r="R3033" i="1"/>
  <c r="S3033" i="1" s="1"/>
  <c r="Q3219" i="1"/>
  <c r="Q3224" i="1" s="1"/>
  <c r="R180" i="1"/>
  <c r="D18" i="1"/>
  <c r="R851" i="1"/>
  <c r="R2037" i="1"/>
  <c r="R2010" i="1"/>
  <c r="R1347" i="1"/>
  <c r="R2070" i="1"/>
  <c r="R2965" i="1"/>
  <c r="S2965" i="1" s="1"/>
  <c r="R2655" i="1"/>
  <c r="S2655" i="1" s="1"/>
  <c r="R667" i="1"/>
  <c r="D10" i="1"/>
  <c r="R741" i="1"/>
  <c r="R855" i="1"/>
  <c r="R287" i="1"/>
  <c r="S287" i="1" s="1"/>
  <c r="R950" i="1"/>
  <c r="R72" i="1"/>
  <c r="R804" i="1"/>
  <c r="R2028" i="1"/>
  <c r="R2969" i="1"/>
  <c r="S2969" i="1" s="1"/>
  <c r="R3024" i="1"/>
  <c r="S3024" i="1" s="1"/>
  <c r="R68" i="1"/>
  <c r="R740" i="1"/>
  <c r="R194" i="1"/>
  <c r="S194" i="1" s="1"/>
  <c r="D13" i="1"/>
  <c r="R173" i="1"/>
  <c r="R149" i="1"/>
  <c r="R648" i="1"/>
  <c r="R938" i="1"/>
  <c r="R1082" i="1"/>
  <c r="R363" i="1"/>
  <c r="R1151" i="1"/>
  <c r="R528" i="1"/>
  <c r="S528" i="1" s="1"/>
  <c r="R1006" i="1"/>
  <c r="R257" i="1"/>
  <c r="S257" i="1" s="1"/>
  <c r="R1361" i="1"/>
  <c r="R228" i="1"/>
  <c r="S228" i="1" s="1"/>
  <c r="R183" i="1"/>
  <c r="R1087" i="1"/>
  <c r="R764" i="1"/>
  <c r="R646" i="1"/>
  <c r="R496" i="1"/>
  <c r="S496" i="1" s="1"/>
  <c r="R2641" i="1"/>
  <c r="O3087" i="1"/>
  <c r="S3095" i="1"/>
  <c r="D5" i="1"/>
  <c r="R137" i="1"/>
  <c r="D9" i="1"/>
  <c r="R3162" i="1"/>
  <c r="S3162" i="1" s="1"/>
  <c r="O3219" i="1"/>
  <c r="O3224" i="1" s="1"/>
  <c r="R2706" i="1"/>
  <c r="S2706" i="1" s="1"/>
  <c r="R300" i="1"/>
  <c r="S300" i="1" s="1"/>
  <c r="D11" i="1"/>
  <c r="R954" i="1"/>
  <c r="R172" i="1"/>
  <c r="R592" i="1"/>
  <c r="R779" i="1"/>
  <c r="R307" i="1"/>
  <c r="S307" i="1" s="1"/>
  <c r="R837" i="1"/>
  <c r="R974" i="1"/>
  <c r="R2034" i="1"/>
  <c r="R819" i="1"/>
  <c r="R831" i="1"/>
  <c r="R898" i="1"/>
  <c r="R994" i="1"/>
  <c r="R1074" i="1"/>
  <c r="R982" i="1"/>
  <c r="R331" i="1"/>
  <c r="S331" i="1" s="1"/>
  <c r="R893" i="1"/>
  <c r="R2000" i="1"/>
  <c r="S2000" i="1" s="1"/>
  <c r="R276" i="1"/>
  <c r="S276" i="1" s="1"/>
  <c r="R153" i="1"/>
  <c r="R953" i="1"/>
  <c r="R1034" i="1"/>
  <c r="R1091" i="1"/>
  <c r="R846" i="1"/>
  <c r="R1495" i="1"/>
  <c r="R925" i="1"/>
  <c r="R830" i="1"/>
  <c r="R826" i="1"/>
  <c r="R1098" i="1"/>
  <c r="R2046" i="1"/>
  <c r="R2537" i="1"/>
  <c r="R2381" i="1"/>
  <c r="R3107" i="1"/>
  <c r="S3107" i="1" s="1"/>
  <c r="R787" i="1"/>
  <c r="R391" i="1"/>
  <c r="R1174" i="1"/>
  <c r="D7" i="1"/>
  <c r="R101" i="1"/>
  <c r="R1142" i="1"/>
  <c r="R427" i="1"/>
  <c r="R560" i="1"/>
  <c r="R1557" i="1"/>
  <c r="R822" i="1"/>
  <c r="R998" i="1"/>
  <c r="R144" i="1"/>
  <c r="R679" i="1"/>
  <c r="R650" i="1"/>
  <c r="R776" i="1"/>
  <c r="R3021" i="1"/>
  <c r="S3021" i="1" s="1"/>
  <c r="D30" i="1" l="1"/>
  <c r="R3219" i="1"/>
  <c r="S3219" i="1"/>
  <c r="S3224" i="1" s="1"/>
  <c r="R3087" i="1"/>
  <c r="S3087" i="1"/>
  <c r="J2931" i="1" l="1"/>
  <c r="K1290" i="1"/>
  <c r="Q1290" i="1" l="1"/>
  <c r="Q2931" i="1" s="1"/>
  <c r="Q2932" i="1" s="1"/>
  <c r="O2931" i="1"/>
  <c r="O2932" i="1" s="1"/>
  <c r="D8" i="1"/>
  <c r="D19" i="1" s="1"/>
  <c r="D32" i="1" s="1"/>
  <c r="C8" i="1"/>
  <c r="C19" i="1" s="1"/>
  <c r="C32" i="1" s="1"/>
  <c r="K2931" i="1"/>
  <c r="K2932" i="1" s="1"/>
  <c r="R1290" i="1" l="1"/>
  <c r="R2931" i="1" l="1"/>
  <c r="R2932" i="1" s="1"/>
  <c r="R2933" i="1" s="1"/>
  <c r="S2931" i="1"/>
  <c r="S2932" i="1" s="1"/>
  <c r="S2933" i="1" l="1"/>
  <c r="R35" i="6"/>
  <c r="S35" i="6" s="1"/>
  <c r="R1717" i="6"/>
  <c r="R1497" i="6"/>
  <c r="R1587" i="6"/>
  <c r="R1331" i="6"/>
  <c r="R1379" i="6"/>
  <c r="R1401" i="6"/>
  <c r="S1401" i="6" s="1"/>
  <c r="R1741" i="6"/>
  <c r="R1480" i="6"/>
  <c r="R1918" i="6"/>
  <c r="S1918" i="6" s="1"/>
  <c r="R1811" i="6"/>
  <c r="R2066" i="6"/>
  <c r="R1954" i="6"/>
  <c r="S1954" i="6" s="1"/>
  <c r="R1777" i="6"/>
  <c r="R1576" i="6"/>
  <c r="R1908" i="6"/>
  <c r="S1908" i="6" s="1"/>
  <c r="R1785" i="6"/>
  <c r="R1891" i="6"/>
  <c r="S1891" i="6" s="1"/>
  <c r="R1801" i="6"/>
  <c r="R1555" i="6"/>
  <c r="R1793" i="6"/>
  <c r="R1304" i="6"/>
  <c r="S1304" i="6" s="1"/>
  <c r="R1847" i="6"/>
  <c r="S1847" i="6" s="1"/>
  <c r="R1808" i="6"/>
  <c r="R1373" i="6"/>
  <c r="R1197" i="6"/>
  <c r="R1837" i="6"/>
  <c r="S1837" i="6" s="1"/>
  <c r="R1912" i="6"/>
  <c r="S1912" i="6" s="1"/>
  <c r="R1661" i="6"/>
  <c r="R1901" i="6"/>
  <c r="S1901" i="6" s="1"/>
  <c r="R1896" i="6"/>
  <c r="R1915" i="6"/>
  <c r="S1915" i="6" s="1"/>
  <c r="R1443" i="6"/>
  <c r="R1541" i="6"/>
  <c r="R1629" i="6"/>
  <c r="R1300" i="6"/>
  <c r="S1300" i="6" s="1"/>
  <c r="R1953" i="6"/>
  <c r="S1953" i="6" s="1"/>
  <c r="R2013" i="6"/>
  <c r="S2013" i="6" s="1"/>
  <c r="R1739" i="6"/>
  <c r="R1421" i="6"/>
  <c r="R1613" i="6"/>
  <c r="R1348" i="6"/>
  <c r="R1923" i="6"/>
  <c r="S1923" i="6" s="1"/>
  <c r="R1747" i="6"/>
  <c r="R1369" i="6"/>
  <c r="R1368" i="6"/>
  <c r="S1368" i="6" s="1"/>
  <c r="R795" i="6"/>
  <c r="S795" i="6" s="1"/>
  <c r="R1803" i="6"/>
  <c r="R1946" i="6"/>
  <c r="S1946" i="6" s="1"/>
  <c r="R1909" i="6"/>
  <c r="S1909" i="6" s="1"/>
  <c r="R1615" i="6"/>
  <c r="R1867" i="6"/>
  <c r="S1867" i="6" s="1"/>
  <c r="R1225" i="6"/>
  <c r="S1225" i="6" s="1"/>
  <c r="R1947" i="6"/>
  <c r="S1947" i="6" s="1"/>
  <c r="R2186" i="6"/>
  <c r="R1861" i="6"/>
  <c r="S1861" i="6" s="1"/>
  <c r="R1551" i="6"/>
  <c r="R1728" i="6"/>
  <c r="R1460" i="6"/>
  <c r="R1853" i="6"/>
  <c r="S1853" i="6" s="1"/>
  <c r="R1709" i="6"/>
  <c r="R1760" i="6"/>
  <c r="R1737" i="6"/>
  <c r="R1691" i="6"/>
  <c r="R1572" i="6"/>
  <c r="R1353" i="6"/>
  <c r="R1961" i="6"/>
  <c r="S1961" i="6" s="1"/>
  <c r="R747" i="6"/>
  <c r="S747" i="6" s="1"/>
  <c r="R1883" i="6"/>
  <c r="S1883" i="6" s="1"/>
  <c r="R1312" i="6"/>
  <c r="S1312" i="6" s="1"/>
  <c r="R1481" i="6"/>
  <c r="R1798" i="6"/>
  <c r="R1927" i="6"/>
  <c r="S1927" i="6" s="1"/>
  <c r="R1748" i="6"/>
  <c r="R1677" i="6"/>
  <c r="R1701" i="6"/>
  <c r="R1517" i="6"/>
  <c r="R1928" i="6"/>
  <c r="S1928" i="6" s="1"/>
  <c r="R1757" i="6"/>
  <c r="R1687" i="6"/>
  <c r="R1633" i="6"/>
  <c r="R1256" i="6"/>
  <c r="R1560" i="6"/>
  <c r="R1357" i="6"/>
  <c r="S1357" i="6" s="1"/>
  <c r="R1371" i="6"/>
  <c r="R1467" i="6"/>
  <c r="R1652" i="6"/>
  <c r="R2369" i="6"/>
  <c r="R1635" i="6"/>
  <c r="R1659" i="6"/>
  <c r="R1668" i="6"/>
  <c r="R1565" i="6"/>
  <c r="R1922" i="6"/>
  <c r="S1922" i="6" s="1"/>
  <c r="R1783" i="6"/>
  <c r="R1943" i="6"/>
  <c r="S1943" i="6" s="1"/>
  <c r="R1802" i="6"/>
  <c r="R1529" i="6"/>
  <c r="R1743" i="6"/>
  <c r="R1512" i="6"/>
  <c r="R2596" i="6"/>
  <c r="S2596" i="6" s="1"/>
  <c r="R1866" i="6"/>
  <c r="S1866" i="6" s="1"/>
  <c r="R1657" i="6"/>
  <c r="R1950" i="6"/>
  <c r="S1950" i="6" s="1"/>
  <c r="R1968" i="6"/>
  <c r="S1968" i="6" s="1"/>
  <c r="R1885" i="6"/>
  <c r="S1885" i="6" s="1"/>
  <c r="R1269" i="6"/>
  <c r="R1894" i="6"/>
  <c r="S1894" i="6" s="1"/>
  <c r="R1642" i="6"/>
  <c r="R1948" i="6"/>
  <c r="S1948" i="6" s="1"/>
  <c r="R1232" i="6"/>
  <c r="S1232" i="6" s="1"/>
  <c r="R2073" i="6"/>
  <c r="R1614" i="6"/>
  <c r="R1787" i="6"/>
  <c r="R1890" i="6"/>
  <c r="S1890" i="6" s="1"/>
  <c r="R1671" i="6"/>
  <c r="R1874" i="6"/>
  <c r="S1874" i="6" s="1"/>
  <c r="R1518" i="6"/>
  <c r="R1499" i="6"/>
  <c r="R1563" i="6"/>
  <c r="R1209" i="6"/>
  <c r="R1859" i="6"/>
  <c r="S1859" i="6" s="1"/>
  <c r="R1589" i="6"/>
  <c r="R1900" i="6"/>
  <c r="S1900" i="6" s="1"/>
  <c r="R1584" i="6"/>
  <c r="R1767" i="6"/>
  <c r="R1307" i="6"/>
  <c r="S1307" i="6" s="1"/>
  <c r="R1723" i="6"/>
  <c r="R1708" i="6"/>
  <c r="R1196" i="6"/>
  <c r="R1878" i="6"/>
  <c r="R1892" i="6"/>
  <c r="S1892" i="6" s="1"/>
  <c r="R1395" i="6"/>
  <c r="R1951" i="6"/>
  <c r="S1951" i="6" s="1"/>
  <c r="R1523" i="6"/>
  <c r="R1913" i="6"/>
  <c r="S1913" i="6" s="1"/>
  <c r="R1352" i="6"/>
  <c r="R1972" i="6"/>
  <c r="S1972" i="6" s="1"/>
  <c r="R2433" i="6"/>
  <c r="R2040" i="6"/>
  <c r="S2040" i="6" s="1"/>
  <c r="R2337" i="6"/>
  <c r="R2559" i="6"/>
  <c r="R1594" i="6"/>
  <c r="R1266" i="6"/>
  <c r="R1816" i="6"/>
  <c r="R1609" i="6"/>
  <c r="R2025" i="6"/>
  <c r="S2025" i="6" s="1"/>
  <c r="R1277" i="6"/>
  <c r="R1475" i="6"/>
  <c r="R1937" i="6"/>
  <c r="S1937" i="6" s="1"/>
  <c r="R1925" i="6"/>
  <c r="S1925" i="6" s="1"/>
  <c r="R1433" i="6"/>
  <c r="R1649" i="6"/>
  <c r="R1619" i="6"/>
  <c r="R1545" i="6"/>
  <c r="R1917" i="6"/>
  <c r="R1899" i="6"/>
  <c r="S1899" i="6" s="1"/>
  <c r="R1724" i="6"/>
  <c r="R1906" i="6"/>
  <c r="S1906" i="6" s="1"/>
  <c r="R1627" i="6"/>
  <c r="R1776" i="6"/>
  <c r="R1212" i="6"/>
  <c r="S1212" i="6" s="1"/>
  <c r="R1341" i="6"/>
  <c r="R2603" i="6"/>
  <c r="S2603" i="6" s="1"/>
  <c r="R1765" i="6"/>
  <c r="R1697" i="6"/>
  <c r="R1921" i="6"/>
  <c r="S1921" i="6" s="1"/>
  <c r="R1201" i="6"/>
  <c r="S1201" i="6" s="1"/>
  <c r="R1483" i="6"/>
  <c r="R1863" i="6"/>
  <c r="R1620" i="6"/>
  <c r="R1702" i="6"/>
  <c r="R1571" i="6"/>
  <c r="R1815" i="6"/>
  <c r="R1223" i="6"/>
  <c r="S1223" i="6" s="1"/>
  <c r="R1941" i="6"/>
  <c r="S1941" i="6" s="1"/>
  <c r="R1067" i="6"/>
  <c r="R1957" i="6"/>
  <c r="S1957" i="6" s="1"/>
  <c r="R1924" i="6"/>
  <c r="S1924" i="6" s="1"/>
  <c r="R1855" i="6"/>
  <c r="S1855" i="6" s="1"/>
  <c r="R1394" i="6"/>
  <c r="R1259" i="6"/>
  <c r="R1944" i="6"/>
  <c r="S1944" i="6" s="1"/>
  <c r="R1769" i="6"/>
  <c r="R1624" i="6"/>
  <c r="R2478" i="6"/>
  <c r="R1877" i="6"/>
  <c r="S1877" i="6" s="1"/>
  <c r="R1865" i="6"/>
  <c r="S1865" i="6" s="1"/>
  <c r="R1507" i="6"/>
  <c r="R1733" i="6"/>
  <c r="R1339" i="6"/>
  <c r="S1339" i="6" s="1"/>
  <c r="R1561" i="6"/>
  <c r="R1931" i="6"/>
  <c r="S1931" i="6" s="1"/>
  <c r="R1844" i="6"/>
  <c r="S1844" i="6" s="1"/>
  <c r="R1466" i="6"/>
  <c r="R1588" i="6"/>
  <c r="R1770" i="6"/>
  <c r="R1360" i="6"/>
  <c r="S1360" i="6" s="1"/>
  <c r="R1325" i="6"/>
  <c r="S1325" i="6" s="1"/>
  <c r="R1884" i="6"/>
  <c r="S1884" i="6" s="1"/>
  <c r="R1830" i="6"/>
  <c r="R1469" i="6"/>
  <c r="R2520" i="6"/>
  <c r="R1199" i="6"/>
  <c r="R1486" i="6"/>
  <c r="R1129" i="6"/>
  <c r="R1637" i="6"/>
  <c r="R1247" i="6"/>
  <c r="S1247" i="6" s="1"/>
  <c r="R1942" i="6"/>
  <c r="S1942" i="6" s="1"/>
  <c r="R2187" i="6"/>
  <c r="R2194" i="6"/>
  <c r="R2241" i="6"/>
  <c r="R2666" i="6"/>
  <c r="S2666" i="6" s="1"/>
  <c r="R1712" i="6"/>
  <c r="R1773" i="6"/>
  <c r="R1408" i="6"/>
  <c r="R1385" i="6"/>
  <c r="R1828" i="6"/>
  <c r="R1280" i="6"/>
  <c r="R2202" i="6"/>
  <c r="R1809" i="6"/>
  <c r="R1888" i="6"/>
  <c r="S1888" i="6" s="1"/>
  <c r="R1356" i="6"/>
  <c r="S1356" i="6" s="1"/>
  <c r="R1740" i="6"/>
  <c r="R1910" i="6"/>
  <c r="S1910" i="6" s="1"/>
  <c r="R1531" i="6"/>
  <c r="R1797" i="6"/>
  <c r="R1338" i="6"/>
  <c r="S1338" i="6" s="1"/>
  <c r="R1438" i="6"/>
  <c r="R1347" i="6"/>
  <c r="R1693" i="6"/>
  <c r="R1491" i="6"/>
  <c r="R1597" i="6"/>
  <c r="R1860" i="6"/>
  <c r="S1860" i="6" s="1"/>
  <c r="R1744" i="6"/>
  <c r="R1299" i="6"/>
  <c r="S1299" i="6" s="1"/>
  <c r="R1651" i="6"/>
  <c r="R1843" i="6"/>
  <c r="S1843" i="6" s="1"/>
  <c r="R1789" i="6"/>
  <c r="R1428" i="6"/>
  <c r="R1650" i="6"/>
  <c r="R1310" i="6"/>
  <c r="S1310" i="6" s="1"/>
  <c r="R1432" i="6"/>
  <c r="R1344" i="6"/>
  <c r="S1344" i="6" s="1"/>
  <c r="R1477" i="6"/>
  <c r="R2339" i="6"/>
  <c r="S2339" i="6" s="1"/>
  <c r="R2049" i="6"/>
  <c r="S2049" i="6" s="1"/>
  <c r="R2607" i="6"/>
  <c r="S2607" i="6" s="1"/>
  <c r="R2683" i="6"/>
  <c r="S2683" i="6" s="1"/>
  <c r="R2415" i="6"/>
  <c r="S2415" i="6" s="1"/>
  <c r="R1849" i="6"/>
  <c r="S1849" i="6" s="1"/>
  <c r="R1427" i="6"/>
  <c r="R1886" i="6"/>
  <c r="S1886" i="6" s="1"/>
  <c r="R1598" i="6"/>
  <c r="R643" i="6"/>
  <c r="S643" i="6" s="1"/>
  <c r="R1450" i="6"/>
  <c r="R1543" i="6"/>
  <c r="R1464" i="6"/>
  <c r="R1320" i="6"/>
  <c r="R1595" i="6"/>
  <c r="R1440" i="6"/>
  <c r="R1328" i="6"/>
  <c r="R1920" i="6"/>
  <c r="S1920" i="6" s="1"/>
  <c r="R1488" i="6"/>
  <c r="R1585" i="6"/>
  <c r="R1403" i="6"/>
  <c r="S1403" i="6" s="1"/>
  <c r="R1608" i="6"/>
  <c r="R1821" i="6"/>
  <c r="R1424" i="6"/>
  <c r="R1349" i="6"/>
  <c r="S1349" i="6" s="1"/>
  <c r="R1456" i="6"/>
  <c r="R1577" i="6"/>
  <c r="R1761" i="6"/>
  <c r="R2077" i="6"/>
  <c r="S2077" i="6" s="1"/>
  <c r="R2059" i="6"/>
  <c r="S2059" i="6" s="1"/>
  <c r="R2115" i="6"/>
  <c r="R2297" i="6"/>
  <c r="R1091" i="6"/>
  <c r="S1091" i="6" s="1"/>
  <c r="R1875" i="6"/>
  <c r="R1079" i="6"/>
  <c r="S1079" i="6" s="1"/>
  <c r="R1936" i="6"/>
  <c r="S1936" i="6" s="1"/>
  <c r="R1872" i="6"/>
  <c r="S1872" i="6" s="1"/>
  <c r="R1392" i="6"/>
  <c r="R1949" i="6"/>
  <c r="S1949" i="6" s="1"/>
  <c r="R1857" i="6"/>
  <c r="S1857" i="6" s="1"/>
  <c r="R1648" i="6"/>
  <c r="R1524" i="6"/>
  <c r="R1792" i="6"/>
  <c r="R1363" i="6"/>
  <c r="S1363" i="6" s="1"/>
  <c r="R1721" i="6"/>
  <c r="R1873" i="6"/>
  <c r="R1897" i="6"/>
  <c r="S1897" i="6" s="1"/>
  <c r="R1412" i="6"/>
  <c r="R1956" i="6"/>
  <c r="S1956" i="6" s="1"/>
  <c r="R1895" i="6"/>
  <c r="S1895" i="6" s="1"/>
  <c r="R1208" i="6"/>
  <c r="R1763" i="6"/>
  <c r="R1716" i="6"/>
  <c r="R1929" i="6"/>
  <c r="S1929" i="6" s="1"/>
  <c r="R1472" i="6"/>
  <c r="R1257" i="6"/>
  <c r="R1833" i="6"/>
  <c r="S1833" i="6" s="1"/>
  <c r="R1309" i="6"/>
  <c r="S1309" i="6" s="1"/>
  <c r="R1264" i="6"/>
  <c r="R1536" i="6"/>
  <c r="R1823" i="6"/>
  <c r="R1200" i="6"/>
  <c r="R1204" i="6"/>
  <c r="R1461" i="6"/>
  <c r="R1856" i="6"/>
  <c r="S1856" i="6" s="1"/>
  <c r="R1750" i="6"/>
  <c r="R1864" i="6"/>
  <c r="S1864" i="6" s="1"/>
  <c r="R1779" i="6"/>
  <c r="R1645" i="6"/>
  <c r="R1457" i="6"/>
  <c r="R1389" i="6"/>
  <c r="R1494" i="6"/>
  <c r="R1285" i="6"/>
  <c r="S1285" i="6" s="1"/>
  <c r="R1958" i="6"/>
  <c r="S1958" i="6" s="1"/>
  <c r="R1703" i="6"/>
  <c r="R1911" i="6"/>
  <c r="S1911" i="6" s="1"/>
  <c r="R1796" i="6"/>
  <c r="R1817" i="6"/>
  <c r="R1263" i="6"/>
  <c r="R1501" i="6"/>
  <c r="R1261" i="6"/>
  <c r="R1321" i="6"/>
  <c r="S1321" i="6" s="1"/>
  <c r="R1882" i="6"/>
  <c r="S1882" i="6" s="1"/>
  <c r="R1241" i="6"/>
  <c r="S1241" i="6" s="1"/>
  <c r="R1871" i="6"/>
  <c r="S1871" i="6" s="1"/>
  <c r="R1476" i="6"/>
  <c r="R1799" i="6"/>
  <c r="R1945" i="6"/>
  <c r="S1945" i="6" s="1"/>
  <c r="R1265" i="6"/>
  <c r="R1384" i="6"/>
  <c r="R1715" i="6"/>
  <c r="R1887" i="6"/>
  <c r="S1887" i="6" s="1"/>
  <c r="R1754" i="6"/>
  <c r="R1411" i="6"/>
  <c r="R1485" i="6"/>
  <c r="R1337" i="6"/>
  <c r="R1964" i="6"/>
  <c r="S1964" i="6" s="1"/>
  <c r="R2199" i="6"/>
  <c r="R2584" i="6"/>
  <c r="S2584" i="6" s="1"/>
  <c r="R2491" i="6"/>
  <c r="R2370" i="6"/>
  <c r="R2286" i="6"/>
  <c r="R2465" i="6"/>
  <c r="R2363" i="6"/>
  <c r="R1719" i="6"/>
  <c r="R1903" i="6"/>
  <c r="S1903" i="6" s="1"/>
  <c r="R1683" i="6"/>
  <c r="R1273" i="6"/>
  <c r="R1759" i="6"/>
  <c r="R2229" i="6"/>
  <c r="R1236" i="6"/>
  <c r="R1939" i="6"/>
  <c r="S1939" i="6" s="1"/>
  <c r="R1749" i="6"/>
  <c r="R1549" i="6"/>
  <c r="R2685" i="6"/>
  <c r="S2685" i="6" s="1"/>
  <c r="R2354" i="6"/>
  <c r="R1831" i="6"/>
  <c r="S1831" i="6" s="1"/>
  <c r="R1876" i="6"/>
  <c r="R1459" i="6"/>
  <c r="R1468" i="6"/>
  <c r="R1207" i="6"/>
  <c r="R1326" i="6"/>
  <c r="R1729" i="6"/>
  <c r="R1786" i="6"/>
  <c r="R1355" i="6"/>
  <c r="S1355" i="6" s="1"/>
  <c r="R1810" i="6"/>
  <c r="R1904" i="6"/>
  <c r="S1904" i="6" s="1"/>
  <c r="R1963" i="6"/>
  <c r="S1963" i="6" s="1"/>
  <c r="R1829" i="6"/>
  <c r="R1453" i="6"/>
  <c r="R1487" i="6"/>
  <c r="R1824" i="6"/>
  <c r="R1284" i="6"/>
  <c r="S1284" i="6" s="1"/>
  <c r="R1840" i="6"/>
  <c r="S1840" i="6" s="1"/>
  <c r="R2130" i="6"/>
  <c r="R2063" i="6"/>
  <c r="R2019" i="6"/>
  <c r="S2019" i="6" s="1"/>
  <c r="R2236" i="6"/>
  <c r="R1998" i="6"/>
  <c r="S1998" i="6" s="1"/>
  <c r="R2515" i="6"/>
  <c r="R2605" i="6"/>
  <c r="S2605" i="6" s="1"/>
  <c r="R2154" i="6"/>
  <c r="R2495" i="6"/>
  <c r="R2543" i="6"/>
  <c r="R2611" i="6"/>
  <c r="S2611" i="6" s="1"/>
  <c r="R2400" i="6"/>
  <c r="R2338" i="6"/>
  <c r="R2518" i="6"/>
  <c r="R2224" i="6"/>
  <c r="S2224" i="6" s="1"/>
  <c r="R2057" i="6"/>
  <c r="S2057" i="6" s="1"/>
  <c r="R2420" i="6"/>
  <c r="R2037" i="6"/>
  <c r="S2037" i="6" s="1"/>
  <c r="R1226" i="6"/>
  <c r="S1226" i="6" s="1"/>
  <c r="R1638" i="6"/>
  <c r="R1825" i="6"/>
  <c r="R1272" i="6"/>
  <c r="R1566" i="6"/>
  <c r="R2632" i="6"/>
  <c r="S2632" i="6" s="1"/>
  <c r="R1967" i="6"/>
  <c r="S1967" i="6" s="1"/>
  <c r="R2439" i="6"/>
  <c r="R2288" i="6"/>
  <c r="S2288" i="6" s="1"/>
  <c r="R2161" i="6"/>
  <c r="R2313" i="6"/>
  <c r="R2056" i="6"/>
  <c r="R2379" i="6"/>
  <c r="R2375" i="6"/>
  <c r="R2287" i="6"/>
  <c r="R2023" i="6"/>
  <c r="S2023" i="6" s="1"/>
  <c r="R2276" i="6"/>
  <c r="R2430" i="6"/>
  <c r="S2430" i="6" s="1"/>
  <c r="R2285" i="6"/>
  <c r="R1190" i="6"/>
  <c r="R1359" i="6"/>
  <c r="S1359" i="6" s="1"/>
  <c r="R1441" i="6"/>
  <c r="R1429" i="6"/>
  <c r="R923" i="6"/>
  <c r="R1332" i="6"/>
  <c r="S1332" i="6" s="1"/>
  <c r="R1611" i="6"/>
  <c r="R1364" i="6"/>
  <c r="R1416" i="6"/>
  <c r="R1568" i="6"/>
  <c r="R1519" i="6"/>
  <c r="R2189" i="6"/>
  <c r="R1582" i="6"/>
  <c r="R1039" i="6"/>
  <c r="R1281" i="6"/>
  <c r="R1251" i="6"/>
  <c r="R1474" i="6"/>
  <c r="R619" i="6"/>
  <c r="S619" i="6" s="1"/>
  <c r="R1203" i="6"/>
  <c r="S1203" i="6" s="1"/>
  <c r="R883" i="6"/>
  <c r="S883" i="6" s="1"/>
  <c r="R1051" i="6"/>
  <c r="S1051" i="6" s="1"/>
  <c r="R907" i="6"/>
  <c r="R1097" i="6"/>
  <c r="R982" i="6"/>
  <c r="R557" i="6"/>
  <c r="S557" i="6" s="1"/>
  <c r="R1846" i="6"/>
  <c r="S1846" i="6" s="1"/>
  <c r="R1725" i="6"/>
  <c r="R1616" i="6"/>
  <c r="R1914" i="6"/>
  <c r="S1914" i="6" s="1"/>
  <c r="R1027" i="6"/>
  <c r="R1851" i="6"/>
  <c r="S1851" i="6" s="1"/>
  <c r="R1622" i="6"/>
  <c r="R1919" i="6"/>
  <c r="S1919" i="6" s="1"/>
  <c r="R1525" i="6"/>
  <c r="R1695" i="6"/>
  <c r="R1396" i="6"/>
  <c r="R1463" i="6"/>
  <c r="R1781" i="6"/>
  <c r="R1780" i="6"/>
  <c r="R1528" i="6"/>
  <c r="R1675" i="6"/>
  <c r="R1229" i="6"/>
  <c r="S1229" i="6" s="1"/>
  <c r="R1870" i="6"/>
  <c r="S1870" i="6" s="1"/>
  <c r="R1593" i="6"/>
  <c r="R1288" i="6"/>
  <c r="S1288" i="6" s="1"/>
  <c r="R1604" i="6"/>
  <c r="R1689" i="6"/>
  <c r="R1419" i="6"/>
  <c r="R1520" i="6"/>
  <c r="R1245" i="6"/>
  <c r="S1245" i="6" s="1"/>
  <c r="R1625" i="6"/>
  <c r="R1641" i="6"/>
  <c r="R1533" i="6"/>
  <c r="R1699" i="6"/>
  <c r="R1812" i="6"/>
  <c r="R1640" i="6"/>
  <c r="R667" i="6"/>
  <c r="S667" i="6" s="1"/>
  <c r="R1220" i="6"/>
  <c r="R1295" i="6"/>
  <c r="S1295" i="6" s="1"/>
  <c r="R1935" i="6"/>
  <c r="S1935" i="6" s="1"/>
  <c r="R1930" i="6"/>
  <c r="S1930" i="6" s="1"/>
  <c r="R2534" i="6"/>
  <c r="R2052" i="6"/>
  <c r="S2052" i="6" s="1"/>
  <c r="R2357" i="6"/>
  <c r="S2357" i="6" s="1"/>
  <c r="R1603" i="6"/>
  <c r="R2243" i="6"/>
  <c r="R1448" i="6"/>
  <c r="R1383" i="6"/>
  <c r="R1143" i="6"/>
  <c r="S1143" i="6" s="1"/>
  <c r="R809" i="6"/>
  <c r="S809" i="6" s="1"/>
  <c r="R1623" i="6"/>
  <c r="R979" i="6"/>
  <c r="R1889" i="6"/>
  <c r="S1889" i="6" s="1"/>
  <c r="R1377" i="6"/>
  <c r="R555" i="6"/>
  <c r="S555" i="6" s="1"/>
  <c r="R1564" i="6"/>
  <c r="R1544" i="6"/>
  <c r="R1329" i="6"/>
  <c r="S1329" i="6" s="1"/>
  <c r="R1508" i="6"/>
  <c r="R1592" i="6"/>
  <c r="R2022" i="6"/>
  <c r="S2022" i="6" s="1"/>
  <c r="R1807" i="6"/>
  <c r="R799" i="6"/>
  <c r="R1775" i="6"/>
  <c r="R1858" i="6"/>
  <c r="S1858" i="6" s="1"/>
  <c r="R1663" i="6"/>
  <c r="R1381" i="6"/>
  <c r="R1015" i="6"/>
  <c r="R1705" i="6"/>
  <c r="R633" i="6"/>
  <c r="R1292" i="6"/>
  <c r="S1292" i="6" s="1"/>
  <c r="R607" i="6"/>
  <c r="R1601" i="6"/>
  <c r="R1818" i="6"/>
  <c r="R1298" i="6"/>
  <c r="S1298" i="6" s="1"/>
  <c r="R1286" i="6"/>
  <c r="S1286" i="6" s="1"/>
  <c r="R1311" i="6"/>
  <c r="S1311" i="6" s="1"/>
  <c r="R2159" i="6"/>
  <c r="R2490" i="6"/>
  <c r="R1996" i="6"/>
  <c r="S1996" i="6" s="1"/>
  <c r="R2441" i="6"/>
  <c r="R1881" i="6"/>
  <c r="S1881" i="6" s="1"/>
  <c r="R1439" i="6"/>
  <c r="R723" i="6"/>
  <c r="R1940" i="6"/>
  <c r="S1940" i="6" s="1"/>
  <c r="R1674" i="6"/>
  <c r="R1405" i="6"/>
  <c r="S1405" i="6" s="1"/>
  <c r="R1235" i="6"/>
  <c r="S1235" i="6" s="1"/>
  <c r="R1632" i="6"/>
  <c r="R1727" i="6"/>
  <c r="R1643" i="6"/>
  <c r="R963" i="6"/>
  <c r="R1017" i="6"/>
  <c r="S1017" i="6" s="1"/>
  <c r="R761" i="6"/>
  <c r="S761" i="6" s="1"/>
  <c r="R519" i="6"/>
  <c r="R1546" i="6"/>
  <c r="R1167" i="6"/>
  <c r="R1540" i="6"/>
  <c r="R1836" i="6"/>
  <c r="S1836" i="6" s="1"/>
  <c r="R1218" i="6"/>
  <c r="R1221" i="6"/>
  <c r="S1221" i="6" s="1"/>
  <c r="R2676" i="6"/>
  <c r="S2676" i="6" s="1"/>
  <c r="R655" i="6"/>
  <c r="R999" i="6"/>
  <c r="R1367" i="6"/>
  <c r="S1367" i="6" s="1"/>
  <c r="R562" i="6"/>
  <c r="S562" i="6" s="1"/>
  <c r="R1880" i="6"/>
  <c r="S1880" i="6" s="1"/>
  <c r="R658" i="6"/>
  <c r="S658" i="6" s="1"/>
  <c r="R2296" i="6"/>
  <c r="R850" i="6"/>
  <c r="R1696" i="6"/>
  <c r="R1496" i="6"/>
  <c r="R2347" i="6"/>
  <c r="S2347" i="6" s="1"/>
  <c r="R1827" i="6"/>
  <c r="R1305" i="6"/>
  <c r="S1305" i="6" s="1"/>
  <c r="R1907" i="6"/>
  <c r="S1907" i="6" s="1"/>
  <c r="R1664" i="6"/>
  <c r="R1315" i="6"/>
  <c r="S1315" i="6" s="1"/>
  <c r="R1228" i="6"/>
  <c r="R1154" i="6"/>
  <c r="S1154" i="6" s="1"/>
  <c r="R1933" i="6"/>
  <c r="S1933" i="6" s="1"/>
  <c r="R1600" i="6"/>
  <c r="R1952" i="6"/>
  <c r="S1952" i="6" s="1"/>
  <c r="R1268" i="6"/>
  <c r="R1393" i="6"/>
  <c r="R1308" i="6"/>
  <c r="S1308" i="6" s="1"/>
  <c r="R962" i="6"/>
  <c r="R1673" i="6"/>
  <c r="R2232" i="6"/>
  <c r="R1547" i="6"/>
  <c r="R1959" i="6"/>
  <c r="S1959" i="6" s="1"/>
  <c r="R1960" i="6"/>
  <c r="S1960" i="6" s="1"/>
  <c r="R1556" i="6"/>
  <c r="R1521" i="6"/>
  <c r="R1243" i="6"/>
  <c r="S1243" i="6" s="1"/>
  <c r="R1735" i="6"/>
  <c r="R1932" i="6"/>
  <c r="S1932" i="6" s="1"/>
  <c r="R1850" i="6"/>
  <c r="S1850" i="6" s="1"/>
  <c r="R1905" i="6"/>
  <c r="S1905" i="6" s="1"/>
  <c r="R1841" i="6"/>
  <c r="S1841" i="6" s="1"/>
  <c r="R1845" i="6"/>
  <c r="S1845" i="6" s="1"/>
  <c r="R1753" i="6"/>
  <c r="R1417" i="6"/>
  <c r="R1934" i="6"/>
  <c r="S1934" i="6" s="1"/>
  <c r="R1511" i="6"/>
  <c r="R1634" i="6"/>
  <c r="R895" i="6"/>
  <c r="R1698" i="6"/>
  <c r="R1316" i="6"/>
  <c r="S1316" i="6" s="1"/>
  <c r="R1586" i="6"/>
  <c r="R1655" i="6"/>
  <c r="R1983" i="6"/>
  <c r="S1983" i="6" s="1"/>
  <c r="R787" i="6"/>
  <c r="R1107" i="6"/>
  <c r="R1726" i="6"/>
  <c r="R1820" i="6"/>
  <c r="R1736" i="6"/>
  <c r="R1898" i="6"/>
  <c r="S1898" i="6" s="1"/>
  <c r="R1679" i="6"/>
  <c r="R1423" i="6"/>
  <c r="R844" i="6"/>
  <c r="R1778" i="6"/>
  <c r="R617" i="6"/>
  <c r="S617" i="6" s="1"/>
  <c r="R1420" i="6"/>
  <c r="R1513" i="6"/>
  <c r="R659" i="6"/>
  <c r="R1591" i="6"/>
  <c r="R834" i="6"/>
  <c r="R594" i="6"/>
  <c r="S594" i="6" s="1"/>
  <c r="R959" i="6"/>
  <c r="R1183" i="6"/>
  <c r="R2003" i="6"/>
  <c r="S2003" i="6" s="1"/>
  <c r="R2105" i="6"/>
  <c r="R2221" i="6"/>
  <c r="S2221" i="6" s="1"/>
  <c r="R2208" i="6"/>
  <c r="R2391" i="6"/>
  <c r="R2267" i="6"/>
  <c r="R2669" i="6"/>
  <c r="S2669" i="6" s="1"/>
  <c r="R2362" i="6"/>
  <c r="R2660" i="6"/>
  <c r="S2660" i="6" s="1"/>
  <c r="R2263" i="6"/>
  <c r="R2447" i="6"/>
  <c r="R2638" i="6"/>
  <c r="S2638" i="6" s="1"/>
  <c r="R2235" i="6"/>
  <c r="S2235" i="6" s="1"/>
  <c r="R2530" i="6"/>
  <c r="R2323" i="6"/>
  <c r="R2511" i="6"/>
  <c r="R2566" i="6"/>
  <c r="R2272" i="6"/>
  <c r="R2141" i="6"/>
  <c r="R2174" i="6"/>
  <c r="R2144" i="6"/>
  <c r="R2701" i="6"/>
  <c r="S2701" i="6" s="1"/>
  <c r="R1323" i="6"/>
  <c r="R1644" i="6"/>
  <c r="R681" i="6"/>
  <c r="R1575" i="6"/>
  <c r="R1805" i="6"/>
  <c r="R1756" i="6"/>
  <c r="R1106" i="6"/>
  <c r="S1106" i="6" s="1"/>
  <c r="R1682" i="6"/>
  <c r="R1159" i="6"/>
  <c r="S1159" i="6" s="1"/>
  <c r="R1330" i="6"/>
  <c r="R1771" i="6"/>
  <c r="R2624" i="6"/>
  <c r="S2624" i="6" s="1"/>
  <c r="R1893" i="6"/>
  <c r="S1893" i="6" s="1"/>
  <c r="R1688" i="6"/>
  <c r="R651" i="6"/>
  <c r="R1262" i="6"/>
  <c r="R1291" i="6"/>
  <c r="S1291" i="6" s="1"/>
  <c r="R1465" i="6"/>
  <c r="R1552" i="6"/>
  <c r="R1879" i="6"/>
  <c r="S1879" i="6" s="1"/>
  <c r="R915" i="6"/>
  <c r="R1343" i="6"/>
  <c r="S1343" i="6" s="1"/>
  <c r="R1581" i="6"/>
  <c r="R1869" i="6"/>
  <c r="S1869" i="6" s="1"/>
  <c r="R1790" i="6"/>
  <c r="R771" i="6"/>
  <c r="R2315" i="6"/>
  <c r="R2205" i="6"/>
  <c r="S2205" i="6" s="1"/>
  <c r="R2463" i="6"/>
  <c r="R603" i="6"/>
  <c r="S603" i="6" s="1"/>
  <c r="R1402" i="6"/>
  <c r="S1402" i="6" s="1"/>
  <c r="R1794" i="6"/>
  <c r="R763" i="6"/>
  <c r="S763" i="6" s="1"/>
  <c r="R311" i="6"/>
  <c r="R1916" i="6"/>
  <c r="S1916" i="6" s="1"/>
  <c r="R1227" i="6"/>
  <c r="S1227" i="6" s="1"/>
  <c r="R1772" i="6"/>
  <c r="R1234" i="6"/>
  <c r="S1234" i="6" s="1"/>
  <c r="R1170" i="6"/>
  <c r="R1446" i="6"/>
  <c r="R1662" i="6"/>
  <c r="R690" i="6"/>
  <c r="S690" i="6" s="1"/>
  <c r="R2620" i="6"/>
  <c r="S2620" i="6" s="1"/>
  <c r="R1755" i="6"/>
  <c r="R1099" i="6"/>
  <c r="R914" i="6"/>
  <c r="R518" i="6"/>
  <c r="R1376" i="6"/>
  <c r="R671" i="6"/>
  <c r="S671" i="6" s="1"/>
  <c r="R1742" i="6"/>
  <c r="R1711" i="6"/>
  <c r="R2519" i="6"/>
  <c r="R1583" i="6"/>
  <c r="R1224" i="6"/>
  <c r="S1224" i="6" s="1"/>
  <c r="R1115" i="6"/>
  <c r="R1502" i="6"/>
  <c r="R863" i="6"/>
  <c r="R1665" i="6"/>
  <c r="R1250" i="6"/>
  <c r="R1436" i="6"/>
  <c r="R1090" i="6"/>
  <c r="R1293" i="6"/>
  <c r="S1293" i="6" s="1"/>
  <c r="R998" i="6"/>
  <c r="R1255" i="6"/>
  <c r="R1248" i="6"/>
  <c r="R1351" i="6"/>
  <c r="S1351" i="6" s="1"/>
  <c r="R969" i="6"/>
  <c r="R1495" i="6"/>
  <c r="R1751" i="6"/>
  <c r="R1548" i="6"/>
  <c r="R2312" i="6"/>
  <c r="R1414" i="6"/>
  <c r="R1081" i="6"/>
  <c r="R1422" i="6"/>
  <c r="R1692" i="6"/>
  <c r="R735" i="6"/>
  <c r="S735" i="6" s="1"/>
  <c r="R2333" i="6"/>
  <c r="R1449" i="6"/>
  <c r="R1567" i="6"/>
  <c r="R1834" i="6"/>
  <c r="S1834" i="6" s="1"/>
  <c r="R1213" i="6"/>
  <c r="R1713" i="6"/>
  <c r="R731" i="6"/>
  <c r="R1578" i="6"/>
  <c r="R1313" i="6"/>
  <c r="S1313" i="6" s="1"/>
  <c r="R1700" i="6"/>
  <c r="R1676" i="6"/>
  <c r="R1962" i="6"/>
  <c r="S1962" i="6" s="1"/>
  <c r="R875" i="6"/>
  <c r="R1738" i="6"/>
  <c r="R745" i="6"/>
  <c r="S745" i="6" s="1"/>
  <c r="R1100" i="6"/>
  <c r="R1478" i="6"/>
  <c r="R1386" i="6"/>
  <c r="R1145" i="6"/>
  <c r="S1145" i="6" s="1"/>
  <c r="R1244" i="6"/>
  <c r="R1400" i="6"/>
  <c r="R1602" i="6"/>
  <c r="R530" i="6"/>
  <c r="S530" i="6" s="1"/>
  <c r="R1340" i="6"/>
  <c r="R1596" i="6"/>
  <c r="R685" i="6"/>
  <c r="R2303" i="6"/>
  <c r="R2702" i="6"/>
  <c r="S2702" i="6" s="1"/>
  <c r="R703" i="6"/>
  <c r="R1489" i="6"/>
  <c r="R1558" i="6"/>
  <c r="R1336" i="6"/>
  <c r="R1193" i="6"/>
  <c r="R1599" i="6"/>
  <c r="R2016" i="6"/>
  <c r="S2016" i="6" s="1"/>
  <c r="R2047" i="6"/>
  <c r="R2633" i="6"/>
  <c r="S2633" i="6" s="1"/>
  <c r="R2556" i="6"/>
  <c r="R706" i="6"/>
  <c r="R1059" i="6"/>
  <c r="R1030" i="6"/>
  <c r="R1003" i="6"/>
  <c r="R1562" i="6"/>
  <c r="R1274" i="6"/>
  <c r="R1694" i="6"/>
  <c r="R2395" i="6"/>
  <c r="R2621" i="6"/>
  <c r="S2621" i="6" s="1"/>
  <c r="R2373" i="6"/>
  <c r="R539" i="6"/>
  <c r="S539" i="6" s="1"/>
  <c r="R371" i="6"/>
  <c r="R897" i="6"/>
  <c r="S897" i="6" s="1"/>
  <c r="R1718" i="6"/>
  <c r="R785" i="6"/>
  <c r="R2672" i="6"/>
  <c r="S2672" i="6" s="1"/>
  <c r="R2555" i="6"/>
  <c r="R2663" i="6"/>
  <c r="S2663" i="6" s="1"/>
  <c r="R2284" i="6"/>
  <c r="R2707" i="6"/>
  <c r="S2707" i="6" s="1"/>
  <c r="R2413" i="6"/>
  <c r="R2377" i="6"/>
  <c r="R2577" i="6"/>
  <c r="R1984" i="6"/>
  <c r="S1984" i="6" s="1"/>
  <c r="R2673" i="6"/>
  <c r="S2673" i="6" s="1"/>
  <c r="R2008" i="6"/>
  <c r="S2008" i="6" s="1"/>
  <c r="R831" i="6"/>
  <c r="S831" i="6" s="1"/>
  <c r="R683" i="6"/>
  <c r="S683" i="6" s="1"/>
  <c r="R1370" i="6"/>
  <c r="R1302" i="6"/>
  <c r="S1302" i="6" s="1"/>
  <c r="R588" i="6"/>
  <c r="R665" i="6"/>
  <c r="R2196" i="6"/>
  <c r="R2450" i="6"/>
  <c r="R2064" i="6"/>
  <c r="S2064" i="6" s="1"/>
  <c r="R1452" i="6"/>
  <c r="R1784" i="6"/>
  <c r="R1031" i="6"/>
  <c r="R1011" i="6"/>
  <c r="R1506" i="6"/>
  <c r="R525" i="6"/>
  <c r="S525" i="6" s="1"/>
  <c r="R668" i="6"/>
  <c r="R916" i="6"/>
  <c r="R879" i="6"/>
  <c r="S879" i="6" s="1"/>
  <c r="R790" i="6"/>
  <c r="R572" i="6"/>
  <c r="S572" i="6" s="1"/>
  <c r="R649" i="6"/>
  <c r="R1083" i="6"/>
  <c r="R726" i="6"/>
  <c r="R1005" i="6"/>
  <c r="R882" i="6"/>
  <c r="R845" i="6"/>
  <c r="R1109" i="6"/>
  <c r="R661" i="6"/>
  <c r="R473" i="6"/>
  <c r="R992" i="6"/>
  <c r="R2616" i="6"/>
  <c r="S2616" i="6" s="1"/>
  <c r="R2378" i="6"/>
  <c r="R2352" i="6"/>
  <c r="R2035" i="6"/>
  <c r="S2035" i="6" s="1"/>
  <c r="R2697" i="6"/>
  <c r="S2697" i="6" s="1"/>
  <c r="R2306" i="6"/>
  <c r="R2135" i="6"/>
  <c r="R2597" i="6"/>
  <c r="S2597" i="6" s="1"/>
  <c r="R2299" i="6"/>
  <c r="R1135" i="6"/>
  <c r="S1135" i="6" s="1"/>
  <c r="R755" i="6"/>
  <c r="R851" i="6"/>
  <c r="R873" i="6"/>
  <c r="R1503" i="6"/>
  <c r="R1539" i="6"/>
  <c r="R1835" i="6"/>
  <c r="S1835" i="6" s="1"/>
  <c r="R1442" i="6"/>
  <c r="R1366" i="6"/>
  <c r="R1147" i="6"/>
  <c r="R1296" i="6"/>
  <c r="S1296" i="6" s="1"/>
  <c r="R2630" i="6"/>
  <c r="S2630" i="6" s="1"/>
  <c r="R1902" i="6"/>
  <c r="S1902" i="6" s="1"/>
  <c r="R1569" i="6"/>
  <c r="R1240" i="6"/>
  <c r="R1819" i="6"/>
  <c r="R2695" i="6"/>
  <c r="S2695" i="6" s="1"/>
  <c r="R1631" i="6"/>
  <c r="R1205" i="6"/>
  <c r="R1686" i="6"/>
  <c r="R1365" i="6"/>
  <c r="R1289" i="6"/>
  <c r="S1289" i="6" s="1"/>
  <c r="R2146" i="6"/>
  <c r="S2146" i="6" s="1"/>
  <c r="R1455" i="6"/>
  <c r="R1658" i="6"/>
  <c r="R1806" i="6"/>
  <c r="R891" i="6"/>
  <c r="R987" i="6"/>
  <c r="R1479" i="6"/>
  <c r="R1636" i="6"/>
  <c r="R1766" i="6"/>
  <c r="R1938" i="6"/>
  <c r="S1938" i="6" s="1"/>
  <c r="R1047" i="6"/>
  <c r="S1047" i="6" s="1"/>
  <c r="R1007" i="6"/>
  <c r="R1493" i="6"/>
  <c r="R1590" i="6"/>
  <c r="R927" i="6"/>
  <c r="R639" i="6"/>
  <c r="R1482" i="6"/>
  <c r="R1333" i="6"/>
  <c r="R1306" i="6"/>
  <c r="S1306" i="6" s="1"/>
  <c r="R1707" i="6"/>
  <c r="R1730" i="6"/>
  <c r="R1746" i="6"/>
  <c r="R930" i="6"/>
  <c r="R825" i="6"/>
  <c r="R1462" i="6"/>
  <c r="R1014" i="6"/>
  <c r="R1605" i="6"/>
  <c r="R1206" i="6"/>
  <c r="S1206" i="6" s="1"/>
  <c r="R1275" i="6"/>
  <c r="R857" i="6"/>
  <c r="R2592" i="6"/>
  <c r="S2592" i="6" s="1"/>
  <c r="R2623" i="6"/>
  <c r="S2623" i="6" s="1"/>
  <c r="R2209" i="6"/>
  <c r="R2532" i="6"/>
  <c r="S2532" i="6" s="1"/>
  <c r="R2386" i="6"/>
  <c r="R2314" i="6"/>
  <c r="R2092" i="6"/>
  <c r="R2090" i="6"/>
  <c r="R2656" i="6"/>
  <c r="S2656" i="6" s="1"/>
  <c r="R1979" i="6"/>
  <c r="S1979" i="6" s="1"/>
  <c r="R1926" i="6"/>
  <c r="S1926" i="6" s="1"/>
  <c r="R1237" i="6"/>
  <c r="S1237" i="6" s="1"/>
  <c r="R1354" i="6"/>
  <c r="R2411" i="6"/>
  <c r="S2411" i="6" s="1"/>
  <c r="R2446" i="6"/>
  <c r="S2446" i="6" s="1"/>
  <c r="R2255" i="6"/>
  <c r="R2001" i="6"/>
  <c r="S2001" i="6" s="1"/>
  <c r="R2653" i="6"/>
  <c r="S2653" i="6" s="1"/>
  <c r="R1680" i="6"/>
  <c r="R2108" i="6"/>
  <c r="R2526" i="6"/>
  <c r="R1095" i="6"/>
  <c r="R1258" i="6"/>
  <c r="R2195" i="6"/>
  <c r="R2554" i="6"/>
  <c r="R1505" i="6"/>
  <c r="R1639" i="6"/>
  <c r="R1350" i="6"/>
  <c r="R1314" i="6"/>
  <c r="S1314" i="6" s="1"/>
  <c r="R1862" i="6"/>
  <c r="S1862" i="6" s="1"/>
  <c r="R1335" i="6"/>
  <c r="R2371" i="6"/>
  <c r="R1216" i="6"/>
  <c r="R1788" i="6"/>
  <c r="R1361" i="6"/>
  <c r="R1570" i="6"/>
  <c r="R1471" i="6"/>
  <c r="R1435" i="6"/>
  <c r="R1437" i="6"/>
  <c r="R1764" i="6"/>
  <c r="R2545" i="6"/>
  <c r="R1752" i="6"/>
  <c r="R1684" i="6"/>
  <c r="R1610" i="6"/>
  <c r="R1222" i="6"/>
  <c r="S1222" i="6" s="1"/>
  <c r="R1074" i="6"/>
  <c r="R1731" i="6"/>
  <c r="R1669" i="6"/>
  <c r="R2324" i="6"/>
  <c r="S2324" i="6" s="1"/>
  <c r="R1071" i="6"/>
  <c r="R1444" i="6"/>
  <c r="R1955" i="6"/>
  <c r="S1955" i="6" s="1"/>
  <c r="R1334" i="6"/>
  <c r="R1653" i="6"/>
  <c r="R1246" i="6"/>
  <c r="R835" i="6"/>
  <c r="R2615" i="6"/>
  <c r="S2615" i="6" s="1"/>
  <c r="R2509" i="6"/>
  <c r="R1685" i="6"/>
  <c r="R1667" i="6"/>
  <c r="R1026" i="6"/>
  <c r="S1026" i="6" s="1"/>
  <c r="R1397" i="6"/>
  <c r="R1612" i="6"/>
  <c r="R1656" i="6"/>
  <c r="R1065" i="6"/>
  <c r="R991" i="6"/>
  <c r="R1813" i="6"/>
  <c r="R786" i="6"/>
  <c r="R1252" i="6"/>
  <c r="S1252" i="6" s="1"/>
  <c r="R1391" i="6"/>
  <c r="R1249" i="6"/>
  <c r="R535" i="6"/>
  <c r="S535" i="6" s="1"/>
  <c r="R1001" i="6"/>
  <c r="R1607" i="6"/>
  <c r="R1390" i="6"/>
  <c r="R1413" i="6"/>
  <c r="R971" i="6"/>
  <c r="R898" i="6"/>
  <c r="R1046" i="6"/>
  <c r="R2383" i="6"/>
  <c r="R2137" i="6"/>
  <c r="R2294" i="6"/>
  <c r="R2540" i="6"/>
  <c r="R2091" i="6"/>
  <c r="R2457" i="6"/>
  <c r="R1127" i="6"/>
  <c r="S1127" i="6" s="1"/>
  <c r="R1327" i="6"/>
  <c r="R843" i="6"/>
  <c r="R953" i="6"/>
  <c r="R1301" i="6"/>
  <c r="S1301" i="6" s="1"/>
  <c r="R937" i="6"/>
  <c r="R1358" i="6"/>
  <c r="R940" i="6"/>
  <c r="R608" i="6"/>
  <c r="S608" i="6" s="1"/>
  <c r="R975" i="6"/>
  <c r="R623" i="6"/>
  <c r="R2239" i="6"/>
  <c r="R2527" i="6"/>
  <c r="R2098" i="6"/>
  <c r="R2109" i="6"/>
  <c r="R1973" i="6"/>
  <c r="S1973" i="6" s="1"/>
  <c r="R2158" i="6"/>
  <c r="R2318" i="6"/>
  <c r="R2295" i="6"/>
  <c r="R2634" i="6"/>
  <c r="S2634" i="6" s="1"/>
  <c r="R2591" i="6"/>
  <c r="S2591" i="6" s="1"/>
  <c r="R2151" i="6"/>
  <c r="R2586" i="6"/>
  <c r="S2586" i="6" s="1"/>
  <c r="R2322" i="6"/>
  <c r="R2280" i="6"/>
  <c r="R1574" i="6"/>
  <c r="R713" i="6"/>
  <c r="R741" i="6"/>
  <c r="S741" i="6" s="1"/>
  <c r="R604" i="6"/>
  <c r="R1045" i="6"/>
  <c r="S1045" i="6" s="1"/>
  <c r="R2582" i="6"/>
  <c r="S2582" i="6" s="1"/>
  <c r="R2468" i="6"/>
  <c r="R2684" i="6"/>
  <c r="S2684" i="6" s="1"/>
  <c r="R689" i="6"/>
  <c r="S689" i="6" s="1"/>
  <c r="R1382" i="6"/>
  <c r="R780" i="6"/>
  <c r="S780" i="6" s="1"/>
  <c r="R1678" i="6"/>
  <c r="R1287" i="6"/>
  <c r="S1287" i="6" s="1"/>
  <c r="R1378" i="6"/>
  <c r="R1198" i="6"/>
  <c r="S1198" i="6" s="1"/>
  <c r="R610" i="6"/>
  <c r="S610" i="6" s="1"/>
  <c r="R1317" i="6"/>
  <c r="S1317" i="6" s="1"/>
  <c r="R635" i="6"/>
  <c r="R1111" i="6"/>
  <c r="R921" i="6"/>
  <c r="R946" i="6"/>
  <c r="R1527" i="6"/>
  <c r="R977" i="6"/>
  <c r="R1110" i="6"/>
  <c r="S1110" i="6" s="1"/>
  <c r="R614" i="6"/>
  <c r="S614" i="6" s="1"/>
  <c r="R36" i="6"/>
  <c r="S36" i="6" s="1"/>
  <c r="R801" i="6"/>
  <c r="R640" i="6"/>
  <c r="R574" i="6"/>
  <c r="S574" i="6" s="1"/>
  <c r="R2100" i="6"/>
  <c r="R1980" i="6"/>
  <c r="S1980" i="6" s="1"/>
  <c r="R2652" i="6"/>
  <c r="S2652" i="6" s="1"/>
  <c r="R2572" i="6"/>
  <c r="R2211" i="6"/>
  <c r="R2261" i="6"/>
  <c r="R2304" i="6"/>
  <c r="R2149" i="6"/>
  <c r="R2009" i="6"/>
  <c r="S2009" i="6" s="1"/>
  <c r="R2708" i="6"/>
  <c r="S2708" i="6" s="1"/>
  <c r="R2432" i="6"/>
  <c r="R2020" i="6"/>
  <c r="S2020" i="6" s="1"/>
  <c r="R2492" i="6"/>
  <c r="R2238" i="6"/>
  <c r="S2238" i="6" s="1"/>
  <c r="R2107" i="6"/>
  <c r="R2459" i="6"/>
  <c r="R1989" i="6"/>
  <c r="S1989" i="6" s="1"/>
  <c r="R2083" i="6"/>
  <c r="R2340" i="6"/>
  <c r="R2681" i="6"/>
  <c r="S2681" i="6" s="1"/>
  <c r="R1969" i="6"/>
  <c r="S1969" i="6" s="1"/>
  <c r="R2062" i="6"/>
  <c r="S2062" i="6" s="1"/>
  <c r="R2528" i="6"/>
  <c r="R2402" i="6"/>
  <c r="S2402" i="6" s="1"/>
  <c r="R2089" i="6"/>
  <c r="R2497" i="6"/>
  <c r="R2604" i="6"/>
  <c r="S2604" i="6" s="1"/>
  <c r="R2409" i="6"/>
  <c r="R2635" i="6"/>
  <c r="S2635" i="6" s="1"/>
  <c r="R2703" i="6"/>
  <c r="S2703" i="6" s="1"/>
  <c r="R2421" i="6"/>
  <c r="R2290" i="6"/>
  <c r="S2290" i="6" s="1"/>
  <c r="R2689" i="6"/>
  <c r="S2689" i="6" s="1"/>
  <c r="R2126" i="6"/>
  <c r="S2126" i="6" s="1"/>
  <c r="R2307" i="6"/>
  <c r="S2307" i="6" s="1"/>
  <c r="R2153" i="6"/>
  <c r="S2153" i="6" s="1"/>
  <c r="R2665" i="6"/>
  <c r="S2665" i="6" s="1"/>
  <c r="R2067" i="6"/>
  <c r="S2067" i="6" s="1"/>
  <c r="R2359" i="6"/>
  <c r="R2646" i="6"/>
  <c r="S2646" i="6" s="1"/>
  <c r="R2671" i="6"/>
  <c r="S2671" i="6" s="1"/>
  <c r="R2079" i="6"/>
  <c r="R2036" i="6"/>
  <c r="S2036" i="6" s="1"/>
  <c r="R1992" i="6"/>
  <c r="S1992" i="6" s="1"/>
  <c r="R2104" i="6"/>
  <c r="R2268" i="6"/>
  <c r="R2667" i="6"/>
  <c r="S2667" i="6" s="1"/>
  <c r="R2182" i="6"/>
  <c r="R1976" i="6"/>
  <c r="S1976" i="6" s="1"/>
  <c r="R2170" i="6"/>
  <c r="R2000" i="6"/>
  <c r="S2000" i="6" s="1"/>
  <c r="R2552" i="6"/>
  <c r="R2698" i="6"/>
  <c r="S2698" i="6" s="1"/>
  <c r="R2231" i="6"/>
  <c r="R2087" i="6"/>
  <c r="R1970" i="6"/>
  <c r="S1970" i="6" s="1"/>
  <c r="R2368" i="6"/>
  <c r="S2368" i="6" s="1"/>
  <c r="R1990" i="6"/>
  <c r="S1990" i="6" s="1"/>
  <c r="R2539" i="6"/>
  <c r="S2539" i="6" s="1"/>
  <c r="R2215" i="6"/>
  <c r="S2215" i="6" s="1"/>
  <c r="R2138" i="6"/>
  <c r="R2028" i="6"/>
  <c r="S2028" i="6" s="1"/>
  <c r="R2412" i="6"/>
  <c r="R2622" i="6"/>
  <c r="S2622" i="6" s="1"/>
  <c r="R2471" i="6"/>
  <c r="R2222" i="6"/>
  <c r="R2460" i="6"/>
  <c r="S2460" i="6" s="1"/>
  <c r="R2606" i="6"/>
  <c r="S2606" i="6" s="1"/>
  <c r="R2302" i="6"/>
  <c r="R2351" i="6"/>
  <c r="R2442" i="6"/>
  <c r="R2095" i="6"/>
  <c r="R2311" i="6"/>
  <c r="R2172" i="6"/>
  <c r="R2298" i="6"/>
  <c r="S2298" i="6" s="1"/>
  <c r="R2410" i="6"/>
  <c r="S2410" i="6" s="1"/>
  <c r="R2533" i="6"/>
  <c r="R2262" i="6"/>
  <c r="R2275" i="6"/>
  <c r="S2275" i="6" s="1"/>
  <c r="R2437" i="6"/>
  <c r="R2617" i="6"/>
  <c r="S2617" i="6" s="1"/>
  <c r="R2513" i="6"/>
  <c r="R2627" i="6"/>
  <c r="S2627" i="6" s="1"/>
  <c r="R2197" i="6"/>
  <c r="R2590" i="6"/>
  <c r="S2590" i="6" s="1"/>
  <c r="R2118" i="6"/>
  <c r="R2642" i="6"/>
  <c r="S2642" i="6" s="1"/>
  <c r="R2385" i="6"/>
  <c r="R2343" i="6"/>
  <c r="S2343" i="6" s="1"/>
  <c r="R2305" i="6"/>
  <c r="R2360" i="6"/>
  <c r="R2382" i="6"/>
  <c r="R2496" i="6"/>
  <c r="S2496" i="6" s="1"/>
  <c r="R2510" i="6"/>
  <c r="S2510" i="6" s="1"/>
  <c r="R2381" i="6"/>
  <c r="S2381" i="6" s="1"/>
  <c r="R2387" i="6"/>
  <c r="R609" i="6"/>
  <c r="S609" i="6" s="1"/>
  <c r="R807" i="6"/>
  <c r="S807" i="6" s="1"/>
  <c r="R134" i="6"/>
  <c r="S134" i="6" s="1"/>
  <c r="R1238" i="6"/>
  <c r="R1762" i="6"/>
  <c r="R1043" i="6"/>
  <c r="R1282" i="6"/>
  <c r="S1282" i="6" s="1"/>
  <c r="R1470" i="6"/>
  <c r="R672" i="6"/>
  <c r="R85" i="6"/>
  <c r="S85" i="6" s="1"/>
  <c r="R625" i="6"/>
  <c r="S625" i="6" s="1"/>
  <c r="R910" i="6"/>
  <c r="R1096" i="6"/>
  <c r="S1096" i="6" s="1"/>
  <c r="R1283" i="6"/>
  <c r="S1283" i="6" s="1"/>
  <c r="R1119" i="6"/>
  <c r="R985" i="6"/>
  <c r="R1303" i="6"/>
  <c r="S1303" i="6" s="1"/>
  <c r="R905" i="6"/>
  <c r="R1342" i="6"/>
  <c r="R816" i="6"/>
  <c r="S816" i="6" s="1"/>
  <c r="R1260" i="6"/>
  <c r="R1138" i="6"/>
  <c r="S1138" i="6" s="1"/>
  <c r="R826" i="6"/>
  <c r="S826" i="6" s="1"/>
  <c r="R1180" i="6"/>
  <c r="S1180" i="6" s="1"/>
  <c r="R1500" i="6"/>
  <c r="R571" i="6"/>
  <c r="R813" i="6"/>
  <c r="S813" i="6" s="1"/>
  <c r="R1550" i="6"/>
  <c r="R1191" i="6"/>
  <c r="R630" i="6"/>
  <c r="S630" i="6" s="1"/>
  <c r="R1447" i="6"/>
  <c r="R1504" i="6"/>
  <c r="R1628" i="6"/>
  <c r="R1075" i="6"/>
  <c r="R707" i="6"/>
  <c r="S707" i="6" s="1"/>
  <c r="R1171" i="6"/>
  <c r="R866" i="6"/>
  <c r="R1704" i="6"/>
  <c r="R1734" i="6"/>
  <c r="R1025" i="6"/>
  <c r="R773" i="6"/>
  <c r="S773" i="6" s="1"/>
  <c r="R663" i="6"/>
  <c r="R951" i="6"/>
  <c r="R272" i="6"/>
  <c r="R123" i="6"/>
  <c r="S123" i="6" s="1"/>
  <c r="R140" i="6"/>
  <c r="S140" i="6" s="1"/>
  <c r="R131" i="6"/>
  <c r="S131" i="6" s="1"/>
  <c r="R597" i="6"/>
  <c r="S597" i="6" s="1"/>
  <c r="R1445" i="6"/>
  <c r="R1242" i="6"/>
  <c r="S1242" i="6" s="1"/>
  <c r="R1052" i="6"/>
  <c r="R662" i="6"/>
  <c r="R30" i="6"/>
  <c r="S30" i="6" s="1"/>
  <c r="R304" i="6"/>
  <c r="R261" i="6"/>
  <c r="R842" i="6"/>
  <c r="R568" i="6"/>
  <c r="S568" i="6" s="1"/>
  <c r="R1082" i="6"/>
  <c r="R1559" i="6"/>
  <c r="R779" i="6"/>
  <c r="R2426" i="6"/>
  <c r="R939" i="6"/>
  <c r="R1158" i="6"/>
  <c r="R701" i="6"/>
  <c r="S701" i="6" s="1"/>
  <c r="R1117" i="6"/>
  <c r="S1117" i="6" s="1"/>
  <c r="R1271" i="6"/>
  <c r="R738" i="6"/>
  <c r="R99" i="6"/>
  <c r="S99" i="6" s="1"/>
  <c r="R1019" i="6"/>
  <c r="R793" i="6"/>
  <c r="R978" i="6"/>
  <c r="R1832" i="6"/>
  <c r="S1832" i="6" s="1"/>
  <c r="R783" i="6"/>
  <c r="S783" i="6" s="1"/>
  <c r="R972" i="6"/>
  <c r="R1130" i="6"/>
  <c r="S1130" i="6" s="1"/>
  <c r="R1085" i="6"/>
  <c r="R697" i="6"/>
  <c r="R833" i="6"/>
  <c r="S833" i="6" s="1"/>
  <c r="R1573" i="6"/>
  <c r="R1672" i="6"/>
  <c r="R582" i="6"/>
  <c r="S582" i="6" s="1"/>
  <c r="R1177" i="6"/>
  <c r="S1177" i="6" s="1"/>
  <c r="R1322" i="6"/>
  <c r="S1322" i="6" s="1"/>
  <c r="R1425" i="6"/>
  <c r="R1538" i="6"/>
  <c r="R543" i="6"/>
  <c r="S543" i="6" s="1"/>
  <c r="R839" i="6"/>
  <c r="S839" i="6" s="1"/>
  <c r="R135" i="6"/>
  <c r="S135" i="6" s="1"/>
  <c r="R110" i="6"/>
  <c r="S110" i="6" s="1"/>
  <c r="R104" i="6"/>
  <c r="S104" i="6" s="1"/>
  <c r="R428" i="6"/>
  <c r="R375" i="6"/>
  <c r="R129" i="6"/>
  <c r="S129" i="6" s="1"/>
  <c r="R352" i="6"/>
  <c r="R620" i="6"/>
  <c r="S620" i="6" s="1"/>
  <c r="R1050" i="6"/>
  <c r="S1050" i="6" s="1"/>
  <c r="R846" i="6"/>
  <c r="R909" i="6"/>
  <c r="R1073" i="6"/>
  <c r="R743" i="6"/>
  <c r="S743" i="6" s="1"/>
  <c r="R263" i="6"/>
  <c r="R776" i="6"/>
  <c r="S776" i="6" s="1"/>
  <c r="R117" i="6"/>
  <c r="S117" i="6" s="1"/>
  <c r="R584" i="6"/>
  <c r="S584" i="6" s="1"/>
  <c r="R1156" i="6"/>
  <c r="S1156" i="6" s="1"/>
  <c r="R949" i="6"/>
  <c r="R577" i="6"/>
  <c r="S577" i="6" s="1"/>
  <c r="R990" i="6"/>
  <c r="R1666" i="6"/>
  <c r="R1532" i="6"/>
  <c r="R742" i="6"/>
  <c r="S742" i="6" s="1"/>
  <c r="R945" i="6"/>
  <c r="R1278" i="6"/>
  <c r="R1164" i="6"/>
  <c r="R559" i="6"/>
  <c r="S559" i="6" s="1"/>
  <c r="R1231" i="6"/>
  <c r="R1418" i="6"/>
  <c r="R674" i="6"/>
  <c r="S674" i="6" s="1"/>
  <c r="R1484" i="6"/>
  <c r="R1530" i="6"/>
  <c r="R515" i="6"/>
  <c r="R876" i="6"/>
  <c r="S876" i="6" s="1"/>
  <c r="R899" i="6"/>
  <c r="S899" i="6" s="1"/>
  <c r="R287" i="6"/>
  <c r="R974" i="6"/>
  <c r="R1606" i="6"/>
  <c r="R1123" i="6"/>
  <c r="S1123" i="6" s="1"/>
  <c r="R2588" i="6"/>
  <c r="S2588" i="6" s="1"/>
  <c r="R2234" i="6"/>
  <c r="R2335" i="6"/>
  <c r="S2335" i="6" s="1"/>
  <c r="R2628" i="6"/>
  <c r="S2628" i="6" s="1"/>
  <c r="R2456" i="6"/>
  <c r="R358" i="6"/>
  <c r="R1175" i="6"/>
  <c r="S1175" i="6" s="1"/>
  <c r="R691" i="6"/>
  <c r="R821" i="6"/>
  <c r="R95" i="6"/>
  <c r="S95" i="6" s="1"/>
  <c r="R553" i="6"/>
  <c r="S553" i="6" s="1"/>
  <c r="R79" i="6"/>
  <c r="S79" i="6" s="1"/>
  <c r="R695" i="6"/>
  <c r="S695" i="6" s="1"/>
  <c r="R76" i="6"/>
  <c r="S76" i="6" s="1"/>
  <c r="R42" i="6"/>
  <c r="S42" i="6" s="1"/>
  <c r="R67" i="6"/>
  <c r="S67" i="6" s="1"/>
  <c r="R1165" i="6"/>
  <c r="R1510" i="6"/>
  <c r="R1647" i="6"/>
  <c r="R908" i="6"/>
  <c r="R1842" i="6"/>
  <c r="S1842" i="6" s="1"/>
  <c r="R72" i="6"/>
  <c r="S72" i="6" s="1"/>
  <c r="R83" i="6"/>
  <c r="S83" i="6" s="1"/>
  <c r="R561" i="6"/>
  <c r="S561" i="6" s="1"/>
  <c r="R677" i="6"/>
  <c r="R294" i="6"/>
  <c r="R832" i="6"/>
  <c r="S832" i="6" s="1"/>
  <c r="R80" i="6"/>
  <c r="S80" i="6" s="1"/>
  <c r="R2641" i="6"/>
  <c r="S2641" i="6" s="1"/>
  <c r="R2355" i="6"/>
  <c r="S2355" i="6" s="1"/>
  <c r="R1169" i="6"/>
  <c r="R739" i="6"/>
  <c r="R1078" i="6"/>
  <c r="R1804" i="6"/>
  <c r="R1554" i="6"/>
  <c r="R1509" i="6"/>
  <c r="R1516" i="6"/>
  <c r="R838" i="6"/>
  <c r="R653" i="6"/>
  <c r="S653" i="6" s="1"/>
  <c r="R931" i="6"/>
  <c r="R796" i="6"/>
  <c r="S796" i="6" s="1"/>
  <c r="R748" i="6"/>
  <c r="R1219" i="6"/>
  <c r="R1173" i="6"/>
  <c r="R777" i="6"/>
  <c r="S777" i="6" s="1"/>
  <c r="R1415" i="6"/>
  <c r="R1210" i="6"/>
  <c r="R942" i="6"/>
  <c r="R852" i="6"/>
  <c r="R728" i="6"/>
  <c r="S728" i="6" s="1"/>
  <c r="R936" i="6"/>
  <c r="S936" i="6" s="1"/>
  <c r="R708" i="6"/>
  <c r="S708" i="6" s="1"/>
  <c r="R529" i="6"/>
  <c r="R756" i="6"/>
  <c r="S756" i="6" s="1"/>
  <c r="R1094" i="6"/>
  <c r="S1094" i="6" s="1"/>
  <c r="R860" i="6"/>
  <c r="R722" i="6"/>
  <c r="S722" i="6" s="1"/>
  <c r="R622" i="6"/>
  <c r="R817" i="6"/>
  <c r="R1002" i="6"/>
  <c r="R220" i="6"/>
  <c r="R631" i="6"/>
  <c r="R100" i="6"/>
  <c r="S100" i="6" s="1"/>
  <c r="R148" i="6"/>
  <c r="S148" i="6" s="1"/>
  <c r="R715" i="6"/>
  <c r="R1179" i="6"/>
  <c r="S1179" i="6" s="1"/>
  <c r="R818" i="6"/>
  <c r="R1537" i="6"/>
  <c r="R1319" i="6"/>
  <c r="S1319" i="6" s="1"/>
  <c r="R955" i="6"/>
  <c r="R39" i="6"/>
  <c r="S39" i="6" s="1"/>
  <c r="R1155" i="6"/>
  <c r="S1155" i="6" s="1"/>
  <c r="R754" i="6"/>
  <c r="R794" i="6"/>
  <c r="R770" i="6"/>
  <c r="S770" i="6" s="1"/>
  <c r="R595" i="6"/>
  <c r="R1063" i="6"/>
  <c r="R1214" i="6"/>
  <c r="R1838" i="6"/>
  <c r="S1838" i="6" s="1"/>
  <c r="R1372" i="6"/>
  <c r="R986" i="6"/>
  <c r="R678" i="6"/>
  <c r="R1618" i="6"/>
  <c r="R829" i="6"/>
  <c r="R566" i="6"/>
  <c r="S566" i="6" s="1"/>
  <c r="R1142" i="6"/>
  <c r="R778" i="6"/>
  <c r="S778" i="6" s="1"/>
  <c r="R797" i="6"/>
  <c r="R1233" i="6"/>
  <c r="R812" i="6"/>
  <c r="S812" i="6" s="1"/>
  <c r="R151" i="6"/>
  <c r="R736" i="6"/>
  <c r="S736" i="6" s="1"/>
  <c r="R500" i="6"/>
  <c r="R815" i="6"/>
  <c r="S815" i="6" s="1"/>
  <c r="R885" i="6"/>
  <c r="R680" i="6"/>
  <c r="R458" i="6"/>
  <c r="R638" i="6"/>
  <c r="S638" i="6" s="1"/>
  <c r="R688" i="6"/>
  <c r="S688" i="6" s="1"/>
  <c r="R593" i="6"/>
  <c r="R868" i="6"/>
  <c r="R670" i="6"/>
  <c r="R1166" i="6"/>
  <c r="S1166" i="6" s="1"/>
  <c r="R870" i="6"/>
  <c r="S870" i="6" s="1"/>
  <c r="R1021" i="6"/>
  <c r="R1061" i="6"/>
  <c r="R1148" i="6"/>
  <c r="R880" i="6"/>
  <c r="R824" i="6"/>
  <c r="R657" i="6"/>
  <c r="R68" i="6"/>
  <c r="S68" i="6" s="1"/>
  <c r="R575" i="6"/>
  <c r="S575" i="6" s="1"/>
  <c r="R2470" i="6"/>
  <c r="R2406" i="6"/>
  <c r="S2406" i="6" s="1"/>
  <c r="R2124" i="6"/>
  <c r="R1407" i="6"/>
  <c r="R2207" i="6"/>
  <c r="R2560" i="6"/>
  <c r="R2292" i="6"/>
  <c r="R2213" i="6"/>
  <c r="S2213" i="6" s="1"/>
  <c r="R2366" i="6"/>
  <c r="R1492" i="6"/>
  <c r="R1202" i="6"/>
  <c r="S1202" i="6" s="1"/>
  <c r="R1670" i="6"/>
  <c r="R1318" i="6"/>
  <c r="S1318" i="6" s="1"/>
  <c r="R1149" i="6"/>
  <c r="S1149" i="6" s="1"/>
  <c r="R749" i="6"/>
  <c r="S749" i="6" s="1"/>
  <c r="R1290" i="6"/>
  <c r="S1290" i="6" s="1"/>
  <c r="R589" i="6"/>
  <c r="S589" i="6" s="1"/>
  <c r="R1782" i="6"/>
  <c r="R918" i="6"/>
  <c r="R1852" i="6"/>
  <c r="S1852" i="6" s="1"/>
  <c r="R1387" i="6"/>
  <c r="S1387" i="6" s="1"/>
  <c r="R1557" i="6"/>
  <c r="R1215" i="6"/>
  <c r="R1410" i="6"/>
  <c r="R45" i="6"/>
  <c r="S45" i="6" s="1"/>
  <c r="R1069" i="6"/>
  <c r="R1253" i="6"/>
  <c r="S1253" i="6" s="1"/>
  <c r="R49" i="6"/>
  <c r="S49" i="6" s="1"/>
  <c r="R669" i="6"/>
  <c r="S669" i="6" s="1"/>
  <c r="R684" i="6"/>
  <c r="S684" i="6" s="1"/>
  <c r="R330" i="6"/>
  <c r="R719" i="6"/>
  <c r="R806" i="6"/>
  <c r="S806" i="6" s="1"/>
  <c r="R1041" i="6"/>
  <c r="R917" i="6"/>
  <c r="R1020" i="6"/>
  <c r="R865" i="6"/>
  <c r="R91" i="6"/>
  <c r="S91" i="6" s="1"/>
  <c r="R1086" i="6"/>
  <c r="S1086" i="6" s="1"/>
  <c r="R926" i="6"/>
  <c r="R894" i="6"/>
  <c r="R1758" i="6"/>
  <c r="R1279" i="6"/>
  <c r="R601" i="6"/>
  <c r="S601" i="6" s="1"/>
  <c r="R867" i="6"/>
  <c r="R781" i="6"/>
  <c r="R760" i="6"/>
  <c r="R1088" i="6"/>
  <c r="S1088" i="6" s="1"/>
  <c r="R516" i="6"/>
  <c r="R1140" i="6"/>
  <c r="S1140" i="6" s="1"/>
  <c r="R62" i="6"/>
  <c r="S62" i="6" s="1"/>
  <c r="R1579" i="6"/>
  <c r="R1049" i="6"/>
  <c r="S1049" i="6" s="1"/>
  <c r="R675" i="6"/>
  <c r="R902" i="6"/>
  <c r="R929" i="6"/>
  <c r="R1194" i="6"/>
  <c r="R803" i="6"/>
  <c r="S803" i="6" s="1"/>
  <c r="R956" i="6"/>
  <c r="R847" i="6"/>
  <c r="R1791" i="6"/>
  <c r="R1710" i="6"/>
  <c r="R889" i="6"/>
  <c r="R1126" i="6"/>
  <c r="R983" i="6"/>
  <c r="R1036" i="6"/>
  <c r="R232" i="6"/>
  <c r="R966" i="6"/>
  <c r="R1473" i="6"/>
  <c r="R1125" i="6"/>
  <c r="S1125" i="6" s="1"/>
  <c r="R546" i="6"/>
  <c r="R1826" i="6"/>
  <c r="R56" i="6"/>
  <c r="S56" i="6" s="1"/>
  <c r="R878" i="6"/>
  <c r="R1181" i="6"/>
  <c r="S1181" i="6" s="1"/>
  <c r="R644" i="6"/>
  <c r="S644" i="6" s="1"/>
  <c r="R1153" i="6"/>
  <c r="S1153" i="6" s="1"/>
  <c r="R109" i="6"/>
  <c r="S109" i="6" s="1"/>
  <c r="R108" i="6"/>
  <c r="S108" i="6" s="1"/>
  <c r="R340" i="6"/>
  <c r="R41" i="6"/>
  <c r="S41" i="6" s="1"/>
  <c r="R569" i="6"/>
  <c r="S569" i="6" s="1"/>
  <c r="R245" i="6"/>
  <c r="R1745" i="6"/>
  <c r="R1626" i="6"/>
  <c r="R911" i="6"/>
  <c r="R769" i="6"/>
  <c r="S769" i="6" s="1"/>
  <c r="R1431" i="6"/>
  <c r="R51" i="6"/>
  <c r="S51" i="6" s="1"/>
  <c r="R92" i="6"/>
  <c r="S92" i="6" s="1"/>
  <c r="R58" i="6"/>
  <c r="S58" i="6" s="1"/>
  <c r="R1008" i="6"/>
  <c r="R383" i="6"/>
  <c r="R600" i="6"/>
  <c r="R37" i="6"/>
  <c r="S37" i="6" s="1"/>
  <c r="R116" i="6"/>
  <c r="S116" i="6" s="1"/>
  <c r="R145" i="6"/>
  <c r="S145" i="6" s="1"/>
  <c r="R549" i="6"/>
  <c r="S549" i="6" s="1"/>
  <c r="R1186" i="6"/>
  <c r="R1375" i="6"/>
  <c r="R1848" i="6"/>
  <c r="S1848" i="6" s="1"/>
  <c r="R1134" i="6"/>
  <c r="S1134" i="6" s="1"/>
  <c r="R1522" i="6"/>
  <c r="R758" i="6"/>
  <c r="S758" i="6" s="1"/>
  <c r="R772" i="6"/>
  <c r="R877" i="6"/>
  <c r="R717" i="6"/>
  <c r="R1239" i="6"/>
  <c r="R1404" i="6"/>
  <c r="R1103" i="6"/>
  <c r="S1103" i="6" s="1"/>
  <c r="R1646" i="6"/>
  <c r="R750" i="6"/>
  <c r="S750" i="6" s="1"/>
  <c r="R828" i="6"/>
  <c r="R716" i="6"/>
  <c r="R590" i="6"/>
  <c r="S590" i="6" s="1"/>
  <c r="R1270" i="6"/>
  <c r="R1087" i="6"/>
  <c r="R730" i="6"/>
  <c r="S730" i="6" s="1"/>
  <c r="R1101" i="6"/>
  <c r="R1380" i="6"/>
  <c r="R573" i="6"/>
  <c r="S573" i="6" s="1"/>
  <c r="R1122" i="6"/>
  <c r="S1122" i="6" s="1"/>
  <c r="R1124" i="6"/>
  <c r="S1124" i="6" s="1"/>
  <c r="R507" i="6"/>
  <c r="R97" i="6"/>
  <c r="S97" i="6" s="1"/>
  <c r="R441" i="6"/>
  <c r="R527" i="6"/>
  <c r="S527" i="6" s="1"/>
  <c r="R932" i="6"/>
  <c r="R29" i="6"/>
  <c r="S29" i="6" s="1"/>
  <c r="R606" i="6"/>
  <c r="S606" i="6" s="1"/>
  <c r="R1660" i="6"/>
  <c r="R1534" i="6"/>
  <c r="R96" i="6"/>
  <c r="S96" i="6" s="1"/>
  <c r="R34" i="6"/>
  <c r="S34" i="6" s="1"/>
  <c r="R702" i="6"/>
  <c r="R74" i="6"/>
  <c r="S74" i="6" s="1"/>
  <c r="R1120" i="6"/>
  <c r="R647" i="6"/>
  <c r="S647" i="6" s="1"/>
  <c r="R1029" i="6"/>
  <c r="S1029" i="6" s="1"/>
  <c r="R1093" i="6"/>
  <c r="R2581" i="6"/>
  <c r="S2581" i="6" s="1"/>
  <c r="R2201" i="6"/>
  <c r="R2015" i="6"/>
  <c r="S2015" i="6" s="1"/>
  <c r="R1006" i="6"/>
  <c r="R1526" i="6"/>
  <c r="R87" i="6"/>
  <c r="S87" i="6" s="1"/>
  <c r="R859" i="6"/>
  <c r="S859" i="6" s="1"/>
  <c r="R551" i="6"/>
  <c r="S551" i="6" s="1"/>
  <c r="R1062" i="6"/>
  <c r="R810" i="6"/>
  <c r="S810" i="6" s="1"/>
  <c r="R1162" i="6"/>
  <c r="R1654" i="6"/>
  <c r="R1498" i="6"/>
  <c r="R61" i="6"/>
  <c r="S61" i="6" s="1"/>
  <c r="R1362" i="6"/>
  <c r="R1324" i="6"/>
  <c r="R964" i="6"/>
  <c r="R1114" i="6"/>
  <c r="R802" i="6"/>
  <c r="S802" i="6" s="1"/>
  <c r="R483" i="6"/>
  <c r="R522" i="6"/>
  <c r="R954" i="6"/>
  <c r="R565" i="6"/>
  <c r="S565" i="6" s="1"/>
  <c r="R1141" i="6"/>
  <c r="R528" i="6"/>
  <c r="S528" i="6" s="1"/>
  <c r="R1057" i="6"/>
  <c r="R740" i="6"/>
  <c r="R886" i="6"/>
  <c r="S886" i="6" s="1"/>
  <c r="R1102" i="6"/>
  <c r="S1102" i="6" s="1"/>
  <c r="R1681" i="6"/>
  <c r="R1118" i="6"/>
  <c r="R55" i="6"/>
  <c r="S55" i="6" s="1"/>
  <c r="R570" i="6"/>
  <c r="R139" i="6"/>
  <c r="S139" i="6" s="1"/>
  <c r="R1013" i="6"/>
  <c r="R136" i="6"/>
  <c r="S136" i="6" s="1"/>
  <c r="R1032" i="6"/>
  <c r="R1388" i="6"/>
  <c r="R1722" i="6"/>
  <c r="R934" i="6"/>
  <c r="R621" i="6"/>
  <c r="S621" i="6" s="1"/>
  <c r="R1132" i="6"/>
  <c r="S1132" i="6" s="1"/>
  <c r="R989" i="6"/>
  <c r="R1535" i="6"/>
  <c r="R995" i="6"/>
  <c r="R938" i="6"/>
  <c r="R757" i="6"/>
  <c r="S757" i="6" s="1"/>
  <c r="R1434" i="6"/>
  <c r="R642" i="6"/>
  <c r="S642" i="6" s="1"/>
  <c r="R774" i="6"/>
  <c r="R1113" i="6"/>
  <c r="R841" i="6"/>
  <c r="S841" i="6" s="1"/>
  <c r="R1023" i="6"/>
  <c r="R687" i="6"/>
  <c r="S687" i="6" s="1"/>
  <c r="R1514" i="6"/>
  <c r="R598" i="6"/>
  <c r="S598" i="6" s="1"/>
  <c r="R550" i="6"/>
  <c r="S550" i="6" s="1"/>
  <c r="R1055" i="6"/>
  <c r="R961" i="6"/>
  <c r="R634" i="6"/>
  <c r="R567" i="6"/>
  <c r="S567" i="6" s="1"/>
  <c r="R1868" i="6"/>
  <c r="R980" i="6"/>
  <c r="R1182" i="6"/>
  <c r="S1182" i="6" s="1"/>
  <c r="R120" i="6"/>
  <c r="S120" i="6" s="1"/>
  <c r="R386" i="6"/>
  <c r="R52" i="6"/>
  <c r="S52" i="6" s="1"/>
  <c r="R111" i="6"/>
  <c r="S111" i="6" s="1"/>
  <c r="R102" i="6"/>
  <c r="S102" i="6" s="1"/>
  <c r="R126" i="6"/>
  <c r="S126" i="6" s="1"/>
  <c r="R2058" i="6"/>
  <c r="R1974" i="6"/>
  <c r="R2664" i="6"/>
  <c r="S2664" i="6" s="1"/>
  <c r="R2567" i="6"/>
  <c r="R2043" i="6"/>
  <c r="S2043" i="6" s="1"/>
  <c r="R2341" i="6"/>
  <c r="R2319" i="6"/>
  <c r="S2319" i="6" s="1"/>
  <c r="R2054" i="6"/>
  <c r="R2156" i="6"/>
  <c r="R2436" i="6"/>
  <c r="R1981" i="6"/>
  <c r="S1981" i="6" s="1"/>
  <c r="R2249" i="6"/>
  <c r="R2228" i="6"/>
  <c r="R2203" i="6"/>
  <c r="R981" i="6"/>
  <c r="R1720" i="6"/>
  <c r="R1430" i="6"/>
  <c r="R800" i="6"/>
  <c r="R347" i="6"/>
  <c r="R357" i="6"/>
  <c r="R613" i="6"/>
  <c r="S613" i="6" s="1"/>
  <c r="R412" i="6"/>
  <c r="R664" i="6"/>
  <c r="R1195" i="6"/>
  <c r="R2443" i="6"/>
  <c r="S2443" i="6" s="1"/>
  <c r="R2074" i="6"/>
  <c r="R2564" i="6"/>
  <c r="R2514" i="6"/>
  <c r="R2679" i="6"/>
  <c r="S2679" i="6" s="1"/>
  <c r="R2139" i="6"/>
  <c r="R2658" i="6"/>
  <c r="S2658" i="6" s="1"/>
  <c r="R2218" i="6"/>
  <c r="R2168" i="6"/>
  <c r="R2670" i="6"/>
  <c r="S2670" i="6" s="1"/>
  <c r="R2026" i="6"/>
  <c r="S2026" i="6" s="1"/>
  <c r="R2561" i="6"/>
  <c r="R2177" i="6"/>
  <c r="R2390" i="6"/>
  <c r="R2547" i="6"/>
  <c r="R2571" i="6"/>
  <c r="R2408" i="6"/>
  <c r="S2408" i="6" s="1"/>
  <c r="R1066" i="6"/>
  <c r="R943" i="6"/>
  <c r="R283" i="6"/>
  <c r="R1774" i="6"/>
  <c r="R1133" i="6"/>
  <c r="S1133" i="6" s="1"/>
  <c r="R641" i="6"/>
  <c r="S641" i="6" s="1"/>
  <c r="R1580" i="6"/>
  <c r="R1151" i="6"/>
  <c r="S1151" i="6" s="1"/>
  <c r="R1621" i="6"/>
  <c r="R1714" i="6"/>
  <c r="R1187" i="6"/>
  <c r="S1187" i="6" s="1"/>
  <c r="R941" i="6"/>
  <c r="R1010" i="6"/>
  <c r="R819" i="6"/>
  <c r="S819" i="6" s="1"/>
  <c r="R1839" i="6"/>
  <c r="S1839" i="6" s="1"/>
  <c r="R1768" i="6"/>
  <c r="R925" i="6"/>
  <c r="R1800" i="6"/>
  <c r="R924" i="6"/>
  <c r="R27" i="6"/>
  <c r="S27" i="6" s="1"/>
  <c r="R524" i="6"/>
  <c r="S524" i="6" s="1"/>
  <c r="R119" i="6"/>
  <c r="S119" i="6" s="1"/>
  <c r="R700" i="6"/>
  <c r="R107" i="6"/>
  <c r="S107" i="6" s="1"/>
  <c r="R63" i="6"/>
  <c r="S63" i="6" s="1"/>
  <c r="R615" i="6"/>
  <c r="R881" i="6"/>
  <c r="R228" i="6"/>
  <c r="R545" i="6"/>
  <c r="R599" i="6"/>
  <c r="S599" i="6" s="1"/>
  <c r="R751" i="6"/>
  <c r="R637" i="6"/>
  <c r="R646" i="6"/>
  <c r="R1070" i="6"/>
  <c r="R732" i="6"/>
  <c r="R1172" i="6"/>
  <c r="S1172" i="6" s="1"/>
  <c r="R531" i="6"/>
  <c r="S531" i="6" s="1"/>
  <c r="R540" i="6"/>
  <c r="R864" i="6"/>
  <c r="R587" i="6"/>
  <c r="S587" i="6" s="1"/>
  <c r="R2655" i="6"/>
  <c r="S2655" i="6" s="1"/>
  <c r="R2080" i="6"/>
  <c r="R2541" i="6"/>
  <c r="R2454" i="6"/>
  <c r="R2122" i="6"/>
  <c r="R2173" i="6"/>
  <c r="R81" i="6"/>
  <c r="S81" i="6" s="1"/>
  <c r="R650" i="6"/>
  <c r="S650" i="6" s="1"/>
  <c r="R394" i="6"/>
  <c r="R57" i="6"/>
  <c r="S57" i="6" s="1"/>
  <c r="R1406" i="6"/>
  <c r="S1406" i="6" s="1"/>
  <c r="R626" i="6"/>
  <c r="S626" i="6" s="1"/>
  <c r="R1553" i="6"/>
  <c r="R1009" i="6"/>
  <c r="R854" i="6"/>
  <c r="R602" i="6"/>
  <c r="S602" i="6" s="1"/>
  <c r="R752" i="6"/>
  <c r="R538" i="6"/>
  <c r="S538" i="6" s="1"/>
  <c r="R554" i="6"/>
  <c r="S554" i="6" s="1"/>
  <c r="R811" i="6"/>
  <c r="R1706" i="6"/>
  <c r="R1451" i="6"/>
  <c r="R1131" i="6"/>
  <c r="S1131" i="6" s="1"/>
  <c r="R1139" i="6"/>
  <c r="S1139" i="6" s="1"/>
  <c r="R1230" i="6"/>
  <c r="S1230" i="6" s="1"/>
  <c r="R1058" i="6"/>
  <c r="R1814" i="6"/>
  <c r="R523" i="6"/>
  <c r="S523" i="6" s="1"/>
  <c r="R1399" i="6"/>
  <c r="S1399" i="6" s="1"/>
  <c r="R1398" i="6"/>
  <c r="R583" i="6"/>
  <c r="S583" i="6" s="1"/>
  <c r="R1854" i="6"/>
  <c r="S1854" i="6" s="1"/>
  <c r="R1490" i="6"/>
  <c r="R789" i="6"/>
  <c r="R316" i="6"/>
  <c r="R105" i="6"/>
  <c r="S105" i="6" s="1"/>
  <c r="R718" i="6"/>
  <c r="R960" i="6"/>
  <c r="R75" i="6"/>
  <c r="S75" i="6" s="1"/>
  <c r="R1048" i="6"/>
  <c r="S1048" i="6" s="1"/>
  <c r="R514" i="6"/>
  <c r="R853" i="6"/>
  <c r="R947" i="6"/>
  <c r="R1217" i="6"/>
  <c r="R1089" i="6"/>
  <c r="R762" i="6"/>
  <c r="S762" i="6" s="1"/>
  <c r="R106" i="6"/>
  <c r="S106" i="6" s="1"/>
  <c r="R475" i="6"/>
  <c r="R823" i="6"/>
  <c r="S823" i="6" s="1"/>
  <c r="R1092" i="6"/>
  <c r="R935" i="6"/>
  <c r="R175" i="6"/>
  <c r="R2101" i="6"/>
  <c r="R2487" i="6"/>
  <c r="R2007" i="6"/>
  <c r="S2007" i="6" s="1"/>
  <c r="R2326" i="6"/>
  <c r="R2345" i="6"/>
  <c r="R1988" i="6"/>
  <c r="S1988" i="6" s="1"/>
  <c r="R2434" i="6"/>
  <c r="R2613" i="6"/>
  <c r="S2613" i="6" s="1"/>
  <c r="R2654" i="6"/>
  <c r="S2654" i="6" s="1"/>
  <c r="R2223" i="6"/>
  <c r="R2531" i="6"/>
  <c r="R143" i="6"/>
  <c r="S143" i="6" s="1"/>
  <c r="R775" i="6"/>
  <c r="S775" i="6" s="1"/>
  <c r="R121" i="6"/>
  <c r="S121" i="6" s="1"/>
  <c r="R449" i="6"/>
  <c r="R1150" i="6"/>
  <c r="S1150" i="6" s="1"/>
  <c r="R317" i="6"/>
  <c r="R90" i="6"/>
  <c r="S90" i="6" s="1"/>
  <c r="R44" i="6"/>
  <c r="S44" i="6" s="1"/>
  <c r="R928" i="6"/>
  <c r="R628" i="6"/>
  <c r="R744" i="6"/>
  <c r="R206" i="6"/>
  <c r="R906" i="6"/>
  <c r="R884" i="6"/>
  <c r="S884" i="6" s="1"/>
  <c r="R443" i="6"/>
  <c r="R596" i="6"/>
  <c r="R214" i="6"/>
  <c r="R709" i="6"/>
  <c r="S709" i="6" s="1"/>
  <c r="R888" i="6"/>
  <c r="R1108" i="6"/>
  <c r="R872" i="6"/>
  <c r="R374" i="6"/>
  <c r="R130" i="6"/>
  <c r="S130" i="6" s="1"/>
  <c r="R215" i="6"/>
  <c r="R704" i="6"/>
  <c r="R912" i="6"/>
  <c r="R1098" i="6"/>
  <c r="R629" i="6"/>
  <c r="R798" i="6"/>
  <c r="R94" i="6"/>
  <c r="S94" i="6" s="1"/>
  <c r="R612" i="6"/>
  <c r="S612" i="6" s="1"/>
  <c r="R1157" i="6"/>
  <c r="S1157" i="6" s="1"/>
  <c r="R896" i="6"/>
  <c r="R2071" i="6"/>
  <c r="R1977" i="6"/>
  <c r="S1977" i="6" s="1"/>
  <c r="R2557" i="6"/>
  <c r="R645" i="6"/>
  <c r="S645" i="6" s="1"/>
  <c r="R861" i="6"/>
  <c r="R1076" i="6"/>
  <c r="R887" i="6"/>
  <c r="S887" i="6" s="1"/>
  <c r="R492" i="6"/>
  <c r="R586" i="6"/>
  <c r="S586" i="6" s="1"/>
  <c r="R1038" i="6"/>
  <c r="R840" i="6"/>
  <c r="R1121" i="6"/>
  <c r="R82" i="6"/>
  <c r="S82" i="6" s="1"/>
  <c r="R711" i="6"/>
  <c r="R84" i="6"/>
  <c r="S84" i="6" s="1"/>
  <c r="R869" i="6"/>
  <c r="S869" i="6" s="1"/>
  <c r="R59" i="6"/>
  <c r="S59" i="6" s="1"/>
  <c r="R782" i="6"/>
  <c r="R636" i="6"/>
  <c r="R920" i="6"/>
  <c r="R410" i="6"/>
  <c r="R38" i="6"/>
  <c r="S38" i="6" s="1"/>
  <c r="R976" i="6"/>
  <c r="R856" i="6"/>
  <c r="R1105" i="6"/>
  <c r="S1105" i="6" s="1"/>
  <c r="R890" i="6"/>
  <c r="S890" i="6" s="1"/>
  <c r="R526" i="6"/>
  <c r="S526" i="6" s="1"/>
  <c r="R444" i="6"/>
  <c r="R848" i="6"/>
  <c r="R267" i="6"/>
  <c r="R192" i="6"/>
  <c r="R2500" i="6"/>
  <c r="R733" i="6"/>
  <c r="R666" i="6"/>
  <c r="R1035" i="6"/>
  <c r="R682" i="6"/>
  <c r="R699" i="6"/>
  <c r="R118" i="6"/>
  <c r="S118" i="6" s="1"/>
  <c r="R127" i="6"/>
  <c r="S127" i="6" s="1"/>
  <c r="R579" i="6"/>
  <c r="S579" i="6" s="1"/>
  <c r="R694" i="6"/>
  <c r="R1054" i="6"/>
  <c r="S1054" i="6" s="1"/>
  <c r="R1458" i="6"/>
  <c r="R1732" i="6"/>
  <c r="R1163" i="6"/>
  <c r="R627" i="6"/>
  <c r="S627" i="6" s="1"/>
  <c r="R1345" i="6"/>
  <c r="R1211" i="6"/>
  <c r="R1822" i="6"/>
  <c r="R1033" i="6"/>
  <c r="R765" i="6"/>
  <c r="R1426" i="6"/>
  <c r="R1454" i="6"/>
  <c r="R729" i="6"/>
  <c r="S729" i="6" s="1"/>
  <c r="R1515" i="6"/>
  <c r="R957" i="6"/>
  <c r="R705" i="6"/>
  <c r="R1034" i="6"/>
  <c r="R994" i="6"/>
  <c r="R1617" i="6"/>
  <c r="S1617" i="6" s="1"/>
  <c r="R1068" i="6"/>
  <c r="R652" i="6"/>
  <c r="R2045" i="6"/>
  <c r="S2045" i="6" s="1"/>
  <c r="R1297" i="6"/>
  <c r="S1297" i="6" s="1"/>
  <c r="R103" i="6"/>
  <c r="S103" i="6" s="1"/>
  <c r="R618" i="6"/>
  <c r="S618" i="6" s="1"/>
  <c r="R1346" i="6"/>
  <c r="R591" i="6"/>
  <c r="S591" i="6" s="1"/>
  <c r="R849" i="6"/>
  <c r="R60" i="6"/>
  <c r="S60" i="6" s="1"/>
  <c r="R904" i="6"/>
  <c r="R822" i="6"/>
  <c r="R1044" i="6"/>
  <c r="R218" i="6"/>
  <c r="R141" i="6"/>
  <c r="S141" i="6" s="1"/>
  <c r="R1084" i="6"/>
  <c r="R725" i="6"/>
  <c r="R827" i="6"/>
  <c r="R710" i="6"/>
  <c r="S710" i="6" s="1"/>
  <c r="R70" i="6"/>
  <c r="S70" i="6" s="1"/>
  <c r="R808" i="6"/>
  <c r="S808" i="6" s="1"/>
  <c r="R378" i="6"/>
  <c r="R737" i="6"/>
  <c r="R764" i="6"/>
  <c r="R727" i="6"/>
  <c r="R970" i="6"/>
  <c r="R28" i="6"/>
  <c r="S28" i="6" s="1"/>
  <c r="R544" i="6"/>
  <c r="S544" i="6" s="1"/>
  <c r="R138" i="6"/>
  <c r="S138" i="6" s="1"/>
  <c r="R616" i="6"/>
  <c r="S616" i="6" s="1"/>
  <c r="R1795" i="6"/>
  <c r="R1042" i="6"/>
  <c r="R1178" i="6"/>
  <c r="S1178" i="6" s="1"/>
  <c r="R611" i="6"/>
  <c r="S611" i="6" s="1"/>
  <c r="R578" i="6"/>
  <c r="S578" i="6" s="1"/>
  <c r="R950" i="6"/>
  <c r="R1254" i="6"/>
  <c r="R1542" i="6"/>
  <c r="R1294" i="6"/>
  <c r="S1294" i="6" s="1"/>
  <c r="R767" i="6"/>
  <c r="S767" i="6" s="1"/>
  <c r="R1174" i="6"/>
  <c r="S1174" i="6" s="1"/>
  <c r="R1409" i="6"/>
  <c r="R1690" i="6"/>
  <c r="R892" i="6"/>
  <c r="S892" i="6" s="1"/>
  <c r="R721" i="6"/>
  <c r="R1037" i="6"/>
  <c r="R1128" i="6"/>
  <c r="R973" i="6"/>
  <c r="R1116" i="6"/>
  <c r="R1185" i="6"/>
  <c r="S1185" i="6" s="1"/>
  <c r="R1630" i="6"/>
  <c r="R1161" i="6"/>
  <c r="S1161" i="6" s="1"/>
  <c r="R541" i="6"/>
  <c r="R965" i="6"/>
  <c r="R2461" i="6"/>
  <c r="S2461" i="6" s="1"/>
  <c r="R2484" i="6"/>
  <c r="R952" i="6"/>
  <c r="R564" i="6"/>
  <c r="S564" i="6" s="1"/>
  <c r="R133" i="6"/>
  <c r="S133" i="6" s="1"/>
  <c r="R86" i="6"/>
  <c r="S86" i="6" s="1"/>
  <c r="R1144" i="6"/>
  <c r="S1144" i="6" s="1"/>
  <c r="R1012" i="6"/>
  <c r="R1276" i="6"/>
  <c r="R247" i="6"/>
  <c r="R1374" i="6"/>
  <c r="R858" i="6"/>
  <c r="S858" i="6" s="1"/>
  <c r="R534" i="6"/>
  <c r="S534" i="6" s="1"/>
  <c r="R679" i="6"/>
  <c r="R692" i="6"/>
  <c r="S692" i="6" s="1"/>
  <c r="R913" i="6"/>
  <c r="R48" i="6"/>
  <c r="S48" i="6" s="1"/>
  <c r="R968" i="6"/>
  <c r="R2220" i="6"/>
  <c r="R2180" i="6"/>
  <c r="R289" i="6"/>
  <c r="R996" i="6"/>
  <c r="R2477" i="6"/>
  <c r="R2254" i="6"/>
  <c r="R2039" i="6"/>
  <c r="R2006" i="6"/>
  <c r="S2006" i="6" s="1"/>
  <c r="R2072" i="6"/>
  <c r="R2549" i="6"/>
  <c r="R2206" i="6"/>
  <c r="R2507" i="6"/>
  <c r="S2507" i="6" s="1"/>
  <c r="R2278" i="6"/>
  <c r="R2321" i="6"/>
  <c r="R2178" i="6"/>
  <c r="S2178" i="6" s="1"/>
  <c r="R2183" i="6"/>
  <c r="S2183" i="6" s="1"/>
  <c r="R2346" i="6"/>
  <c r="R1995" i="6"/>
  <c r="S1995" i="6" s="1"/>
  <c r="R2558" i="6"/>
  <c r="R2690" i="6"/>
  <c r="S2690" i="6" s="1"/>
  <c r="R2055" i="6"/>
  <c r="R1982" i="6"/>
  <c r="S1982" i="6" s="1"/>
  <c r="R268" i="6"/>
  <c r="R303" i="6"/>
  <c r="R363" i="6"/>
  <c r="R556" i="6"/>
  <c r="R2336" i="6"/>
  <c r="R2696" i="6"/>
  <c r="S2696" i="6" s="1"/>
  <c r="R2017" i="6"/>
  <c r="S2017" i="6" s="1"/>
  <c r="R2264" i="6"/>
  <c r="R2428" i="6"/>
  <c r="R1975" i="6"/>
  <c r="S1975" i="6" s="1"/>
  <c r="R2637" i="6"/>
  <c r="S2637" i="6" s="1"/>
  <c r="R542" i="6"/>
  <c r="S542" i="6" s="1"/>
  <c r="R1176" i="6"/>
  <c r="R128" i="6"/>
  <c r="S128" i="6" s="1"/>
  <c r="R77" i="6"/>
  <c r="S77" i="6" s="1"/>
  <c r="R324" i="6"/>
  <c r="R32" i="6"/>
  <c r="S32" i="6" s="1"/>
  <c r="R967" i="6"/>
  <c r="R122" i="6"/>
  <c r="S122" i="6" s="1"/>
  <c r="R560" i="6"/>
  <c r="S560" i="6" s="1"/>
  <c r="R26" i="6"/>
  <c r="S26" i="6" s="1"/>
  <c r="R1184" i="6"/>
  <c r="S1184" i="6" s="1"/>
  <c r="R40" i="6"/>
  <c r="S40" i="6" s="1"/>
  <c r="R784" i="6"/>
  <c r="R66" i="6"/>
  <c r="S66" i="6" s="1"/>
  <c r="R465" i="6"/>
  <c r="R481" i="6"/>
  <c r="R988" i="6"/>
  <c r="R558" i="6"/>
  <c r="S558" i="6" s="1"/>
  <c r="R408" i="6"/>
  <c r="R450" i="6"/>
  <c r="R948" i="6"/>
  <c r="R605" i="6"/>
  <c r="R837" i="6"/>
  <c r="S837" i="6" s="1"/>
  <c r="R114" i="6"/>
  <c r="S114" i="6" s="1"/>
  <c r="R901" i="6"/>
  <c r="R88" i="6"/>
  <c r="S88" i="6" s="1"/>
  <c r="R321" i="6"/>
  <c r="R1064" i="6"/>
  <c r="R491" i="6"/>
  <c r="R78" i="6"/>
  <c r="S78" i="6" s="1"/>
  <c r="R65" i="6"/>
  <c r="S65" i="6" s="1"/>
  <c r="R50" i="6"/>
  <c r="S50" i="6" s="1"/>
  <c r="R919" i="6"/>
  <c r="R686" i="6"/>
  <c r="S686" i="6" s="1"/>
  <c r="R315" i="6"/>
  <c r="R759" i="6"/>
  <c r="R792" i="6"/>
  <c r="R862" i="6"/>
  <c r="R2088" i="6"/>
  <c r="R2171" i="6"/>
  <c r="R2435" i="6"/>
  <c r="R2046" i="6"/>
  <c r="S2046" i="6" s="1"/>
  <c r="R830" i="6"/>
  <c r="S830" i="6" s="1"/>
  <c r="R874" i="6"/>
  <c r="R734" i="6"/>
  <c r="S734" i="6" s="1"/>
  <c r="R1192" i="6"/>
  <c r="R814" i="6"/>
  <c r="R489" i="6"/>
  <c r="R1072" i="6"/>
  <c r="R377" i="6"/>
  <c r="R654" i="6"/>
  <c r="R137" i="6"/>
  <c r="S137" i="6" s="1"/>
  <c r="R391" i="6"/>
  <c r="R788" i="6"/>
  <c r="R1104" i="6"/>
  <c r="S1104" i="6" s="1"/>
  <c r="R532" i="6"/>
  <c r="S532" i="6" s="1"/>
  <c r="R1022" i="6"/>
  <c r="R364" i="6"/>
  <c r="R300" i="6"/>
  <c r="R2570" i="6"/>
  <c r="R338" i="6"/>
  <c r="R2482" i="6"/>
  <c r="S2482" i="6" s="1"/>
  <c r="R411" i="6"/>
  <c r="R2645" i="6"/>
  <c r="S2645" i="6" s="1"/>
  <c r="R2609" i="6"/>
  <c r="S2609" i="6" s="1"/>
  <c r="R2259" i="6"/>
  <c r="R2569" i="6"/>
  <c r="R2252" i="6"/>
  <c r="R2705" i="6"/>
  <c r="S2705" i="6" s="1"/>
  <c r="R2618" i="6"/>
  <c r="S2618" i="6" s="1"/>
  <c r="R2348" i="6"/>
  <c r="R2625" i="6"/>
  <c r="S2625" i="6" s="1"/>
  <c r="R2358" i="6"/>
  <c r="R2129" i="6"/>
  <c r="R2002" i="6"/>
  <c r="S2002" i="6" s="1"/>
  <c r="R2038" i="6"/>
  <c r="S2038" i="6" s="1"/>
  <c r="R2678" i="6"/>
  <c r="S2678" i="6" s="1"/>
  <c r="R2505" i="6"/>
  <c r="R2548" i="6"/>
  <c r="R2445" i="6"/>
  <c r="R2380" i="6"/>
  <c r="R2085" i="6"/>
  <c r="R2429" i="6"/>
  <c r="R2226" i="6"/>
  <c r="R2476" i="6"/>
  <c r="R2212" i="6"/>
  <c r="R2662" i="6"/>
  <c r="S2662" i="6" s="1"/>
  <c r="R2219" i="6"/>
  <c r="R2587" i="6"/>
  <c r="S2587" i="6" s="1"/>
  <c r="R2595" i="6"/>
  <c r="S2595" i="6" s="1"/>
  <c r="R2475" i="6"/>
  <c r="R2388" i="6"/>
  <c r="R2691" i="6"/>
  <c r="S2691" i="6" s="1"/>
  <c r="R2473" i="6"/>
  <c r="S2473" i="6" s="1"/>
  <c r="R2123" i="6"/>
  <c r="R2021" i="6"/>
  <c r="S2021" i="6" s="1"/>
  <c r="R2256" i="6"/>
  <c r="R2093" i="6"/>
  <c r="R2204" i="6"/>
  <c r="R2661" i="6"/>
  <c r="S2661" i="6" s="1"/>
  <c r="R2018" i="6"/>
  <c r="S2018" i="6" s="1"/>
  <c r="R2051" i="6"/>
  <c r="R2563" i="6"/>
  <c r="R2334" i="6"/>
  <c r="S2334" i="6" s="1"/>
  <c r="R2578" i="6"/>
  <c r="R2704" i="6"/>
  <c r="S2704" i="6" s="1"/>
  <c r="R2193" i="6"/>
  <c r="R504" i="6"/>
  <c r="R438" i="6"/>
  <c r="R2418" i="6"/>
  <c r="R2117" i="6"/>
  <c r="R2094" i="6"/>
  <c r="R2493" i="6"/>
  <c r="R2273" i="6"/>
  <c r="R1966" i="6"/>
  <c r="S1966" i="6" s="1"/>
  <c r="R2392" i="6"/>
  <c r="R2709" i="6"/>
  <c r="S2709" i="6" s="1"/>
  <c r="R2516" i="6"/>
  <c r="S2516" i="6" s="1"/>
  <c r="R1999" i="6"/>
  <c r="S1999" i="6" s="1"/>
  <c r="R2423" i="6"/>
  <c r="S2423" i="6" s="1"/>
  <c r="R2498" i="6"/>
  <c r="R2301" i="6"/>
  <c r="R2397" i="6"/>
  <c r="S2397" i="6" s="1"/>
  <c r="R2535" i="6"/>
  <c r="R2576" i="6"/>
  <c r="R201" i="6"/>
  <c r="R2522" i="6"/>
  <c r="R2230" i="6"/>
  <c r="S2230" i="6" s="1"/>
  <c r="R2078" i="6"/>
  <c r="R2580" i="6"/>
  <c r="S2580" i="6" s="1"/>
  <c r="R2544" i="6"/>
  <c r="R2710" i="6"/>
  <c r="S2710" i="6" s="1"/>
  <c r="R2602" i="6"/>
  <c r="S2602" i="6" s="1"/>
  <c r="R2399" i="6"/>
  <c r="R2466" i="6"/>
  <c r="R2365" i="6"/>
  <c r="R2032" i="6"/>
  <c r="R2405" i="6"/>
  <c r="R2464" i="6"/>
  <c r="R1994" i="6"/>
  <c r="S1994" i="6" s="1"/>
  <c r="R264" i="6"/>
  <c r="R469" i="6"/>
  <c r="R2594" i="6"/>
  <c r="S2594" i="6" s="1"/>
  <c r="R2155" i="6"/>
  <c r="S2155" i="6" s="1"/>
  <c r="R2300" i="6"/>
  <c r="S2300" i="6" s="1"/>
  <c r="R389" i="6"/>
  <c r="R2069" i="6"/>
  <c r="S2069" i="6" s="1"/>
  <c r="R2647" i="6"/>
  <c r="S2647" i="6" s="1"/>
  <c r="R2524" i="6"/>
  <c r="R312" i="6"/>
  <c r="R2479" i="6"/>
  <c r="R2474" i="6"/>
  <c r="R2113" i="6"/>
  <c r="R2686" i="6"/>
  <c r="S2686" i="6" s="1"/>
  <c r="R2317" i="6"/>
  <c r="R2367" i="6"/>
  <c r="S2367" i="6" s="1"/>
  <c r="R1978" i="6"/>
  <c r="S1978" i="6" s="1"/>
  <c r="R2537" i="6"/>
  <c r="R2452" i="6"/>
  <c r="R2489" i="6"/>
  <c r="R2422" i="6"/>
  <c r="R2027" i="6"/>
  <c r="S2027" i="6" s="1"/>
  <c r="R624" i="6"/>
  <c r="S624" i="6" s="1"/>
  <c r="R146" i="6"/>
  <c r="S146" i="6" s="1"/>
  <c r="R459" i="6"/>
  <c r="R150" i="6"/>
  <c r="R903" i="6"/>
  <c r="R720" i="6"/>
  <c r="R768" i="6"/>
  <c r="S768" i="6" s="1"/>
  <c r="R724" i="6"/>
  <c r="R984" i="6"/>
  <c r="S984" i="6" s="1"/>
  <c r="R43" i="6"/>
  <c r="S43" i="6" s="1"/>
  <c r="R301" i="6"/>
  <c r="R474" i="6"/>
  <c r="R1189" i="6"/>
  <c r="R552" i="6"/>
  <c r="S552" i="6" s="1"/>
  <c r="R933" i="6"/>
  <c r="R1004" i="6"/>
  <c r="R448" i="6"/>
  <c r="R64" i="6"/>
  <c r="S64" i="6" s="1"/>
  <c r="R993" i="6"/>
  <c r="R944" i="6"/>
  <c r="R660" i="6"/>
  <c r="R147" i="6"/>
  <c r="S147" i="6" s="1"/>
  <c r="R266" i="6"/>
  <c r="R1168" i="6"/>
  <c r="R580" i="6"/>
  <c r="R753" i="6"/>
  <c r="S753" i="6" s="1"/>
  <c r="R676" i="6"/>
  <c r="R693" i="6"/>
  <c r="R1160" i="6"/>
  <c r="S1160" i="6" s="1"/>
  <c r="R1137" i="6"/>
  <c r="S1137" i="6" s="1"/>
  <c r="R581" i="6"/>
  <c r="S581" i="6" s="1"/>
  <c r="R1060" i="6"/>
  <c r="R231" i="6"/>
  <c r="R698" i="6"/>
  <c r="R89" i="6"/>
  <c r="S89" i="6" s="1"/>
  <c r="R54" i="6"/>
  <c r="S54" i="6" s="1"/>
  <c r="R632" i="6"/>
  <c r="R149" i="6"/>
  <c r="S149" i="6" s="1"/>
  <c r="R1040" i="6"/>
  <c r="R422" i="6"/>
  <c r="R805" i="6"/>
  <c r="S805" i="6" s="1"/>
  <c r="R537" i="6"/>
  <c r="S537" i="6" s="1"/>
  <c r="R2374" i="6"/>
  <c r="R2585" i="6"/>
  <c r="S2585" i="6" s="1"/>
  <c r="R401" i="6"/>
  <c r="R359" i="6"/>
  <c r="R273" i="6"/>
  <c r="R277" i="6"/>
  <c r="R1018" i="6"/>
  <c r="R125" i="6"/>
  <c r="S125" i="6" s="1"/>
  <c r="R69" i="6"/>
  <c r="S69" i="6" s="1"/>
  <c r="R656" i="6"/>
  <c r="S656" i="6" s="1"/>
  <c r="R1188" i="6"/>
  <c r="S1188" i="6" s="1"/>
  <c r="R112" i="6"/>
  <c r="S112" i="6" s="1"/>
  <c r="R648" i="6"/>
  <c r="R1000" i="6"/>
  <c r="R900" i="6"/>
  <c r="S900" i="6" s="1"/>
  <c r="R101" i="6"/>
  <c r="S101" i="6" s="1"/>
  <c r="R142" i="6"/>
  <c r="S142" i="6" s="1"/>
  <c r="R820" i="6"/>
  <c r="S820" i="6" s="1"/>
  <c r="R2675" i="6"/>
  <c r="S2675" i="6" s="1"/>
  <c r="R2353" i="6"/>
  <c r="S2353" i="6" s="1"/>
  <c r="R203" i="6"/>
  <c r="R2127" i="6"/>
  <c r="R2188" i="6"/>
  <c r="R2331" i="6"/>
  <c r="S2331" i="6" s="1"/>
  <c r="R177" i="6"/>
  <c r="R234" i="6"/>
  <c r="R160" i="6"/>
  <c r="R171" i="6"/>
  <c r="R392" i="6"/>
  <c r="R402" i="6"/>
  <c r="R360" i="6"/>
  <c r="R1991" i="6"/>
  <c r="S1991" i="6" s="1"/>
  <c r="R2044" i="6"/>
  <c r="R470" i="6"/>
  <c r="R2817" i="6"/>
  <c r="S2817" i="6" s="1"/>
  <c r="R370" i="6"/>
  <c r="R2719" i="6"/>
  <c r="S2719" i="6" s="1"/>
  <c r="R269" i="6"/>
  <c r="R320" i="6"/>
  <c r="R454" i="6"/>
  <c r="R477" i="6"/>
  <c r="R333" i="6"/>
  <c r="R262" i="6"/>
  <c r="R2384" i="6"/>
  <c r="R2440" i="6"/>
  <c r="R2350" i="6"/>
  <c r="R2053" i="6"/>
  <c r="S2053" i="6" s="1"/>
  <c r="R2394" i="6"/>
  <c r="R2525" i="6"/>
  <c r="R2125" i="6"/>
  <c r="R2449" i="6"/>
  <c r="R437" i="6"/>
  <c r="R419" i="6"/>
  <c r="R2167" i="6"/>
  <c r="R2626" i="6"/>
  <c r="S2626" i="6" s="1"/>
  <c r="R2005" i="6"/>
  <c r="S2005" i="6" s="1"/>
  <c r="R368" i="6"/>
  <c r="R195" i="6"/>
  <c r="R2121" i="6"/>
  <c r="R2160" i="6"/>
  <c r="R168" i="6"/>
  <c r="R217" i="6"/>
  <c r="R250" i="6"/>
  <c r="R199" i="6"/>
  <c r="R2075" i="6"/>
  <c r="R216" i="6"/>
  <c r="R2152" i="6"/>
  <c r="R2751" i="6"/>
  <c r="S2751" i="6" s="1"/>
  <c r="R2050" i="6"/>
  <c r="S2050" i="6" s="1"/>
  <c r="R2416" i="6"/>
  <c r="R446" i="6"/>
  <c r="R2728" i="6"/>
  <c r="S2728" i="6" s="1"/>
  <c r="R2427" i="6"/>
  <c r="S2427" i="6" s="1"/>
  <c r="R2289" i="6"/>
  <c r="R471" i="6"/>
  <c r="R365" i="6"/>
  <c r="R2414" i="6"/>
  <c r="R355" i="6"/>
  <c r="R2644" i="6"/>
  <c r="S2644" i="6" s="1"/>
  <c r="R1997" i="6"/>
  <c r="S1997" i="6" s="1"/>
  <c r="R2589" i="6"/>
  <c r="S2589" i="6" s="1"/>
  <c r="R2407" i="6"/>
  <c r="S2407" i="6" s="1"/>
  <c r="R2214" i="6"/>
  <c r="R343" i="6"/>
  <c r="R2329" i="6"/>
  <c r="R2657" i="6"/>
  <c r="S2657" i="6" s="1"/>
  <c r="R463" i="6"/>
  <c r="R423" i="6"/>
  <c r="R2011" i="6"/>
  <c r="S2011" i="6" s="1"/>
  <c r="R431" i="6"/>
  <c r="R403" i="6"/>
  <c r="R2181" i="6"/>
  <c r="R259" i="6"/>
  <c r="R2084" i="6"/>
  <c r="R2694" i="6"/>
  <c r="S2694" i="6" s="1"/>
  <c r="R2546" i="6"/>
  <c r="R2246" i="6"/>
  <c r="R169" i="6"/>
  <c r="R2344" i="6"/>
  <c r="R1971" i="6"/>
  <c r="S1971" i="6" s="1"/>
  <c r="R1053" i="6"/>
  <c r="R547" i="6"/>
  <c r="S547" i="6" s="1"/>
  <c r="R714" i="6"/>
  <c r="S714" i="6" s="1"/>
  <c r="R53" i="6"/>
  <c r="S53" i="6" s="1"/>
  <c r="R2503" i="6"/>
  <c r="S2503" i="6" s="1"/>
  <c r="R2342" i="6"/>
  <c r="S2342" i="6" s="1"/>
  <c r="R2165" i="6"/>
  <c r="R2163" i="6"/>
  <c r="R2680" i="6"/>
  <c r="S2680" i="6" s="1"/>
  <c r="R2260" i="6"/>
  <c r="R241" i="6"/>
  <c r="R2253" i="6"/>
  <c r="R2608" i="6"/>
  <c r="S2608" i="6" s="1"/>
  <c r="R2659" i="6"/>
  <c r="S2659" i="6" s="1"/>
  <c r="R47" i="6"/>
  <c r="S47" i="6" s="1"/>
  <c r="R1077" i="6"/>
  <c r="R521" i="6"/>
  <c r="R270" i="6"/>
  <c r="R1112" i="6"/>
  <c r="R71" i="6"/>
  <c r="S71" i="6" s="1"/>
  <c r="R766" i="6"/>
  <c r="R548" i="6"/>
  <c r="S548" i="6" s="1"/>
  <c r="R132" i="6"/>
  <c r="S132" i="6" s="1"/>
  <c r="R144" i="6"/>
  <c r="S144" i="6" s="1"/>
  <c r="R576" i="6"/>
  <c r="R585" i="6"/>
  <c r="S585" i="6" s="1"/>
  <c r="R1136" i="6"/>
  <c r="R958" i="6"/>
  <c r="R563" i="6"/>
  <c r="R520" i="6"/>
  <c r="R855" i="6"/>
  <c r="R592" i="6"/>
  <c r="S592" i="6" s="1"/>
  <c r="R673" i="6"/>
  <c r="R435" i="6"/>
  <c r="R345" i="6"/>
  <c r="R1146" i="6"/>
  <c r="R804" i="6"/>
  <c r="S804" i="6" s="1"/>
  <c r="R46" i="6"/>
  <c r="S46" i="6" s="1"/>
  <c r="R997" i="6"/>
  <c r="R115" i="6"/>
  <c r="S115" i="6" s="1"/>
  <c r="R485" i="6"/>
  <c r="R1080" i="6"/>
  <c r="R25" i="6"/>
  <c r="S25" i="6" s="1"/>
  <c r="R893" i="6"/>
  <c r="R1028" i="6"/>
  <c r="R31" i="6"/>
  <c r="S31" i="6" s="1"/>
  <c r="R696" i="6"/>
  <c r="R791" i="6"/>
  <c r="S791" i="6" s="1"/>
  <c r="R1056" i="6"/>
  <c r="R1024" i="6"/>
  <c r="R1016" i="6"/>
  <c r="R1152" i="6"/>
  <c r="S1152" i="6" s="1"/>
  <c r="R124" i="6"/>
  <c r="S124" i="6" s="1"/>
  <c r="R536" i="6"/>
  <c r="S536" i="6" s="1"/>
  <c r="R98" i="6"/>
  <c r="S98" i="6" s="1"/>
  <c r="R836" i="6"/>
  <c r="R462" i="6"/>
  <c r="R533" i="6"/>
  <c r="S533" i="6" s="1"/>
  <c r="R712" i="6"/>
  <c r="R922" i="6"/>
  <c r="R746" i="6"/>
  <c r="S746" i="6" s="1"/>
  <c r="R33" i="6"/>
  <c r="S33" i="6" s="1"/>
  <c r="R871" i="6"/>
  <c r="S871" i="6" s="1"/>
  <c r="R113" i="6"/>
  <c r="S113" i="6" s="1"/>
  <c r="R73" i="6"/>
  <c r="S73" i="6" s="1"/>
  <c r="R93" i="6"/>
  <c r="S93" i="6" s="1"/>
  <c r="R221" i="6"/>
  <c r="R2270" i="6"/>
  <c r="R430" i="6"/>
  <c r="R399" i="6"/>
  <c r="R498" i="6"/>
  <c r="R1986" i="6"/>
  <c r="S1986" i="6" s="1"/>
  <c r="R2747" i="6"/>
  <c r="S2747" i="6" s="1"/>
  <c r="R2724" i="6"/>
  <c r="S2724" i="6" s="1"/>
  <c r="R334" i="6"/>
  <c r="R384" i="6"/>
  <c r="R405" i="6"/>
  <c r="R2733" i="6"/>
  <c r="S2733" i="6" s="1"/>
  <c r="R2110" i="6"/>
  <c r="R2325" i="6"/>
  <c r="S2325" i="6" s="1"/>
  <c r="R2010" i="6"/>
  <c r="S2010" i="6" s="1"/>
  <c r="R494" i="6"/>
  <c r="R2462" i="6"/>
  <c r="R2191" i="6"/>
  <c r="R2169" i="6"/>
  <c r="R292" i="6"/>
  <c r="R235" i="6"/>
  <c r="R284" i="6"/>
  <c r="R251" i="6"/>
  <c r="R2721" i="6"/>
  <c r="S2721" i="6" s="1"/>
  <c r="R464" i="6"/>
  <c r="R2521" i="6"/>
  <c r="R152" i="6"/>
  <c r="R434" i="6"/>
  <c r="R346" i="6"/>
  <c r="R249" i="6"/>
  <c r="R425" i="6"/>
  <c r="R369" i="6"/>
  <c r="R2279" i="6"/>
  <c r="R2361" i="6"/>
  <c r="R2120" i="6"/>
  <c r="R2692" i="6"/>
  <c r="S2692" i="6" s="1"/>
  <c r="R2499" i="6"/>
  <c r="S2499" i="6" s="1"/>
  <c r="R2265" i="6"/>
  <c r="R2574" i="6"/>
  <c r="R2372" i="6"/>
  <c r="S2372" i="6" s="1"/>
  <c r="R2142" i="6"/>
  <c r="R275" i="6"/>
  <c r="R170" i="6"/>
  <c r="R2469" i="6"/>
  <c r="R225" i="6"/>
  <c r="R253" i="6"/>
  <c r="R2529" i="6"/>
  <c r="R298" i="6"/>
  <c r="R291" i="6"/>
  <c r="R2398" i="6"/>
  <c r="S2398" i="6" s="1"/>
  <c r="R409" i="6"/>
  <c r="R307" i="6"/>
  <c r="R211" i="6"/>
  <c r="R2106" i="6"/>
  <c r="R2573" i="6"/>
  <c r="R2012" i="6"/>
  <c r="S2012" i="6" s="1"/>
  <c r="R506" i="6"/>
  <c r="R2131" i="6"/>
  <c r="R2614" i="6"/>
  <c r="S2614" i="6" s="1"/>
  <c r="R2133" i="6"/>
  <c r="R165" i="6"/>
  <c r="R2431" i="6"/>
  <c r="R2190" i="6"/>
  <c r="R2687" i="6"/>
  <c r="S2687" i="6" s="1"/>
  <c r="R2250" i="6"/>
  <c r="R2636" i="6"/>
  <c r="S2636" i="6" s="1"/>
  <c r="R2114" i="6"/>
  <c r="R361" i="6"/>
  <c r="R482" i="6"/>
  <c r="R2438" i="6"/>
  <c r="R2542" i="6"/>
  <c r="R2068" i="6"/>
  <c r="R2257" i="6"/>
  <c r="S2257" i="6" s="1"/>
  <c r="R2455" i="6"/>
  <c r="R2258" i="6"/>
  <c r="R2651" i="6"/>
  <c r="S2651" i="6" s="1"/>
  <c r="R2648" i="6"/>
  <c r="S2648" i="6" s="1"/>
  <c r="R456" i="6"/>
  <c r="R1985" i="6"/>
  <c r="S1985" i="6" s="1"/>
  <c r="R2184" i="6"/>
  <c r="S2184" i="6" s="1"/>
  <c r="R2349" i="6"/>
  <c r="R466" i="6"/>
  <c r="R2467" i="6"/>
  <c r="S2467" i="6" s="1"/>
  <c r="R2096" i="6"/>
  <c r="R2266" i="6"/>
  <c r="R299" i="6"/>
  <c r="R2176" i="6"/>
  <c r="S2176" i="6" s="1"/>
  <c r="R2889" i="6"/>
  <c r="S2889" i="6" s="1"/>
  <c r="R207" i="6"/>
  <c r="R2060" i="6"/>
  <c r="S2060" i="6" s="1"/>
  <c r="R274" i="6"/>
  <c r="R188" i="6"/>
  <c r="R296" i="6"/>
  <c r="R2819" i="6"/>
  <c r="S2819" i="6" s="1"/>
  <c r="R499" i="6"/>
  <c r="R282" i="6"/>
  <c r="R156" i="6"/>
  <c r="R257" i="6"/>
  <c r="R164" i="6"/>
  <c r="R309" i="6"/>
  <c r="R350" i="6"/>
  <c r="R445" i="6"/>
  <c r="R493" i="6"/>
  <c r="R1965" i="6"/>
  <c r="S1965" i="6" s="1"/>
  <c r="R2164" i="6"/>
  <c r="R2269" i="6"/>
  <c r="R2070" i="6"/>
  <c r="R2277" i="6"/>
  <c r="R2393" i="6"/>
  <c r="R244" i="6"/>
  <c r="R2568" i="6"/>
  <c r="R2488" i="6"/>
  <c r="R2134" i="6"/>
  <c r="R219" i="6"/>
  <c r="R414" i="6"/>
  <c r="R2245" i="6"/>
  <c r="R2162" i="6"/>
  <c r="S2162" i="6" s="1"/>
  <c r="R2640" i="6"/>
  <c r="S2640" i="6" s="1"/>
  <c r="R2551" i="6"/>
  <c r="R2425" i="6"/>
  <c r="R2699" i="6"/>
  <c r="S2699" i="6" s="1"/>
  <c r="R455" i="6"/>
  <c r="R2693" i="6"/>
  <c r="S2693" i="6" s="1"/>
  <c r="R2332" i="6"/>
  <c r="S2332" i="6" s="1"/>
  <c r="R468" i="6"/>
  <c r="R337" i="6"/>
  <c r="R2790" i="6"/>
  <c r="S2790" i="6" s="1"/>
  <c r="R2136" i="6"/>
  <c r="R2502" i="6"/>
  <c r="S2502" i="6" s="1"/>
  <c r="R23" i="6"/>
  <c r="S23" i="6" s="1"/>
  <c r="R366" i="6"/>
  <c r="R2042" i="6"/>
  <c r="S2042" i="6" s="1"/>
  <c r="R2772" i="6"/>
  <c r="S2772" i="6" s="1"/>
  <c r="R319" i="6"/>
  <c r="R353" i="6"/>
  <c r="R239" i="6"/>
  <c r="R390" i="6"/>
  <c r="R2116" i="6"/>
  <c r="R2034" i="6"/>
  <c r="S2034" i="6" s="1"/>
  <c r="R396" i="6"/>
  <c r="R382" i="6"/>
  <c r="R2225" i="6"/>
  <c r="R2706" i="6"/>
  <c r="S2706" i="6" s="1"/>
  <c r="R2316" i="6"/>
  <c r="R279" i="6"/>
  <c r="R2179" i="6"/>
  <c r="R2030" i="6"/>
  <c r="R427" i="6"/>
  <c r="R488" i="6"/>
  <c r="R2480" i="6"/>
  <c r="R2086" i="6"/>
  <c r="R2291" i="6"/>
  <c r="R243" i="6"/>
  <c r="R487" i="6"/>
  <c r="R2128" i="6"/>
  <c r="R318" i="6"/>
  <c r="R421" i="6"/>
  <c r="R2550" i="6"/>
  <c r="R2419" i="6"/>
  <c r="R2631" i="6"/>
  <c r="S2631" i="6" s="1"/>
  <c r="R2210" i="6"/>
  <c r="R2403" i="6"/>
  <c r="R2274" i="6"/>
  <c r="R2247" i="6"/>
  <c r="S2247" i="6" s="1"/>
  <c r="R2682" i="6"/>
  <c r="S2682" i="6" s="1"/>
  <c r="R2240" i="6"/>
  <c r="R2004" i="6"/>
  <c r="S2004" i="6" s="1"/>
  <c r="R1987" i="6"/>
  <c r="S1987" i="6" s="1"/>
  <c r="R2102" i="6"/>
  <c r="R2677" i="6"/>
  <c r="S2677" i="6" s="1"/>
  <c r="R172" i="6"/>
  <c r="R246" i="6"/>
  <c r="R198" i="6"/>
  <c r="R2308" i="6"/>
  <c r="S2308" i="6" s="1"/>
  <c r="R222" i="6"/>
  <c r="R407" i="6"/>
  <c r="R280" i="6"/>
  <c r="R2014" i="6"/>
  <c r="S2014" i="6" s="1"/>
  <c r="R416" i="6"/>
  <c r="R2281" i="6"/>
  <c r="R2565" i="6"/>
  <c r="R376" i="6"/>
  <c r="R2650" i="6"/>
  <c r="S2650" i="6" s="1"/>
  <c r="R286" i="6"/>
  <c r="R440" i="6"/>
  <c r="R2761" i="6"/>
  <c r="S2761" i="6" s="1"/>
  <c r="R2745" i="6"/>
  <c r="S2745" i="6" s="1"/>
  <c r="R2504" i="6"/>
  <c r="R2364" i="6"/>
  <c r="S2364" i="6" s="1"/>
  <c r="R2119" i="6"/>
  <c r="R2029" i="6"/>
  <c r="S2029" i="6" s="1"/>
  <c r="R178" i="6"/>
  <c r="R2536" i="6"/>
  <c r="R2485" i="6"/>
  <c r="R478" i="6"/>
  <c r="R2688" i="6"/>
  <c r="S2688" i="6" s="1"/>
  <c r="R2770" i="6"/>
  <c r="S2770" i="6" s="1"/>
  <c r="R367" i="6"/>
  <c r="R508" i="6"/>
  <c r="R2738" i="6"/>
  <c r="S2738" i="6" s="1"/>
  <c r="R415" i="6"/>
  <c r="R373" i="6"/>
  <c r="R2458" i="6"/>
  <c r="S2458" i="6" s="1"/>
  <c r="R395" i="6"/>
  <c r="R2145" i="6"/>
  <c r="R505" i="6"/>
  <c r="R2601" i="6"/>
  <c r="S2601" i="6" s="1"/>
  <c r="R2327" i="6"/>
  <c r="R2200" i="6"/>
  <c r="R2610" i="6"/>
  <c r="S2610" i="6" s="1"/>
  <c r="R2166" i="6"/>
  <c r="R2132" i="6"/>
  <c r="R2444" i="6"/>
  <c r="R2401" i="6"/>
  <c r="S2401" i="6" s="1"/>
  <c r="R2097" i="6"/>
  <c r="R2143" i="6"/>
  <c r="R271" i="6"/>
  <c r="R276" i="6"/>
  <c r="R2453" i="6"/>
  <c r="R173" i="6"/>
  <c r="R229" i="6"/>
  <c r="R2486" i="6"/>
  <c r="R2081" i="6"/>
  <c r="R2251" i="6"/>
  <c r="R223" i="6"/>
  <c r="R183" i="6"/>
  <c r="R2376" i="6"/>
  <c r="R2700" i="6"/>
  <c r="S2700" i="6" s="1"/>
  <c r="R467" i="6"/>
  <c r="R227" i="6"/>
  <c r="R255" i="6"/>
  <c r="R237" i="6"/>
  <c r="R2293" i="6"/>
  <c r="R2356" i="6"/>
  <c r="S2356" i="6" s="1"/>
  <c r="R2523" i="6"/>
  <c r="R2271" i="6"/>
  <c r="R2643" i="6"/>
  <c r="S2643" i="6" s="1"/>
  <c r="R2111" i="6"/>
  <c r="R293" i="6"/>
  <c r="R509" i="6"/>
  <c r="R305" i="6"/>
  <c r="R2583" i="6"/>
  <c r="S2583" i="6" s="1"/>
  <c r="R451" i="6"/>
  <c r="R2328" i="6"/>
  <c r="S2328" i="6" s="1"/>
  <c r="R2237" i="6"/>
  <c r="R2639" i="6"/>
  <c r="S2639" i="6" s="1"/>
  <c r="R447" i="6"/>
  <c r="R326" i="6"/>
  <c r="R240" i="6"/>
  <c r="R2330" i="6"/>
  <c r="S2330" i="6" s="1"/>
  <c r="R194" i="6"/>
  <c r="R432" i="6"/>
  <c r="R2838" i="6"/>
  <c r="S2838" i="6" s="1"/>
  <c r="R2763" i="6"/>
  <c r="S2763" i="6" s="1"/>
  <c r="R2789" i="6"/>
  <c r="S2789" i="6" s="1"/>
  <c r="R196" i="6"/>
  <c r="R2862" i="6"/>
  <c r="S2862" i="6" s="1"/>
  <c r="R2783" i="6"/>
  <c r="S2783" i="6" s="1"/>
  <c r="R2887" i="6"/>
  <c r="S2887" i="6" s="1"/>
  <c r="R457" i="6"/>
  <c r="R2824" i="6"/>
  <c r="S2824" i="6" s="1"/>
  <c r="R2742" i="6"/>
  <c r="S2742" i="6" s="1"/>
  <c r="R258" i="6"/>
  <c r="R511" i="6"/>
  <c r="R512" i="6"/>
  <c r="R213" i="6"/>
  <c r="R2448" i="6"/>
  <c r="R2840" i="6"/>
  <c r="S2840" i="6" s="1"/>
  <c r="R2553" i="6"/>
  <c r="R2649" i="6"/>
  <c r="S2649" i="6" s="1"/>
  <c r="R278" i="6"/>
  <c r="R417" i="6"/>
  <c r="R2757" i="6"/>
  <c r="S2757" i="6" s="1"/>
  <c r="R2871" i="6"/>
  <c r="S2871" i="6" s="1"/>
  <c r="R342" i="6"/>
  <c r="R212" i="6"/>
  <c r="R2829" i="6"/>
  <c r="S2829" i="6" s="1"/>
  <c r="R2856" i="6"/>
  <c r="S2856" i="6" s="1"/>
  <c r="R2031" i="6"/>
  <c r="R2876" i="6"/>
  <c r="S2876" i="6" s="1"/>
  <c r="R2769" i="6"/>
  <c r="S2769" i="6" s="1"/>
  <c r="R2575" i="6"/>
  <c r="R2404" i="6"/>
  <c r="S2404" i="6" s="1"/>
  <c r="R354" i="6"/>
  <c r="R242" i="6"/>
  <c r="R344" i="6"/>
  <c r="R2103" i="6"/>
  <c r="R393" i="6"/>
  <c r="R2248" i="6"/>
  <c r="R238" i="6"/>
  <c r="R191" i="6"/>
  <c r="R2874" i="6"/>
  <c r="S2874" i="6" s="1"/>
  <c r="R2844" i="6"/>
  <c r="S2844" i="6" s="1"/>
  <c r="R513" i="6"/>
  <c r="R2506" i="6"/>
  <c r="R339" i="6"/>
  <c r="R2810" i="6"/>
  <c r="S2810" i="6" s="1"/>
  <c r="R1267" i="6"/>
  <c r="R336" i="6"/>
  <c r="R2227" i="6"/>
  <c r="S2227" i="6" s="1"/>
  <c r="R2472" i="6"/>
  <c r="R252" i="6"/>
  <c r="R2244" i="6"/>
  <c r="R385" i="6"/>
  <c r="R418" i="6"/>
  <c r="R2320" i="6"/>
  <c r="R226" i="6"/>
  <c r="R322" i="6"/>
  <c r="R302" i="6"/>
  <c r="R2741" i="6"/>
  <c r="S2741" i="6" s="1"/>
  <c r="R2619" i="6"/>
  <c r="S2619" i="6" s="1"/>
  <c r="R2780" i="6"/>
  <c r="S2780" i="6" s="1"/>
  <c r="R497" i="6"/>
  <c r="R2726" i="6"/>
  <c r="S2726" i="6" s="1"/>
  <c r="R325" i="6"/>
  <c r="R208" i="6"/>
  <c r="R2755" i="6"/>
  <c r="S2755" i="6" s="1"/>
  <c r="R154" i="6"/>
  <c r="R2822" i="6"/>
  <c r="S2822" i="6" s="1"/>
  <c r="R2837" i="6"/>
  <c r="S2837" i="6" s="1"/>
  <c r="R2217" i="6"/>
  <c r="R2150" i="6"/>
  <c r="R2674" i="6"/>
  <c r="S2674" i="6" s="1"/>
  <c r="R2483" i="6"/>
  <c r="R2283" i="6"/>
  <c r="R2863" i="6"/>
  <c r="S2863" i="6" s="1"/>
  <c r="R2805" i="6"/>
  <c r="S2805" i="6" s="1"/>
  <c r="R2869" i="6"/>
  <c r="S2869" i="6" s="1"/>
  <c r="R2481" i="6"/>
  <c r="R2451" i="6"/>
  <c r="R2629" i="6"/>
  <c r="S2629" i="6" s="1"/>
  <c r="R2512" i="6"/>
  <c r="R426" i="6"/>
  <c r="R472" i="6"/>
  <c r="R204" i="6"/>
  <c r="R2041" i="6"/>
  <c r="S2041" i="6" s="1"/>
  <c r="R2857" i="6"/>
  <c r="S2857" i="6" s="1"/>
  <c r="R348" i="6"/>
  <c r="R397" i="6"/>
  <c r="R2839" i="6"/>
  <c r="S2839" i="6" s="1"/>
  <c r="R162" i="6"/>
  <c r="R2779" i="6"/>
  <c r="S2779" i="6" s="1"/>
  <c r="R329" i="6"/>
  <c r="R2798" i="6"/>
  <c r="S2798" i="6" s="1"/>
  <c r="R2893" i="6"/>
  <c r="S2893" i="6" s="1"/>
  <c r="R2831" i="6"/>
  <c r="S2831" i="6" s="1"/>
  <c r="R479" i="6"/>
  <c r="R2424" i="6"/>
  <c r="R2895" i="6"/>
  <c r="S2895" i="6" s="1"/>
  <c r="R2756" i="6"/>
  <c r="S2756" i="6" s="1"/>
  <c r="R2891" i="6"/>
  <c r="S2891" i="6" s="1"/>
  <c r="R2865" i="6"/>
  <c r="S2865" i="6" s="1"/>
  <c r="R2579" i="6"/>
  <c r="S2579" i="6" s="1"/>
  <c r="R442" i="6"/>
  <c r="R2148" i="6"/>
  <c r="R2082" i="6"/>
  <c r="R2310" i="6"/>
  <c r="R502" i="6"/>
  <c r="R202" i="6"/>
  <c r="R2501" i="6"/>
  <c r="R2612" i="6"/>
  <c r="S2612" i="6" s="1"/>
  <c r="R331" i="6"/>
  <c r="R2185" i="6"/>
  <c r="R180" i="6"/>
  <c r="R406" i="6"/>
  <c r="R2881" i="6"/>
  <c r="S2881" i="6" s="1"/>
  <c r="R224" i="6"/>
  <c r="R2833" i="6"/>
  <c r="S2833" i="6" s="1"/>
  <c r="R2872" i="6"/>
  <c r="S2872" i="6" s="1"/>
  <c r="R2804" i="6"/>
  <c r="S2804" i="6" s="1"/>
  <c r="R2771" i="6"/>
  <c r="S2771" i="6" s="1"/>
  <c r="R2781" i="6"/>
  <c r="S2781" i="6" s="1"/>
  <c r="R2836" i="6"/>
  <c r="S2836" i="6" s="1"/>
  <c r="R2806" i="6"/>
  <c r="S2806" i="6" s="1"/>
  <c r="R2767" i="6"/>
  <c r="S2767" i="6" s="1"/>
  <c r="R260" i="6"/>
  <c r="R2099" i="6"/>
  <c r="R2508" i="6"/>
  <c r="S2508" i="6" s="1"/>
  <c r="R2024" i="6"/>
  <c r="S2024" i="6" s="1"/>
  <c r="R461" i="6"/>
  <c r="R2192" i="6"/>
  <c r="R308" i="6"/>
  <c r="R356" i="6"/>
  <c r="R2743" i="6"/>
  <c r="S2743" i="6" s="1"/>
  <c r="R2842" i="6"/>
  <c r="S2842" i="6" s="1"/>
  <c r="R2758" i="6"/>
  <c r="S2758" i="6" s="1"/>
  <c r="R2754" i="6"/>
  <c r="S2754" i="6" s="1"/>
  <c r="R185" i="6"/>
  <c r="R197" i="6"/>
  <c r="R2562" i="6"/>
  <c r="R362" i="6"/>
  <c r="R400" i="6"/>
  <c r="R157" i="6"/>
  <c r="R460" i="6"/>
  <c r="R2823" i="6"/>
  <c r="S2823" i="6" s="1"/>
  <c r="R2802" i="6"/>
  <c r="S2802" i="6" s="1"/>
  <c r="R2880" i="6"/>
  <c r="S2880" i="6" s="1"/>
  <c r="R413" i="6"/>
  <c r="R190" i="6"/>
  <c r="R2766" i="6"/>
  <c r="S2766" i="6" s="1"/>
  <c r="R155" i="6"/>
  <c r="R2890" i="6"/>
  <c r="S2890" i="6" s="1"/>
  <c r="R2723" i="6"/>
  <c r="S2723" i="6" s="1"/>
  <c r="R2858" i="6"/>
  <c r="S2858" i="6" s="1"/>
  <c r="R2855" i="6"/>
  <c r="S2855" i="6" s="1"/>
  <c r="R2834" i="6"/>
  <c r="S2834" i="6" s="1"/>
  <c r="R179" i="6"/>
  <c r="R2076" i="6"/>
  <c r="S2076" i="6" s="1"/>
  <c r="R2517" i="6"/>
  <c r="S2517" i="6" s="1"/>
  <c r="R159" i="6"/>
  <c r="R187" i="6"/>
  <c r="R2309" i="6"/>
  <c r="R248" i="6"/>
  <c r="R313" i="6"/>
  <c r="R24" i="6"/>
  <c r="S24" i="6" s="1"/>
  <c r="R2598" i="6"/>
  <c r="S2598" i="6" s="1"/>
  <c r="R2777" i="6"/>
  <c r="S2777" i="6" s="1"/>
  <c r="R349" i="6"/>
  <c r="R2494" i="6"/>
  <c r="R254" i="6"/>
  <c r="R2112" i="6"/>
  <c r="R453" i="6"/>
  <c r="R176" i="6"/>
  <c r="R2389" i="6"/>
  <c r="S2389" i="6" s="1"/>
  <c r="R2868" i="6"/>
  <c r="S2868" i="6" s="1"/>
  <c r="R332" i="6"/>
  <c r="R2827" i="6"/>
  <c r="S2827" i="6" s="1"/>
  <c r="R2233" i="6"/>
  <c r="R2593" i="6"/>
  <c r="S2593" i="6" s="1"/>
  <c r="R2282" i="6"/>
  <c r="R2175" i="6"/>
  <c r="R517" i="6"/>
  <c r="R310" i="6"/>
  <c r="R2668" i="6"/>
  <c r="S2668" i="6" s="1"/>
  <c r="R2870" i="6"/>
  <c r="S2870" i="6" s="1"/>
  <c r="R2727" i="6"/>
  <c r="S2727" i="6" s="1"/>
  <c r="R372" i="6"/>
  <c r="R2808" i="6"/>
  <c r="S2808" i="6" s="1"/>
  <c r="R256" i="6"/>
  <c r="R189" i="6"/>
  <c r="R153" i="6"/>
  <c r="R2744" i="6"/>
  <c r="S2744" i="6" s="1"/>
  <c r="R2720" i="6"/>
  <c r="S2720" i="6" s="1"/>
  <c r="R2713" i="6"/>
  <c r="S2713" i="6" s="1"/>
  <c r="R2731" i="6"/>
  <c r="S2731" i="6" s="1"/>
  <c r="R2749" i="6"/>
  <c r="S2749" i="6" s="1"/>
  <c r="R2797" i="6"/>
  <c r="S2797" i="6" s="1"/>
  <c r="R314" i="6"/>
  <c r="R2216" i="6"/>
  <c r="R2814" i="6"/>
  <c r="S2814" i="6" s="1"/>
  <c r="R2739" i="6"/>
  <c r="S2739" i="6" s="1"/>
  <c r="R2714" i="6"/>
  <c r="S2714" i="6" s="1"/>
  <c r="R2538" i="6"/>
  <c r="R2850" i="6"/>
  <c r="S2850" i="6" s="1"/>
  <c r="R2147" i="6"/>
  <c r="R158" i="6"/>
  <c r="R2784" i="6"/>
  <c r="S2784" i="6" s="1"/>
  <c r="R328" i="6"/>
  <c r="R2807" i="6"/>
  <c r="S2807" i="6" s="1"/>
  <c r="R2861" i="6"/>
  <c r="S2861" i="6" s="1"/>
  <c r="R387" i="6"/>
  <c r="R2786" i="6"/>
  <c r="S2786" i="6" s="1"/>
  <c r="R2753" i="6"/>
  <c r="S2753" i="6" s="1"/>
  <c r="R2867" i="6"/>
  <c r="S2867" i="6" s="1"/>
  <c r="R2859" i="6"/>
  <c r="S2859" i="6" s="1"/>
  <c r="R174" i="6"/>
  <c r="R2736" i="6"/>
  <c r="S2736" i="6" s="1"/>
  <c r="R2794" i="6"/>
  <c r="S2794" i="6" s="1"/>
  <c r="R496" i="6"/>
  <c r="R327" i="6"/>
  <c r="R2875" i="6"/>
  <c r="S2875" i="6" s="1"/>
  <c r="R2848" i="6"/>
  <c r="S2848" i="6" s="1"/>
  <c r="R341" i="6"/>
  <c r="R2845" i="6"/>
  <c r="S2845" i="6" s="1"/>
  <c r="R2750" i="6"/>
  <c r="S2750" i="6" s="1"/>
  <c r="R2849" i="6"/>
  <c r="S2849" i="6" s="1"/>
  <c r="R2785" i="6"/>
  <c r="S2785" i="6" s="1"/>
  <c r="R2886" i="6"/>
  <c r="S2886" i="6" s="1"/>
  <c r="R2765" i="6"/>
  <c r="S2765" i="6" s="1"/>
  <c r="R210" i="6"/>
  <c r="R2712" i="6"/>
  <c r="S2712" i="6" s="1"/>
  <c r="R2812" i="6"/>
  <c r="S2812" i="6" s="1"/>
  <c r="R2734" i="6"/>
  <c r="S2734" i="6" s="1"/>
  <c r="R2835" i="6"/>
  <c r="S2835" i="6" s="1"/>
  <c r="R233" i="6"/>
  <c r="R2711" i="6"/>
  <c r="S2711" i="6" s="1"/>
  <c r="R2852" i="6"/>
  <c r="S2852" i="6" s="1"/>
  <c r="R2715" i="6"/>
  <c r="S2715" i="6" s="1"/>
  <c r="R2896" i="6"/>
  <c r="S2896" i="6" s="1"/>
  <c r="R2242" i="6"/>
  <c r="R306" i="6"/>
  <c r="R193" i="6"/>
  <c r="R510" i="6"/>
  <c r="R184" i="6"/>
  <c r="R2140" i="6"/>
  <c r="R2860" i="6"/>
  <c r="S2860" i="6" s="1"/>
  <c r="R335" i="6"/>
  <c r="R2809" i="6"/>
  <c r="S2809" i="6" s="1"/>
  <c r="R2768" i="6"/>
  <c r="S2768" i="6" s="1"/>
  <c r="R2787" i="6"/>
  <c r="S2787" i="6" s="1"/>
  <c r="R2792" i="6"/>
  <c r="S2792" i="6" s="1"/>
  <c r="R2843" i="6"/>
  <c r="S2843" i="6" s="1"/>
  <c r="R2830" i="6"/>
  <c r="S2830" i="6" s="1"/>
  <c r="R2801" i="6"/>
  <c r="S2801" i="6" s="1"/>
  <c r="R2815" i="6"/>
  <c r="S2815" i="6" s="1"/>
  <c r="R2735" i="6"/>
  <c r="S2735" i="6" s="1"/>
  <c r="R398" i="6"/>
  <c r="R2788" i="6"/>
  <c r="S2788" i="6" s="1"/>
  <c r="R2877" i="6"/>
  <c r="S2877" i="6" s="1"/>
  <c r="R2599" i="6"/>
  <c r="S2599" i="6" s="1"/>
  <c r="R404" i="6"/>
  <c r="R2198" i="6"/>
  <c r="S2198" i="6" s="1"/>
  <c r="R503" i="6"/>
  <c r="R379" i="6"/>
  <c r="R2065" i="6"/>
  <c r="S2065" i="6" s="1"/>
  <c r="R2878" i="6"/>
  <c r="S2878" i="6" s="1"/>
  <c r="R2864" i="6"/>
  <c r="S2864" i="6" s="1"/>
  <c r="R236" i="6"/>
  <c r="R2748" i="6"/>
  <c r="S2748" i="6" s="1"/>
  <c r="R2716" i="6"/>
  <c r="S2716" i="6" s="1"/>
  <c r="R429" i="6"/>
  <c r="R2811" i="6"/>
  <c r="S2811" i="6" s="1"/>
  <c r="R2762" i="6"/>
  <c r="S2762" i="6" s="1"/>
  <c r="R381" i="6"/>
  <c r="R2846" i="6"/>
  <c r="S2846" i="6" s="1"/>
  <c r="R2799" i="6"/>
  <c r="S2799" i="6" s="1"/>
  <c r="R2828" i="6"/>
  <c r="S2828" i="6" s="1"/>
  <c r="R2775" i="6"/>
  <c r="S2775" i="6" s="1"/>
  <c r="R2892" i="6"/>
  <c r="S2892" i="6" s="1"/>
  <c r="R2796" i="6"/>
  <c r="S2796" i="6" s="1"/>
  <c r="R163" i="6"/>
  <c r="R2717" i="6"/>
  <c r="S2717" i="6" s="1"/>
  <c r="R2729" i="6"/>
  <c r="S2729" i="6" s="1"/>
  <c r="R2417" i="6"/>
  <c r="R2157" i="6"/>
  <c r="S2157" i="6" s="1"/>
  <c r="R2759" i="6"/>
  <c r="S2759" i="6" s="1"/>
  <c r="R2832" i="6"/>
  <c r="S2832" i="6" s="1"/>
  <c r="R2730" i="6"/>
  <c r="S2730" i="6" s="1"/>
  <c r="R484" i="6"/>
  <c r="R2882" i="6"/>
  <c r="S2882" i="6" s="1"/>
  <c r="R2718" i="6"/>
  <c r="S2718" i="6" s="1"/>
  <c r="R2776" i="6"/>
  <c r="S2776" i="6" s="1"/>
  <c r="R501" i="6"/>
  <c r="R424" i="6"/>
  <c r="R2884" i="6"/>
  <c r="S2884" i="6" s="1"/>
  <c r="R186" i="6"/>
  <c r="R166" i="6"/>
  <c r="R2746" i="6"/>
  <c r="S2746" i="6" s="1"/>
  <c r="R2774" i="6"/>
  <c r="S2774" i="6" s="1"/>
  <c r="R2883" i="6"/>
  <c r="S2883" i="6" s="1"/>
  <c r="R2826" i="6"/>
  <c r="S2826" i="6" s="1"/>
  <c r="R182" i="6"/>
  <c r="R2841" i="6"/>
  <c r="S2841" i="6" s="1"/>
  <c r="R2854" i="6"/>
  <c r="S2854" i="6" s="1"/>
  <c r="R1993" i="6"/>
  <c r="S1993" i="6" s="1"/>
  <c r="R323" i="6"/>
  <c r="R200" i="6"/>
  <c r="R2800" i="6"/>
  <c r="S2800" i="6" s="1"/>
  <c r="R436" i="6"/>
  <c r="R2816" i="6"/>
  <c r="S2816" i="6" s="1"/>
  <c r="R2773" i="6"/>
  <c r="S2773" i="6" s="1"/>
  <c r="R288" i="6"/>
  <c r="R285" i="6"/>
  <c r="R2879" i="6"/>
  <c r="S2879" i="6" s="1"/>
  <c r="R209" i="6"/>
  <c r="R2033" i="6"/>
  <c r="S2033" i="6" s="1"/>
  <c r="R2894" i="6"/>
  <c r="S2894" i="6" s="1"/>
  <c r="R2737" i="6"/>
  <c r="S2737" i="6" s="1"/>
  <c r="R297" i="6"/>
  <c r="R290" i="6"/>
  <c r="R420" i="6"/>
  <c r="R2791" i="6"/>
  <c r="S2791" i="6" s="1"/>
  <c r="R2764" i="6"/>
  <c r="S2764" i="6" s="1"/>
  <c r="R2740" i="6"/>
  <c r="S2740" i="6" s="1"/>
  <c r="R2825" i="6"/>
  <c r="S2825" i="6" s="1"/>
  <c r="R2818" i="6"/>
  <c r="S2818" i="6" s="1"/>
  <c r="R2851" i="6"/>
  <c r="S2851" i="6" s="1"/>
  <c r="R486" i="6"/>
  <c r="R2888" i="6"/>
  <c r="S2888" i="6" s="1"/>
  <c r="R2778" i="6"/>
  <c r="S2778" i="6" s="1"/>
  <c r="R2793" i="6"/>
  <c r="S2793" i="6" s="1"/>
  <c r="R2853" i="6"/>
  <c r="S2853" i="6" s="1"/>
  <c r="R2782" i="6"/>
  <c r="S2782" i="6" s="1"/>
  <c r="R2873" i="6"/>
  <c r="S2873" i="6" s="1"/>
  <c r="R2600" i="6"/>
  <c r="S2600" i="6" s="1"/>
  <c r="R452" i="6"/>
  <c r="R490" i="6"/>
  <c r="R2725" i="6"/>
  <c r="S2725" i="6" s="1"/>
  <c r="R205" i="6"/>
  <c r="R380" i="6"/>
  <c r="R495" i="6"/>
  <c r="R295" i="6"/>
  <c r="R2396" i="6"/>
  <c r="R476" i="6"/>
  <c r="R2061" i="6"/>
  <c r="R167" i="6"/>
  <c r="R2048" i="6"/>
  <c r="R181" i="6"/>
  <c r="R2821" i="6"/>
  <c r="S2821" i="6" s="1"/>
  <c r="R439" i="6"/>
  <c r="R2795" i="6"/>
  <c r="S2795" i="6" s="1"/>
  <c r="R281" i="6"/>
  <c r="R2885" i="6"/>
  <c r="S2885" i="6" s="1"/>
  <c r="R2760" i="6"/>
  <c r="S2760" i="6" s="1"/>
  <c r="R433" i="6"/>
  <c r="R2732" i="6"/>
  <c r="S2732" i="6" s="1"/>
  <c r="R2813" i="6"/>
  <c r="S2813" i="6" s="1"/>
  <c r="R2820" i="6"/>
  <c r="S2820" i="6" s="1"/>
  <c r="R2803" i="6"/>
  <c r="S2803" i="6" s="1"/>
  <c r="R388" i="6"/>
  <c r="R161" i="6"/>
  <c r="R2866" i="6"/>
  <c r="S2866" i="6" s="1"/>
  <c r="R265" i="6"/>
  <c r="R351" i="6"/>
  <c r="R2847" i="6"/>
  <c r="S2847" i="6" s="1"/>
  <c r="R2752" i="6"/>
  <c r="S2752" i="6" s="1"/>
  <c r="R480" i="6"/>
  <c r="R2722" i="6"/>
  <c r="S2722" i="6" s="1"/>
  <c r="R230" i="6"/>
  <c r="O2898" i="6" l="1"/>
  <c r="Q22" i="6"/>
  <c r="R22" i="6" s="1"/>
  <c r="S22" i="6" s="1"/>
  <c r="R2898" i="6" l="1"/>
  <c r="Q2898" i="6"/>
  <c r="S2898" i="6"/>
</calcChain>
</file>

<file path=xl/sharedStrings.xml><?xml version="1.0" encoding="utf-8"?>
<sst xmlns="http://schemas.openxmlformats.org/spreadsheetml/2006/main" count="25017" uniqueCount="2673">
  <si>
    <t>Department</t>
  </si>
  <si>
    <t>Cost</t>
  </si>
  <si>
    <t>Depreciation</t>
  </si>
  <si>
    <t>Sugar Division</t>
  </si>
  <si>
    <t>Common</t>
  </si>
  <si>
    <t>Baggasse Yard</t>
  </si>
  <si>
    <t>Sugar Godown - Distribution</t>
  </si>
  <si>
    <t>Upto gate</t>
  </si>
  <si>
    <t>Juice Costing</t>
  </si>
  <si>
    <t>Utilities - ETP</t>
  </si>
  <si>
    <t>30% in Juice Costing and 35% in DS and 35% in RS</t>
  </si>
  <si>
    <t>50% each in RS and 50% in DS</t>
  </si>
  <si>
    <t>Power</t>
  </si>
  <si>
    <t>DS Costing</t>
  </si>
  <si>
    <t>Distillery division</t>
  </si>
  <si>
    <t>Steam</t>
  </si>
  <si>
    <t>RS Costing</t>
  </si>
  <si>
    <t>Utilities - Cooling Tower</t>
  </si>
  <si>
    <t>Distillery Division</t>
  </si>
  <si>
    <t>Distillery</t>
  </si>
  <si>
    <t>Power Division</t>
  </si>
  <si>
    <t>50% Allocation to Steam and Electricity</t>
  </si>
  <si>
    <t>Utilities - WTP</t>
  </si>
  <si>
    <t>Asset Register of GSML for the period Apr - Mar 2021</t>
  </si>
  <si>
    <t>S. No</t>
  </si>
  <si>
    <t>Description Of Asset</t>
  </si>
  <si>
    <t>Segment</t>
  </si>
  <si>
    <t>Nature</t>
  </si>
  <si>
    <t>Date of purchase</t>
  </si>
  <si>
    <t>Original Cost</t>
  </si>
  <si>
    <t>Addition</t>
  </si>
  <si>
    <t>Deletion</t>
  </si>
  <si>
    <t>Closing Balance</t>
  </si>
  <si>
    <t>Salvage Value</t>
  </si>
  <si>
    <t>Useful Life</t>
  </si>
  <si>
    <t>Expired Life as on 1 Apr 2020</t>
  </si>
  <si>
    <t>Opening Acc Dep</t>
  </si>
  <si>
    <t>Expired Year as on 1 Apr 2021</t>
  </si>
  <si>
    <t>Dep for the Year</t>
  </si>
  <si>
    <t>Accumulated Dep as at 31 mar 2021</t>
  </si>
  <si>
    <t>Net Block as on 31 Mar 2021</t>
  </si>
  <si>
    <t>Land - Mills,Stores,Offices,Quarters,Mainder,Play Ground &amp; Yard.</t>
  </si>
  <si>
    <t>Land</t>
  </si>
  <si>
    <t>Land - Labour Quarter,Khamaria</t>
  </si>
  <si>
    <t>Land - Bagasse Yard,Behta</t>
  </si>
  <si>
    <t>Land - Sugar Godown At Lakhimpur</t>
  </si>
  <si>
    <t>Land - Industry House,Kolkata</t>
  </si>
  <si>
    <t>Land - Ballygunj Place,Kolkatta</t>
  </si>
  <si>
    <t>Land - Main Office,Kolkata</t>
  </si>
  <si>
    <t>Land - Trolly &amp; Cart Yard,Khamaria</t>
  </si>
  <si>
    <t>Land - Sugar Godown,Alipur.</t>
  </si>
  <si>
    <t>Land - Agricultural Use,Alipur</t>
  </si>
  <si>
    <t>Land - Sugar Godown &amp; Cane Centre,Alipur &amp; Nainapur</t>
  </si>
  <si>
    <t>Land - Fair Value (01.04.2015)</t>
  </si>
  <si>
    <t>Land - Gurudwara</t>
  </si>
  <si>
    <t>36 Block</t>
  </si>
  <si>
    <t>Building</t>
  </si>
  <si>
    <t>Cane Yard</t>
  </si>
  <si>
    <t>Rcc Flooring At Old Aux Cane Carrier</t>
  </si>
  <si>
    <t>Guest House (36 Rooms)</t>
  </si>
  <si>
    <t>Sugar Godown</t>
  </si>
  <si>
    <t>Pump Room (H.O.)</t>
  </si>
  <si>
    <t>Labour Quarter</t>
  </si>
  <si>
    <t xml:space="preserve">Industry House At Calcutta </t>
  </si>
  <si>
    <t>Birla Building Calcutta</t>
  </si>
  <si>
    <t>Room  For Automation Control</t>
  </si>
  <si>
    <t>At Calcutta [Share]</t>
  </si>
  <si>
    <t>Staff Qtr. 2 Room Set-6 Nos</t>
  </si>
  <si>
    <t>Bachelor Qtr.</t>
  </si>
  <si>
    <t>Staff Quarter</t>
  </si>
  <si>
    <t>Filter Quarter</t>
  </si>
  <si>
    <t>Boundary Wall &amp; Room For W.B.</t>
  </si>
  <si>
    <t>Yard &amp; Token Room</t>
  </si>
  <si>
    <t>Drain For Sugar Godown</t>
  </si>
  <si>
    <t>Boundry Wall Of Sugar Godown</t>
  </si>
  <si>
    <t xml:space="preserve">New Cotrol Room </t>
  </si>
  <si>
    <t>Quarter Two Room Set 2 Nos.</t>
  </si>
  <si>
    <t xml:space="preserve">Quarter One Room Set  4 Nos. </t>
  </si>
  <si>
    <t>Store Racks                                               "</t>
  </si>
  <si>
    <t>Remaining Work Of Sugar Godown At Aira     "</t>
  </si>
  <si>
    <t xml:space="preserve">Hsd Storage Tank </t>
  </si>
  <si>
    <t xml:space="preserve">Cane Yard </t>
  </si>
  <si>
    <t>New Sugar Godown                                   "         "</t>
  </si>
  <si>
    <t>Industry House At Calcutta                         "</t>
  </si>
  <si>
    <t>Stores Racks                            "</t>
  </si>
  <si>
    <t xml:space="preserve">New Sugar Godown             </t>
  </si>
  <si>
    <t xml:space="preserve">Revenscar Property At Shillong Th. Calcutta Office </t>
  </si>
  <si>
    <t>Head Office Building [Industry House]</t>
  </si>
  <si>
    <t>Industries House,Calcutta [Th. Kamal Trading Co.)</t>
  </si>
  <si>
    <t>New Sugar Godown At Aira</t>
  </si>
  <si>
    <t xml:space="preserve">Drain For Etp </t>
  </si>
  <si>
    <t>House For D G Set</t>
  </si>
  <si>
    <t>Mill Gate</t>
  </si>
  <si>
    <t>Fitter Quarter 2 Room 6 Nos.</t>
  </si>
  <si>
    <t>Two Room Quarter 6 Nos.</t>
  </si>
  <si>
    <t xml:space="preserve">Sugar Godown (Lighting System) </t>
  </si>
  <si>
    <t>Labour Quarter Single Room 5 Nos.</t>
  </si>
  <si>
    <t>New Mill House  (Cement Flooring)</t>
  </si>
  <si>
    <t>Cane Yard (With Doors)</t>
  </si>
  <si>
    <t>Two Room Quarter 4 Nos.</t>
  </si>
  <si>
    <t xml:space="preserve">Colony &amp; Factory Drain </t>
  </si>
  <si>
    <t xml:space="preserve">House For Cane Seed Treatment Plant </t>
  </si>
  <si>
    <t xml:space="preserve">House For Tubewell </t>
  </si>
  <si>
    <t>New Mill Gate</t>
  </si>
  <si>
    <t xml:space="preserve">New Boiler House </t>
  </si>
  <si>
    <t xml:space="preserve">House For Weighbridge </t>
  </si>
  <si>
    <t xml:space="preserve">New Pan &amp; Centrifugal House </t>
  </si>
  <si>
    <t xml:space="preserve">New Boiling House </t>
  </si>
  <si>
    <t xml:space="preserve">New Turbine House </t>
  </si>
  <si>
    <t xml:space="preserve">New Mill House </t>
  </si>
  <si>
    <t xml:space="preserve">Staff Quarters 3 Room </t>
  </si>
  <si>
    <t xml:space="preserve">General Toilet </t>
  </si>
  <si>
    <t>Staff Quarters 2 Room 4 Nos.</t>
  </si>
  <si>
    <t>House For Motor Rewinding</t>
  </si>
  <si>
    <t>Labour Quarter For Expansion Project</t>
  </si>
  <si>
    <t>New Sugar Godown For One Lac Bags Capacity - Pfs</t>
  </si>
  <si>
    <t xml:space="preserve">New Power Supply Of Elactrical For Expansion Colony </t>
  </si>
  <si>
    <t>New Light System In Ne Cane Yard ,Factory And Bagasse Yard</t>
  </si>
  <si>
    <t xml:space="preserve">Labour Quarters For Expansion Project   </t>
  </si>
  <si>
    <t xml:space="preserve">Lime &amp; Sulphur Godown </t>
  </si>
  <si>
    <t>Godown For Gunny Bags</t>
  </si>
  <si>
    <t xml:space="preserve">E.F.S.- Drier House </t>
  </si>
  <si>
    <t xml:space="preserve">Extension Of Sugar Office </t>
  </si>
  <si>
    <t>Auto Garage</t>
  </si>
  <si>
    <t>Garage For Jeeps &amp; Cars - Pfs</t>
  </si>
  <si>
    <t>New Office Building (Cane) - Pfs</t>
  </si>
  <si>
    <t>New Workshop - Pfs</t>
  </si>
  <si>
    <t xml:space="preserve">Extension Of Two Rooms In General Guest House </t>
  </si>
  <si>
    <t>House For Boiler No. 12</t>
  </si>
  <si>
    <t>Drier House - Efs</t>
  </si>
  <si>
    <t>House Of D.G. Set - Efs</t>
  </si>
  <si>
    <t>One Room Addition In C.E. Project Residence</t>
  </si>
  <si>
    <t>Making Of Kitchen &amp; Bathroom At Trainee Executive Quarter</t>
  </si>
  <si>
    <t>House For Tube Well Near Boiler                     "</t>
  </si>
  <si>
    <t xml:space="preserve">Staff Quarter No. 4 </t>
  </si>
  <si>
    <t xml:space="preserve">Trainee Manager'S Quarters </t>
  </si>
  <si>
    <t>Latrine Cum Bath Room At Evp Bunglow</t>
  </si>
  <si>
    <t xml:space="preserve">Staff Quarters   </t>
  </si>
  <si>
    <t>House For New Boiler No. 12</t>
  </si>
  <si>
    <t xml:space="preserve">House For J.T. Boiler </t>
  </si>
  <si>
    <t xml:space="preserve">Lime Godown Near Spray Pond </t>
  </si>
  <si>
    <t xml:space="preserve">House For Truck Weighbridge </t>
  </si>
  <si>
    <t xml:space="preserve">Boundry Wall At Evp Bunglow </t>
  </si>
  <si>
    <t xml:space="preserve">Cane Quarter Modification </t>
  </si>
  <si>
    <t>House For Spray Pump</t>
  </si>
  <si>
    <t xml:space="preserve">House For Cane Unloader </t>
  </si>
  <si>
    <t xml:space="preserve">New Garage For C.C. Kothi </t>
  </si>
  <si>
    <t xml:space="preserve">Boundry Wall At Farm </t>
  </si>
  <si>
    <t xml:space="preserve">Latrine For Worker'S Quarter </t>
  </si>
  <si>
    <t>House For 60 Ton Pan (Uttam)</t>
  </si>
  <si>
    <t>House For Evaporator</t>
  </si>
  <si>
    <t xml:space="preserve">House For 380 Kw Generator </t>
  </si>
  <si>
    <t xml:space="preserve">House For Diesel Generating Set </t>
  </si>
  <si>
    <t xml:space="preserve">House For 60 Ton Pan </t>
  </si>
  <si>
    <t>Labour Quarters</t>
  </si>
  <si>
    <t xml:space="preserve">Two Labour Quarter Of 2 Roomed </t>
  </si>
  <si>
    <t xml:space="preserve">Lime Godown </t>
  </si>
  <si>
    <t xml:space="preserve">Boundry Wall </t>
  </si>
  <si>
    <t>Suger Godown At Lakhimpur</t>
  </si>
  <si>
    <t xml:space="preserve">Room For 5 Ton  Weighbridge </t>
  </si>
  <si>
    <t xml:space="preserve">Room For Lorry Weighbridge </t>
  </si>
  <si>
    <t xml:space="preserve">Latrine In Factory Yard </t>
  </si>
  <si>
    <t>Addition In Quarter No.8 P</t>
  </si>
  <si>
    <t xml:space="preserve">Oil Storage Godown </t>
  </si>
  <si>
    <t xml:space="preserve">Room For Primary School </t>
  </si>
  <si>
    <t>Cement Godown In Stores</t>
  </si>
  <si>
    <t>Cattle Shed In Cane Yard</t>
  </si>
  <si>
    <t>Yagya Shala</t>
  </si>
  <si>
    <t>Two Suger Godown At Lakhimpur</t>
  </si>
  <si>
    <t xml:space="preserve">Room For Watch &amp; Ward Office </t>
  </si>
  <si>
    <t>Tubewell Near Bechlor Hostel</t>
  </si>
  <si>
    <t xml:space="preserve">Room For Cane Parking Yard </t>
  </si>
  <si>
    <t xml:space="preserve">Motor Garage </t>
  </si>
  <si>
    <t xml:space="preserve">Drama Stage </t>
  </si>
  <si>
    <t>Room Addition At Quarter No. G 17</t>
  </si>
  <si>
    <t>Bathroom Addition &amp; Remodification Of Quarter No.B 6</t>
  </si>
  <si>
    <t xml:space="preserve">House For Hot Water Cane Seed Treatment Plant </t>
  </si>
  <si>
    <t>Molasses Side</t>
  </si>
  <si>
    <t>House For Boilers</t>
  </si>
  <si>
    <t>House For Turbine</t>
  </si>
  <si>
    <t>Factory Boundry Wall And Maingate</t>
  </si>
  <si>
    <t>Addition To Latrine &amp;Bathroom For Darban Block No.3</t>
  </si>
  <si>
    <t>Dormitari</t>
  </si>
  <si>
    <t xml:space="preserve">Molasses Quarter </t>
  </si>
  <si>
    <t xml:space="preserve">Boundry Wall P.O. Side </t>
  </si>
  <si>
    <t xml:space="preserve">Raising Hight Of Old Mill House </t>
  </si>
  <si>
    <t>House For Quad</t>
  </si>
  <si>
    <t>Dormitory No. 2</t>
  </si>
  <si>
    <t>Dormitary 110'X25' With Kitchen,Bathroom &amp; Latrines</t>
  </si>
  <si>
    <t>Suger  Godown At Lakhimpur</t>
  </si>
  <si>
    <t xml:space="preserve">2 Room Quarters At Block No. </t>
  </si>
  <si>
    <t>New Boundry Wall For Covering Land</t>
  </si>
  <si>
    <t xml:space="preserve">House For New Tubewell </t>
  </si>
  <si>
    <t>Addition Of Kitchen &amp; Bathroom In Quarter No. 4-D</t>
  </si>
  <si>
    <t>Factory &amp; Colony Drains</t>
  </si>
  <si>
    <t>House For New Diesel Engine</t>
  </si>
  <si>
    <t>New House For Waste Water Pump  Including Tank</t>
  </si>
  <si>
    <t>Addition One Room In Shashivind Verma'S Quarter</t>
  </si>
  <si>
    <t>Addition One Room In S.N. Sen'S Quarter</t>
  </si>
  <si>
    <t>Room For Guest House No. 1</t>
  </si>
  <si>
    <t>House For Ruston  Engine</t>
  </si>
  <si>
    <t>Raising Hight Of Cane Carrier Shed</t>
  </si>
  <si>
    <t>2 Rooms 3 Quarters In Boundry</t>
  </si>
  <si>
    <t>3 Quarters For Labour</t>
  </si>
  <si>
    <t>Addition Of One Room In Guest House</t>
  </si>
  <si>
    <t>Latrine And Bathroom At Cane Quarter</t>
  </si>
  <si>
    <t>Addition Of One Room Ved Prakash'S Quarter</t>
  </si>
  <si>
    <t>Water Through  Tank In Cane Yard</t>
  </si>
  <si>
    <t>Colony And Factory Drains</t>
  </si>
  <si>
    <t>Room For Molasses Pump</t>
  </si>
  <si>
    <t>Addition In Shri K.P. Raizada'S Quarter Of Kitchen</t>
  </si>
  <si>
    <t>Addition In Shri Ganga Ram'S Quarters Of One Room</t>
  </si>
  <si>
    <t>Sugar Godown At Lakhimpur</t>
  </si>
  <si>
    <t>Tube Well</t>
  </si>
  <si>
    <t>2 Roomed Quarter In Boundary</t>
  </si>
  <si>
    <t>Cane Yard Soling</t>
  </si>
  <si>
    <t>M.L. Sharma'S Quarter</t>
  </si>
  <si>
    <t>Extension Of Shri P.N. Pandey'S Quarter   F.Building</t>
  </si>
  <si>
    <t>Extension Of Harnam Singh,S Quarter</t>
  </si>
  <si>
    <t>Extension Of Katwaroo'S Quarter</t>
  </si>
  <si>
    <t xml:space="preserve">New Latrine In 28 Block </t>
  </si>
  <si>
    <t>Dormatory</t>
  </si>
  <si>
    <t>Extension Of One Room In Block B-6  Quarter</t>
  </si>
  <si>
    <t xml:space="preserve">New Sugar Office </t>
  </si>
  <si>
    <t>Test Weighbridge Room</t>
  </si>
  <si>
    <t>Tubewell House</t>
  </si>
  <si>
    <t xml:space="preserve">Two Latrine  In Boundry Wall </t>
  </si>
  <si>
    <t>Raising Height Of New Power House</t>
  </si>
  <si>
    <t>Road Of Sugar Godown</t>
  </si>
  <si>
    <t xml:space="preserve">Tubewell </t>
  </si>
  <si>
    <t xml:space="preserve">Turbine House Height Raising </t>
  </si>
  <si>
    <t>New Gross Weighbridge  Room</t>
  </si>
  <si>
    <t xml:space="preserve">Latrine In 23 Block Quarters </t>
  </si>
  <si>
    <t xml:space="preserve">Factory Boundry Wall </t>
  </si>
  <si>
    <t xml:space="preserve">Drain Near Flour Mill </t>
  </si>
  <si>
    <t>Old Mill House Partlyconverted Into Sugar Godown</t>
  </si>
  <si>
    <t>New Chacking Weightbridge</t>
  </si>
  <si>
    <t xml:space="preserve">Godown At Lakhimpur </t>
  </si>
  <si>
    <t xml:space="preserve">Cane Carrier Shed </t>
  </si>
  <si>
    <t>Height Raising  Of Boiling House</t>
  </si>
  <si>
    <t>Turbine House</t>
  </si>
  <si>
    <t>2 Block Quarters [Block No. 10&amp;11]</t>
  </si>
  <si>
    <t>Boiler House</t>
  </si>
  <si>
    <t>Mill House</t>
  </si>
  <si>
    <t>Latrine &amp; Bathroom In Guest House</t>
  </si>
  <si>
    <t xml:space="preserve">Cane Carrier Road </t>
  </si>
  <si>
    <t>New Shop [Near Telephone Exchange]</t>
  </si>
  <si>
    <t xml:space="preserve">New Electric Room </t>
  </si>
  <si>
    <t>New Moulding House</t>
  </si>
  <si>
    <t>Cow Shed Of Shri I.C. Agarwal [B/6]</t>
  </si>
  <si>
    <t>Workers Latrine</t>
  </si>
  <si>
    <t>Separate Smithy Shop In Workshop</t>
  </si>
  <si>
    <t>Bathroom &amp;Latrine In Mess</t>
  </si>
  <si>
    <t>One Room Added In Shri Jangliram'S Quarter</t>
  </si>
  <si>
    <t>Shri Nand Ji'S &amp; Hazara Singh'S Quarter Converted In To Family Quarters</t>
  </si>
  <si>
    <t>New Workshop</t>
  </si>
  <si>
    <t>2 Room Quarters In Staff  Colony</t>
  </si>
  <si>
    <t>Tractor Garage</t>
  </si>
  <si>
    <t xml:space="preserve">3 Block Quarter In Boundry Wall </t>
  </si>
  <si>
    <t xml:space="preserve">Store Racks &amp; Cement Godown </t>
  </si>
  <si>
    <t>Cow Shed In Sewa Singh Quarter</t>
  </si>
  <si>
    <t>Cow Shed In Shantiranjan Quarter</t>
  </si>
  <si>
    <t>Single Room Quarter Converted In Family Quarter</t>
  </si>
  <si>
    <t>Generating Set House</t>
  </si>
  <si>
    <t xml:space="preserve">Cane Yard Water Drain </t>
  </si>
  <si>
    <t>One Room In Cane Office</t>
  </si>
  <si>
    <t>Tubewell At Birla Building Ltd.</t>
  </si>
  <si>
    <t>Addition Of One Room In 19 Block Quarters</t>
  </si>
  <si>
    <t>3 Block Quarters [2 Room]</t>
  </si>
  <si>
    <t xml:space="preserve">Renovation Of Filter Press House             </t>
  </si>
  <si>
    <t>Water Line At Lakhimpur Office</t>
  </si>
  <si>
    <t xml:space="preserve">New Latrines Inside Factory </t>
  </si>
  <si>
    <t>Brick Flooring Infront Of Staff Quarters</t>
  </si>
  <si>
    <t>Two Cow Sheds [For Fitter Line ]</t>
  </si>
  <si>
    <t>Addition Of One Room In R.L. Maheshwari'S Quarter</t>
  </si>
  <si>
    <t>Converted In Family Quarter[2]</t>
  </si>
  <si>
    <t>3 New Quarters                                          "</t>
  </si>
  <si>
    <t>Farm Boundry Wall                                    "</t>
  </si>
  <si>
    <t>Renovation Of Cane Office                           "</t>
  </si>
  <si>
    <t>Flour Mill Shifting                                       "</t>
  </si>
  <si>
    <t>Boundry Wall [Molasses Quarter]                "</t>
  </si>
  <si>
    <t>Cane Manager'S Quarter Extn.                    "</t>
  </si>
  <si>
    <t>Brick Flooring Infront Of Staff Quarter        N. Fty.Bldg.</t>
  </si>
  <si>
    <t>Water Pipe Connection In Staff Quarter         "</t>
  </si>
  <si>
    <t>New Mill Gate                                          Fty. Bldg.</t>
  </si>
  <si>
    <t>Boundry Wall Near Waste Water Pump          "</t>
  </si>
  <si>
    <t>New Grader House                                    "</t>
  </si>
  <si>
    <t>3 Block Cow Sheds                                    "         "</t>
  </si>
  <si>
    <t>House Of Spray Motor                               F. Building</t>
  </si>
  <si>
    <t>Approach Road Maingate To Factory             "     "</t>
  </si>
  <si>
    <t>Gumti Near Shop Gate                                "         "</t>
  </si>
  <si>
    <t>Ravi'S Quarter Extension                             "         "</t>
  </si>
  <si>
    <t>6 Block 2 Room Quarter                              "         "</t>
  </si>
  <si>
    <t>Motor Garage                                           "         "</t>
  </si>
  <si>
    <t>Extension Of Post Office                               "         "</t>
  </si>
  <si>
    <t>Extention Of G. Office                              Non F. Building</t>
  </si>
  <si>
    <t>Ramdeo'S "       "                                       "         "</t>
  </si>
  <si>
    <t>Cane Manager'S Qt.  "                                 "         "</t>
  </si>
  <si>
    <t>Wall Of Water Softening Plant                      "</t>
  </si>
  <si>
    <t>New Grader House                    "</t>
  </si>
  <si>
    <t>3 Double Rooms Quarters</t>
  </si>
  <si>
    <t>Filter Press House                   "</t>
  </si>
  <si>
    <t>New Workshop                         "</t>
  </si>
  <si>
    <t>New Office At Lmp. Near Godown               "</t>
  </si>
  <si>
    <t>Boundry Wall Of Colony Building</t>
  </si>
  <si>
    <t>New Gunny Bag Godown          "</t>
  </si>
  <si>
    <t>Extension Of Bharat Mistry Quarters    F.Building</t>
  </si>
  <si>
    <t>Labour Quarter At Lmp.                              "</t>
  </si>
  <si>
    <t>Flooring Infront Of Lmp. Office                    "</t>
  </si>
  <si>
    <t>Temporary Huts At Issanagar                      "</t>
  </si>
  <si>
    <t>New Brown Sugar Godown         "</t>
  </si>
  <si>
    <t>New Shop Near Coop. Shop                       "</t>
  </si>
  <si>
    <t>Carbide Room                           "</t>
  </si>
  <si>
    <t>House For Water Cooler              "</t>
  </si>
  <si>
    <t>Power House Flooring                "</t>
  </si>
  <si>
    <t>Extension Of S.N. Sen'S Quarter                 "</t>
  </si>
  <si>
    <t>Extension Of Badri Mistry'S Quarter            "</t>
  </si>
  <si>
    <t>Extension Of 8 Block Quarters    "</t>
  </si>
  <si>
    <t>Water Pipe Line For Above Vertical Deepwell Tubewell Pump</t>
  </si>
  <si>
    <t>Installation Of 30000 Ghp Vertical Deepwell Tubewell Pump</t>
  </si>
  <si>
    <t xml:space="preserve">Boundry Wall Of Colony [Field] </t>
  </si>
  <si>
    <t>Addition One 3 Room Quarterin 6 Block</t>
  </si>
  <si>
    <t>New Workshop Building</t>
  </si>
  <si>
    <t>6 New Quarters For Labour</t>
  </si>
  <si>
    <t>New Kitchen In G.S. Kothi</t>
  </si>
  <si>
    <t>Boundry Wall Molasses Tank</t>
  </si>
  <si>
    <t>Three Temorary Labour Quarters</t>
  </si>
  <si>
    <t>Stores Cement, Sulphur Godown &amp; Racks</t>
  </si>
  <si>
    <t>Extension In 8 Block Quarter</t>
  </si>
  <si>
    <t>Brick Flooring In Sugar Godown At Lakhimpur</t>
  </si>
  <si>
    <t>Badminton Court In Club</t>
  </si>
  <si>
    <t>One Labour Quarter Badri Mistry</t>
  </si>
  <si>
    <t>New Latrine In Guest House</t>
  </si>
  <si>
    <t>Extension Of Shed In Front Of Sugar Godown</t>
  </si>
  <si>
    <t>Latrine For Sweeper'S Colony</t>
  </si>
  <si>
    <t xml:space="preserve">New Petrol Godown </t>
  </si>
  <si>
    <t>Water Tank In Cane Yard</t>
  </si>
  <si>
    <t>One Labour Quarter Gardener</t>
  </si>
  <si>
    <t>One Labour Quarter For Siddiqui</t>
  </si>
  <si>
    <t>Water Connection In Labour Line</t>
  </si>
  <si>
    <t>One Labour Quarter At Lakhimpur</t>
  </si>
  <si>
    <t>One Room For Dispensary</t>
  </si>
  <si>
    <t xml:space="preserve">Telephone Room </t>
  </si>
  <si>
    <t xml:space="preserve">Cattle Shed </t>
  </si>
  <si>
    <t xml:space="preserve">Water Line Connection In Colony </t>
  </si>
  <si>
    <t>Boundry Wall Of Colony</t>
  </si>
  <si>
    <t>New Latrine In Labour Colony</t>
  </si>
  <si>
    <t>One Quarter For Gardener</t>
  </si>
  <si>
    <t>Addition Of One Room In Dispansary</t>
  </si>
  <si>
    <t>Additions In 8 Block Staff Quarters</t>
  </si>
  <si>
    <t>One Bachelor Quarter Converted Into Family Quarter</t>
  </si>
  <si>
    <t>Alterationsin Asstt. Cane Manager'S Office</t>
  </si>
  <si>
    <t>Alterations In G.S. Office</t>
  </si>
  <si>
    <t>Shed Infront Of Lakhimpur Godown</t>
  </si>
  <si>
    <t xml:space="preserve">C.E. Kothi'S Washbasin </t>
  </si>
  <si>
    <t xml:space="preserve">Additions  In Labour Quarter </t>
  </si>
  <si>
    <t xml:space="preserve">Tubewell Near 24 Block </t>
  </si>
  <si>
    <t>Shed Infront Of Suger Godown At Lakhimpur</t>
  </si>
  <si>
    <t>New Weighbridge Room</t>
  </si>
  <si>
    <t>Tin Drain Fixed In Godown Shed</t>
  </si>
  <si>
    <t>Water Line In Colony</t>
  </si>
  <si>
    <t>Addition Of One Room In 34 Block Quarter</t>
  </si>
  <si>
    <t>One Room For Keeping Dunnage</t>
  </si>
  <si>
    <t>Tool Room In Factory</t>
  </si>
  <si>
    <t>Factory Boundry Wall Of Molasses Tank</t>
  </si>
  <si>
    <t>Garage For Car &amp; Jeep At Lakhimpur</t>
  </si>
  <si>
    <t>Bandhani Quarters Two</t>
  </si>
  <si>
    <t>Gola Set Roofing</t>
  </si>
  <si>
    <t>Weighbridge Room</t>
  </si>
  <si>
    <t xml:space="preserve">Bathroom &amp;Latrine For Molesses Quarter </t>
  </si>
  <si>
    <t>One Labour Quarter</t>
  </si>
  <si>
    <t>34 Block Quarter Extension</t>
  </si>
  <si>
    <t xml:space="preserve">House For High Tension Engine </t>
  </si>
  <si>
    <t>Cement &amp; Sulpher Godowns &amp; Racks In Store</t>
  </si>
  <si>
    <t>Dunnage Store At Lakhimpur</t>
  </si>
  <si>
    <t xml:space="preserve">Tublewell At Cane Yard </t>
  </si>
  <si>
    <t xml:space="preserve">One Room Addition In Fitter Line </t>
  </si>
  <si>
    <t xml:space="preserve">Four Single Room Quarters </t>
  </si>
  <si>
    <t xml:space="preserve">One Bath Room &amp; Latrine In 23 Block </t>
  </si>
  <si>
    <t xml:space="preserve">Five Labour Quarters </t>
  </si>
  <si>
    <t>House For 300 K.W. Generating Set</t>
  </si>
  <si>
    <t xml:space="preserve">Factory Drain </t>
  </si>
  <si>
    <t>Carpentary Shop</t>
  </si>
  <si>
    <t>Extension Of Lakhimpur Godown Set</t>
  </si>
  <si>
    <t>House For Gola Set</t>
  </si>
  <si>
    <t>Boundry Wall Of Rest House</t>
  </si>
  <si>
    <t xml:space="preserve">Two Weighbridge Room </t>
  </si>
  <si>
    <t>Factory Boundry Wall Near Tare Gate</t>
  </si>
  <si>
    <t xml:space="preserve">Two Rooms At Lakhimpur </t>
  </si>
  <si>
    <t>3 Quarters Converted In Family Quarters From Bechelor Quarters</t>
  </si>
  <si>
    <t>House For Disintegrater</t>
  </si>
  <si>
    <t xml:space="preserve">Barber Shop </t>
  </si>
  <si>
    <t>Extension Of Boiling House</t>
  </si>
  <si>
    <t>To Enlarge The Existing Outchannel To Spray Pond</t>
  </si>
  <si>
    <t>Lakhimpur Guest House Modification</t>
  </si>
  <si>
    <t>Pipe Line Connection At Lakhimpur Office</t>
  </si>
  <si>
    <t>Kitchens In Mess</t>
  </si>
  <si>
    <t>House For Disentrygator</t>
  </si>
  <si>
    <t>Shed In Front Of Lakhimpur Godown</t>
  </si>
  <si>
    <t>Cement &amp; Sulpher Godown</t>
  </si>
  <si>
    <t>New Office For C.C.</t>
  </si>
  <si>
    <t>Addition One Room In C.C. Kothi</t>
  </si>
  <si>
    <t xml:space="preserve">Raising Of Boiler House </t>
  </si>
  <si>
    <t>Two Single Room Quarters</t>
  </si>
  <si>
    <t>Addition One Room In Exise Inspector Quarter.</t>
  </si>
  <si>
    <t>Alkathene&amp; Bricks Laying In Suger Godown At Lakhimpur</t>
  </si>
  <si>
    <t xml:space="preserve">Addition Of Varendah In 12 Quarters Block </t>
  </si>
  <si>
    <t>New Wall For Economisor</t>
  </si>
  <si>
    <t>Modification In Dispensary Building</t>
  </si>
  <si>
    <t>One Room For Fire Fighting Engine</t>
  </si>
  <si>
    <t>Slab In Suger Office</t>
  </si>
  <si>
    <t>Addition Of One Room In C.C. Kothi</t>
  </si>
  <si>
    <t>Protection Wall At Filter Press</t>
  </si>
  <si>
    <t>Methoid Flooring &amp; Roofing Of Suger Godowns.</t>
  </si>
  <si>
    <t>Protection Wall Of Press Station</t>
  </si>
  <si>
    <t>One Room For Laboratory</t>
  </si>
  <si>
    <t>Conversion Of Old C.C. Bungalow To Guest House.</t>
  </si>
  <si>
    <t>New Latrine In C.C. Kothi</t>
  </si>
  <si>
    <t xml:space="preserve">Boiler Drain </t>
  </si>
  <si>
    <t>New Kothi For C.C.</t>
  </si>
  <si>
    <t>Melthoid Flooring Of Suger Godowns</t>
  </si>
  <si>
    <t>2 Room In B.B.L.C. Inter College</t>
  </si>
  <si>
    <t>Single Room Quarters Converted Into Family Quarters For Workers</t>
  </si>
  <si>
    <t>Shed For Suger Loadingat Lakhimpur</t>
  </si>
  <si>
    <t>Conversion Of Coop. Shop Into Dispensary And New Shop For Coop. Shop.</t>
  </si>
  <si>
    <t>Motor Garage Two</t>
  </si>
  <si>
    <t xml:space="preserve">Air Extractor For Drier House  </t>
  </si>
  <si>
    <t>One 6" Borring With Pipe Connection</t>
  </si>
  <si>
    <t>Ten Single Room Quarters For Workers</t>
  </si>
  <si>
    <t>Cane Yard Railing</t>
  </si>
  <si>
    <t>Single Room Quarters Converted In Family Quarters</t>
  </si>
  <si>
    <t>Conversion Of Coop. Shop To Dispensary And New Shop For Coop. Store</t>
  </si>
  <si>
    <t>Sulphur Godown</t>
  </si>
  <si>
    <t>New  Kothi For C.C.</t>
  </si>
  <si>
    <t>Tubewell At Club</t>
  </si>
  <si>
    <t>Tubewell  At Bagasse Yard</t>
  </si>
  <si>
    <t>3 Rooms Staff Quarters</t>
  </si>
  <si>
    <t>Addition In Mess</t>
  </si>
  <si>
    <t xml:space="preserve">Waste Water Drain    </t>
  </si>
  <si>
    <t>Addition Of One Room In Kothi No. 1</t>
  </si>
  <si>
    <t xml:space="preserve">Workers'S Rest House </t>
  </si>
  <si>
    <t>One Room For Suger Office</t>
  </si>
  <si>
    <t>Ten 1 Room Workers Quarters</t>
  </si>
  <si>
    <t>10 Single Room Staff Quarters</t>
  </si>
  <si>
    <t>Waste Water Drain For Colony</t>
  </si>
  <si>
    <t>Extension Of Five Block Quarters</t>
  </si>
  <si>
    <t>Lakhimpur Jamadar'S Quarters</t>
  </si>
  <si>
    <t>Manager'S Kothi Boundry Wall</t>
  </si>
  <si>
    <t>Motor Garage At Lakhimpur</t>
  </si>
  <si>
    <t>Hot Room For Workshop</t>
  </si>
  <si>
    <t>Extension Of Post Office Building</t>
  </si>
  <si>
    <t>Tubewell At Main Office</t>
  </si>
  <si>
    <t>Manager'S Kothi</t>
  </si>
  <si>
    <t>Four Staff Quarters</t>
  </si>
  <si>
    <t>Ten Single Room Staff Quarters</t>
  </si>
  <si>
    <t>Gunny Bags Godown</t>
  </si>
  <si>
    <t>Brown Suger Godown</t>
  </si>
  <si>
    <t>Filter Press Roofing</t>
  </si>
  <si>
    <t>Manager'S Kothi'S Servent'S Room'S</t>
  </si>
  <si>
    <t>Cane Entrance Room</t>
  </si>
  <si>
    <t>Sri Hanumanji Mandir</t>
  </si>
  <si>
    <t>Four Quarters</t>
  </si>
  <si>
    <t>Drier Seed House [2Nd Class]</t>
  </si>
  <si>
    <t>Boiler House [2Nd Class]</t>
  </si>
  <si>
    <t>Patter Room [1Class]</t>
  </si>
  <si>
    <t>Molasses Tank</t>
  </si>
  <si>
    <t>Lime Kiln</t>
  </si>
  <si>
    <t>Vacuum Engine House</t>
  </si>
  <si>
    <t>Addition'S In C.C.'Sbunglow</t>
  </si>
  <si>
    <t>Lime Godown</t>
  </si>
  <si>
    <t>Spray Pump House</t>
  </si>
  <si>
    <t>Flooring Of Mill House</t>
  </si>
  <si>
    <t>One Room On Lab</t>
  </si>
  <si>
    <t>One 8" Deep Well Tubewell</t>
  </si>
  <si>
    <t>Extension In Mill House</t>
  </si>
  <si>
    <t>4 Roomed Quarter</t>
  </si>
  <si>
    <t>C.E.Bungalow Addition 1 Room</t>
  </si>
  <si>
    <t>New Vacuum Engine House</t>
  </si>
  <si>
    <t>Addition 2 Room In Society Office</t>
  </si>
  <si>
    <t>Quarter 4 Room</t>
  </si>
  <si>
    <t>C.E.S Bunglow, Addition On Room</t>
  </si>
  <si>
    <t>Collansible Gate</t>
  </si>
  <si>
    <t>Cane Leveller Engine House</t>
  </si>
  <si>
    <t>Tubewell No. 4 Gumti</t>
  </si>
  <si>
    <t>Tubewell At Scrap Yard</t>
  </si>
  <si>
    <t>Mill House(Purchase Price)</t>
  </si>
  <si>
    <t>Staff &amp; Labour Coloney(Purchase Price)</t>
  </si>
  <si>
    <t>Registration  Fee &amp; Interest 50%</t>
  </si>
  <si>
    <t xml:space="preserve">C.E.S Bunglow, Latrine &amp; Bath Room </t>
  </si>
  <si>
    <t>Tubewell 8" New Bagasse Heaps</t>
  </si>
  <si>
    <t>Water Pipe Line</t>
  </si>
  <si>
    <t>Pumping Set With Motor For Club Tubewell</t>
  </si>
  <si>
    <t>One Tubewell12"X60" Gravell Near Club</t>
  </si>
  <si>
    <t>Approach Road To Factory                            "</t>
  </si>
  <si>
    <t>Road Infrot Of Staff  Qrts.                            "</t>
  </si>
  <si>
    <t>Approach Road To Factory &amp;Truck Gate</t>
  </si>
  <si>
    <t xml:space="preserve">Approch Road To Factory &amp; Colony </t>
  </si>
  <si>
    <t>Approach Road To Factory</t>
  </si>
  <si>
    <t>Colony Road</t>
  </si>
  <si>
    <t>Weight (Bat) 50 Kg - 180 Nos</t>
  </si>
  <si>
    <t>Plant &amp; Machinery</t>
  </si>
  <si>
    <t>Weight (Bat) 10 Kg - 20 Nos</t>
  </si>
  <si>
    <t>Beam Scale - 100 Kg - 13 Nos</t>
  </si>
  <si>
    <t>Weighbridge 10 Ton - 12 Nos</t>
  </si>
  <si>
    <t>Automatic Polarimeter - 1</t>
  </si>
  <si>
    <t>Mini Mobile Hot Water</t>
  </si>
  <si>
    <t>3 Rd Helical Pinion</t>
  </si>
  <si>
    <t>Weighbridge</t>
  </si>
  <si>
    <t>10 Ton Fully Electronic Weighbridge 5 Nos</t>
  </si>
  <si>
    <t>70 Tph Boiler Fire Bricks</t>
  </si>
  <si>
    <t>Refurbsing Of 70 Tph Boiler</t>
  </si>
  <si>
    <t>Centrifugal Machine</t>
  </si>
  <si>
    <t>3Mw Old Turbine Stg. Set -1 No.</t>
  </si>
  <si>
    <t>Mill</t>
  </si>
  <si>
    <t>1750 Kg/Batch Centrifugal Machine-1 No.</t>
  </si>
  <si>
    <t>Cane Unloader Machine (Hyd.Tp)</t>
  </si>
  <si>
    <t>Stem Economy</t>
  </si>
  <si>
    <t xml:space="preserve">New Mill </t>
  </si>
  <si>
    <t>Vapour Cell 2500 Sq. Mtr.&amp; Semi Kestner</t>
  </si>
  <si>
    <t xml:space="preserve">New Boiler       </t>
  </si>
  <si>
    <t xml:space="preserve">Weighbridge </t>
  </si>
  <si>
    <t>Weighbridge 50 Ton</t>
  </si>
  <si>
    <t>100 Ton Pan 2 Nos.</t>
  </si>
  <si>
    <t>Condensing System</t>
  </si>
  <si>
    <t>Juice Heaters - 3 Nos.</t>
  </si>
  <si>
    <t>Weighbridge 10 Ton</t>
  </si>
  <si>
    <t>100 Ton Pan</t>
  </si>
  <si>
    <t>Pumps,Motors &amp; Valves</t>
  </si>
  <si>
    <t xml:space="preserve">3 Mw New Turbine </t>
  </si>
  <si>
    <t>Bagasse Belt Conveyor</t>
  </si>
  <si>
    <t>Nk- 1750 C/F M/C</t>
  </si>
  <si>
    <t>Soil Testing Lab Machine</t>
  </si>
  <si>
    <t>Wet Scrubber</t>
  </si>
  <si>
    <t xml:space="preserve">Cont. Pc-1103 Centrifugal M/C </t>
  </si>
  <si>
    <t xml:space="preserve">Continuous Pan 40 Ton </t>
  </si>
  <si>
    <t xml:space="preserve">New Weighbridge Foundation </t>
  </si>
  <si>
    <t>Raw Sugar Melting</t>
  </si>
  <si>
    <t>110 Ton A.C. Crystallizer 2 Nos.</t>
  </si>
  <si>
    <t xml:space="preserve">1 No. Falling Film Evaporator </t>
  </si>
  <si>
    <t xml:space="preserve">Spray Pond Of Bigger Capacity </t>
  </si>
  <si>
    <t xml:space="preserve">Nk1503 C.F. Machine </t>
  </si>
  <si>
    <t>Honda Crane</t>
  </si>
  <si>
    <t>Crystillizers (2 Nos)</t>
  </si>
  <si>
    <t>1 Mw Turboset - One No.</t>
  </si>
  <si>
    <t xml:space="preserve">Twin Vertical Crystallizer </t>
  </si>
  <si>
    <t>Nk-1503 C/F M/C - One No. B Side</t>
  </si>
  <si>
    <t xml:space="preserve">1 No. Vacuum Pan 100 Ton </t>
  </si>
  <si>
    <t>Cost  Of Beam Scale</t>
  </si>
  <si>
    <t>New 3 Ton Weighbridge 2</t>
  </si>
  <si>
    <t>Xenium Technology</t>
  </si>
  <si>
    <t>75 Ton Vacc. Crystallizer One No.</t>
  </si>
  <si>
    <t>8' X 16' Vac. Filter - 2 No.</t>
  </si>
  <si>
    <t>Water Recycling</t>
  </si>
  <si>
    <t>Vmf-600 Injection Pump With Motor</t>
  </si>
  <si>
    <t>Prds</t>
  </si>
  <si>
    <t>250 Ton Condensate Storage Tank</t>
  </si>
  <si>
    <t>5 Tons Weighbridge One</t>
  </si>
  <si>
    <t>Vibro Screen, Belt Conveyor,Magma Mixer</t>
  </si>
  <si>
    <t>120 Ton Crystalliser</t>
  </si>
  <si>
    <t xml:space="preserve">Juice/Exhaust/Vapour Pipe Lines &amp; Lagging </t>
  </si>
  <si>
    <t>Sulpher Burner</t>
  </si>
  <si>
    <t>Head On Cutter</t>
  </si>
  <si>
    <t>Extension Of Mud Belt Conv.</t>
  </si>
  <si>
    <t>Bailing Machine</t>
  </si>
  <si>
    <t>Effluent Treatment Plant   -1</t>
  </si>
  <si>
    <t>Mill Roller</t>
  </si>
  <si>
    <t>E.F.S.:-S.S. Vacuum Filter (O.C. Filter)</t>
  </si>
  <si>
    <t>24-0' Clarifier</t>
  </si>
  <si>
    <t>Mass Flow Meter</t>
  </si>
  <si>
    <t>One Cart Weighbridge Of 5 Tons Capacity</t>
  </si>
  <si>
    <t>Rotary Feeder S. A. Fan</t>
  </si>
  <si>
    <t xml:space="preserve">Bagasse Carrier </t>
  </si>
  <si>
    <t xml:space="preserve">Auto Feed Control For B&amp; C Pans </t>
  </si>
  <si>
    <t>Sugar Dust Collector</t>
  </si>
  <si>
    <t xml:space="preserve">Save All In Pans </t>
  </si>
  <si>
    <t xml:space="preserve">Hopper </t>
  </si>
  <si>
    <t>Extension Of Spray Pond</t>
  </si>
  <si>
    <t>Juice Heater  -1</t>
  </si>
  <si>
    <t>Juice Sulphiter  -1</t>
  </si>
  <si>
    <t>Vibro Screen For Wet Scrubber</t>
  </si>
  <si>
    <t>Molasses Cooling System</t>
  </si>
  <si>
    <t>Polari Meter</t>
  </si>
  <si>
    <t>Stabilisation Of Unsulphured Syrup</t>
  </si>
  <si>
    <t xml:space="preserve">Armec Cooling Tower </t>
  </si>
  <si>
    <t>Main Injection Head</t>
  </si>
  <si>
    <t>Sugar Weighing &amp; Bagging Machine</t>
  </si>
  <si>
    <t>Crystlizers Shell</t>
  </si>
  <si>
    <t xml:space="preserve">Drinking Water Filteration System </t>
  </si>
  <si>
    <t>Dual Line Lubrication System</t>
  </si>
  <si>
    <t xml:space="preserve">Lime Slacker </t>
  </si>
  <si>
    <t>Trasient Heater</t>
  </si>
  <si>
    <t>One 200 K.G. Platform W/W</t>
  </si>
  <si>
    <t>Sulphur Burner 200 Kg.</t>
  </si>
  <si>
    <t>Vibro Screen For Filtrate Juice</t>
  </si>
  <si>
    <t xml:space="preserve">E.F.S.-Vacuum Pan 080 Ton </t>
  </si>
  <si>
    <t>Drive Pannel For C.F.Machine</t>
  </si>
  <si>
    <t xml:space="preserve">Juice Heater </t>
  </si>
  <si>
    <t xml:space="preserve">Syrup Tank </t>
  </si>
  <si>
    <t>Juice Flow Stabilisation System  -1</t>
  </si>
  <si>
    <t>Cooling Tower</t>
  </si>
  <si>
    <t>E.F.S.-S.S. Vacuum Filter (O.C. Filter )</t>
  </si>
  <si>
    <t>Sulphur Furnance</t>
  </si>
  <si>
    <t>Re-Cycling Of Furnance Cooling Water</t>
  </si>
  <si>
    <t>A.C. Plant (Birla Building )</t>
  </si>
  <si>
    <t>Lift (Birla Building )</t>
  </si>
  <si>
    <t>Mill Roller 42X84</t>
  </si>
  <si>
    <t xml:space="preserve">Ugr Cold &amp; Hot Water Tank </t>
  </si>
  <si>
    <t>Juice Stabilisation System</t>
  </si>
  <si>
    <t>D G Set ( Birla House)</t>
  </si>
  <si>
    <t xml:space="preserve">Conversion Of Quad In Evaporator </t>
  </si>
  <si>
    <t>Stracker For Sugar Handlling</t>
  </si>
  <si>
    <t>Roof Extractor 3 Nos.</t>
  </si>
  <si>
    <t>Weighing &amp; Bagging (50Kg)</t>
  </si>
  <si>
    <t xml:space="preserve">Overhead Water Tank </t>
  </si>
  <si>
    <t>1500 M3/Hr. Air Compressor So2 One No. With Motor</t>
  </si>
  <si>
    <t>Penn Walt Vibro Screen</t>
  </si>
  <si>
    <t>W.C. - 1012 Labo Type Air Compressor</t>
  </si>
  <si>
    <t xml:space="preserve">E.F.S.:-Syrup  Sulphitor </t>
  </si>
  <si>
    <t xml:space="preserve">65 Ton Vacuum Cryst.With Stagging </t>
  </si>
  <si>
    <t>Water Recycling Systems</t>
  </si>
  <si>
    <t>Taxmaco Boiler</t>
  </si>
  <si>
    <t>E.F.S.:-Vacuum Pan 80 Ton With Two Nos. Vacuum Pump</t>
  </si>
  <si>
    <t xml:space="preserve">Auto Embibition System </t>
  </si>
  <si>
    <t>One New 23 Teeth Pinion</t>
  </si>
  <si>
    <t xml:space="preserve">Juice Flow System </t>
  </si>
  <si>
    <t>Vmf 600 Injection Pump -1</t>
  </si>
  <si>
    <t xml:space="preserve">Syrup Buffer Tank </t>
  </si>
  <si>
    <t>Molasses Conditioners</t>
  </si>
  <si>
    <t xml:space="preserve">Sugar Belt Conveyor </t>
  </si>
  <si>
    <t>Air Compressor</t>
  </si>
  <si>
    <t>Two Stackers  -2</t>
  </si>
  <si>
    <t>Auto Feed Control For C Pan -3 Nos.</t>
  </si>
  <si>
    <t>Transient Heaters  -3</t>
  </si>
  <si>
    <t xml:space="preserve">Bagasse Bailing Machine </t>
  </si>
  <si>
    <t>Welding Machine</t>
  </si>
  <si>
    <t>Belt Conveyer For Sugar Hopper</t>
  </si>
  <si>
    <t>Mill Crane Extended Upto Leveller</t>
  </si>
  <si>
    <t>Water Softner</t>
  </si>
  <si>
    <t>Intermediater Transmission Saft</t>
  </si>
  <si>
    <t>Ash Handling System</t>
  </si>
  <si>
    <t xml:space="preserve">E.F.S.- 1 No. Automatic Juice Weighing Scale </t>
  </si>
  <si>
    <t>Mass Flow Meter In Filterate Line</t>
  </si>
  <si>
    <t>Flow Meter For Condensate For Checkup Evaporate</t>
  </si>
  <si>
    <t>0.5 Tons Weighbridge</t>
  </si>
  <si>
    <t>E.F.S.:-1 No. Automatic Juice Weiging Scale</t>
  </si>
  <si>
    <t>Juice Transfer Pump (Kakati)  -1</t>
  </si>
  <si>
    <t>Soot Blower In 70 Tph Boiler</t>
  </si>
  <si>
    <t>New Air Blower</t>
  </si>
  <si>
    <t xml:space="preserve">Installation Of New Transient Heater </t>
  </si>
  <si>
    <t xml:space="preserve">New Tank For Soda Boiling </t>
  </si>
  <si>
    <t xml:space="preserve">Small Gross Bagasse Carrier </t>
  </si>
  <si>
    <t>Oil Skimmer</t>
  </si>
  <si>
    <t xml:space="preserve">Belt Conveyer For Mud </t>
  </si>
  <si>
    <t xml:space="preserve">New Mill             Modvat  Reversal </t>
  </si>
  <si>
    <t xml:space="preserve">Distribution  Panel For 250 H.P. Cane Cutter </t>
  </si>
  <si>
    <t>Mhat Machine (After Subsidy Of Rs. 2 Lac)</t>
  </si>
  <si>
    <t>E.F.S.-Air Cooled Cristallizer</t>
  </si>
  <si>
    <t xml:space="preserve">Multi Tray Hopper With Blower </t>
  </si>
  <si>
    <t>One A.V.R. For 2.5 M.W. Turbo Alternator</t>
  </si>
  <si>
    <t>Portable Fire Pump   -2Nos.</t>
  </si>
  <si>
    <t>New Capacitors</t>
  </si>
  <si>
    <t>Bigger Capacity Of I.D. Fan With Drivearrangement</t>
  </si>
  <si>
    <t>Vepur Venting Blower</t>
  </si>
  <si>
    <t xml:space="preserve">1No. Air Compressor </t>
  </si>
  <si>
    <t>Cooling Arrangement Of Power House</t>
  </si>
  <si>
    <t>Two Weighbridges 5000 Kg. Capacity</t>
  </si>
  <si>
    <t xml:space="preserve">E.F.S.- Syrup Sulphitor </t>
  </si>
  <si>
    <t xml:space="preserve">Clear Juice Tank </t>
  </si>
  <si>
    <t>Vibrating Screen    -1</t>
  </si>
  <si>
    <t>70 Ton Boiler          "           "</t>
  </si>
  <si>
    <t>Lime Degrating Seperator -1</t>
  </si>
  <si>
    <t>Chemical Dosing Pump</t>
  </si>
  <si>
    <t>Driving Saft Of Cane Carriers</t>
  </si>
  <si>
    <t xml:space="preserve">Weighbridge 10 Ton </t>
  </si>
  <si>
    <t>Spray Pond           "           "</t>
  </si>
  <si>
    <t>Out Door Fountain (H.O)</t>
  </si>
  <si>
    <t>1 No. 5 Ton Weighbridge (Cart)</t>
  </si>
  <si>
    <t xml:space="preserve">Elactrical Panel In Turbine House For 2 Tier System </t>
  </si>
  <si>
    <t>Mhat (Cane)</t>
  </si>
  <si>
    <t>1 No.Weighbridge Lorry</t>
  </si>
  <si>
    <t>E.F.S.:-Sugar Grader</t>
  </si>
  <si>
    <t xml:space="preserve">Sugar Bag Weighing Machine </t>
  </si>
  <si>
    <t>One Vacuum Filter Drum 8'X16'</t>
  </si>
  <si>
    <t>One Massecuite Pump 10" Size</t>
  </si>
  <si>
    <t>Effluent Treatment Plant For 1500 Tcd Capacity</t>
  </si>
  <si>
    <t xml:space="preserve">Three Molasses Conditioners For Pans </t>
  </si>
  <si>
    <t xml:space="preserve">Soot Blower Element For 3 Ahmadabad Boilers </t>
  </si>
  <si>
    <t>One Gear Pump 6"X6" Size</t>
  </si>
  <si>
    <t xml:space="preserve">D-Super Heater </t>
  </si>
  <si>
    <t>One Bronze Body Mixed Juice Pump</t>
  </si>
  <si>
    <t xml:space="preserve">Molasses Pump 4"X4" </t>
  </si>
  <si>
    <t>Hydel Line</t>
  </si>
  <si>
    <t>Electric Motors 7</t>
  </si>
  <si>
    <t xml:space="preserve">One Mossecuite Pump With Motor &amp; Pipe Line   </t>
  </si>
  <si>
    <t>Lift (Birla Building -H.O)</t>
  </si>
  <si>
    <t>20 H.P. Motors [Four]</t>
  </si>
  <si>
    <t>Extension Of Spray Pipe Line</t>
  </si>
  <si>
    <t>2 Cart Weighbridges</t>
  </si>
  <si>
    <t xml:space="preserve">D-Super Heating Station Unit </t>
  </si>
  <si>
    <t xml:space="preserve">Triveni Cane Carrier </t>
  </si>
  <si>
    <t>Lathe 2 With Motor</t>
  </si>
  <si>
    <t>Suphur Furnace Scrubber</t>
  </si>
  <si>
    <t>Trpf For 4 Triveni Mills</t>
  </si>
  <si>
    <t>One Vapour Cell Of 10000 Sq.Ft. H.S.</t>
  </si>
  <si>
    <t>Effluent Treatment Plant Suitable For 4000 Tons Capacity</t>
  </si>
  <si>
    <t xml:space="preserve">Effluent Treatment Plant </t>
  </si>
  <si>
    <t>Band Saw Machine</t>
  </si>
  <si>
    <t xml:space="preserve">Vapour Cell 10000 Sq.Ft. H.S. </t>
  </si>
  <si>
    <t xml:space="preserve">Kakati Vacuum Pump For Vacuum Filter </t>
  </si>
  <si>
    <t xml:space="preserve">Soot Blower Element For  Ahemdabad Boiler </t>
  </si>
  <si>
    <t>One Centrifugal Machine For 'C' Curing Bma Make Nk-1100</t>
  </si>
  <si>
    <t xml:space="preserve">Nk-1100 Centrifugal Machine For 'C' Curing </t>
  </si>
  <si>
    <t xml:space="preserve">Twin Cell Vertical Cooling Crystallizer Of 300 Tons Capacity </t>
  </si>
  <si>
    <t>Shaping Machine</t>
  </si>
  <si>
    <t xml:space="preserve">5Ton Capacity </t>
  </si>
  <si>
    <t>Weighing Scale 10 K.G.</t>
  </si>
  <si>
    <t>Twin Cell Vertical Cooling Crystallizer Of 300 Ton Capacity</t>
  </si>
  <si>
    <t>Planning Machine</t>
  </si>
  <si>
    <t xml:space="preserve">60 Ton Vacuum Pan Complete </t>
  </si>
  <si>
    <t>One Pan Of 60 Tons With Aluminium Tubes</t>
  </si>
  <si>
    <t xml:space="preserve">Condensate Pump </t>
  </si>
  <si>
    <t xml:space="preserve">Gear Pump 4"X4" Slurry Mill For Lab </t>
  </si>
  <si>
    <t xml:space="preserve">One Juice Heater Of 2500 Sq.Ft. H.S. </t>
  </si>
  <si>
    <t>Juice Heater Of 2500 Sq.Ft. H.S.</t>
  </si>
  <si>
    <t>Syrup Pump 5"X3"</t>
  </si>
  <si>
    <t>Cart Weighbridges 2</t>
  </si>
  <si>
    <t>Insulation Work Of Pan No. 12</t>
  </si>
  <si>
    <t xml:space="preserve">Welding Generator Transformer Set </t>
  </si>
  <si>
    <t>Insulation Of Juice Heater</t>
  </si>
  <si>
    <t xml:space="preserve">Teramate Electro  Feeder Kit </t>
  </si>
  <si>
    <t xml:space="preserve">Evaporator Set Of 32000 Sq.Ft. H.S. </t>
  </si>
  <si>
    <t>One New Evaporator Set 32000 Sq.Ft. H.S.</t>
  </si>
  <si>
    <t>Vapour Line Juice Heater Of 4000 Sq.Ft. H.S.</t>
  </si>
  <si>
    <t>Six Centrifugal Machines 42"X20"</t>
  </si>
  <si>
    <t>4" Gear Pump For Molasses</t>
  </si>
  <si>
    <t xml:space="preserve">One Welding Set </t>
  </si>
  <si>
    <t>Multivoritex Dust Collector</t>
  </si>
  <si>
    <t>60 Ton Pan No.12 With All Accensaries</t>
  </si>
  <si>
    <t>One 60 Ton Vacuum Pan (Uttam)</t>
  </si>
  <si>
    <t xml:space="preserve">One Oliver Vacuum Filter 8'X16' Long </t>
  </si>
  <si>
    <t xml:space="preserve">One Kakati Vacuum Pump </t>
  </si>
  <si>
    <t xml:space="preserve">Vacuum Pump Water Ring </t>
  </si>
  <si>
    <t xml:space="preserve">One Fully Automatic C.F. Machine Steep Con For A-Fore Worker </t>
  </si>
  <si>
    <t>Continuous Syrup Sulphiter</t>
  </si>
  <si>
    <t>One A.F. W.Centrifugal Machine Fully Automatic</t>
  </si>
  <si>
    <t xml:space="preserve">One A.Afterworker Continuous C.F. Machine </t>
  </si>
  <si>
    <t xml:space="preserve">1 No. Weighbridge Of 5 Ton Capacity </t>
  </si>
  <si>
    <t>One Fully Automatic C.F. Machine Flat Bottom  For A-After Worker</t>
  </si>
  <si>
    <t xml:space="preserve">300 K.W. Generator Set </t>
  </si>
  <si>
    <t xml:space="preserve">Ring Cane Juice Machine </t>
  </si>
  <si>
    <t>Sulphur Burner</t>
  </si>
  <si>
    <t>Additional Centrifugal Water Pump No. Sdc 150/200</t>
  </si>
  <si>
    <t>Boiler Feed Pump</t>
  </si>
  <si>
    <t>Additional Vertical Mixed Flow Water Pump V Hf-500 (1616)</t>
  </si>
  <si>
    <t xml:space="preserve">Additional 2Nos. Centrifugal Pumps Dsm -2 Type </t>
  </si>
  <si>
    <t xml:space="preserve">Centrifugal Water Pump 150X300 </t>
  </si>
  <si>
    <t xml:space="preserve">Spray Pump </t>
  </si>
  <si>
    <t xml:space="preserve">Motor For Sulphur Juice Pump </t>
  </si>
  <si>
    <t xml:space="preserve">Vacuum Filter  Drum Of 8'X16' Size </t>
  </si>
  <si>
    <t xml:space="preserve">Rotary Gear Pump </t>
  </si>
  <si>
    <t>1 No.5  Ton Weighbridge For Amethi Centre</t>
  </si>
  <si>
    <t xml:space="preserve">Juice Heaters Of 270 M2 H.S. </t>
  </si>
  <si>
    <t xml:space="preserve">Cane Unloader Crane Bridge Spun </t>
  </si>
  <si>
    <t xml:space="preserve">Sulphur Oven 2 </t>
  </si>
  <si>
    <t>Mixer</t>
  </si>
  <si>
    <t>New Lathe Machine</t>
  </si>
  <si>
    <t xml:space="preserve">1 No.Bharat Cart Weighbridge </t>
  </si>
  <si>
    <t>Slotting Machine</t>
  </si>
  <si>
    <t>1 No. Bharat Cart Weighbridge</t>
  </si>
  <si>
    <t xml:space="preserve">8 Tons Bolougne Scale For Weighment </t>
  </si>
  <si>
    <t>2 Nos. Boiler Feed Pump</t>
  </si>
  <si>
    <t>Air Compressor Of 600 M3 Per Hr.</t>
  </si>
  <si>
    <t xml:space="preserve">7 Nos. Filterate Pumps For Vacuum Filter </t>
  </si>
  <si>
    <t xml:space="preserve">Dynodrive Of 75Kw For Trpf </t>
  </si>
  <si>
    <t xml:space="preserve">Disc Type Cooling Element For 5 Nos. 50 Ton Crystallizers </t>
  </si>
  <si>
    <t>Installation Of Old Chopper Of 40 Knives</t>
  </si>
  <si>
    <t>1 No. Weighbridge 5 Ton Cap.</t>
  </si>
  <si>
    <t>One Nos. Vertical Motor Of 150 H.P. With Pumps</t>
  </si>
  <si>
    <t>Elactrical Cables, Busbar,Switches,Starter Etc.</t>
  </si>
  <si>
    <t>Vacuum Pump D-5</t>
  </si>
  <si>
    <t>Cane Leveller Engine With Shaft C.S. Holders &amp; Knives</t>
  </si>
  <si>
    <t>Weighing Scale 100 K.G.</t>
  </si>
  <si>
    <t>Feed Pump</t>
  </si>
  <si>
    <t>Computer Weighbridge-2</t>
  </si>
  <si>
    <t xml:space="preserve">Beam Scale      </t>
  </si>
  <si>
    <t xml:space="preserve">Sugar Grader </t>
  </si>
  <si>
    <t>Bag Closing  Machine</t>
  </si>
  <si>
    <t xml:space="preserve">Pan 60 Tons Capacity With Condenser </t>
  </si>
  <si>
    <t>Nk1100 Continuous C.F. Machine For "B" Curing</t>
  </si>
  <si>
    <t>Ten Tone Crane 2</t>
  </si>
  <si>
    <t xml:space="preserve">Two Crystallizers Of 90 Tons Capacity </t>
  </si>
  <si>
    <t xml:space="preserve">Rain &amp;Shower Condenser </t>
  </si>
  <si>
    <t>10 Tons Weighbridge For Imbibition Water</t>
  </si>
  <si>
    <t>3 Nos. B/W Fully Automatic C.F. Machines</t>
  </si>
  <si>
    <t xml:space="preserve">Boiler Feed Tank </t>
  </si>
  <si>
    <t xml:space="preserve">Oil Cooler For Turbine (Fibrizer) </t>
  </si>
  <si>
    <t xml:space="preserve">Kvh 600 Kakati Vacuum Pump </t>
  </si>
  <si>
    <t>Trolley Line</t>
  </si>
  <si>
    <t xml:space="preserve">One Dynamic Juice Heater 3000 Sq.Ft. </t>
  </si>
  <si>
    <t xml:space="preserve">Ist Motion Gear &amp; Pinion For 4Th Mill To Reduce Speed </t>
  </si>
  <si>
    <t>Bigger Capacity Of I.D. Fan</t>
  </si>
  <si>
    <t xml:space="preserve">1 No. Plate Type Clear Juice Heater </t>
  </si>
  <si>
    <t>Modification Of Vapour Pipe For  Quintiple System  With Vapour Valve 24"X30"</t>
  </si>
  <si>
    <t xml:space="preserve">2 Nos. M.S. Syrup Tanks </t>
  </si>
  <si>
    <t>1 No. Lime Slacker</t>
  </si>
  <si>
    <t>New Roller Shaft For Triveni</t>
  </si>
  <si>
    <t>Grass Hopper</t>
  </si>
  <si>
    <t>Weighing Scale 500 K.G.</t>
  </si>
  <si>
    <t>Trpfdrive Arrangement By Chain System</t>
  </si>
  <si>
    <t>Boulogne Scale Foundation</t>
  </si>
  <si>
    <t xml:space="preserve">Electrical Panel In Turbine House </t>
  </si>
  <si>
    <t xml:space="preserve">1 No. Kvh 600 Kakati Vacuum Pump </t>
  </si>
  <si>
    <t>Hydraulic Accumulators</t>
  </si>
  <si>
    <t>Heat Exchanger</t>
  </si>
  <si>
    <t>Poulogne Scale 40 Pumps</t>
  </si>
  <si>
    <t xml:space="preserve">To Reduce Speed Of 4Th Mill </t>
  </si>
  <si>
    <t xml:space="preserve">Turbine Heat Exchanger </t>
  </si>
  <si>
    <t>2 Nos. Weighbridges - 20 Ton</t>
  </si>
  <si>
    <t xml:space="preserve">Supply Of Super Heater Wash Water </t>
  </si>
  <si>
    <t>Automation By Pneumatic Operation Of Sulphur Burners</t>
  </si>
  <si>
    <t xml:space="preserve">Modification Of Spray Pipe Line And Nozzle </t>
  </si>
  <si>
    <t>1 No. Vacuum Crystallizers Of 45 Tons</t>
  </si>
  <si>
    <t xml:space="preserve">Injeet Pump 2.5 Lac Capacity </t>
  </si>
  <si>
    <t>Juice Heater</t>
  </si>
  <si>
    <t xml:space="preserve">Belt Conveyor </t>
  </si>
  <si>
    <t>Fire Fighting Pump</t>
  </si>
  <si>
    <t>Reverse Osmassis Plant For Treatment Of Drinking Water</t>
  </si>
  <si>
    <t>Evaporator Set</t>
  </si>
  <si>
    <t>Super Heater For Boiler</t>
  </si>
  <si>
    <t>Vacuum Pan 25 Tons</t>
  </si>
  <si>
    <t xml:space="preserve">Machinery Unloading Point </t>
  </si>
  <si>
    <t>2Nos. N.K.1100 C.F. Machine  - Pfs</t>
  </si>
  <si>
    <t>One No. Fibrizer Rotar With Hub Anvil Plate Of Pocket Type</t>
  </si>
  <si>
    <t xml:space="preserve">Roller Shaftor 2 Nos. </t>
  </si>
  <si>
    <t>Weighbridge 10 Ton 1 Nos.</t>
  </si>
  <si>
    <t xml:space="preserve">2 Nos. 2Nd Motion Transmission Shaft Of 3Rd &amp;4Th Triveni Mill </t>
  </si>
  <si>
    <t>250 Hp  Motor One Cane Cutter Shaft</t>
  </si>
  <si>
    <t>New Electric Motors</t>
  </si>
  <si>
    <t xml:space="preserve">Elactrical Panel In Turbine House </t>
  </si>
  <si>
    <t xml:space="preserve">Sulphur Gas Tromphone Type Cooling System </t>
  </si>
  <si>
    <t xml:space="preserve">Head Stock With Caps </t>
  </si>
  <si>
    <t xml:space="preserve">E.F.S.-2Nos. Raw Juice Heater </t>
  </si>
  <si>
    <t xml:space="preserve">E.F.S.- 2 Nos. Air Compressor </t>
  </si>
  <si>
    <t>1 No. M.J. Concensor - Pfs</t>
  </si>
  <si>
    <t>One Evaporter Set [Hargaon]</t>
  </si>
  <si>
    <t>E.F.S.-Clarifier 36' Dia</t>
  </si>
  <si>
    <t xml:space="preserve">E.F.S.-Continuous Juice Sulphiter </t>
  </si>
  <si>
    <t>25 Tones Vacuum Pan</t>
  </si>
  <si>
    <t>Diamond Soot Blower</t>
  </si>
  <si>
    <t>Semikestners 2Nos. (Thin Film Evaporator)  - Pfs</t>
  </si>
  <si>
    <t>Spray &amp; Injection Pumping Set</t>
  </si>
  <si>
    <t>E.F.S.-Sugar Storage Bin System With Auto Weighing Arrangement</t>
  </si>
  <si>
    <t>Headers For Three Juice Headers</t>
  </si>
  <si>
    <t>Frist Motion Gears &amp; Pinions</t>
  </si>
  <si>
    <t xml:space="preserve">E.F.S.-Clear Juice Pump 5 Nos. With Motor </t>
  </si>
  <si>
    <t xml:space="preserve">P.F.S.:-2 No. Nk-1100 C.F. Machine </t>
  </si>
  <si>
    <t>E.F.S.-Sugar Graders 2 Nos.</t>
  </si>
  <si>
    <t>Weighbridge 10 Ton  2 Nos.</t>
  </si>
  <si>
    <t>E.F.S.- Power Cable, Switches,Starter Etc.</t>
  </si>
  <si>
    <t>One No. Fully Automatic C.F. Machine 1000Kg Capacity  - Pfs</t>
  </si>
  <si>
    <t xml:space="preserve">2 Nos. New Ist Motion Transmission Shaft Of  Ii &amp; Iii Triveni Mill </t>
  </si>
  <si>
    <t>Partition Railing In Parking Yard</t>
  </si>
  <si>
    <t>New Molasses Tank 40000 Mds. Capacity</t>
  </si>
  <si>
    <t>Generating Set  250 K . W.</t>
  </si>
  <si>
    <t>Save-All For Pan Evaporator</t>
  </si>
  <si>
    <t>C.I. Fly Wheel</t>
  </si>
  <si>
    <t>Manless Weighbridge Machine</t>
  </si>
  <si>
    <t>Kachcha Pit For Molasses</t>
  </si>
  <si>
    <t>Railing In Can Parking Yard</t>
  </si>
  <si>
    <t xml:space="preserve">Staging For Pan </t>
  </si>
  <si>
    <t>Drier Seed Machine</t>
  </si>
  <si>
    <t>Mill House Crane</t>
  </si>
  <si>
    <t>Welding Set</t>
  </si>
  <si>
    <t>Molesses Tank 40000 Mds. Capacity</t>
  </si>
  <si>
    <t>Addition Of C.I.Belt &amp; Domes For Evaporators</t>
  </si>
  <si>
    <t>Bagasse Carrier</t>
  </si>
  <si>
    <t xml:space="preserve">Bag Sewing Machine </t>
  </si>
  <si>
    <t>Three Circuit Breakers</t>
  </si>
  <si>
    <t>Molasses Tank 40000 Mds. Capacity</t>
  </si>
  <si>
    <t>Mill Engine</t>
  </si>
  <si>
    <t>Circuit Breakers</t>
  </si>
  <si>
    <t>Chain Block [New]</t>
  </si>
  <si>
    <t>Suger Grader</t>
  </si>
  <si>
    <t>Water Tower</t>
  </si>
  <si>
    <t>Bagasse Baling Machine</t>
  </si>
  <si>
    <t>30 Tons Vacuum Pan Two</t>
  </si>
  <si>
    <t>4 Sq.Ft Sulpher Burner</t>
  </si>
  <si>
    <t>New Generating Set 142 K.W.</t>
  </si>
  <si>
    <t>One Water Tube Boiler 7000 H.S.</t>
  </si>
  <si>
    <t>3 Centrifugal Machine 18"X36"</t>
  </si>
  <si>
    <t>Six2" Safety Valves On Super Heater  Line</t>
  </si>
  <si>
    <t>Bale Press Machine</t>
  </si>
  <si>
    <t>Three Exhaust Fans</t>
  </si>
  <si>
    <t>One Water Tube Boiler7000 Sq.Ft. H.S.[New]</t>
  </si>
  <si>
    <t>Old Quad [Old]</t>
  </si>
  <si>
    <t xml:space="preserve">Hand Bag Sewing Machine </t>
  </si>
  <si>
    <t>Thermometers And Recorders</t>
  </si>
  <si>
    <t>Hot Water Cooling Arrangment[Old]</t>
  </si>
  <si>
    <t>Hydrant Connection [New]</t>
  </si>
  <si>
    <t xml:space="preserve">Re-Eraction Of Gola Set </t>
  </si>
  <si>
    <t>Boiler Feed Tank</t>
  </si>
  <si>
    <t>Save-All</t>
  </si>
  <si>
    <t>Capacitor</t>
  </si>
  <si>
    <t>Re-Eraction Iv Body Old Quad</t>
  </si>
  <si>
    <t>Ist Body Calandria Shell</t>
  </si>
  <si>
    <t>Syrup Tank</t>
  </si>
  <si>
    <t>Skatoskalo Shaft With Motor</t>
  </si>
  <si>
    <t>Fire Extinguishers 5</t>
  </si>
  <si>
    <t>One Vapour Shell</t>
  </si>
  <si>
    <t>Fire Fitting Engine</t>
  </si>
  <si>
    <t xml:space="preserve">Vacuum Pan  37.5 Tons </t>
  </si>
  <si>
    <t>Tanks For Syrup &amp; Molasses</t>
  </si>
  <si>
    <t>Oil Circuit Breacker</t>
  </si>
  <si>
    <t>Bed Plate Of 1St &amp;2Nd Mill</t>
  </si>
  <si>
    <t>One Chemical Slurry Mill</t>
  </si>
  <si>
    <t>Electic Motor 2</t>
  </si>
  <si>
    <t>One New Pan 37.5 Tons</t>
  </si>
  <si>
    <t>Six Centrifugal Machines 20"X42"</t>
  </si>
  <si>
    <t>Juice Heater 1200 Sq. Ft. H.S.</t>
  </si>
  <si>
    <t>Hydraulic Pump With 250 H.P.Motor</t>
  </si>
  <si>
    <t>One A Heavy Pump</t>
  </si>
  <si>
    <t>Replacement Ist Body Calandria &amp; Tube Plates Of M. Quad</t>
  </si>
  <si>
    <t>One Booster For Pan</t>
  </si>
  <si>
    <t>Save-All One</t>
  </si>
  <si>
    <t>New Feed Line For 160 Lbs Steam Pressure</t>
  </si>
  <si>
    <t>One Messecuite Pump</t>
  </si>
  <si>
    <t>New Juice Heater  1250 Sq. Ft. H.S.</t>
  </si>
  <si>
    <t>Hydraolic Pump With Motor</t>
  </si>
  <si>
    <t>New Mill 30" X60"</t>
  </si>
  <si>
    <t>Magma Pump</t>
  </si>
  <si>
    <t xml:space="preserve">Spray Tank Extansion </t>
  </si>
  <si>
    <t xml:space="preserve">Booster For Pan </t>
  </si>
  <si>
    <t>Melting Pump With Motor</t>
  </si>
  <si>
    <t>Vapour Cell 10000 Sq.Ft. H.S.</t>
  </si>
  <si>
    <t>Plainer Machine</t>
  </si>
  <si>
    <t>New Copula</t>
  </si>
  <si>
    <t xml:space="preserve">Bandsaw Machine 42" </t>
  </si>
  <si>
    <t>Vapour Cell10000 H.S.</t>
  </si>
  <si>
    <t>Modification Of Bagasse Carrier</t>
  </si>
  <si>
    <t xml:space="preserve">Weighed Juice Pump  With Motor  </t>
  </si>
  <si>
    <t>Spray Pond Extension</t>
  </si>
  <si>
    <t xml:space="preserve">Condenset Tank At Boiler </t>
  </si>
  <si>
    <t>Clear Juice Pump With Motor</t>
  </si>
  <si>
    <t>Block At Main Office At Cal.</t>
  </si>
  <si>
    <t>Gear Mill Bed Plate</t>
  </si>
  <si>
    <t>Feed Water Meters Two</t>
  </si>
  <si>
    <t>Co2 Recorder</t>
  </si>
  <si>
    <t>Weighbridge 10 Ton 2 Nos.</t>
  </si>
  <si>
    <t>Ruston Engine 114 H.P.</t>
  </si>
  <si>
    <t>Automatic 10 Ton Crane [Mill House]</t>
  </si>
  <si>
    <t xml:space="preserve">New Filter Press </t>
  </si>
  <si>
    <t>New Pan 40 Tons [New]</t>
  </si>
  <si>
    <t>New Magma Pump [New]</t>
  </si>
  <si>
    <t>Current Transformer [New]</t>
  </si>
  <si>
    <t>Condenset  Tank At Boiler [Old]</t>
  </si>
  <si>
    <t>Voltage Ragulator</t>
  </si>
  <si>
    <t>Continuous Sulphitation Arrangement New</t>
  </si>
  <si>
    <t>Voltage Ragulater New</t>
  </si>
  <si>
    <t>One Pan Of 50 Tons Capacity           [New]</t>
  </si>
  <si>
    <t>Molasses Pump New</t>
  </si>
  <si>
    <t>Exhaust Fans 3 New</t>
  </si>
  <si>
    <t>New Pipe Line In Cane Yard [Old]</t>
  </si>
  <si>
    <t>50 Tons Pan New</t>
  </si>
  <si>
    <t>Continuation Of Suphitation New</t>
  </si>
  <si>
    <t>Exhaust Fans 5</t>
  </si>
  <si>
    <t>Vapour Cell</t>
  </si>
  <si>
    <t xml:space="preserve">New 50 Tons Pan </t>
  </si>
  <si>
    <t xml:space="preserve">Continuous  Sulphitation New </t>
  </si>
  <si>
    <t xml:space="preserve">Diesel Generation </t>
  </si>
  <si>
    <t>New 50 Ton Pan  Coming Into Contact With Corrosive Chemicals</t>
  </si>
  <si>
    <t>New Continuous Sulphitation  Arrangement [Coming Into Contact With Corrosive Chemical</t>
  </si>
  <si>
    <t xml:space="preserve">New Molasses Tank </t>
  </si>
  <si>
    <t xml:space="preserve">New Molasses Steel Tank </t>
  </si>
  <si>
    <t>Rapipol Extractor</t>
  </si>
  <si>
    <t>Ph Meter</t>
  </si>
  <si>
    <t>Hot Air Plant (After Subsidy Rs. 5000)</t>
  </si>
  <si>
    <t>Hot Air Plant</t>
  </si>
  <si>
    <t>One Printed Board For Control Panel Of 110 Kva Set</t>
  </si>
  <si>
    <t>Mill Crane &amp; Column</t>
  </si>
  <si>
    <t>New Hot Water Plant</t>
  </si>
  <si>
    <t>Magnetic Separator</t>
  </si>
  <si>
    <t>One Molasses Storage Tank Of 27000/30000 Qtls.</t>
  </si>
  <si>
    <t>Weighbridge 7 Nos.</t>
  </si>
  <si>
    <t>Slurry Mill For Lab</t>
  </si>
  <si>
    <t>New Mills</t>
  </si>
  <si>
    <t xml:space="preserve">60 Ton Pan </t>
  </si>
  <si>
    <t xml:space="preserve">New Mills </t>
  </si>
  <si>
    <t>Six Centrifugal Machine</t>
  </si>
  <si>
    <t>To Replace 3 Mills Head Stock</t>
  </si>
  <si>
    <t>Knife'S Motor &amp; Engine</t>
  </si>
  <si>
    <t>3 High Speed Centrifugal Machines</t>
  </si>
  <si>
    <t>New Cane Carrier</t>
  </si>
  <si>
    <t>Vapour Line Juice Heater [Old]</t>
  </si>
  <si>
    <t>6 Centrifugals</t>
  </si>
  <si>
    <t>New Magma Pump 2</t>
  </si>
  <si>
    <t>New Grader &amp; Hopper</t>
  </si>
  <si>
    <t xml:space="preserve">New 60 Tons Pan </t>
  </si>
  <si>
    <t>Replacement Of Bigger Pipe Line</t>
  </si>
  <si>
    <t>Spray Pond Pipe Line</t>
  </si>
  <si>
    <t>Sulphured Juice Pump</t>
  </si>
  <si>
    <t>New Steam Line</t>
  </si>
  <si>
    <t>Molasses Storage Tank Of 27000/30000 Qtls.</t>
  </si>
  <si>
    <t>Welding Sets</t>
  </si>
  <si>
    <t>One Cetrifugal Machine (Ram Singh)</t>
  </si>
  <si>
    <t>New Filter Press 1 Set</t>
  </si>
  <si>
    <t>Air Copressor</t>
  </si>
  <si>
    <t>2000Kw Turbo Set New Cable Arrangement</t>
  </si>
  <si>
    <t>Steam Flow Meter</t>
  </si>
  <si>
    <t>Magnetic Saparator For Sugar Grader</t>
  </si>
  <si>
    <t>60Tons Pan</t>
  </si>
  <si>
    <t>Molasses Tank Massonary</t>
  </si>
  <si>
    <t>Weighbridge 10 Ton 3 Nos.</t>
  </si>
  <si>
    <t>Weighbrige      2 Nos.</t>
  </si>
  <si>
    <t>Generating Set Of 380 Kw</t>
  </si>
  <si>
    <t>New Diesel Generating Set 300Kw</t>
  </si>
  <si>
    <t>New Hydraulic Cap Arrangement Accumulator Type For Mills</t>
  </si>
  <si>
    <t>Welding Transformer</t>
  </si>
  <si>
    <t xml:space="preserve">Installation Of Additional 250 H.P. Motor </t>
  </si>
  <si>
    <t>Automatic Centrifugal Machine</t>
  </si>
  <si>
    <t xml:space="preserve">Weighbridge    </t>
  </si>
  <si>
    <t xml:space="preserve">Head Office:- Water Softning Plant </t>
  </si>
  <si>
    <t>Exhaust Fans 3</t>
  </si>
  <si>
    <t xml:space="preserve">Molasses Storage Tanks Of 30000 Qtls. Capacity </t>
  </si>
  <si>
    <t xml:space="preserve">Head Office :- Iron Removal Plant </t>
  </si>
  <si>
    <t xml:space="preserve">Booster At Pan </t>
  </si>
  <si>
    <t xml:space="preserve">E.F.S.- D.G. Set 380 Kw </t>
  </si>
  <si>
    <t>Vacuum Pump</t>
  </si>
  <si>
    <t>New Vacuum Pump</t>
  </si>
  <si>
    <t xml:space="preserve">1 No. Welding Machine </t>
  </si>
  <si>
    <t>Diesel Engine 10 H.P.</t>
  </si>
  <si>
    <t>Weighbridge 50 Ton 1 No.</t>
  </si>
  <si>
    <t>3 New Centrifugal Machines</t>
  </si>
  <si>
    <t>New Vacuum Pump (Kakati)</t>
  </si>
  <si>
    <t xml:space="preserve">New Welding Set </t>
  </si>
  <si>
    <t xml:space="preserve">Welding Machine </t>
  </si>
  <si>
    <t>D.G. Set 5 Kva   -1</t>
  </si>
  <si>
    <t>New 1800 Sq.Ft. H.S. Juice Heater</t>
  </si>
  <si>
    <t>Two Overhead Crystallizers</t>
  </si>
  <si>
    <t>500 Kva Capacitors</t>
  </si>
  <si>
    <t>Weighbridge 5 Ton-4 Nos.</t>
  </si>
  <si>
    <t>Ball Mill -1</t>
  </si>
  <si>
    <t>New Vapour Line Juice Heater</t>
  </si>
  <si>
    <t>Mill Roller Two (825X1500 Mm)</t>
  </si>
  <si>
    <t>All Purpose Vacuum Cleaner</t>
  </si>
  <si>
    <t xml:space="preserve">Pan 50 Tons </t>
  </si>
  <si>
    <t>Dg Set    -17 Nos.</t>
  </si>
  <si>
    <t>Weighbridge For Molasses &amp; Sugar</t>
  </si>
  <si>
    <t xml:space="preserve">Molasses Storage Tank </t>
  </si>
  <si>
    <t>Press Mud Conveyor</t>
  </si>
  <si>
    <t>5" H.V. Water Ring Vacuum Pump (Kakati)</t>
  </si>
  <si>
    <t>Tecalmit Motorised Readicical  Machanical Lubricator With 16 Pumping Units</t>
  </si>
  <si>
    <t xml:space="preserve">Fire Fitting Engine </t>
  </si>
  <si>
    <t xml:space="preserve">H.O.T. Crane </t>
  </si>
  <si>
    <t>Evaporater Set 32000Sqft. H.S. Complete With Staging Pipe Line Condensate &amp; Syrup Extraction Pump Etc.</t>
  </si>
  <si>
    <t>Three Fully Automatic C.F. Machines</t>
  </si>
  <si>
    <t xml:space="preserve">60 Tons Capacity Vacuum Pan </t>
  </si>
  <si>
    <t>Cane Unloader</t>
  </si>
  <si>
    <t xml:space="preserve">50 Tons Capacity Vacuum Pan </t>
  </si>
  <si>
    <t>Two Vacuum Filter Dorr Oliver Type 8'Diax16' Long</t>
  </si>
  <si>
    <t xml:space="preserve">Three Rain Shower Condensers With Pipe </t>
  </si>
  <si>
    <t xml:space="preserve">New Vacuum Filter Dorr Oliver Type </t>
  </si>
  <si>
    <t>One Automatic Juice Weighing Scale Of 6 Tons Capacity</t>
  </si>
  <si>
    <t>Air Compressor (Rotary Positive Diplacement Twine To Be Compressor Type)</t>
  </si>
  <si>
    <t>Evaporator</t>
  </si>
  <si>
    <t>One Ten Tons Weighbridge For Weiging Juice</t>
  </si>
  <si>
    <t>Weighbridge Bagasse</t>
  </si>
  <si>
    <t xml:space="preserve">50 Tons Capacity Pan </t>
  </si>
  <si>
    <t xml:space="preserve">New Syrup Sulphitation Tank </t>
  </si>
  <si>
    <t>One Auto Matic Juice Weighing Scale</t>
  </si>
  <si>
    <t xml:space="preserve">Sulphur Syrup Tank </t>
  </si>
  <si>
    <t xml:space="preserve">60 Tons Capacity Pan </t>
  </si>
  <si>
    <t xml:space="preserve">Molasses Tank       </t>
  </si>
  <si>
    <t>Drill Machine</t>
  </si>
  <si>
    <t xml:space="preserve">Lathe Machine </t>
  </si>
  <si>
    <t>Plant 24"X78" Complete (Ghh Mill)</t>
  </si>
  <si>
    <t>Two Vertical Centrifugal Machines For B-Curing C-After Worker Nk-1100</t>
  </si>
  <si>
    <t>Kakati Vacuum Pump 2000 Cft./Mt.Air Displacement Comlete With Motor &amp;Base Plate 2 Nos</t>
  </si>
  <si>
    <t xml:space="preserve">Rotary Vacuum Filter 8' Dia X16' Long </t>
  </si>
  <si>
    <t>Air Copressor 600 Cft./Mt.Comlete14 Upi Pump With Motor &amp; Base Plate (For Spray)</t>
  </si>
  <si>
    <t>Condenser With Injection Pump Motor Starter Switch Cable &amp; Pipe Line Complete</t>
  </si>
  <si>
    <t>New Bagasse Carrier In New Boiler</t>
  </si>
  <si>
    <t>One Evaporator Of 32000 Sq.Ft. H.S. Complete With Columns,Staging Platform</t>
  </si>
  <si>
    <t>Three Self Discharge Fully Automatic C.F. For A-Fore -Worker Curing</t>
  </si>
  <si>
    <t>Two 45 Tons 'U' Shape Water Cooled Crystallizers For B Massecuite Colling Completes</t>
  </si>
  <si>
    <t>Crane For New Mill</t>
  </si>
  <si>
    <t>Hopper Langth Increased</t>
  </si>
  <si>
    <t>Injection Pump</t>
  </si>
  <si>
    <t>Molasses Pump</t>
  </si>
  <si>
    <t>Two Sulphur Juice Pumps</t>
  </si>
  <si>
    <t xml:space="preserve">Mixed Juice Pump </t>
  </si>
  <si>
    <t>Two Air Pump Liquid Ring Kakati Make Of 1500 Cft Per Mt.  Discharge Complete</t>
  </si>
  <si>
    <t>Vacuum Pan 60 Tons</t>
  </si>
  <si>
    <t xml:space="preserve">Three Rain Shower Condenser For Pump Complete  With Staging  Platform </t>
  </si>
  <si>
    <t>Vacuum Pan 50 Tons</t>
  </si>
  <si>
    <t>Fire Detection Alarm System (Bb)</t>
  </si>
  <si>
    <t>New Service Lift At H.O.</t>
  </si>
  <si>
    <t xml:space="preserve">Weighbridge 10 T - 5 Nos. </t>
  </si>
  <si>
    <t xml:space="preserve">Bal Mill </t>
  </si>
  <si>
    <t>Shaper Machine  -1</t>
  </si>
  <si>
    <t>Weighbridge 10 Ton (3 Nos)</t>
  </si>
  <si>
    <t>Split Cane Carrier &amp; Fibrizor For Ghh Mill With Dynodrive</t>
  </si>
  <si>
    <t xml:space="preserve">Weighing &amp; Bagging Machine </t>
  </si>
  <si>
    <t>One Salf Discharge Dully Automatic Machine For 'A' Forworkers</t>
  </si>
  <si>
    <t>Continuous Sulphitation Tank With Staging Drive,Platform And Pipe Connection Of 3000 Ton Capacity</t>
  </si>
  <si>
    <t>Pump For Spray Pond Of 12500 H.L. With 100 Nozzles</t>
  </si>
  <si>
    <t>Hopper Width &amp; Length  Increased</t>
  </si>
  <si>
    <t>Injection Pump Of 3.5 Lac Gallons Of Water</t>
  </si>
  <si>
    <t>Six Massecuite Pumps For A.B. &amp;C. Massecuite</t>
  </si>
  <si>
    <t>Desuper Heater Suitable For 30 Tons Steam Par Hour Capacity With By-Pass Arrangement</t>
  </si>
  <si>
    <t>Existing  5' Dia Syrup Sulphitation Tank Replaced With 7' Dia</t>
  </si>
  <si>
    <t xml:space="preserve">Automatic Bag Cloging Machine </t>
  </si>
  <si>
    <t>Two Magma Pump 40 Tons Per Hrs.Capacity For Motor Starter Switches Etc.</t>
  </si>
  <si>
    <t xml:space="preserve">Hot Air Cane Seed Treatment Plant </t>
  </si>
  <si>
    <t>Two Second Hand 24"X42" C.F.Machines</t>
  </si>
  <si>
    <t xml:space="preserve">2 Nos. Sulphur Furnace Of 8 Sq.Ft. </t>
  </si>
  <si>
    <t>Vacuum Pump For Pans</t>
  </si>
  <si>
    <t>Condenser With Injection Pump Motor Etc.</t>
  </si>
  <si>
    <t xml:space="preserve">One Vertical Centrifugal Machine For 'B ' For Curing </t>
  </si>
  <si>
    <t>Split Cane Carrier &amp; Fibrizor For Ghh Mill</t>
  </si>
  <si>
    <t>Weighbridge 60 Ton</t>
  </si>
  <si>
    <t>1  Fire Extinguishers (H.O.)</t>
  </si>
  <si>
    <t>A C Plant (Birla Building)        H.O.</t>
  </si>
  <si>
    <t>Electronic Weighbridge</t>
  </si>
  <si>
    <t>T.R.P.F. Including Rack Carrier At Ist Mill Of Triveni  Milling Plant With Ist Motion Gear/Pinion Set</t>
  </si>
  <si>
    <t xml:space="preserve">400 H.P.Turbine </t>
  </si>
  <si>
    <t>2 Nos. C.S. Fabricated Head Stocks Of Triveni Milling Plant To Replace With Cast Steel Hand Stock</t>
  </si>
  <si>
    <t>Sugar Grader</t>
  </si>
  <si>
    <t>Crystallizer With Diso Type Cooling Element Of 35 Tons Capacity</t>
  </si>
  <si>
    <t xml:space="preserve">Mill Roller </t>
  </si>
  <si>
    <t xml:space="preserve">Exhaust Steam Balloon With Pipe Line </t>
  </si>
  <si>
    <t xml:space="preserve">Three  D-Super Heating Stations In Live Steam For Boiling House </t>
  </si>
  <si>
    <t>Existing 4540 H.L. Capacity Pump For Spray Pond 100 Nozzles</t>
  </si>
  <si>
    <t xml:space="preserve">Mixed Juice Pump G.M. </t>
  </si>
  <si>
    <t xml:space="preserve">Power Capacitor </t>
  </si>
  <si>
    <t xml:space="preserve">Sulphur Juice Pump G.M. </t>
  </si>
  <si>
    <t>Two Molasses Pump For 'B' Heavy &amp; 'A' Light</t>
  </si>
  <si>
    <t xml:space="preserve">One Second Hand 20"X42" C.F. Machine </t>
  </si>
  <si>
    <t xml:space="preserve">One Rotary Vacuum Filter 8' Dia X16' Long </t>
  </si>
  <si>
    <t>Service Lift Installation (Iind)</t>
  </si>
  <si>
    <t xml:space="preserve">Beam Scale </t>
  </si>
  <si>
    <t>Load Cell</t>
  </si>
  <si>
    <t>Geared Coupling Gdc-2010</t>
  </si>
  <si>
    <t>Insurance Spares</t>
  </si>
  <si>
    <t>1St Stage 24 Teeth Pinion With Shaft For Gear Unit</t>
  </si>
  <si>
    <t>Roller Bearing 23064 E For Reduction Gear Box Sbn</t>
  </si>
  <si>
    <t>Roller Bearing 22340 E For Reduction Gear Box Sbn</t>
  </si>
  <si>
    <t xml:space="preserve">Spare Worm Shaft &amp; Wheel For U-1200 Ratio 50:1 </t>
  </si>
  <si>
    <t xml:space="preserve">Iind Motion Gear Set &amp; 3Rd Motion Hard &amp; Groovcel Duly Chrome </t>
  </si>
  <si>
    <t>Iind &amp; 3Rd Motion Gear Set For Main Coad Gear Box 75 Teeth</t>
  </si>
  <si>
    <t>Gear 75 Teeth M.S.Fabricateel For M.B.C.</t>
  </si>
  <si>
    <t>Roller Bearing 22330 E For Reduction Gear Box Sbn</t>
  </si>
  <si>
    <t xml:space="preserve">Sleeve With Nut H-3056 For 23056K Bearing </t>
  </si>
  <si>
    <t>Pinion Forged Steel 16 Teeth For Rake Elevator</t>
  </si>
  <si>
    <t>Main Drive Gear For Cane Unloader</t>
  </si>
  <si>
    <t>Bear Transistor Mev 9.4 Kva</t>
  </si>
  <si>
    <t>Annuciator Casycl</t>
  </si>
  <si>
    <t>Pair Of Gear Wheel For Mp-150 (Rp-150)</t>
  </si>
  <si>
    <t>Roller Bearing 239/560</t>
  </si>
  <si>
    <t>Roller Bearing-23164-1 No.</t>
  </si>
  <si>
    <t>Roller Bearing-23160-2 No.</t>
  </si>
  <si>
    <t>Oil Inlet Fitting For 30Mw-1 No.</t>
  </si>
  <si>
    <t>Cycle</t>
  </si>
  <si>
    <t>Vehicles</t>
  </si>
  <si>
    <t>Innova Car</t>
  </si>
  <si>
    <t xml:space="preserve">Scorpio </t>
  </si>
  <si>
    <t xml:space="preserve">Ambulance </t>
  </si>
  <si>
    <t>Discover 100  Motor Cycle</t>
  </si>
  <si>
    <t>Cd Dawn Motor Cycle</t>
  </si>
  <si>
    <t>Motor Cycle</t>
  </si>
  <si>
    <t>Truck Mercedes 2 No. 1310&amp;1311</t>
  </si>
  <si>
    <t>New T.M.B. Truck No.Ush 1951</t>
  </si>
  <si>
    <t xml:space="preserve"> Universal Tractors 65 H.P.  "3 No.</t>
  </si>
  <si>
    <t>Four Wheel Trolleys" 8 No.</t>
  </si>
  <si>
    <t xml:space="preserve"> Four Wheel Trolley 2 No.</t>
  </si>
  <si>
    <t>Trolleys 2 No.</t>
  </si>
  <si>
    <t>Tusker Truck  Ush 7815</t>
  </si>
  <si>
    <t>Tusker Truck Ush 8332</t>
  </si>
  <si>
    <t>Cycle At Kolkatta</t>
  </si>
  <si>
    <t>Hero Cycle 4</t>
  </si>
  <si>
    <t>Avon Cycle No. 070234</t>
  </si>
  <si>
    <t>Truck No.Uht896</t>
  </si>
  <si>
    <t>Motor Cycle Rajdoot No. Up-31A 2168</t>
  </si>
  <si>
    <t>Mahindra Jeep No. Up-31/3938</t>
  </si>
  <si>
    <t xml:space="preserve">Hero Honda </t>
  </si>
  <si>
    <t>Unloader 1 No.</t>
  </si>
  <si>
    <t>School Bus</t>
  </si>
  <si>
    <t>Motorcycle Suzuki</t>
  </si>
  <si>
    <t xml:space="preserve">Tractor 1 No. </t>
  </si>
  <si>
    <t>By-Cycle 6 No.</t>
  </si>
  <si>
    <t>Lml Vespa (Shillong)</t>
  </si>
  <si>
    <t>By-Cycle 2 Nos.</t>
  </si>
  <si>
    <t xml:space="preserve">Motorcycle </t>
  </si>
  <si>
    <t>Bolero</t>
  </si>
  <si>
    <t>Honda Civic</t>
  </si>
  <si>
    <t>Swift D-Zire Car</t>
  </si>
  <si>
    <t>Innova Crysta</t>
  </si>
  <si>
    <t>Hero Honda Super Splender (Stp)</t>
  </si>
  <si>
    <t>Maruti Xl6 Smart Hybrid</t>
  </si>
  <si>
    <t>Bolero Model 2020-21</t>
  </si>
  <si>
    <t>Laptop</t>
  </si>
  <si>
    <t>Office Equipments</t>
  </si>
  <si>
    <t>Inverter</t>
  </si>
  <si>
    <t>Water Cooler (2)</t>
  </si>
  <si>
    <t>Printer (2)</t>
  </si>
  <si>
    <t>Air Conditioner</t>
  </si>
  <si>
    <t>Air Conditioner (4)</t>
  </si>
  <si>
    <t xml:space="preserve">Printer </t>
  </si>
  <si>
    <t>Blower</t>
  </si>
  <si>
    <t>Mobile</t>
  </si>
  <si>
    <t>Printer</t>
  </si>
  <si>
    <t>Hhc - 7</t>
  </si>
  <si>
    <t>Hhc - 13</t>
  </si>
  <si>
    <t>Mobile - 4</t>
  </si>
  <si>
    <t>Laptop - Md</t>
  </si>
  <si>
    <t>Ups 5 Kva-1</t>
  </si>
  <si>
    <t>Tft Monitor-28</t>
  </si>
  <si>
    <t>Computer-10</t>
  </si>
  <si>
    <t>Hhc Machine-7</t>
  </si>
  <si>
    <t>Hand Held Computer With Printer-2</t>
  </si>
  <si>
    <t>Computer-4</t>
  </si>
  <si>
    <t>Wire Less Hand Set-1</t>
  </si>
  <si>
    <t>Out Door Wi-Fi-2</t>
  </si>
  <si>
    <t>Nvr 32 -1</t>
  </si>
  <si>
    <t>Servilancehdd-4</t>
  </si>
  <si>
    <t>Ip Camera-27</t>
  </si>
  <si>
    <t>450 Mbps Wi-Fi-3</t>
  </si>
  <si>
    <t>In Door Wi-Fi-2</t>
  </si>
  <si>
    <t>Mobile Phone-2</t>
  </si>
  <si>
    <t>Mobile (2)</t>
  </si>
  <si>
    <t>Computer With Printer</t>
  </si>
  <si>
    <t>Mobile Apple Iphone</t>
  </si>
  <si>
    <t>Mobile (Laxman Agarwal)</t>
  </si>
  <si>
    <t>Mobile (Aditya Sharma)</t>
  </si>
  <si>
    <t xml:space="preserve">Laptop </t>
  </si>
  <si>
    <t>Mobile (Nishant)</t>
  </si>
  <si>
    <t>Ipad (Nishant)</t>
  </si>
  <si>
    <t>Laptop (Laxman Agarwal)</t>
  </si>
  <si>
    <t>Mac Ipad</t>
  </si>
  <si>
    <t>Wire Less Hand Set</t>
  </si>
  <si>
    <t>Desktop</t>
  </si>
  <si>
    <t>Dsl, Router (2)</t>
  </si>
  <si>
    <t>Calculator</t>
  </si>
  <si>
    <t>Net Setter</t>
  </si>
  <si>
    <t>Computer</t>
  </si>
  <si>
    <t>Mobile  - Seshram</t>
  </si>
  <si>
    <t>Stabilizer</t>
  </si>
  <si>
    <t>Air Conditioners (2)</t>
  </si>
  <si>
    <t>Air Conditioners (6)</t>
  </si>
  <si>
    <t>Mobile  - Ankush</t>
  </si>
  <si>
    <t>Camera</t>
  </si>
  <si>
    <t>Hard Disc 500 Gb-2 Nos</t>
  </si>
  <si>
    <t>Printer Laser Jet-1 No.</t>
  </si>
  <si>
    <t>Printer Lx-800-4 Nos</t>
  </si>
  <si>
    <t>Lap Top-1 No.</t>
  </si>
  <si>
    <t>Printer Lq Dsi-5235 Wipro-1 No.</t>
  </si>
  <si>
    <t>Printer Lipi-1 No.</t>
  </si>
  <si>
    <t>Video Conference System</t>
  </si>
  <si>
    <t>Projector</t>
  </si>
  <si>
    <t>Mobile - Unit Head</t>
  </si>
  <si>
    <t>Airconditioner For Soil Testing Lab</t>
  </si>
  <si>
    <t>Atr Machine - Time Office</t>
  </si>
  <si>
    <t>Attendence System</t>
  </si>
  <si>
    <t>Air Conditioners (3) With Stablizer</t>
  </si>
  <si>
    <t>Attendence Punching Machine</t>
  </si>
  <si>
    <t>Mattress With Pillow Sets - Lucknow</t>
  </si>
  <si>
    <t>Television</t>
  </si>
  <si>
    <t>Television Sets With Disk</t>
  </si>
  <si>
    <t>Ahu &amp; Vfd - Kolkat Office</t>
  </si>
  <si>
    <t>Scanner</t>
  </si>
  <si>
    <t>Black &amp; Decker</t>
  </si>
  <si>
    <t>Gyzer (2)</t>
  </si>
  <si>
    <t>Mobile  (2)</t>
  </si>
  <si>
    <t>Mobile (3)</t>
  </si>
  <si>
    <t>Monitor</t>
  </si>
  <si>
    <t>Refrigerator</t>
  </si>
  <si>
    <t>Stablizer (2)</t>
  </si>
  <si>
    <t>Air Conditioners (4+1)</t>
  </si>
  <si>
    <t>Geezer</t>
  </si>
  <si>
    <t>Super Kent</t>
  </si>
  <si>
    <t>Printer (1 Nos.) Gaourgaon Office</t>
  </si>
  <si>
    <t>Mobile Blackburry (Gaourgaon Office)</t>
  </si>
  <si>
    <t>Lap Top (1 Nos Sony Make-Gaourgaon Office)</t>
  </si>
  <si>
    <t xml:space="preserve">Lap Top </t>
  </si>
  <si>
    <t>Printer (4 Nos.)</t>
  </si>
  <si>
    <t>Moniter</t>
  </si>
  <si>
    <t>Lap Top (4 Nos Dell Make)</t>
  </si>
  <si>
    <t>Computer (5 Nos)</t>
  </si>
  <si>
    <t>Exaust Fan</t>
  </si>
  <si>
    <t>Handheld Computers (10 Nos.)</t>
  </si>
  <si>
    <t>Handheld Computers (32 Nos.)</t>
  </si>
  <si>
    <t>U.P.S. (2 Nos.)</t>
  </si>
  <si>
    <t>Printer (10 Nos.)</t>
  </si>
  <si>
    <t>Printer (1 No.)</t>
  </si>
  <si>
    <t>Ceiling Fan</t>
  </si>
  <si>
    <t xml:space="preserve">Ceiling Fan  </t>
  </si>
  <si>
    <t>Ceiling Fan  (2 Nos)</t>
  </si>
  <si>
    <t>Stablizer</t>
  </si>
  <si>
    <t>Cooler ( 4 Nos.)</t>
  </si>
  <si>
    <t xml:space="preserve">Cooler </t>
  </si>
  <si>
    <t xml:space="preserve">Ceiling Fan ( 4 Nos) </t>
  </si>
  <si>
    <t>Cooling Coils</t>
  </si>
  <si>
    <t>Gizer</t>
  </si>
  <si>
    <t>Voice Mail System</t>
  </si>
  <si>
    <t>Screw Chilling Unit</t>
  </si>
  <si>
    <t>Computer For Cane  ( 27 Nos. )</t>
  </si>
  <si>
    <t>Printer  ( 2 Nos. )</t>
  </si>
  <si>
    <t>Cabin Fan (4 Nos)</t>
  </si>
  <si>
    <t>Cabin Fan</t>
  </si>
  <si>
    <t>Cooler ( 2 Nos.)</t>
  </si>
  <si>
    <t>Cooler (5No.)</t>
  </si>
  <si>
    <t>Celling Fan</t>
  </si>
  <si>
    <t>Cooler (3No.)</t>
  </si>
  <si>
    <t>Laptop (One)</t>
  </si>
  <si>
    <t>Celling Fan (2 Nos)</t>
  </si>
  <si>
    <t>Cooler (2 Nos)</t>
  </si>
  <si>
    <t>Public Address System</t>
  </si>
  <si>
    <t>Cooler (3 Nos.)</t>
  </si>
  <si>
    <t>T.V. With Remote</t>
  </si>
  <si>
    <t>Celling Fan (2Nos)</t>
  </si>
  <si>
    <t>X-Ray Machine (Baggage)</t>
  </si>
  <si>
    <t>Cctv</t>
  </si>
  <si>
    <t>Metal Dedector</t>
  </si>
  <si>
    <t>Cooler</t>
  </si>
  <si>
    <t>Server 1 No.</t>
  </si>
  <si>
    <t>U.P.S.</t>
  </si>
  <si>
    <t>Printer (6 Nos)</t>
  </si>
  <si>
    <t>Lap Top (3 Nos)</t>
  </si>
  <si>
    <t>Computer Machine</t>
  </si>
  <si>
    <t>T.V.With Remote</t>
  </si>
  <si>
    <t xml:space="preserve">Computer </t>
  </si>
  <si>
    <t>Gyzers</t>
  </si>
  <si>
    <t>Laser Printer</t>
  </si>
  <si>
    <t>Server</t>
  </si>
  <si>
    <t>Computer Ibm 2 Nos.</t>
  </si>
  <si>
    <t>Computer Server</t>
  </si>
  <si>
    <t>Table Fan</t>
  </si>
  <si>
    <t>Exhaust Fan</t>
  </si>
  <si>
    <t>Stablizer 7 Nos</t>
  </si>
  <si>
    <t>Gyser 12 Nos.</t>
  </si>
  <si>
    <t>U.P.S. 2 Nos.</t>
  </si>
  <si>
    <t>Internet Phone 2 Nos.</t>
  </si>
  <si>
    <t>Computer Ibm</t>
  </si>
  <si>
    <t>Laptop At( Lko.)</t>
  </si>
  <si>
    <t>Fridge</t>
  </si>
  <si>
    <t>Invertor</t>
  </si>
  <si>
    <t>Aquagard 1 No.</t>
  </si>
  <si>
    <t>Air Conditioner 2 No</t>
  </si>
  <si>
    <t>Gyzer 1 No.</t>
  </si>
  <si>
    <t>Celling Fan 14 Nos</t>
  </si>
  <si>
    <t>Table Fan 3 Nos</t>
  </si>
  <si>
    <t>Blower 2 Nos</t>
  </si>
  <si>
    <t>Coolers 8 Nos</t>
  </si>
  <si>
    <t>Exhaust Fan 2 Nos</t>
  </si>
  <si>
    <t>Epbx</t>
  </si>
  <si>
    <t>Wireless</t>
  </si>
  <si>
    <t>Computer(H.O.)</t>
  </si>
  <si>
    <t>Printer 1 Nos.</t>
  </si>
  <si>
    <t>Air Conditioner 1</t>
  </si>
  <si>
    <t>Air Conditioner(Delhi Office)</t>
  </si>
  <si>
    <t>Sofa(Delhi Office)</t>
  </si>
  <si>
    <t>Computer Ibm 4 Nos.</t>
  </si>
  <si>
    <t>Plotter</t>
  </si>
  <si>
    <t>Mobile Phones</t>
  </si>
  <si>
    <t>Celling Fan  19 Nos.</t>
  </si>
  <si>
    <t>Exhaust Fan 5 Nos.</t>
  </si>
  <si>
    <t>Table Fan 4 Nos.</t>
  </si>
  <si>
    <t>Cooler 7 Nos.</t>
  </si>
  <si>
    <t>Gyzer 8 Nos.</t>
  </si>
  <si>
    <t>Aquagard 4 Nos.</t>
  </si>
  <si>
    <t>Table Cover(Delhi Office)</t>
  </si>
  <si>
    <t>Computer Ibm 3 Nos.</t>
  </si>
  <si>
    <t>Wireless Hanset 3 Nos.</t>
  </si>
  <si>
    <t>Ups 10 Kva 1 Nos.</t>
  </si>
  <si>
    <t xml:space="preserve">Computer Ibm </t>
  </si>
  <si>
    <t>Telivision(Delhi Office)</t>
  </si>
  <si>
    <t>Computer ( Server )</t>
  </si>
  <si>
    <t xml:space="preserve">Cooler 4 Nos. </t>
  </si>
  <si>
    <t>Refrigerator 1 Nos.</t>
  </si>
  <si>
    <t>Air Conditioner(H.O)</t>
  </si>
  <si>
    <t>Cooler 6 Nos.</t>
  </si>
  <si>
    <t>Gist Card</t>
  </si>
  <si>
    <t>Split Air Conditioner(H.O)</t>
  </si>
  <si>
    <t>Celling Fan  16 Nos.</t>
  </si>
  <si>
    <t>Exhaust Fan 4 Nos.</t>
  </si>
  <si>
    <t>Table Fan  1 Nos.</t>
  </si>
  <si>
    <t>Gyzer  1 Nos.</t>
  </si>
  <si>
    <t>Pump 1/2 Hp 2 Nos.</t>
  </si>
  <si>
    <t>Padestal Fan 1 Nos.</t>
  </si>
  <si>
    <t>Computer 2 Nos.</t>
  </si>
  <si>
    <t>Hub 2 Nos.</t>
  </si>
  <si>
    <t>Safe(H.O)</t>
  </si>
  <si>
    <t>Ups 5 Kva 1 Nos.</t>
  </si>
  <si>
    <t>Laptop 1 Nos.</t>
  </si>
  <si>
    <t>Fax Machine 1 No.</t>
  </si>
  <si>
    <t xml:space="preserve">Air Conditioner(Delhi Office) </t>
  </si>
  <si>
    <t>Table Fan 1 No.</t>
  </si>
  <si>
    <t>Ceiling Fan 21 Nos.</t>
  </si>
  <si>
    <t>Padestal Fan 2 Nos.</t>
  </si>
  <si>
    <t>Exhaust Fan  14 Nos.</t>
  </si>
  <si>
    <t>Stabilizer 2 Nos.</t>
  </si>
  <si>
    <t>Geizer 4 Nos.</t>
  </si>
  <si>
    <t>Cabine Fan 12 Nos.</t>
  </si>
  <si>
    <t>Printer -Laser 1 No.</t>
  </si>
  <si>
    <t>Computer 3 Nos.</t>
  </si>
  <si>
    <t>Printer-Dmp 1 No.</t>
  </si>
  <si>
    <t>Printer Lx 800 5 Nos.</t>
  </si>
  <si>
    <t>Aquagaurd 1 No.</t>
  </si>
  <si>
    <t>Cooler  1 No.</t>
  </si>
  <si>
    <t>Refrigerator  3 Nos.</t>
  </si>
  <si>
    <t>Ceiling Fan  14 Nos.</t>
  </si>
  <si>
    <t>Exhaust Fan 6 Nos.</t>
  </si>
  <si>
    <t>Padestal Fan 1 No.</t>
  </si>
  <si>
    <t>Cabin Fan 1 No.</t>
  </si>
  <si>
    <t>Tullu Pump 1 No.</t>
  </si>
  <si>
    <t>Stabilizer 1 No.</t>
  </si>
  <si>
    <t>Cooler 9 Nos.</t>
  </si>
  <si>
    <t>Freeze 1</t>
  </si>
  <si>
    <t xml:space="preserve">Intercom </t>
  </si>
  <si>
    <t>Vaccume Cleaner 1 No.(Shilong Guest House)</t>
  </si>
  <si>
    <t>Celing Fan 8 Nos.</t>
  </si>
  <si>
    <t>Exhaust Fan 3 Nos.</t>
  </si>
  <si>
    <t xml:space="preserve">Wireless System </t>
  </si>
  <si>
    <t>Water Heater (Delhi Office)</t>
  </si>
  <si>
    <t>Satelite Receiver (Delhi Office)</t>
  </si>
  <si>
    <t>Ups 5 Kva      1 No.</t>
  </si>
  <si>
    <t>Ceiling Fan  33 Nos.</t>
  </si>
  <si>
    <t>Geizer       1 No.</t>
  </si>
  <si>
    <t>Table Fan   12 Nos.</t>
  </si>
  <si>
    <t>Blower      3 Nos.</t>
  </si>
  <si>
    <t>Exhaust Fan  18 Nos.</t>
  </si>
  <si>
    <t>Tullu  Pumps   11 Nos.</t>
  </si>
  <si>
    <t>Padestal Fan      2 Nos.</t>
  </si>
  <si>
    <t>Cabin Fan           4 Nos.</t>
  </si>
  <si>
    <t>Cooler  29 Nos.</t>
  </si>
  <si>
    <t>Microphone 1 No.</t>
  </si>
  <si>
    <t>Aquagaurd</t>
  </si>
  <si>
    <t>Telephone Exchange(Calcutta Office)</t>
  </si>
  <si>
    <t>Colour T.V. 1 Set</t>
  </si>
  <si>
    <t>Ceiling Fan    66 Nos.</t>
  </si>
  <si>
    <t>Table Fan 7 Nos.</t>
  </si>
  <si>
    <t>Furniture(Shilong Guest House )</t>
  </si>
  <si>
    <t>Fridge  1 No.</t>
  </si>
  <si>
    <t>Fridge  3 Nos.</t>
  </si>
  <si>
    <t>Air Conditioner 4 No</t>
  </si>
  <si>
    <t>Cooler 21 Nos.</t>
  </si>
  <si>
    <t>Amplifier 1</t>
  </si>
  <si>
    <t>Ceiling Fan 30</t>
  </si>
  <si>
    <t>Battery &amp; Catges</t>
  </si>
  <si>
    <t>Table Fan 7</t>
  </si>
  <si>
    <t>Cooler 4</t>
  </si>
  <si>
    <t>Exhaust Fan 3</t>
  </si>
  <si>
    <t>Geizer 4</t>
  </si>
  <si>
    <t>Sabilizer 2</t>
  </si>
  <si>
    <t>Water Heater Tank 1</t>
  </si>
  <si>
    <t>Exhaust Fan 9</t>
  </si>
  <si>
    <t>Table Fan 4</t>
  </si>
  <si>
    <t>Ceiling Fan 47</t>
  </si>
  <si>
    <t>Geizer 2</t>
  </si>
  <si>
    <t>Cooler 9</t>
  </si>
  <si>
    <t>Aquagard Water Filter  1</t>
  </si>
  <si>
    <t xml:space="preserve">Misc Small </t>
  </si>
  <si>
    <t>Freidge 1</t>
  </si>
  <si>
    <t>Coolers</t>
  </si>
  <si>
    <t>Ceiling Fan 37</t>
  </si>
  <si>
    <t>Table Fan  4</t>
  </si>
  <si>
    <t>Tullu Pump 1</t>
  </si>
  <si>
    <t>Geizer 5</t>
  </si>
  <si>
    <t>Stabilizer 1</t>
  </si>
  <si>
    <t>Exhaust Fan 5</t>
  </si>
  <si>
    <t>Pedastal Fan 1</t>
  </si>
  <si>
    <t>Hot Air Blower 4</t>
  </si>
  <si>
    <t>Lko-Table Fan</t>
  </si>
  <si>
    <t>Lko-Fresh Air Fan</t>
  </si>
  <si>
    <t>Lko-Pump With Shp Motor</t>
  </si>
  <si>
    <t>Lko-Geysers</t>
  </si>
  <si>
    <t>Lko-Exhaust Fan</t>
  </si>
  <si>
    <t>Lko-Heat Convertor</t>
  </si>
  <si>
    <t>Lko-Stabilizer</t>
  </si>
  <si>
    <t>Cooler 1</t>
  </si>
  <si>
    <t>Refrigerator 1</t>
  </si>
  <si>
    <t xml:space="preserve">Air Conditioner At Lucknow </t>
  </si>
  <si>
    <t>Air Conditioner 4</t>
  </si>
  <si>
    <t>Ceiling Fan 5</t>
  </si>
  <si>
    <t>Sabilizer 1</t>
  </si>
  <si>
    <t>Exhaust Fan 1</t>
  </si>
  <si>
    <t>Geizer 1</t>
  </si>
  <si>
    <t>Desert Cooler 4</t>
  </si>
  <si>
    <t>Metal Detectors Doors At H.O.</t>
  </si>
  <si>
    <t>Auto Stabilizers 3</t>
  </si>
  <si>
    <t>Refrigerators 3</t>
  </si>
  <si>
    <t>Ceiling Fans 7</t>
  </si>
  <si>
    <t>Desert Cooler 7</t>
  </si>
  <si>
    <t>Exhaust Fans 12"   3</t>
  </si>
  <si>
    <t>Air Conditioner For Bungalow &amp;Office 4</t>
  </si>
  <si>
    <t>Table Fan 2</t>
  </si>
  <si>
    <t>Ceiling Fans 8</t>
  </si>
  <si>
    <t>Stabilizer 3</t>
  </si>
  <si>
    <t>Cooler 3</t>
  </si>
  <si>
    <t xml:space="preserve">Stabilizer </t>
  </si>
  <si>
    <t xml:space="preserve">Tulloo Pump </t>
  </si>
  <si>
    <t xml:space="preserve">Exhaust Fan </t>
  </si>
  <si>
    <t xml:space="preserve">Ceiling Fan </t>
  </si>
  <si>
    <t xml:space="preserve">Loud Speaker </t>
  </si>
  <si>
    <t>Geizers 2</t>
  </si>
  <si>
    <t xml:space="preserve">Table Fan </t>
  </si>
  <si>
    <t>Ceiling Fans 15</t>
  </si>
  <si>
    <t>Table Fans 4</t>
  </si>
  <si>
    <t>Room Coolers 3</t>
  </si>
  <si>
    <t>Voltage Stabilizer 1</t>
  </si>
  <si>
    <t>Wall Fan 1</t>
  </si>
  <si>
    <t>Ceiling Fans 14</t>
  </si>
  <si>
    <t>Pedastal Fan 2</t>
  </si>
  <si>
    <t xml:space="preserve">Geizer </t>
  </si>
  <si>
    <t xml:space="preserve">Table Fans </t>
  </si>
  <si>
    <t>Exhaust Fans</t>
  </si>
  <si>
    <t>Table Fan 5</t>
  </si>
  <si>
    <t>Ceiling Fans 10</t>
  </si>
  <si>
    <t>Reception Counter 1(Delhi Office)</t>
  </si>
  <si>
    <t>Portable Typewriter(Delhi Office)</t>
  </si>
  <si>
    <t>Table And Chair (Delhi Office)</t>
  </si>
  <si>
    <t>Referigerator 2 New</t>
  </si>
  <si>
    <t>Table Fan 1</t>
  </si>
  <si>
    <t>Ceiling Fan 2</t>
  </si>
  <si>
    <t>Exhust Fan 1No.</t>
  </si>
  <si>
    <t>Table Fan 6</t>
  </si>
  <si>
    <t>Ceiling Fan 6</t>
  </si>
  <si>
    <t>Godrej Firniture (H.O)</t>
  </si>
  <si>
    <t>Mixer 1</t>
  </si>
  <si>
    <t>Unit,Refiex Horn Maicron,Mike Voltage Regulater For H.M. Connection Set  1</t>
  </si>
  <si>
    <t>Stablliser 1</t>
  </si>
  <si>
    <t>Ceiling Fans</t>
  </si>
  <si>
    <t>Tiltiling Fan</t>
  </si>
  <si>
    <t>Table Fans</t>
  </si>
  <si>
    <t>Ceiling Fans Sixteen</t>
  </si>
  <si>
    <t xml:space="preserve">Exhaust Fan One </t>
  </si>
  <si>
    <t>Record Player One</t>
  </si>
  <si>
    <t>Amplifier One Set</t>
  </si>
  <si>
    <t>Ceiling Fans 12 Nos.</t>
  </si>
  <si>
    <t>Room Heater 3</t>
  </si>
  <si>
    <t>Ceiling Fans 3</t>
  </si>
  <si>
    <t>Water Heater 1</t>
  </si>
  <si>
    <t>Room Heaters 3</t>
  </si>
  <si>
    <t>Table Fan One</t>
  </si>
  <si>
    <t>Ceiling Fans 2</t>
  </si>
  <si>
    <t>Room Heaters 4</t>
  </si>
  <si>
    <t>Ceiling Fan 48" -4</t>
  </si>
  <si>
    <t>Table Fan 16" -1</t>
  </si>
  <si>
    <t>Room Heater 2</t>
  </si>
  <si>
    <t>Ceiling Fan 36" 10 No.</t>
  </si>
  <si>
    <t>Ceiling Fan 42" 1 No.</t>
  </si>
  <si>
    <t>Ceiling Fan 48" 1 No.</t>
  </si>
  <si>
    <t>Table Fan         1 No.</t>
  </si>
  <si>
    <t xml:space="preserve">Air Conditioner(H.O.) </t>
  </si>
  <si>
    <t xml:space="preserve">Furniture(H.O.) </t>
  </si>
  <si>
    <t>Room Cooler(Delhi Office)</t>
  </si>
  <si>
    <t>Fan (H.O.)</t>
  </si>
  <si>
    <t>Dunlop Pillow Matresses 2</t>
  </si>
  <si>
    <t>Heater</t>
  </si>
  <si>
    <t>Hotplate</t>
  </si>
  <si>
    <t>Ceiling Fans 5</t>
  </si>
  <si>
    <t>Water Heater</t>
  </si>
  <si>
    <t xml:space="preserve">Air Conditioner </t>
  </si>
  <si>
    <t xml:space="preserve"> Furniture (Delhi Office)</t>
  </si>
  <si>
    <t>Water Heater(H.O.)</t>
  </si>
  <si>
    <t>Plastic Sheets</t>
  </si>
  <si>
    <t>Table Fans 3 [Cost]</t>
  </si>
  <si>
    <t>Ceiling Fans 13 [Cost]</t>
  </si>
  <si>
    <t>Room Heaters 8 [Cost]</t>
  </si>
  <si>
    <t xml:space="preserve">Room Heaters 2 </t>
  </si>
  <si>
    <t>Electrification At Lakhimpur Godown</t>
  </si>
  <si>
    <t>A Type Cabin</t>
  </si>
  <si>
    <t xml:space="preserve">Air Coditioner [Delhi Office] </t>
  </si>
  <si>
    <t>Model   Embroiding[H.O.]</t>
  </si>
  <si>
    <t xml:space="preserve">Cash Box [H.O.] </t>
  </si>
  <si>
    <t xml:space="preserve">Almirah [H.O.] </t>
  </si>
  <si>
    <t>Refrigerator [H.O.]</t>
  </si>
  <si>
    <t>Cooler [H.O.]</t>
  </si>
  <si>
    <t>Airconditioners ( Delhi Office)</t>
  </si>
  <si>
    <t>A Type Cabin(H.O.)</t>
  </si>
  <si>
    <t>Telephone Set 1 New</t>
  </si>
  <si>
    <t>A Type Cabin(Delhi Office)</t>
  </si>
  <si>
    <t>Telephone Material</t>
  </si>
  <si>
    <t>Telephone Installation</t>
  </si>
  <si>
    <t>Single Barrel Guns - 5</t>
  </si>
  <si>
    <t xml:space="preserve">Air Conditioner(Delhi Office.) </t>
  </si>
  <si>
    <t xml:space="preserve">Guns 3 </t>
  </si>
  <si>
    <t>Monitor Tft</t>
  </si>
  <si>
    <t>Lesser Printer 2</t>
  </si>
  <si>
    <t>Lessr Jet Printer 2</t>
  </si>
  <si>
    <t>Vacum Cleaner</t>
  </si>
  <si>
    <t xml:space="preserve">Meghaphone </t>
  </si>
  <si>
    <t>Wi Fi Equipments</t>
  </si>
  <si>
    <t>Scnner</t>
  </si>
  <si>
    <t>Ledger Copier Printer</t>
  </si>
  <si>
    <t>Computer (3)</t>
  </si>
  <si>
    <t>Smart Weighment Systems At Gate</t>
  </si>
  <si>
    <t>Air Conditioner 1.5 Ton</t>
  </si>
  <si>
    <t>Air Conditioner 2 Ton</t>
  </si>
  <si>
    <t>Refrigratior</t>
  </si>
  <si>
    <t>Projector Screen</t>
  </si>
  <si>
    <t>Vga Cable</t>
  </si>
  <si>
    <t>Led</t>
  </si>
  <si>
    <t>Mobile Xiaomi</t>
  </si>
  <si>
    <t>Laptop 3 Nos</t>
  </si>
  <si>
    <t>Almirah 2 Nos.</t>
  </si>
  <si>
    <t>Ceiling Fan 12 Nos</t>
  </si>
  <si>
    <t>Pedestal Fan</t>
  </si>
  <si>
    <t>Chair Plastic Supreme</t>
  </si>
  <si>
    <t>Air Conditioner 2 Nos</t>
  </si>
  <si>
    <t>Mobile Phone</t>
  </si>
  <si>
    <t>Almirah Steel 7 Nos</t>
  </si>
  <si>
    <t>Steel Almirah</t>
  </si>
  <si>
    <t>450 Mbps Wireless</t>
  </si>
  <si>
    <t>Chair Plastic 150Nos</t>
  </si>
  <si>
    <t>Battery 12 Voult</t>
  </si>
  <si>
    <t>Solar Panel 2 Nos &amp; Controller</t>
  </si>
  <si>
    <t>Hp Laptop &amp; Carry Case</t>
  </si>
  <si>
    <t>Wirless Handset 9 Nos.</t>
  </si>
  <si>
    <t>Mobile Phone Redmi-4</t>
  </si>
  <si>
    <t>Almerah</t>
  </si>
  <si>
    <t>Wireless Hand Gp 3 Ola Make 5 Nos</t>
  </si>
  <si>
    <t>Room Heater-1No.</t>
  </si>
  <si>
    <t>Hydeaulic Chafer Drum Stick 4.Nos</t>
  </si>
  <si>
    <t>Heat Regulator</t>
  </si>
  <si>
    <t>Chafing Dish-2 Nos.</t>
  </si>
  <si>
    <t>Mobile Redmi 1 No.</t>
  </si>
  <si>
    <t>Mobile Samsung J810Gg</t>
  </si>
  <si>
    <t>Mac Book Air 13 Inch 1 No.256 Gb</t>
  </si>
  <si>
    <t>Ms Off Home Zbusiness 1Pk2016</t>
  </si>
  <si>
    <t>Mobile Redmi 6(1 No.)</t>
  </si>
  <si>
    <t>Mobile Vivo Y 95 1 No.</t>
  </si>
  <si>
    <t>Leser Jet Printer Mfp M 226Dw 1 No.</t>
  </si>
  <si>
    <t>Wire Less Hand Set 4 Nos.</t>
  </si>
  <si>
    <t>Mobile Samsung (1 No.)</t>
  </si>
  <si>
    <t>Mobile Vivo Y711 (1No.)</t>
  </si>
  <si>
    <t>Laptop Wth Bag I Phone Xr Gb Black 1No</t>
  </si>
  <si>
    <t>Mobile Redmi Note 6 Imei (1 No.)</t>
  </si>
  <si>
    <t>H P Laptop (1 No.)</t>
  </si>
  <si>
    <t>Mobile Mi Y2 (1No.)</t>
  </si>
  <si>
    <t>Wire Less Hand Set Gp3 2 Nos.</t>
  </si>
  <si>
    <t>Wireless Set Base Radi 1 No.</t>
  </si>
  <si>
    <t>Printer Hp Lj Pro M 126 -1 No.</t>
  </si>
  <si>
    <t>Ups Tuff Power</t>
  </si>
  <si>
    <t>Data Processing Machine</t>
  </si>
  <si>
    <t>Wireless Handset-1</t>
  </si>
  <si>
    <t xml:space="preserve">1-Mac </t>
  </si>
  <si>
    <t>Ac 1.50 Ton-1 No.</t>
  </si>
  <si>
    <t>Mobile Mi India-1 No.</t>
  </si>
  <si>
    <t>Laptop H.P. Elitebook 830G5-1 No.</t>
  </si>
  <si>
    <t>Oppo A5 S Mobile</t>
  </si>
  <si>
    <t>Lap Top H.P.-1 No.</t>
  </si>
  <si>
    <t>Mobile I Phone With Power Bsnl-1 No.</t>
  </si>
  <si>
    <t>Stablizer For A/C-4 Nos</t>
  </si>
  <si>
    <t>Air Conditioner-1 No 1 Ton</t>
  </si>
  <si>
    <t>Lap Top -1 No.</t>
  </si>
  <si>
    <t>Mobile Set -1No.</t>
  </si>
  <si>
    <t>Mobile Samsung Galaxy M20-1 No</t>
  </si>
  <si>
    <t>Mobile-1 No. Chamanlal</t>
  </si>
  <si>
    <t>Mobile-1 No. S.N.Mishraji</t>
  </si>
  <si>
    <t>Mobile-1 No. Arpit Srivastava</t>
  </si>
  <si>
    <t>Mobile-1 No. Pankaj Bhardwaj</t>
  </si>
  <si>
    <t>Samsung Tv Led</t>
  </si>
  <si>
    <t>Wireless Handset-3</t>
  </si>
  <si>
    <t>Mobile-1No.Oppo A9 Satyjeet Chauhan</t>
  </si>
  <si>
    <t>Wireless Hand Set-1 No.</t>
  </si>
  <si>
    <t>Wireless Set 1 No.</t>
  </si>
  <si>
    <t>Mobile Mi A3 1 No.Ramesh Kumar Tiwari</t>
  </si>
  <si>
    <t>Mobile Vivo No.-1 Brij Nandan</t>
  </si>
  <si>
    <t>Tablat Lenovo 10 Nos. H.O.</t>
  </si>
  <si>
    <t>Cabin Table Z9 2 Nos.</t>
  </si>
  <si>
    <t>Excutive Chair 2 Nos</t>
  </si>
  <si>
    <t>Medium Chair 8 Nos</t>
  </si>
  <si>
    <t>Office Table 8 Nos</t>
  </si>
  <si>
    <t>Mobile Samsung A51 1 No.(Royji)</t>
  </si>
  <si>
    <t>Mobile-1 No.</t>
  </si>
  <si>
    <t>Printer Laser Jet1 No.</t>
  </si>
  <si>
    <t>A.C. 1.5 Ton 1 No.</t>
  </si>
  <si>
    <t>Realme 6 Pro -1 Mobile(Jabar Singh))</t>
  </si>
  <si>
    <t>Mobile 1 No. (Balvinder)</t>
  </si>
  <si>
    <t>Laptop H.P.1 No (Royji)</t>
  </si>
  <si>
    <t>Mobile Realme-1 No.(Vishal Mishra)</t>
  </si>
  <si>
    <t>Mobile 1 No.(Satyajeet Tripathi)</t>
  </si>
  <si>
    <t>Mobile 1 No.(Devendra Singh)</t>
  </si>
  <si>
    <t>Wall Fan 1 No.</t>
  </si>
  <si>
    <t>Mobile 1 No. Vivo Y(Anuj Visnoi)</t>
  </si>
  <si>
    <t>Lap Toph.P. Elite Book</t>
  </si>
  <si>
    <t>Mobile No.1 (Vinay Agrahari)</t>
  </si>
  <si>
    <t>Mobile No.1 (Dileep Kumar)</t>
  </si>
  <si>
    <t>All In One Printer</t>
  </si>
  <si>
    <t>Mobile-1(Vijay Singh Maan)</t>
  </si>
  <si>
    <t>Mobile-1 Redmi (Rajesh Tripathi)</t>
  </si>
  <si>
    <t>Lap Top Dell 3410</t>
  </si>
  <si>
    <t>Wireless Set-1</t>
  </si>
  <si>
    <t>Lap Top H.P. 1 No.</t>
  </si>
  <si>
    <t>A.C.Fitting</t>
  </si>
  <si>
    <t>Heat Convector 2 Nos</t>
  </si>
  <si>
    <t>Hhc Machines 10 Nos</t>
  </si>
  <si>
    <t>Laptop 1 No.Aditya Sharma</t>
  </si>
  <si>
    <t>Amplifier 1 Full Set For Hannuman Mandir</t>
  </si>
  <si>
    <t>Speaker For Computer 3 Nos.</t>
  </si>
  <si>
    <t>New Hand Held Computer 10 Nos.</t>
  </si>
  <si>
    <t>Room Heater 3 Nos</t>
  </si>
  <si>
    <t>Mobile 1 No. -Shashi Bushan</t>
  </si>
  <si>
    <t>Charger For Hand Hold-15 Nos</t>
  </si>
  <si>
    <t>Mobile -1No Anil Sehoran</t>
  </si>
  <si>
    <t>Mobile -1No P.K.Vyas</t>
  </si>
  <si>
    <t>Wireless Hand Set-1</t>
  </si>
  <si>
    <t>Fans (2)</t>
  </si>
  <si>
    <t>Furniture &amp; Fixtures</t>
  </si>
  <si>
    <t>Mattress (2)</t>
  </si>
  <si>
    <t>Bed (2)</t>
  </si>
  <si>
    <t>Batry Trally</t>
  </si>
  <si>
    <t>Steel Compartment</t>
  </si>
  <si>
    <t>Plastic Chair - 4</t>
  </si>
  <si>
    <t>Almirah</t>
  </si>
  <si>
    <t>Oil Room Heater - 3</t>
  </si>
  <si>
    <t>Wooden Chair - 90</t>
  </si>
  <si>
    <t>Chair Revolving -5</t>
  </si>
  <si>
    <t>Table Computer - 3</t>
  </si>
  <si>
    <t>Table Wooden -8+8</t>
  </si>
  <si>
    <t>Wooden Takhat - 41</t>
  </si>
  <si>
    <t>Chair Armed Model - 6</t>
  </si>
  <si>
    <t>Chair Plastic - 4</t>
  </si>
  <si>
    <t>Table Computer-1</t>
  </si>
  <si>
    <t>Table Office Wooden-30</t>
  </si>
  <si>
    <t>Table Wooden (Tea)-31</t>
  </si>
  <si>
    <t>Wooden Thankhat-24</t>
  </si>
  <si>
    <t>Chair Plastic-6</t>
  </si>
  <si>
    <t>Doric 90 Coffee Table -1</t>
  </si>
  <si>
    <t>Exhaust Fan Sweep Size-1</t>
  </si>
  <si>
    <t>Almirah Steel-10</t>
  </si>
  <si>
    <t>Celling Fan-1</t>
  </si>
  <si>
    <t>Fan Cabin -1</t>
  </si>
  <si>
    <t>Exhaust Fan-3</t>
  </si>
  <si>
    <t>Almirah Steel-1</t>
  </si>
  <si>
    <t>Chairarmed -4</t>
  </si>
  <si>
    <t>Almirah 1</t>
  </si>
  <si>
    <t>Led Television -2</t>
  </si>
  <si>
    <t>Set Up Box For Television-1</t>
  </si>
  <si>
    <t>Stablizer-2</t>
  </si>
  <si>
    <t>Stablizer For Ac-2</t>
  </si>
  <si>
    <t>Air Conditioner-2</t>
  </si>
  <si>
    <t>Bed (14+2)</t>
  </si>
  <si>
    <t>Trinidad Bed (42)</t>
  </si>
  <si>
    <t>Mattress (40+7)</t>
  </si>
  <si>
    <t>Trinidad 3 Door Wardrobe With Mirrer(12)</t>
  </si>
  <si>
    <t>Arm Chair (42)</t>
  </si>
  <si>
    <t>V2 Desk (28)</t>
  </si>
  <si>
    <t>Chair (32)</t>
  </si>
  <si>
    <t>Trinidad 2 Door Wardrobe With Mirrer(6)</t>
  </si>
  <si>
    <t>Table (4+2)</t>
  </si>
  <si>
    <t>R.O. (4)</t>
  </si>
  <si>
    <t>Pillow (56)</t>
  </si>
  <si>
    <t>Trinidad Bed Side Table (42)</t>
  </si>
  <si>
    <t>Bed (14)</t>
  </si>
  <si>
    <t>Geyster, 15 Ltr (10)</t>
  </si>
  <si>
    <t>A.C.</t>
  </si>
  <si>
    <t>Ceiling Fan (24+1)</t>
  </si>
  <si>
    <t>Chair Plastic (8)</t>
  </si>
  <si>
    <t>M.F.V.I. Sofa</t>
  </si>
  <si>
    <t>Ceiling Fan 22 Nos.</t>
  </si>
  <si>
    <t>Cooler  -12 Nos</t>
  </si>
  <si>
    <t>Mobile - Gurgaon Office - 3</t>
  </si>
  <si>
    <t>Dining Chair (6)</t>
  </si>
  <si>
    <t>Exaust Fan (4)</t>
  </si>
  <si>
    <t>Double Blower (4+13)</t>
  </si>
  <si>
    <t xml:space="preserve">Montina King Bed </t>
  </si>
  <si>
    <t>Table (3)</t>
  </si>
  <si>
    <t>Mobile  - 2</t>
  </si>
  <si>
    <t>Chair Plastic (!2)</t>
  </si>
  <si>
    <t>Dining Table</t>
  </si>
  <si>
    <t>Geyser (5)</t>
  </si>
  <si>
    <t>Chair</t>
  </si>
  <si>
    <t>Mobile Nokia (Guargaon)-1 No.</t>
  </si>
  <si>
    <t>Exaust Fan (3)</t>
  </si>
  <si>
    <t>Geyser (2)</t>
  </si>
  <si>
    <t>Mobile-1</t>
  </si>
  <si>
    <t xml:space="preserve">Mobile </t>
  </si>
  <si>
    <t>Mattress</t>
  </si>
  <si>
    <t>Montina Bed (2)</t>
  </si>
  <si>
    <t>Mobile Samsung Glaxy-1 No.</t>
  </si>
  <si>
    <t>Eden Bed (2)</t>
  </si>
  <si>
    <t>Ceiling Fan 10 Nos.</t>
  </si>
  <si>
    <t>Furniture Of M.D.Residence</t>
  </si>
  <si>
    <t>Furniture Sets - G.M.Residence</t>
  </si>
  <si>
    <t>Furniture Sets - Lucknow Office</t>
  </si>
  <si>
    <t>Bed &amp; Dressing Table (Lucknow Office)</t>
  </si>
  <si>
    <t>Gyzer (3)</t>
  </si>
  <si>
    <t>Almirah - 2</t>
  </si>
  <si>
    <t>Chair Revolving-2 Nos</t>
  </si>
  <si>
    <t>Toshiba T.V.(Lcd )</t>
  </si>
  <si>
    <t>Double Bed (2)</t>
  </si>
  <si>
    <t>Table &amp; Chair G.M.Office</t>
  </si>
  <si>
    <t xml:space="preserve">Chairs </t>
  </si>
  <si>
    <t>Aquaguard</t>
  </si>
  <si>
    <t>Gyzer -2</t>
  </si>
  <si>
    <t>Gyzer-2 Nos</t>
  </si>
  <si>
    <t>Kitchen Furniture - Gm</t>
  </si>
  <si>
    <t>Sofa Set</t>
  </si>
  <si>
    <t>Dining Table (2 Nos)</t>
  </si>
  <si>
    <t>Almirah Steel</t>
  </si>
  <si>
    <t>Double Bed</t>
  </si>
  <si>
    <t xml:space="preserve">Double Bed </t>
  </si>
  <si>
    <t>Gyzer</t>
  </si>
  <si>
    <t>Sofa Set1 No.</t>
  </si>
  <si>
    <t>Sofa Set 4</t>
  </si>
  <si>
    <t>Dressing Table With Chair</t>
  </si>
  <si>
    <t>Sofa Set                    5 Nos.</t>
  </si>
  <si>
    <t>Double Bed 2</t>
  </si>
  <si>
    <t>Steel Almirah 2</t>
  </si>
  <si>
    <t>Dining Table               3 Nos.</t>
  </si>
  <si>
    <t>Dining Table 1</t>
  </si>
  <si>
    <t>Carpet 2</t>
  </si>
  <si>
    <t>T.V. Onida (Coluor) 1</t>
  </si>
  <si>
    <t>Sofa Set With Table 2</t>
  </si>
  <si>
    <t>Photostate Machine(Lko)</t>
  </si>
  <si>
    <t>Grass Cutting Machine One   New</t>
  </si>
  <si>
    <t>Sofa Set 1</t>
  </si>
  <si>
    <t>Sofa Set                    1 Nos.</t>
  </si>
  <si>
    <t>Computer &amp; Ups</t>
  </si>
  <si>
    <t xml:space="preserve">Dining Table </t>
  </si>
  <si>
    <t>Cabinate 1 No.</t>
  </si>
  <si>
    <t>Water Filter 1</t>
  </si>
  <si>
    <t>Steel Safe 1</t>
  </si>
  <si>
    <t>Dining Table               1 No.</t>
  </si>
  <si>
    <t>Chairs 20</t>
  </si>
  <si>
    <t>Takhat</t>
  </si>
  <si>
    <t>Almirah 19 Nos.</t>
  </si>
  <si>
    <t>Chair 120</t>
  </si>
  <si>
    <t>Beds 2</t>
  </si>
  <si>
    <t>Tables 2</t>
  </si>
  <si>
    <t>Table</t>
  </si>
  <si>
    <t>Garden Chairs 5</t>
  </si>
  <si>
    <t>Wooden Meat Safe 1</t>
  </si>
  <si>
    <t>Dining Set One</t>
  </si>
  <si>
    <t>Chairs 23</t>
  </si>
  <si>
    <t>Table 4</t>
  </si>
  <si>
    <t>Easy Chairs 4</t>
  </si>
  <si>
    <t>Bed One Pair</t>
  </si>
  <si>
    <t>Dunlop Pillow One Pair</t>
  </si>
  <si>
    <t>Wooden Takhat</t>
  </si>
  <si>
    <t>Chairs</t>
  </si>
  <si>
    <t xml:space="preserve">Tea Tables </t>
  </si>
  <si>
    <t>Single Bed 8</t>
  </si>
  <si>
    <t>Sweet Safe 1</t>
  </si>
  <si>
    <t>Takhat 16</t>
  </si>
  <si>
    <t>Bed</t>
  </si>
  <si>
    <t xml:space="preserve">Furniture Share </t>
  </si>
  <si>
    <t>Wooden Takhat (69 Nos)</t>
  </si>
  <si>
    <t>Antina &amp;Feeder Wire Of T.V. Table 28</t>
  </si>
  <si>
    <t>Takhat (59)</t>
  </si>
  <si>
    <t>Thakat (56 Nos)</t>
  </si>
  <si>
    <t>Mattres (8)</t>
  </si>
  <si>
    <t>Newar Cot 6</t>
  </si>
  <si>
    <t>Dressing Table 2</t>
  </si>
  <si>
    <t>Chair 22</t>
  </si>
  <si>
    <t>Wooden Takhat- 48</t>
  </si>
  <si>
    <t>Wooden Almirah 11</t>
  </si>
  <si>
    <t>Beds</t>
  </si>
  <si>
    <t>Folding Beds 2</t>
  </si>
  <si>
    <t>Wall Clock 1 New</t>
  </si>
  <si>
    <t>Takhat 64 Nos.</t>
  </si>
  <si>
    <t>Wooden Almirah 2</t>
  </si>
  <si>
    <t>Dinning Chair 12</t>
  </si>
  <si>
    <t>Chair (10)</t>
  </si>
  <si>
    <t>Table (14 Nos.)</t>
  </si>
  <si>
    <t>Chair - 89</t>
  </si>
  <si>
    <t>Tea Table 24</t>
  </si>
  <si>
    <t>Tape Recorder Bush One New</t>
  </si>
  <si>
    <t>Office Table 2</t>
  </si>
  <si>
    <t>Wooden Takhat (32)</t>
  </si>
  <si>
    <t>Mattress -7</t>
  </si>
  <si>
    <t>Takhat 1</t>
  </si>
  <si>
    <t>Dressing Tables</t>
  </si>
  <si>
    <t>Dressing Table 1</t>
  </si>
  <si>
    <t>Chair Armed 2</t>
  </si>
  <si>
    <t>Steel Box 1</t>
  </si>
  <si>
    <t>Sofa Set 3</t>
  </si>
  <si>
    <t>Chairs 35</t>
  </si>
  <si>
    <t xml:space="preserve">Steel Almirah 1 </t>
  </si>
  <si>
    <t>Chair (12 No.)</t>
  </si>
  <si>
    <t>Fruit Self 2</t>
  </si>
  <si>
    <t>Chair (76 Nos)</t>
  </si>
  <si>
    <t>Chairs (8)</t>
  </si>
  <si>
    <t>Blower - 7</t>
  </si>
  <si>
    <t>Tea Table 6</t>
  </si>
  <si>
    <t>Dining Chairs 2</t>
  </si>
  <si>
    <t>Filing Cabinate 1</t>
  </si>
  <si>
    <t>Coolers ( 5 Nos.)</t>
  </si>
  <si>
    <t xml:space="preserve">Chair  ( 67 Nos. )  </t>
  </si>
  <si>
    <t>Double Bed 1</t>
  </si>
  <si>
    <t>Table (25 Nos.)</t>
  </si>
  <si>
    <t>Chair 16</t>
  </si>
  <si>
    <t>Centre Table 1</t>
  </si>
  <si>
    <t>Chair 82 Nos.</t>
  </si>
  <si>
    <t>Chair (10 No)</t>
  </si>
  <si>
    <t>Tea Table 5</t>
  </si>
  <si>
    <t>Tables (9+34)</t>
  </si>
  <si>
    <t>Pegtable 1</t>
  </si>
  <si>
    <t>Mattres (6)</t>
  </si>
  <si>
    <t>Dressing Table</t>
  </si>
  <si>
    <t>Steel Almirahs</t>
  </si>
  <si>
    <t>Foam Matarials</t>
  </si>
  <si>
    <t xml:space="preserve">Steel Box   </t>
  </si>
  <si>
    <t>Dining Table With Chair</t>
  </si>
  <si>
    <t>Chairs (5)</t>
  </si>
  <si>
    <t xml:space="preserve">Wooden Chairs    </t>
  </si>
  <si>
    <t>Single Bed</t>
  </si>
  <si>
    <t>Water Storage Tank (2)</t>
  </si>
  <si>
    <t>Cooler (3)</t>
  </si>
  <si>
    <t xml:space="preserve">Tea Table </t>
  </si>
  <si>
    <t>Mattress(4 Nos)</t>
  </si>
  <si>
    <t>Mattress (4 Nos)</t>
  </si>
  <si>
    <t>Double Bed (2Nos)</t>
  </si>
  <si>
    <t>Chair 5</t>
  </si>
  <si>
    <t>Table - 2</t>
  </si>
  <si>
    <t xml:space="preserve">Takhat </t>
  </si>
  <si>
    <t>Exaust Fan (8)</t>
  </si>
  <si>
    <t>Office Racks</t>
  </si>
  <si>
    <t>Bed ( 2 Nos)</t>
  </si>
  <si>
    <t xml:space="preserve">Foldig Chairs </t>
  </si>
  <si>
    <t xml:space="preserve">Office Table </t>
  </si>
  <si>
    <t>Mattress -4</t>
  </si>
  <si>
    <t>Beds 3</t>
  </si>
  <si>
    <t>Table 27 Nos.</t>
  </si>
  <si>
    <t>Chair (16 N0S)</t>
  </si>
  <si>
    <t>Mattress (3 Nos)</t>
  </si>
  <si>
    <t>Gaddas 3</t>
  </si>
  <si>
    <t>Chairs (16 Nos.)</t>
  </si>
  <si>
    <t>Typewriter 1</t>
  </si>
  <si>
    <t>Dining Table With 6 Chairs</t>
  </si>
  <si>
    <t>Wooden Chair 18</t>
  </si>
  <si>
    <t>Ceiling Fan  48" (6 Nos)</t>
  </si>
  <si>
    <t>Steel Pipe Chair 1</t>
  </si>
  <si>
    <t>Foulding Bed 2</t>
  </si>
  <si>
    <t>Chair (4)</t>
  </si>
  <si>
    <t>Tea Table 3</t>
  </si>
  <si>
    <t>Tape Recorder</t>
  </si>
  <si>
    <t>Table (24Nos)</t>
  </si>
  <si>
    <t>Dining Table &amp; Chair</t>
  </si>
  <si>
    <t>Tea Tables 8</t>
  </si>
  <si>
    <t>Mattress (2 Nos)</t>
  </si>
  <si>
    <t>Dressing Table (2)</t>
  </si>
  <si>
    <t>Tables (Big) 2</t>
  </si>
  <si>
    <t>Iron Box</t>
  </si>
  <si>
    <t xml:space="preserve">Sofa Sets Two </t>
  </si>
  <si>
    <t>Takhat 6</t>
  </si>
  <si>
    <t>Mattress(3 Nos)</t>
  </si>
  <si>
    <t>Wooden Takhat (10)</t>
  </si>
  <si>
    <t>Steel Almirah  2 Nos</t>
  </si>
  <si>
    <t xml:space="preserve">Cinema Project </t>
  </si>
  <si>
    <t>Chair(15 Nos)</t>
  </si>
  <si>
    <t xml:space="preserve">Folding Bed   </t>
  </si>
  <si>
    <t>Rubber Matrasses</t>
  </si>
  <si>
    <t xml:space="preserve">Electric Typewriter </t>
  </si>
  <si>
    <t>Table  ( 24 Nos. )</t>
  </si>
  <si>
    <t>Chairs Wooden 22</t>
  </si>
  <si>
    <t xml:space="preserve">Bed With Side Table 1 Set </t>
  </si>
  <si>
    <t>Centre Table</t>
  </si>
  <si>
    <t xml:space="preserve">Wooden Chair   </t>
  </si>
  <si>
    <t>Chairs (27 Nos.)</t>
  </si>
  <si>
    <t>Chairs Plastic(11)</t>
  </si>
  <si>
    <t>Takath (10 Nos)</t>
  </si>
  <si>
    <t>Chairs (10)</t>
  </si>
  <si>
    <t>Exaust Fan -3</t>
  </si>
  <si>
    <t>Chair Plastic -10</t>
  </si>
  <si>
    <t>Exhaust Fan-3 Nos</t>
  </si>
  <si>
    <t>Tabel-1 No.</t>
  </si>
  <si>
    <t xml:space="preserve">Bed Ply </t>
  </si>
  <si>
    <t>Dyning Table &amp; Chaires 1</t>
  </si>
  <si>
    <t>Chairs (10 Nos.)</t>
  </si>
  <si>
    <t>Typewriter (Facit) 1</t>
  </si>
  <si>
    <t>Fan-4 Nos</t>
  </si>
  <si>
    <t xml:space="preserve">Single Bed </t>
  </si>
  <si>
    <t>Coir Matress 2</t>
  </si>
  <si>
    <t>Folding Beds 10</t>
  </si>
  <si>
    <t>Folding Chair 6</t>
  </si>
  <si>
    <t>Centre Table 2</t>
  </si>
  <si>
    <t>Chair Plastic</t>
  </si>
  <si>
    <t>Chairs (2)</t>
  </si>
  <si>
    <t>Takhat 2</t>
  </si>
  <si>
    <t>Almirah Steel 6</t>
  </si>
  <si>
    <t>Table 5</t>
  </si>
  <si>
    <t>Mattress 2</t>
  </si>
  <si>
    <t>Chairs Plastic(8)</t>
  </si>
  <si>
    <t>Matress 2</t>
  </si>
  <si>
    <t>Induction Stove</t>
  </si>
  <si>
    <t>Chair (8)</t>
  </si>
  <si>
    <t>Mattress 2 -Lucknow Office</t>
  </si>
  <si>
    <t>Ceiling Fan (4 Nos)</t>
  </si>
  <si>
    <t>Side Tables 10</t>
  </si>
  <si>
    <t>Table Centre Wooden 4</t>
  </si>
  <si>
    <t>Diwan</t>
  </si>
  <si>
    <t>Tea Tables 11</t>
  </si>
  <si>
    <t>Mattress(2 Nos)</t>
  </si>
  <si>
    <t xml:space="preserve">Chair 57 </t>
  </si>
  <si>
    <t>Stool 2</t>
  </si>
  <si>
    <t>Steel Pipe Chair 2</t>
  </si>
  <si>
    <t>Bed 5</t>
  </si>
  <si>
    <t>Chair Steel Pipe Armed 6</t>
  </si>
  <si>
    <t>Exhaust Fan-2 Nos</t>
  </si>
  <si>
    <t>Double Bed S 4</t>
  </si>
  <si>
    <t>Chair 6 Nos.</t>
  </si>
  <si>
    <t xml:space="preserve">Dressing Table </t>
  </si>
  <si>
    <t>Chairs(Lko)</t>
  </si>
  <si>
    <t>Chair (6)</t>
  </si>
  <si>
    <t>Chairs -Lucknow Office</t>
  </si>
  <si>
    <t xml:space="preserve">Jute Matting </t>
  </si>
  <si>
    <t>Cusion</t>
  </si>
  <si>
    <t xml:space="preserve">Sofa Set </t>
  </si>
  <si>
    <t>Centrel Table 2</t>
  </si>
  <si>
    <t>Fan-1 No.</t>
  </si>
  <si>
    <t>Chairs (6 Nos.)</t>
  </si>
  <si>
    <t>Takhat 4</t>
  </si>
  <si>
    <t>Peg Table 1</t>
  </si>
  <si>
    <t>Chair (5 Nos.)</t>
  </si>
  <si>
    <t>Wooden Takhat- 4 Nos</t>
  </si>
  <si>
    <t>Dressing Tables   1</t>
  </si>
  <si>
    <t>Ceiling Fan (2)</t>
  </si>
  <si>
    <t>Chair (6 Nos.)</t>
  </si>
  <si>
    <t>Folding Palang 3</t>
  </si>
  <si>
    <t>Steel Box 2</t>
  </si>
  <si>
    <t>Matress</t>
  </si>
  <si>
    <t>Chairs Armless 40</t>
  </si>
  <si>
    <t>Ceiling Fan -2</t>
  </si>
  <si>
    <t xml:space="preserve">Godrej Filing Cabinate </t>
  </si>
  <si>
    <t>Amonia Printing Machine</t>
  </si>
  <si>
    <t>Xerox Machine 1</t>
  </si>
  <si>
    <t>Padustal Fan</t>
  </si>
  <si>
    <t>Tea Table 17</t>
  </si>
  <si>
    <t>Wooden Block 1</t>
  </si>
  <si>
    <t>Drafting Machine 1</t>
  </si>
  <si>
    <t>Double Bed 3</t>
  </si>
  <si>
    <t>Steel Almirah 1</t>
  </si>
  <si>
    <t>Chairs (5 Nos.)</t>
  </si>
  <si>
    <t xml:space="preserve">Chair Half Easy </t>
  </si>
  <si>
    <t>Chair (12 Nos.)</t>
  </si>
  <si>
    <t>Blower - 1</t>
  </si>
  <si>
    <t>Takhat 15</t>
  </si>
  <si>
    <t>Office Table 14</t>
  </si>
  <si>
    <t>Chair Armed   3</t>
  </si>
  <si>
    <t>Wooden Stool  6</t>
  </si>
  <si>
    <t>Tea Table 1</t>
  </si>
  <si>
    <t>Chair 4 Nos.</t>
  </si>
  <si>
    <t>Chair -1 No.</t>
  </si>
  <si>
    <t>Thakat (5 Nos)</t>
  </si>
  <si>
    <t>Chairs 4</t>
  </si>
  <si>
    <t>Chair (4 Nos.)</t>
  </si>
  <si>
    <t>Tables (1+4+1)</t>
  </si>
  <si>
    <t>Chair Plastic -4</t>
  </si>
  <si>
    <t>Chairs (9 Nos.)</t>
  </si>
  <si>
    <t>Steel Almirah 18</t>
  </si>
  <si>
    <t>Chairs (4 Nos.)</t>
  </si>
  <si>
    <t>Ceiling Fan (2 Nos)</t>
  </si>
  <si>
    <t>Double Bed 18</t>
  </si>
  <si>
    <t>Matress    (Pair)  5</t>
  </si>
  <si>
    <t>Easy Chair 31</t>
  </si>
  <si>
    <t>Dining Table 3</t>
  </si>
  <si>
    <t>Central Table 10</t>
  </si>
  <si>
    <t>Office Table 18</t>
  </si>
  <si>
    <t>Wooden Takhat 35</t>
  </si>
  <si>
    <t>Study Table 1</t>
  </si>
  <si>
    <t>Steel Table 2</t>
  </si>
  <si>
    <t>Double Blower Heat</t>
  </si>
  <si>
    <t>Chair Armless 70</t>
  </si>
  <si>
    <t>Chair 24</t>
  </si>
  <si>
    <t>Lko-Matress</t>
  </si>
  <si>
    <t>Fax Machine 1</t>
  </si>
  <si>
    <t>Lko-Double Bed</t>
  </si>
  <si>
    <t>Peg Table 4</t>
  </si>
  <si>
    <t>Tea Table 20</t>
  </si>
  <si>
    <t>Study Chair 1</t>
  </si>
  <si>
    <t>Table 3 Nos.</t>
  </si>
  <si>
    <t>Lko-Sofa Set</t>
  </si>
  <si>
    <t>Wooden Stool 10</t>
  </si>
  <si>
    <t>Chair - 2</t>
  </si>
  <si>
    <t>Lko- Side Table</t>
  </si>
  <si>
    <t>Lko-Central Table</t>
  </si>
  <si>
    <t xml:space="preserve">Table  </t>
  </si>
  <si>
    <t>Lko-Sofa Patty</t>
  </si>
  <si>
    <t>Lko-Chair</t>
  </si>
  <si>
    <t>Table(Lko)</t>
  </si>
  <si>
    <t>Steel Almirah 8</t>
  </si>
  <si>
    <t>Double Bed   5</t>
  </si>
  <si>
    <t>Table 16</t>
  </si>
  <si>
    <t>Matress  3 Pair</t>
  </si>
  <si>
    <t>Table 2</t>
  </si>
  <si>
    <t>Takath (2 Nos)</t>
  </si>
  <si>
    <t>Chairs Armless 112</t>
  </si>
  <si>
    <t>Wooden Takhat (3 Nos.)</t>
  </si>
  <si>
    <t>Wooden Takhat 36</t>
  </si>
  <si>
    <t>Central Table  3</t>
  </si>
  <si>
    <t>Tea Table 7</t>
  </si>
  <si>
    <t xml:space="preserve">Wooden Stool 2  </t>
  </si>
  <si>
    <t>Ceiling Fan  48"</t>
  </si>
  <si>
    <t>Chairs (2 Nos.)</t>
  </si>
  <si>
    <t>Mattress 12</t>
  </si>
  <si>
    <t>Double Bed 8</t>
  </si>
  <si>
    <t>Steel Almirah 11</t>
  </si>
  <si>
    <t>Easy Chair 74</t>
  </si>
  <si>
    <t>Wooden Takhat 70</t>
  </si>
  <si>
    <t>Dressing Table 7</t>
  </si>
  <si>
    <t>Table (1 No.)</t>
  </si>
  <si>
    <t>Table Big 12</t>
  </si>
  <si>
    <t>Revolving Chair 8</t>
  </si>
  <si>
    <t>Central Table 8</t>
  </si>
  <si>
    <t>Stool 10</t>
  </si>
  <si>
    <t>Steel Box 7</t>
  </si>
  <si>
    <t>Moving Chair 2</t>
  </si>
  <si>
    <t>Cair Armless 62</t>
  </si>
  <si>
    <t>Folding Bed 2</t>
  </si>
  <si>
    <t>Thale 13</t>
  </si>
  <si>
    <t>Mattress (I)</t>
  </si>
  <si>
    <t>File Cabinet(Lko)</t>
  </si>
  <si>
    <t xml:space="preserve">Double Bed              24 Nos. </t>
  </si>
  <si>
    <t>Steel Almirah   11 Nos.</t>
  </si>
  <si>
    <t xml:space="preserve">Table </t>
  </si>
  <si>
    <t xml:space="preserve">Takath </t>
  </si>
  <si>
    <t>Geizer                   12 Nos.</t>
  </si>
  <si>
    <t xml:space="preserve">Matress              29 Nos. </t>
  </si>
  <si>
    <t>Cooler                     11 Nos.</t>
  </si>
  <si>
    <t>Table Plastic</t>
  </si>
  <si>
    <t>Wooden Takhat 83 Nos.</t>
  </si>
  <si>
    <t>Chair Armed       42 Nos.</t>
  </si>
  <si>
    <t>Chair               105 Nos.</t>
  </si>
  <si>
    <t>Stabilizer            5 Nos.</t>
  </si>
  <si>
    <t>Table                   42 Nos.</t>
  </si>
  <si>
    <t>Wooden Stool</t>
  </si>
  <si>
    <t>Dressing Table          7 Nos.</t>
  </si>
  <si>
    <t>Moving Chair             7 Nos.</t>
  </si>
  <si>
    <t xml:space="preserve">Exhaust Fan        5 Nos. </t>
  </si>
  <si>
    <t xml:space="preserve">Padestal Fan          4 Nos. </t>
  </si>
  <si>
    <t xml:space="preserve">Stool                    10 Nos. </t>
  </si>
  <si>
    <t>Blower                     2 Nos.</t>
  </si>
  <si>
    <t>Steel Rack             1 Nos.</t>
  </si>
  <si>
    <t xml:space="preserve">Pillow                      4 Nos. </t>
  </si>
  <si>
    <t xml:space="preserve">Peg Table                 6 Nos. </t>
  </si>
  <si>
    <t>Tea Table-1 No.</t>
  </si>
  <si>
    <t>Takhat 171 Nos.</t>
  </si>
  <si>
    <t>Chair 131 Nos.</t>
  </si>
  <si>
    <t>Table 41 Nos.</t>
  </si>
  <si>
    <t>Steel Almirah 3 Nos.</t>
  </si>
  <si>
    <t>Double Bed 4 Nos.</t>
  </si>
  <si>
    <t>Dining Table 1 Nos.</t>
  </si>
  <si>
    <t>Wooden Box 22 Nos.</t>
  </si>
  <si>
    <t>Dressing Table 1 No.</t>
  </si>
  <si>
    <t>Central Table 1 No.</t>
  </si>
  <si>
    <t>Wooden Takhat 130 Nos.</t>
  </si>
  <si>
    <t>Chair 179 Nos.</t>
  </si>
  <si>
    <t>Steel Almirah 3 No.</t>
  </si>
  <si>
    <t>Table 37 Nos.</t>
  </si>
  <si>
    <t>Central Table 4 No.</t>
  </si>
  <si>
    <t>Spectrometer</t>
  </si>
  <si>
    <t>Aquagaurd  1 No.</t>
  </si>
  <si>
    <t>Wooden Box 14 No.</t>
  </si>
  <si>
    <t>Dessing Table 1 No.</t>
  </si>
  <si>
    <t>Revolving Chair 1 No.</t>
  </si>
  <si>
    <t>Rack For File 1 No.</t>
  </si>
  <si>
    <t xml:space="preserve">Steel Almirah 9 Nos. </t>
  </si>
  <si>
    <t>Chair 114 Nos.</t>
  </si>
  <si>
    <t>Takhat  93 Nos.</t>
  </si>
  <si>
    <t>Table 29 Nos.</t>
  </si>
  <si>
    <t>Double Bed 6 Nos.</t>
  </si>
  <si>
    <t xml:space="preserve">Dressing Table 2 Nos. </t>
  </si>
  <si>
    <t>Wodden Box 25 Nos.</t>
  </si>
  <si>
    <t xml:space="preserve">Mattress  One Set </t>
  </si>
  <si>
    <t>Central Table 3 Nos.</t>
  </si>
  <si>
    <t>Steel Almirah  5 Nos.</t>
  </si>
  <si>
    <t>Attendence System 2 Nos.</t>
  </si>
  <si>
    <t>Note Counting Machine &amp; Fag</t>
  </si>
  <si>
    <t>Fax Machine</t>
  </si>
  <si>
    <t>Mattress 2 Nos.</t>
  </si>
  <si>
    <t>Double Bed 2 Nos.</t>
  </si>
  <si>
    <t>Revolving Chair  2 Nos.</t>
  </si>
  <si>
    <t>Fan</t>
  </si>
  <si>
    <t>Televesion</t>
  </si>
  <si>
    <t>Note Counting Machine</t>
  </si>
  <si>
    <t>Blutooth</t>
  </si>
  <si>
    <t>Chair 4</t>
  </si>
  <si>
    <t>Exhuast Fan</t>
  </si>
  <si>
    <t>Wooden Table</t>
  </si>
  <si>
    <t>Ceiling Fan 3</t>
  </si>
  <si>
    <t>Heat Converter (3)</t>
  </si>
  <si>
    <t>Chair Revolving</t>
  </si>
  <si>
    <t>Executive Chair</t>
  </si>
  <si>
    <t>Table Wooden Tea (55)</t>
  </si>
  <si>
    <t>Table Office Wooden (34)</t>
  </si>
  <si>
    <t>Chairs Armless (80)</t>
  </si>
  <si>
    <t>Chairs Plastic Supreme (24)</t>
  </si>
  <si>
    <t>Wooden Takhat  (121)</t>
  </si>
  <si>
    <t xml:space="preserve">Fans </t>
  </si>
  <si>
    <t>Cooler -2</t>
  </si>
  <si>
    <t>Cooler -4</t>
  </si>
  <si>
    <t>Cooler - 6</t>
  </si>
  <si>
    <t>T.V.- Led -3</t>
  </si>
  <si>
    <t>Set Box -1</t>
  </si>
  <si>
    <t>Water Cooler</t>
  </si>
  <si>
    <t>R.O. 25 Ltr</t>
  </si>
  <si>
    <t>Chair Plastic - 9</t>
  </si>
  <si>
    <t>Almirah Ww</t>
  </si>
  <si>
    <t>Chair - 8</t>
  </si>
  <si>
    <t>R.O. - 2</t>
  </si>
  <si>
    <t>Fan (3)</t>
  </si>
  <si>
    <t>Chairs Plastic (11)</t>
  </si>
  <si>
    <t>Almira</t>
  </si>
  <si>
    <t>Office Table</t>
  </si>
  <si>
    <t>Chair (7)</t>
  </si>
  <si>
    <t>Exaust Fan 2</t>
  </si>
  <si>
    <t>Office Table - 3</t>
  </si>
  <si>
    <t>Sofa Sets - 2</t>
  </si>
  <si>
    <t>Chair Revolving 1</t>
  </si>
  <si>
    <t>Wooden Takhat - 4</t>
  </si>
  <si>
    <t>Exective Chair-1</t>
  </si>
  <si>
    <t>Exective Visitors Chair 2</t>
  </si>
  <si>
    <t>Mediam Chair 4</t>
  </si>
  <si>
    <t>Office Table 6</t>
  </si>
  <si>
    <t>Chair Plastic-4</t>
  </si>
  <si>
    <t>Cooler Plastic Body-2</t>
  </si>
  <si>
    <t>Ceiling Fan 36" 2 Nos</t>
  </si>
  <si>
    <t>Exhaust Fan 15" 3 Nos</t>
  </si>
  <si>
    <t>Chair Plastic 1 No.</t>
  </si>
  <si>
    <t>Wodden Thakhat Long 4 Nos.</t>
  </si>
  <si>
    <t>Ceiling Fan 36" 3 Nos</t>
  </si>
  <si>
    <t>Exhaust Fan Sweep Size 1 No.</t>
  </si>
  <si>
    <t>Wodden Thakhat  16 Nos.</t>
  </si>
  <si>
    <t>Exhaust Fan 12" 1 No.</t>
  </si>
  <si>
    <t>Geyser Capacity 15 Ltrs. 2 Nos.</t>
  </si>
  <si>
    <t>Chair Plastic Supreme 7 Nos</t>
  </si>
  <si>
    <t>Wodden Thakhat  4 Nos.</t>
  </si>
  <si>
    <t>Geyser Capacity 15 Ltrs. 6 Nos.</t>
  </si>
  <si>
    <t>Table Wooden 18 Nos.</t>
  </si>
  <si>
    <t>Table Wooden Tea  12 Nos.</t>
  </si>
  <si>
    <t>Wooden Takhat 33 Nos</t>
  </si>
  <si>
    <t>Geyser Capacity 25 Ltrs.3 Nos</t>
  </si>
  <si>
    <t>Wooden Takhat 39 Nos</t>
  </si>
  <si>
    <t>Chair Plastic 24 Nos.</t>
  </si>
  <si>
    <t>Table Computer 1 No.</t>
  </si>
  <si>
    <t>Table Wooden 3 Nos</t>
  </si>
  <si>
    <t>Wooden Takhat 3 Nos</t>
  </si>
  <si>
    <t>Table Centre Wooden 1 No.</t>
  </si>
  <si>
    <t>Wooden Box Small Size 4 Nos</t>
  </si>
  <si>
    <t>Steel Almirah 78X36 2 Nos</t>
  </si>
  <si>
    <t>Wooden Thakhat 4 Nos</t>
  </si>
  <si>
    <t>Cabin Table (Plato) 1 No</t>
  </si>
  <si>
    <t>Excutive High Back 2 No</t>
  </si>
  <si>
    <t>Excutive Visitor Chair 3 Nos.</t>
  </si>
  <si>
    <t>Office Table Size 150 1 No</t>
  </si>
  <si>
    <t>Table Wooden 9 Nos</t>
  </si>
  <si>
    <t>Wooden Box Small Size 15 Nos</t>
  </si>
  <si>
    <t>Steel Almirah 78X36 6 Nos</t>
  </si>
  <si>
    <t>Wooden Takhat 4 Nos</t>
  </si>
  <si>
    <t>Chair Plastic 12 Nos.</t>
  </si>
  <si>
    <t>Executive Chairs At Gurgaon Office</t>
  </si>
  <si>
    <t>Ceiling Fan-2 Nos</t>
  </si>
  <si>
    <t>Exhaust Fan-1 No.</t>
  </si>
  <si>
    <t>Exhaust Fan Sweep-1 No.</t>
  </si>
  <si>
    <t>Insustrial Exhaust 15"-16 Nos</t>
  </si>
  <si>
    <t>Axial Flow Exhaust Fan-2 No</t>
  </si>
  <si>
    <t>Fan Table-2 Nos</t>
  </si>
  <si>
    <t>Bed Singal-4 Nos</t>
  </si>
  <si>
    <t>Wooden Thakhat-7 Nos</t>
  </si>
  <si>
    <t>Air Conditioner-2 Ton-2 Nos</t>
  </si>
  <si>
    <t>Celling Fan-3 Nos</t>
  </si>
  <si>
    <t>Exhaust Fan-3 Nos.</t>
  </si>
  <si>
    <t>Celling Fan-2 Nos</t>
  </si>
  <si>
    <t>Wooden Thakhat-5 Nos</t>
  </si>
  <si>
    <t>Plastic Chair 4 Nos</t>
  </si>
  <si>
    <t>Gyser 1 No.</t>
  </si>
  <si>
    <t>Hot Air Oven-1 No</t>
  </si>
  <si>
    <t>Exhaust Fan 12"-2 Nos</t>
  </si>
  <si>
    <t>Refrigerator -1 No.</t>
  </si>
  <si>
    <t>Wooden Takhat-2 Nos</t>
  </si>
  <si>
    <t>Geyser 25 Ltrs-1 No</t>
  </si>
  <si>
    <t>Chair Plastic-50 Nos</t>
  </si>
  <si>
    <t>Air Conditioner Installation Pipe Copper Cable 4 Nos</t>
  </si>
  <si>
    <t>Exhaust Fan 1 No.</t>
  </si>
  <si>
    <t>Insustrial Exhaust 15"-12 Nos</t>
  </si>
  <si>
    <t>Mattress Foam 3 Nos</t>
  </si>
  <si>
    <t>Invertor 1400 Va 1 No.</t>
  </si>
  <si>
    <t>Tubler Battery 12V</t>
  </si>
  <si>
    <t>Celling Fan 1 No.</t>
  </si>
  <si>
    <t>Ceiling Fan 1 No.</t>
  </si>
  <si>
    <t>Cooler -2 Nos</t>
  </si>
  <si>
    <t>Cooler -1 Nos</t>
  </si>
  <si>
    <t>Cooler Plastic Body-1 No.</t>
  </si>
  <si>
    <t>Cooler -3 Nos</t>
  </si>
  <si>
    <t>Plastic Chair-6 Nos</t>
  </si>
  <si>
    <t>Cooling Tower Civil Const. Works</t>
  </si>
  <si>
    <t>Factory Building</t>
  </si>
  <si>
    <t>RCC Framework</t>
  </si>
  <si>
    <t>Foundation &amp; Civil Work For Juice Heaters Evp.Etc.</t>
  </si>
  <si>
    <t>Foundation For Misc. Pumps In Milling System (Refin</t>
  </si>
  <si>
    <t>Modification In The Existing Last Mill Grpf</t>
  </si>
  <si>
    <t>Pan &amp; C.F House Of Raw Sugar Process House Refinery</t>
  </si>
  <si>
    <t>Strengthening Of Exiting Mill House (1.3)</t>
  </si>
  <si>
    <t>Zero Mill Foundation</t>
  </si>
  <si>
    <t>Adm Building</t>
  </si>
  <si>
    <t>Non-Factory Building</t>
  </si>
  <si>
    <t>Change Room</t>
  </si>
  <si>
    <t>Boundry Wall</t>
  </si>
  <si>
    <t>Precast Slab For Drain</t>
  </si>
  <si>
    <t>Refinary Rack</t>
  </si>
  <si>
    <t>Construction Of Toilets</t>
  </si>
  <si>
    <t>Extension Of Cane Carrier</t>
  </si>
  <si>
    <t>Mill Fdn For Air Compressor</t>
  </si>
  <si>
    <t>Godown No.8</t>
  </si>
  <si>
    <t>Modification Of Centrifugal</t>
  </si>
  <si>
    <t>New Lime Godown</t>
  </si>
  <si>
    <t>Adm. Block Road</t>
  </si>
  <si>
    <t>Labour Change Room &amp; Lunch Room</t>
  </si>
  <si>
    <t>Road From Sugar Plant To Power Plant</t>
  </si>
  <si>
    <t>Kishan Toilet Sanitory &amp; Tiles</t>
  </si>
  <si>
    <t>Tata Blue Scope Make Roofing Cladding Sheets At Mills &amp; Boiling House</t>
  </si>
  <si>
    <t>Flooring At Mill House</t>
  </si>
  <si>
    <t>Sheets For Roofing Sugar Godown No.9 &amp; Others</t>
  </si>
  <si>
    <t>Cane Carrier Plat Form</t>
  </si>
  <si>
    <t>Sugar Godown No.-2 Flooring &amp; Painting &amp; Brick Wall</t>
  </si>
  <si>
    <t>New Cantene Building</t>
  </si>
  <si>
    <t>Cables (1.4) Electricals</t>
  </si>
  <si>
    <t>Electrical Works</t>
  </si>
  <si>
    <t>Contracts Package (Cable Tray,L.T Bus Duct Lighting</t>
  </si>
  <si>
    <t>L T Package (1.2) Electrical Work Sugar Plant</t>
  </si>
  <si>
    <t>Vfd Package (Sugar Plant)</t>
  </si>
  <si>
    <t>Balance Of Plant Instru For Sugar Plant( C1.2)</t>
  </si>
  <si>
    <t>Instrumentation Works</t>
  </si>
  <si>
    <t>Distributed Control Systems Including Ups (1.1)</t>
  </si>
  <si>
    <t>100 T Batch Pan (100 T)</t>
  </si>
  <si>
    <t>Mechancial Works</t>
  </si>
  <si>
    <t>50 T Batch Pan (50 Ton)</t>
  </si>
  <si>
    <t>90 T Water Cooled Xlr</t>
  </si>
  <si>
    <t>A'Batch Machine-1750 Kg/Charge</t>
  </si>
  <si>
    <t>Additional Vacuum Filter With All Accessories( Ref)</t>
  </si>
  <si>
    <t>Air Compressors For Sugar</t>
  </si>
  <si>
    <t>Air Conditioning System (Sugar Plant)</t>
  </si>
  <si>
    <t>Cane Weighbridge (50 T Capacity)</t>
  </si>
  <si>
    <t>Centrifugal Pumps With Base Frames(3.6)</t>
  </si>
  <si>
    <t>Clear Juice Dch Shifting To Ext Sj Dch (2.2.4)</t>
  </si>
  <si>
    <t>Clear Juice Pump 300 Cum 75 Kw</t>
  </si>
  <si>
    <t>Complete Refinery Process Plant (B-1)</t>
  </si>
  <si>
    <t>Condensers For Evaporators (2.1.11)</t>
  </si>
  <si>
    <t>Cooling Tower - 2 Cells Of 2400Cu/M/Hr Each(2.1.25)</t>
  </si>
  <si>
    <t>Crystallisers (2.1.16)</t>
  </si>
  <si>
    <t>Defecated Juice Pumps-300 Cu.M 70 M Head-90 Kw</t>
  </si>
  <si>
    <t>Effluent Treatment Plant(2.1.27)</t>
  </si>
  <si>
    <t>Evoporators Including Staging,Piping,Valvs,Insulati</t>
  </si>
  <si>
    <t>Grpf With Independent Ac Vfd Motor(1.5)</t>
  </si>
  <si>
    <t>Hot Water Imbibition Pumps (Mechnical)</t>
  </si>
  <si>
    <t>Injection Pump -2400 Cu.M/Hr, 32 M(2.1.24)</t>
  </si>
  <si>
    <t>Juice Clarifier Srt 10.2 M Dia (2.1.9)</t>
  </si>
  <si>
    <t>Juice Defecactor For 300Hl(2.1.7)</t>
  </si>
  <si>
    <t>Juice Heaters Vertical Tubular 293 Sq.M</t>
  </si>
  <si>
    <t>Juice Heaters Vertical Tubular Heaters500Sq.M</t>
  </si>
  <si>
    <t>Mechanical Circulators For Pans (2.1.15)</t>
  </si>
  <si>
    <t>Mill Pinion Replacement To Accommodate Setting</t>
  </si>
  <si>
    <t>Modification Of Existing Shredded Rake Carrier (1.7</t>
  </si>
  <si>
    <t>Mol Tank 20 Cu.M &amp;Pumps(2.1.6)</t>
  </si>
  <si>
    <t>New 48X90 Zero Mill With Grpf</t>
  </si>
  <si>
    <t>New Inline Swing Type Cutter (1.3)</t>
  </si>
  <si>
    <t>New Mill House Eot Crane 35 Tones (1.11)</t>
  </si>
  <si>
    <t>New Motor &amp; Gear Box For Existing Main Cane Carrier</t>
  </si>
  <si>
    <t>New Shredded Cane Rake Carrier With Drive (1.6)</t>
  </si>
  <si>
    <t>Pans ( Continous ) -25 Vertical Tube Horizontal Pan</t>
  </si>
  <si>
    <t>Power House Eotc Crane(3.10)</t>
  </si>
  <si>
    <t>Screened Juice Pumps(1.9)</t>
  </si>
  <si>
    <t>Sk-2500 Sq .M (2.2.5)</t>
  </si>
  <si>
    <t>Syrup Extraction Pump-50 Cu.M/Hr, 30M Head 11Kw</t>
  </si>
  <si>
    <t>Tanks And Vesels(3.9)</t>
  </si>
  <si>
    <t>Two Stage Rotary Screen For Mixed Juice Screening</t>
  </si>
  <si>
    <t>Unloading &amp; Stacking Boiler House Material</t>
  </si>
  <si>
    <t>80 T - Batch Pan ( 2.2.7)</t>
  </si>
  <si>
    <t>Continuous Machines 1500Mm Dia(2.1.19)</t>
  </si>
  <si>
    <t>Fire Protection System For Sugar (3.13)</t>
  </si>
  <si>
    <t>Juice Heater Horizontal Tubular Heater 105 Sq M. Hs</t>
  </si>
  <si>
    <t>Juice Heaters Modification ( 2.1.5)</t>
  </si>
  <si>
    <t>Juice Heaters Vljh-500 Sq.M Hs</t>
  </si>
  <si>
    <t>Juice Heater Tubular Heater-250Sq M Hs(2.1.3)</t>
  </si>
  <si>
    <t>Pan Supply Tanks ( 2.1.17)</t>
  </si>
  <si>
    <t>Shifting &amp; Re-Erection Of Existing Equipment</t>
  </si>
  <si>
    <t>Strctures, Piping &amp; Calves ( Raw Sugar) Boiling Hou</t>
  </si>
  <si>
    <t>Sugar Melter ( 2.1.20)</t>
  </si>
  <si>
    <t>Syrup Clarifier (2.1.12)</t>
  </si>
  <si>
    <t>Molasses New Tank 100000 Cap.</t>
  </si>
  <si>
    <t>Molasses tank</t>
  </si>
  <si>
    <t>100 T Batch Pan</t>
  </si>
  <si>
    <t>50 T  Batch Pan</t>
  </si>
  <si>
    <t>A'Batch Machine-1750 Kg/Change</t>
  </si>
  <si>
    <t xml:space="preserve">Air Conditioning System </t>
  </si>
  <si>
    <t>Bag Handling Sytem</t>
  </si>
  <si>
    <t xml:space="preserve">Balance Of Plant Instrument </t>
  </si>
  <si>
    <t>Bore-Well 1No. And Mag Flow</t>
  </si>
  <si>
    <t>Bore-Well Mag Flow Meter</t>
  </si>
  <si>
    <t>Cane Carrier</t>
  </si>
  <si>
    <t>Cane yard</t>
  </si>
  <si>
    <t>Cane Weighbridge 50 T Capacity</t>
  </si>
  <si>
    <t>upto gate</t>
  </si>
  <si>
    <t>Cane Yard Toilet</t>
  </si>
  <si>
    <t>Centrifugal Pumps With Base Frame</t>
  </si>
  <si>
    <t>Complete Refinery Process Plant</t>
  </si>
  <si>
    <t>Computer &amp; Printer</t>
  </si>
  <si>
    <t>Condensers For Evaporators</t>
  </si>
  <si>
    <t>Continuous Machines 1500Mm Dia</t>
  </si>
  <si>
    <t>Contracts Package (Cable Tray)</t>
  </si>
  <si>
    <t>Cot Crane</t>
  </si>
  <si>
    <t>Crystallisers(2.1.16)</t>
  </si>
  <si>
    <t>Cutter Shredder</t>
  </si>
  <si>
    <t>Distributed Control Systems</t>
  </si>
  <si>
    <t>Effluent Treatment Plant(2.1.2)</t>
  </si>
  <si>
    <t>utilities - ETP</t>
  </si>
  <si>
    <t>Evoporators Including Staging</t>
  </si>
  <si>
    <t>Extation Of Cane Carrier</t>
  </si>
  <si>
    <t>Fabrication &amp; Erection Refinery</t>
  </si>
  <si>
    <t>Fire Fighting Sysrem</t>
  </si>
  <si>
    <t>Foundation &amp; Civil Work For Juce Heater</t>
  </si>
  <si>
    <t>Furniture For Sugar Process</t>
  </si>
  <si>
    <t>Juice Clearification</t>
  </si>
  <si>
    <t>Juice Heaters Modification</t>
  </si>
  <si>
    <t>L T Package (1.2) Electrical W</t>
  </si>
  <si>
    <t>Milling &amp; Mcc Rooms</t>
  </si>
  <si>
    <t>Mills</t>
  </si>
  <si>
    <t>Modification In The Existing L</t>
  </si>
  <si>
    <t>New  Sugar Godown</t>
  </si>
  <si>
    <t>New Mill House Eot Crane 35</t>
  </si>
  <si>
    <t>New Shredded Cane Rake Carrier</t>
  </si>
  <si>
    <t>Pan &amp; C.F House Of Raw Sugar</t>
  </si>
  <si>
    <t>Raw Water Piping</t>
  </si>
  <si>
    <t>Refind Sugar Process</t>
  </si>
  <si>
    <t>Shifting &amp; Re-Erection Of Exis</t>
  </si>
  <si>
    <t>Soil Filling And Brick Out Tru.</t>
  </si>
  <si>
    <t>Strctures ,Piping &amp; Calves</t>
  </si>
  <si>
    <t>Tanks And Vesels (3.9)</t>
  </si>
  <si>
    <t>Truck Trippler</t>
  </si>
  <si>
    <t xml:space="preserve">Vfd Package </t>
  </si>
  <si>
    <t>Weigh Bridge 100 Tcapacity</t>
  </si>
  <si>
    <t>Weigh Bridge 500 Capacity</t>
  </si>
  <si>
    <t>Zero Discharge</t>
  </si>
  <si>
    <t>Vfd Fan For Pan</t>
  </si>
  <si>
    <t>Fire Proction System</t>
  </si>
  <si>
    <t>Pakka Molasses Pit (Lagoon)</t>
  </si>
  <si>
    <t>De Shelling &amp; Re-Shelling Feed Roller 3 Nos.Mills</t>
  </si>
  <si>
    <t>Gear Coupling For Planetary Gear Box-Mills</t>
  </si>
  <si>
    <t>Hydrulic Trolley With Cabin For Cane Carrier 2 Set</t>
  </si>
  <si>
    <t>Refine Sugar Packing Machines</t>
  </si>
  <si>
    <t>Fssc Certification Machineries</t>
  </si>
  <si>
    <t>Godown No -2 -Refineary Packing</t>
  </si>
  <si>
    <t>Dcb Heavy Diversion Modifie</t>
  </si>
  <si>
    <t>Electrical Heating System</t>
  </si>
  <si>
    <t>New Process Office Ac &amp; Ventilation (E5)</t>
  </si>
  <si>
    <t>Air Conditioning</t>
  </si>
  <si>
    <t>Printer Laser Hp1020 1 No.</t>
  </si>
  <si>
    <t>Hhc Printer 15 Nos.</t>
  </si>
  <si>
    <t>Hand Held Computer 20 Nos.</t>
  </si>
  <si>
    <t>Pen Drive 8 Gb 2 Nos</t>
  </si>
  <si>
    <t>Pen Drive 64Gb 2 Nos</t>
  </si>
  <si>
    <t>Camera With Voice 1 No.</t>
  </si>
  <si>
    <t>Camera 3 Megapixel 2 Nos.</t>
  </si>
  <si>
    <t>Backup Media 1 No.</t>
  </si>
  <si>
    <t>Printer Laser Jet 2 Nos.</t>
  </si>
  <si>
    <t>Printer Laser Hp 1020 1 No.</t>
  </si>
  <si>
    <t>Laptop 1 No.</t>
  </si>
  <si>
    <t>Laptop 6 Nos</t>
  </si>
  <si>
    <t>Desk Top Computer 4 Nos.</t>
  </si>
  <si>
    <t>Printer Laser Jet 1 No.</t>
  </si>
  <si>
    <t>Cabins &amp; Cabinet Tables At Adm Block</t>
  </si>
  <si>
    <t>Furniture For Sugar Process Control Room ( E2)</t>
  </si>
  <si>
    <t>Furniture &amp; Fittings</t>
  </si>
  <si>
    <t>Furnitures for cogen office WTP building office inc.</t>
  </si>
  <si>
    <t>Celling Fan 4 Nos</t>
  </si>
  <si>
    <t>Exective High Black Chair 1 No.</t>
  </si>
  <si>
    <t>Exective  Visitor Chair 2 Nos.</t>
  </si>
  <si>
    <t>Medium Black Chair 6 Nos.</t>
  </si>
  <si>
    <t>Office Table 6 Nos.</t>
  </si>
  <si>
    <t>Asset Type</t>
  </si>
  <si>
    <t>Grouping</t>
  </si>
  <si>
    <t>Date of Addition</t>
  </si>
  <si>
    <t>Gross Block As on 01.04.20</t>
  </si>
  <si>
    <t>Deduction/Adjustment</t>
  </si>
  <si>
    <t>Gross Blcok As On 31.03.21</t>
  </si>
  <si>
    <t>Life</t>
  </si>
  <si>
    <t>Molasses Tank (Distillery)</t>
  </si>
  <si>
    <t>Factory building</t>
  </si>
  <si>
    <t>Boundary Wall</t>
  </si>
  <si>
    <t>Molasses Tank (Distillery) No.2</t>
  </si>
  <si>
    <t>Alcohol&amp;Moltank Erec-Paint</t>
  </si>
  <si>
    <t>Ware House-Chemical</t>
  </si>
  <si>
    <t>Storage Tanks</t>
  </si>
  <si>
    <t>Issue Tanks</t>
  </si>
  <si>
    <t>Plant and Machinery</t>
  </si>
  <si>
    <t>Boiler-P&amp; M-35 Tph</t>
  </si>
  <si>
    <t>Molasses Handling Tank System</t>
  </si>
  <si>
    <t>Fermentation-P&amp;M</t>
  </si>
  <si>
    <t>Distillation &amp; Evaporation-P&amp;M</t>
  </si>
  <si>
    <t>Alcohol Storage System-P&amp;M</t>
  </si>
  <si>
    <t>Balance Of Plant (Bop)</t>
  </si>
  <si>
    <t>Fire Fighting System</t>
  </si>
  <si>
    <t>Bop Instrument Packaged</t>
  </si>
  <si>
    <t>Distributed Control System</t>
  </si>
  <si>
    <t>4Mw Power Plant Elect. Package*</t>
  </si>
  <si>
    <t>Distillation Elect. Package</t>
  </si>
  <si>
    <t>Etp &amp; Cpu Electrical Package</t>
  </si>
  <si>
    <t>Power&amp;Distt Cable&amp;Traypackage</t>
  </si>
  <si>
    <t>Fuel Handling System (Methods)</t>
  </si>
  <si>
    <t>4Mu Turbine (Man Energy)</t>
  </si>
  <si>
    <t>Effluent Recycling System</t>
  </si>
  <si>
    <t>Ac &amp; Ventilation Package Of Distillery</t>
  </si>
  <si>
    <t>625 Kva New Dg Set With Panel</t>
  </si>
  <si>
    <t>Boiler</t>
  </si>
  <si>
    <t>Tg Building</t>
  </si>
  <si>
    <t>Distellery Building</t>
  </si>
  <si>
    <t>Power Plant(Distellery Building)</t>
  </si>
  <si>
    <t>Electro.Weighbridge-60/100 Ton</t>
  </si>
  <si>
    <t>Air Compressor (C P )</t>
  </si>
  <si>
    <t>Eot Crane (Sprint Engg.)</t>
  </si>
  <si>
    <t>Centrifugal Pumps (Cri Pumps)</t>
  </si>
  <si>
    <t>Air Condition 1.5 Ton</t>
  </si>
  <si>
    <t>Installation Of Air Condition</t>
  </si>
  <si>
    <t>Industrial Exhaust Fan Size 18"</t>
  </si>
  <si>
    <t>Air Circulator Fan Wall Mounted</t>
  </si>
  <si>
    <t>Intermediate Equalizat Transfer Pump</t>
  </si>
  <si>
    <t>Centrifugal Multi Station</t>
  </si>
  <si>
    <t>Long Radios Flow Nozzel,Ci Globe Valve</t>
  </si>
  <si>
    <t>Gate Valve 150 Mb, Sefty Valve,</t>
  </si>
  <si>
    <t>Angle, Channel,Nut</t>
  </si>
  <si>
    <t xml:space="preserve">F S Globe Valve,Connector,3 </t>
  </si>
  <si>
    <t>Ss Male Connector,Ink Ribbon ,</t>
  </si>
  <si>
    <t>Junction Box Weather,Ss Male Connector,Pressure Trans.</t>
  </si>
  <si>
    <t>Filter Bags Dia 150Mm Mtr 100% Ptfe</t>
  </si>
  <si>
    <t>Temprature Transmitter,Syphon For Pressure,</t>
  </si>
  <si>
    <t xml:space="preserve">Oxygen Gas Cylinder </t>
  </si>
  <si>
    <t>Cages With Venturi Dia Length 5 Mtr</t>
  </si>
  <si>
    <t>Pvc Armoured Copper Ca Mtr Re X 1.5 Sq Mm (Multistrand)</t>
  </si>
  <si>
    <t>Instrumentation Work In Prds</t>
  </si>
  <si>
    <t xml:space="preserve">Bagasse Shed For 100 Klpd </t>
  </si>
  <si>
    <t>Buildings</t>
  </si>
  <si>
    <t xml:space="preserve">Bagasse Shed 100 Klpd </t>
  </si>
  <si>
    <t>Fuel Handling System</t>
  </si>
  <si>
    <t>Admin Building</t>
  </si>
  <si>
    <t>Land for Power</t>
  </si>
  <si>
    <t>Boundary Wall For Power Project (Including Bagasse Yard)</t>
  </si>
  <si>
    <t>Concrete Chimeney</t>
  </si>
  <si>
    <t>Foundation For Boiller Esp,Terbo Gent Bagasse Etc</t>
  </si>
  <si>
    <t>Road And Drain Work (Land &amp; Site)</t>
  </si>
  <si>
    <t>Cooling Tower Civil Constuction Work</t>
  </si>
  <si>
    <t>T.G.Building</t>
  </si>
  <si>
    <t>Water Treatment Plant Building</t>
  </si>
  <si>
    <t>Raw Water Tank</t>
  </si>
  <si>
    <t>Cogen Office Air Cond &amp; Ventilation</t>
  </si>
  <si>
    <t>Printer Laser Hp 1020 Plus</t>
  </si>
  <si>
    <t>Laptop  Intel 5Thgeneration Core 13Tm</t>
  </si>
  <si>
    <t>T F T Monitor 18.5" Dell Make</t>
  </si>
  <si>
    <t>Hp Leserjet Pro M126Nw Printer ( Print</t>
  </si>
  <si>
    <t>Water Coller</t>
  </si>
  <si>
    <t>WATER COLLER</t>
  </si>
  <si>
    <t>RO 50 Ltr.</t>
  </si>
  <si>
    <t>RO 50 LTR.</t>
  </si>
  <si>
    <t>Furnitures For Cogen Office Wtp Building Office Inc.</t>
  </si>
  <si>
    <t>Pipe Rake Support &amp; Cable Rake (2.10)</t>
  </si>
  <si>
    <t>Pipe Rake Support &amp; Cable rake (2.10)</t>
  </si>
  <si>
    <t>Piston (Sb) For 30 Mw Ge-Trive Ni Turbine;Model-Get-4He-029;M Qty 1</t>
  </si>
  <si>
    <t>Plant &amp; Machinery - Insurance Spare</t>
  </si>
  <si>
    <t>Spindle For S &amp; E Valve For 30 Mw Ge-Triveni Tur;Model-Get-4 Qty 1</t>
  </si>
  <si>
    <t>Sev-Valve For 30Mw Ge-Triveni Turbine;Model-Get-4He-029.M.C. Qty 1</t>
  </si>
  <si>
    <t>T.V. Spindal No. 2 For 30 Mw G E-Triveni Turbine;Model-Get-4H Qty 1</t>
  </si>
  <si>
    <t>L S Coupling Shear Pins For 30 Mw Ge-Triveni Tur;Model-Get-4 Qty 1</t>
  </si>
  <si>
    <t>Shaft  Part No 210 Model Hgc 3/14 Make Ksb Qty 1</t>
  </si>
  <si>
    <t>Segmental Ring Part No 501 Model Hgc 3/14 Make Ksb Qty 1</t>
  </si>
  <si>
    <t>Casing Wear Ring Part No 502 Model Hgc 3/14 Make Ksb Qty 14</t>
  </si>
  <si>
    <t>Impeller Wear Ring Part No 503 Model Hgc 3/14 Make Ksb Qty 14</t>
  </si>
  <si>
    <t>Spacer Ring  Part No 504 Model Hgc 3/14 Make Ksb Qty 1</t>
  </si>
  <si>
    <t>Retaing Ring Part No 506 Model Hgc 3/14 Make Ksb Qty 1</t>
  </si>
  <si>
    <t>Throttle Sleeve Part No 522 Model Hgc 3/14 Make Ksb Qty 1</t>
  </si>
  <si>
    <t>Spacer Sleeve Part No 525 Model Hgc 3/14 Make Ksb Qty 1</t>
  </si>
  <si>
    <t>Inter Stage Bush Part No 541 Model Hgc 3/14 Make Ksb Qty 1</t>
  </si>
  <si>
    <t>Balancing Disc Part No 601 Model Hgc 3/14 Make Ksb Qty 1</t>
  </si>
  <si>
    <t>Balancing Disc Seat Part No 602 Model Hgc 3/14 Make Ksb Qty 1</t>
  </si>
  <si>
    <t>Circlip Part No 932 Model Hgc 3/14 Make Ksb Qty 1</t>
  </si>
  <si>
    <t>Spacer Ring Part No 504 Model Hgc 3/14 Make Ksb Qty 2</t>
  </si>
  <si>
    <t>Inter Stage Bush Part No. 541 Model Hgc 3/14 Make Ksb Qty 14</t>
  </si>
  <si>
    <t>Lock Nut Part No 920 Model Hgc 3/14 Make Ksb Qty 2</t>
  </si>
  <si>
    <t>Switchyard</t>
  </si>
  <si>
    <t>Plant End Switchyard (132 Kv)</t>
  </si>
  <si>
    <t>Dist. Transformers/Conv Transformers</t>
  </si>
  <si>
    <t>Transformers</t>
  </si>
  <si>
    <t>Dist. Transformers/Conv Transformers (Coplant)</t>
  </si>
  <si>
    <t>Power Transformer (11Kv)</t>
  </si>
  <si>
    <t>Dg Set Package (1250 Kva)</t>
  </si>
  <si>
    <t>D.G. sets</t>
  </si>
  <si>
    <t>Contracts Package (Cable Tray,Lt Bus Duct.Lighting)</t>
  </si>
  <si>
    <t>Other installations</t>
  </si>
  <si>
    <t>Lt Package (2:4) Cogen Plant</t>
  </si>
  <si>
    <t>Vfd Packege  (2:5)</t>
  </si>
  <si>
    <t>Vfd Packege (Other Than Vfd Of Mill) (1:3)</t>
  </si>
  <si>
    <t>Cables Package</t>
  </si>
  <si>
    <t>Air Compressors For Both Sugar &amp; Co-Gen.</t>
  </si>
  <si>
    <t>Air Conditioning Machinery including air conditioners</t>
  </si>
  <si>
    <t>Air Conditioning System &amp; Vendilation System</t>
  </si>
  <si>
    <t xml:space="preserve"> Fire Protection Systems</t>
  </si>
  <si>
    <t>Fire protection systems</t>
  </si>
  <si>
    <t>Boiler - 150 Tph Steam Generator Including Eps.</t>
  </si>
  <si>
    <t>Boiler 150 THP</t>
  </si>
  <si>
    <t xml:space="preserve">Ash Handling System For Boiler </t>
  </si>
  <si>
    <t xml:space="preserve">   Turbine - 30 Mv Extraction  Cum Condencing </t>
  </si>
  <si>
    <t xml:space="preserve">Turbine - 30 MV Extraction  cum condencing </t>
  </si>
  <si>
    <t>Bagasse Handling System With All Its Accessories</t>
  </si>
  <si>
    <t>Material handling Equipments</t>
  </si>
  <si>
    <t>Reverseosmosis Based Water Treatment Plant</t>
  </si>
  <si>
    <t>Water Treatment Plant (excluding RCC framework)</t>
  </si>
  <si>
    <t>Steam Water Piping &amp; Valves &amp; Supports</t>
  </si>
  <si>
    <t>Induced Draft Cooling Tower (Rcc Work Included In Civil)</t>
  </si>
  <si>
    <t>Balance Of Plant Instrument For Cogen</t>
  </si>
  <si>
    <t>Other Plant and machinery</t>
  </si>
  <si>
    <t>Distribuited Control System Including Ups For Cogen</t>
  </si>
  <si>
    <t>ROLLER BEARING 239/560</t>
  </si>
  <si>
    <t>ROLLER BEARING 23164CCK/W-33 1</t>
  </si>
  <si>
    <t>ROLLER BEARING 23160</t>
  </si>
  <si>
    <t>Intrangible</t>
  </si>
  <si>
    <t>ERP</t>
  </si>
  <si>
    <t>Right to Use</t>
  </si>
  <si>
    <t>Stock Godowns</t>
  </si>
  <si>
    <t>Row Labels</t>
  </si>
  <si>
    <t>Grand Total</t>
  </si>
  <si>
    <t>Sum of Closing Balance</t>
  </si>
  <si>
    <t>Sum of Opening Acc Dep</t>
  </si>
  <si>
    <t>Sum of Dep for the Year</t>
  </si>
  <si>
    <t>Sum of Net Block as on 31 Mar 2021</t>
  </si>
  <si>
    <t>Renault Car</t>
  </si>
  <si>
    <t>Sum of Accumulated Dep as at 31 mar 2021</t>
  </si>
  <si>
    <t>Expired Year as on 1 Apr 2022</t>
  </si>
  <si>
    <t>Accumulated Dep as at 30 Sep. 2021</t>
  </si>
  <si>
    <t>Expired Life as on 1 Apr 2021</t>
  </si>
  <si>
    <t>Net Block as on 30 Sep. 2021</t>
  </si>
  <si>
    <t>Client Name</t>
  </si>
  <si>
    <t>:</t>
  </si>
  <si>
    <t>Gobind Sugar Mills Limited</t>
  </si>
  <si>
    <t>Period ended</t>
  </si>
  <si>
    <t>Review Area</t>
  </si>
  <si>
    <t>Depreciation and Amortisation expense</t>
  </si>
  <si>
    <t>Sub Area</t>
  </si>
  <si>
    <t>Additions in Plant property and equipments</t>
  </si>
  <si>
    <t>Description of Asset</t>
  </si>
  <si>
    <t xml:space="preserve">Plant  </t>
  </si>
  <si>
    <t>Depreciable Value</t>
  </si>
  <si>
    <t>Estimated useful life as per schedule II</t>
  </si>
  <si>
    <t>Per year  depreciation</t>
  </si>
  <si>
    <t xml:space="preserve">Day  from put to use </t>
  </si>
  <si>
    <t>Asset used during the year ( In days)</t>
  </si>
  <si>
    <t>Depreciation for FY 2021-22</t>
  </si>
  <si>
    <t>Net block as  at  March 31 , 2022</t>
  </si>
  <si>
    <t>Double Row Roller Bearing 23160 1 No.</t>
  </si>
  <si>
    <t>Sugar</t>
  </si>
  <si>
    <t>3 MW Turbine Drawing &amp; Dicument Approval Steam pipeing &amp; App. For erection &amp; comm.</t>
  </si>
  <si>
    <t xml:space="preserve">Building </t>
  </si>
  <si>
    <t>Mahendra-xuv500(UP32LZ/1123</t>
  </si>
  <si>
    <t>Counter Conversation System</t>
  </si>
  <si>
    <t>Celing fan &amp; Fitting 2 No.</t>
  </si>
  <si>
    <t>Total:</t>
  </si>
  <si>
    <t>Date of Sales</t>
  </si>
  <si>
    <t>Accumulated Dep  upto 31 March 2021</t>
  </si>
  <si>
    <t>Net block as  at  March 31 , 2021</t>
  </si>
  <si>
    <t xml:space="preserve">Net block </t>
  </si>
  <si>
    <t>Sales Value</t>
  </si>
  <si>
    <t>Profit/Loss</t>
  </si>
  <si>
    <t>Amount</t>
  </si>
  <si>
    <t>Roller Bearing 23160 CCK/W33 1 No.</t>
  </si>
  <si>
    <t>NIL</t>
  </si>
  <si>
    <t>Main Drive Gear for cane unloader</t>
  </si>
  <si>
    <t>Weighbridge 50 ton 1 No.</t>
  </si>
  <si>
    <t>Sugar(N)</t>
  </si>
  <si>
    <t>Bolero Jeep No.31 J 8945</t>
  </si>
  <si>
    <t>Deperation entry directly taken</t>
  </si>
  <si>
    <t>Lap top  1 No  (Brajesh Singhji)</t>
  </si>
  <si>
    <t>Mobile 1 No.(Brajeshji)</t>
  </si>
  <si>
    <t>Loss</t>
  </si>
  <si>
    <t>Asset Register of GSML for the period up to Sep.-2021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</si>
</sst>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409]d/mmm/yy;@"/>
    <numFmt numFmtId="167" formatCode="[$-F800]dddd\,\ mmmm\ dd\,\ yyyy"/>
    <numFmt numFmtId="168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Garamond"/>
      <family val="1"/>
    </font>
    <font>
      <sz val="11"/>
      <color theme="1"/>
      <name val="Garamond"/>
      <family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65" fontId="3" fillId="0" borderId="0" xfId="1" applyNumberFormat="1" applyFont="1"/>
    <xf numFmtId="165" fontId="2" fillId="0" borderId="0" xfId="1" applyNumberFormat="1" applyFont="1"/>
    <xf numFmtId="165" fontId="2" fillId="0" borderId="0" xfId="0" applyNumberFormat="1" applyFont="1"/>
    <xf numFmtId="164" fontId="3" fillId="0" borderId="0" xfId="1" applyFont="1"/>
    <xf numFmtId="164" fontId="3" fillId="0" borderId="0" xfId="1" applyFont="1" applyAlignment="1">
      <alignment horizontal="right"/>
    </xf>
    <xf numFmtId="15" fontId="3" fillId="0" borderId="1" xfId="0" applyNumberFormat="1" applyFont="1" applyBorder="1" applyAlignment="1">
      <alignment vertical="top"/>
    </xf>
    <xf numFmtId="0" fontId="2" fillId="0" borderId="1" xfId="0" applyFont="1" applyBorder="1"/>
    <xf numFmtId="15" fontId="2" fillId="0" borderId="1" xfId="0" applyNumberFormat="1" applyFont="1" applyBorder="1" applyAlignment="1">
      <alignment vertical="top"/>
    </xf>
    <xf numFmtId="164" fontId="2" fillId="0" borderId="1" xfId="1" applyFont="1" applyBorder="1"/>
    <xf numFmtId="164" fontId="2" fillId="0" borderId="1" xfId="1" applyFont="1" applyBorder="1" applyAlignment="1">
      <alignment horizontal="right"/>
    </xf>
    <xf numFmtId="0" fontId="3" fillId="0" borderId="1" xfId="0" applyFont="1" applyBorder="1"/>
    <xf numFmtId="0" fontId="5" fillId="0" borderId="1" xfId="0" applyFont="1" applyBorder="1" applyAlignment="1">
      <alignment vertical="top" wrapText="1"/>
    </xf>
    <xf numFmtId="164" fontId="5" fillId="0" borderId="1" xfId="1" applyFont="1" applyFill="1" applyBorder="1"/>
    <xf numFmtId="164" fontId="3" fillId="0" borderId="1" xfId="1" applyFont="1" applyBorder="1"/>
    <xf numFmtId="164" fontId="5" fillId="0" borderId="1" xfId="1" applyFont="1" applyBorder="1" applyAlignment="1">
      <alignment horizontal="center" vertical="top" wrapText="1"/>
    </xf>
    <xf numFmtId="164" fontId="5" fillId="0" borderId="1" xfId="1" applyFont="1" applyBorder="1" applyAlignment="1">
      <alignment horizontal="right" vertical="top" wrapText="1"/>
    </xf>
    <xf numFmtId="0" fontId="5" fillId="0" borderId="0" xfId="0" applyFont="1"/>
    <xf numFmtId="0" fontId="6" fillId="0" borderId="1" xfId="0" applyFont="1" applyBorder="1" applyAlignment="1">
      <alignment horizontal="justify" vertical="top" wrapText="1"/>
    </xf>
    <xf numFmtId="164" fontId="6" fillId="0" borderId="1" xfId="1" applyFont="1" applyFill="1" applyBorder="1" applyAlignment="1">
      <alignment vertical="top"/>
    </xf>
    <xf numFmtId="164" fontId="6" fillId="0" borderId="1" xfId="1" applyFont="1" applyFill="1" applyBorder="1" applyAlignment="1">
      <alignment horizontal="right" vertical="top" wrapText="1"/>
    </xf>
    <xf numFmtId="0" fontId="3" fillId="0" borderId="1" xfId="0" applyFont="1" applyBorder="1" applyAlignment="1">
      <alignment horizontal="justify" vertical="top" wrapText="1"/>
    </xf>
    <xf numFmtId="166" fontId="3" fillId="0" borderId="1" xfId="0" applyNumberFormat="1" applyFont="1" applyBorder="1" applyAlignment="1">
      <alignment vertical="top"/>
    </xf>
    <xf numFmtId="164" fontId="3" fillId="0" borderId="1" xfId="1" applyFont="1" applyFill="1" applyBorder="1" applyAlignment="1">
      <alignment vertical="top"/>
    </xf>
    <xf numFmtId="164" fontId="3" fillId="0" borderId="1" xfId="1" applyFont="1" applyFill="1" applyBorder="1" applyAlignment="1">
      <alignment horizontal="justify" vertical="top"/>
    </xf>
    <xf numFmtId="0" fontId="3" fillId="0" borderId="1" xfId="0" applyFont="1" applyBorder="1" applyAlignment="1">
      <alignment vertical="top"/>
    </xf>
    <xf numFmtId="164" fontId="5" fillId="0" borderId="1" xfId="1" applyFont="1" applyFill="1" applyBorder="1" applyAlignment="1">
      <alignment vertical="top"/>
    </xf>
    <xf numFmtId="0" fontId="6" fillId="2" borderId="1" xfId="0" applyFont="1" applyFill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 wrapText="1"/>
    </xf>
    <xf numFmtId="15" fontId="5" fillId="0" borderId="1" xfId="0" applyNumberFormat="1" applyFont="1" applyBorder="1" applyAlignment="1">
      <alignment vertical="top"/>
    </xf>
    <xf numFmtId="164" fontId="5" fillId="0" borderId="1" xfId="1" applyFont="1" applyFill="1" applyBorder="1" applyAlignment="1">
      <alignment horizontal="right" vertical="top" wrapText="1"/>
    </xf>
    <xf numFmtId="164" fontId="3" fillId="0" borderId="1" xfId="1" applyFont="1" applyBorder="1" applyAlignment="1">
      <alignment horizontal="right" vertical="top"/>
    </xf>
    <xf numFmtId="0" fontId="7" fillId="0" borderId="1" xfId="0" applyFont="1" applyBorder="1" applyAlignment="1">
      <alignment horizontal="justify" vertical="top" wrapText="1"/>
    </xf>
    <xf numFmtId="15" fontId="7" fillId="0" borderId="1" xfId="0" applyNumberFormat="1" applyFont="1" applyBorder="1" applyAlignment="1">
      <alignment vertical="top"/>
    </xf>
    <xf numFmtId="164" fontId="7" fillId="0" borderId="1" xfId="1" applyFont="1" applyFill="1" applyBorder="1" applyAlignment="1">
      <alignment vertical="top"/>
    </xf>
    <xf numFmtId="164" fontId="7" fillId="0" borderId="1" xfId="1" applyFont="1" applyFill="1" applyBorder="1" applyAlignment="1">
      <alignment horizontal="right" vertical="top" wrapText="1"/>
    </xf>
    <xf numFmtId="0" fontId="5" fillId="0" borderId="1" xfId="0" applyFont="1" applyBorder="1"/>
    <xf numFmtId="166" fontId="5" fillId="0" borderId="1" xfId="0" applyNumberFormat="1" applyFont="1" applyBorder="1"/>
    <xf numFmtId="164" fontId="5" fillId="0" borderId="1" xfId="1" applyFont="1" applyBorder="1" applyAlignment="1">
      <alignment horizontal="right"/>
    </xf>
    <xf numFmtId="164" fontId="3" fillId="0" borderId="1" xfId="1" applyFont="1" applyBorder="1" applyAlignment="1">
      <alignment horizontal="right"/>
    </xf>
    <xf numFmtId="164" fontId="2" fillId="0" borderId="0" xfId="1" applyFont="1"/>
    <xf numFmtId="0" fontId="8" fillId="0" borderId="1" xfId="0" applyFont="1" applyBorder="1" applyAlignment="1">
      <alignment horizontal="left" indent="1"/>
    </xf>
    <xf numFmtId="0" fontId="9" fillId="0" borderId="1" xfId="0" applyFont="1" applyBorder="1"/>
    <xf numFmtId="15" fontId="8" fillId="0" borderId="1" xfId="0" applyNumberFormat="1" applyFont="1" applyBorder="1"/>
    <xf numFmtId="164" fontId="8" fillId="0" borderId="1" xfId="1" applyFont="1" applyFill="1" applyBorder="1"/>
    <xf numFmtId="164" fontId="9" fillId="0" borderId="1" xfId="1" applyFont="1" applyBorder="1"/>
    <xf numFmtId="164" fontId="9" fillId="0" borderId="1" xfId="1" applyFont="1" applyFill="1" applyBorder="1"/>
    <xf numFmtId="0" fontId="8" fillId="0" borderId="1" xfId="0" applyFont="1" applyBorder="1"/>
    <xf numFmtId="0" fontId="8" fillId="0" borderId="1" xfId="0" applyFont="1" applyBorder="1" applyAlignment="1">
      <alignment horizontal="left"/>
    </xf>
    <xf numFmtId="167" fontId="8" fillId="0" borderId="1" xfId="1" applyNumberFormat="1" applyFont="1" applyBorder="1"/>
    <xf numFmtId="164" fontId="7" fillId="0" borderId="1" xfId="1" applyFont="1" applyBorder="1"/>
    <xf numFmtId="166" fontId="10" fillId="0" borderId="2" xfId="0" applyNumberFormat="1" applyFont="1" applyBorder="1" applyAlignment="1">
      <alignment horizontal="right" vertical="top"/>
    </xf>
    <xf numFmtId="166" fontId="10" fillId="3" borderId="2" xfId="0" applyNumberFormat="1" applyFont="1" applyFill="1" applyBorder="1" applyAlignment="1">
      <alignment horizontal="right" vertical="top"/>
    </xf>
    <xf numFmtId="168" fontId="12" fillId="0" borderId="2" xfId="2" applyNumberFormat="1" applyFont="1" applyBorder="1" applyAlignment="1">
      <alignment horizontal="justify" vertical="top"/>
    </xf>
    <xf numFmtId="164" fontId="3" fillId="0" borderId="3" xfId="1" applyFont="1" applyBorder="1"/>
    <xf numFmtId="168" fontId="12" fillId="0" borderId="1" xfId="1" applyNumberFormat="1" applyFont="1" applyBorder="1" applyAlignment="1">
      <alignment horizontal="justify" vertical="top"/>
    </xf>
    <xf numFmtId="168" fontId="12" fillId="3" borderId="1" xfId="1" applyNumberFormat="1" applyFont="1" applyFill="1" applyBorder="1" applyAlignment="1">
      <alignment horizontal="justify" vertical="top"/>
    </xf>
    <xf numFmtId="164" fontId="7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3" borderId="0" xfId="0" applyFont="1" applyFill="1"/>
    <xf numFmtId="164" fontId="3" fillId="3" borderId="0" xfId="0" applyNumberFormat="1" applyFont="1" applyFill="1"/>
    <xf numFmtId="0" fontId="2" fillId="3" borderId="0" xfId="0" applyFont="1" applyFill="1"/>
    <xf numFmtId="0" fontId="2" fillId="3" borderId="1" xfId="0" applyFont="1" applyFill="1" applyBorder="1"/>
    <xf numFmtId="0" fontId="5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horizontal="justify" vertical="top" wrapText="1"/>
    </xf>
    <xf numFmtId="0" fontId="3" fillId="3" borderId="1" xfId="0" applyFont="1" applyFill="1" applyBorder="1" applyAlignment="1">
      <alignment horizontal="justify" vertical="top" wrapText="1"/>
    </xf>
    <xf numFmtId="0" fontId="7" fillId="3" borderId="1" xfId="0" applyFont="1" applyFill="1" applyBorder="1" applyAlignment="1">
      <alignment horizontal="justify" vertical="top" wrapText="1"/>
    </xf>
    <xf numFmtId="0" fontId="3" fillId="3" borderId="1" xfId="0" applyFont="1" applyFill="1" applyBorder="1"/>
    <xf numFmtId="0" fontId="5" fillId="3" borderId="1" xfId="0" applyFont="1" applyFill="1" applyBorder="1" applyAlignment="1">
      <alignment horizontal="justify" vertical="top" wrapText="1"/>
    </xf>
    <xf numFmtId="0" fontId="7" fillId="3" borderId="1" xfId="0" applyFont="1" applyFill="1" applyBorder="1"/>
    <xf numFmtId="166" fontId="10" fillId="0" borderId="1" xfId="0" applyNumberFormat="1" applyFont="1" applyBorder="1" applyAlignment="1">
      <alignment horizontal="right" vertical="top"/>
    </xf>
    <xf numFmtId="166" fontId="10" fillId="3" borderId="1" xfId="0" applyNumberFormat="1" applyFont="1" applyFill="1" applyBorder="1" applyAlignment="1">
      <alignment horizontal="right" vertical="top"/>
    </xf>
    <xf numFmtId="2" fontId="0" fillId="0" borderId="0" xfId="0" applyNumberFormat="1"/>
    <xf numFmtId="0" fontId="13" fillId="0" borderId="0" xfId="0" applyFont="1"/>
    <xf numFmtId="0" fontId="10" fillId="0" borderId="0" xfId="0" applyFont="1"/>
    <xf numFmtId="15" fontId="10" fillId="0" borderId="0" xfId="0" applyNumberFormat="1" applyFont="1" applyAlignment="1">
      <alignment horizontal="left"/>
    </xf>
    <xf numFmtId="166" fontId="10" fillId="0" borderId="0" xfId="0" applyNumberFormat="1" applyFont="1"/>
    <xf numFmtId="0" fontId="14" fillId="4" borderId="4" xfId="0" applyFont="1" applyFill="1" applyBorder="1" applyAlignment="1">
      <alignment vertical="top" wrapText="1"/>
    </xf>
    <xf numFmtId="0" fontId="14" fillId="4" borderId="1" xfId="0" applyFont="1" applyFill="1" applyBorder="1" applyAlignment="1">
      <alignment vertical="top" wrapText="1"/>
    </xf>
    <xf numFmtId="0" fontId="14" fillId="4" borderId="5" xfId="0" applyFont="1" applyFill="1" applyBorder="1" applyAlignment="1">
      <alignment vertical="top" wrapText="1"/>
    </xf>
    <xf numFmtId="0" fontId="14" fillId="4" borderId="5" xfId="0" applyFont="1" applyFill="1" applyBorder="1" applyAlignment="1">
      <alignment horizontal="center" vertical="top" wrapText="1"/>
    </xf>
    <xf numFmtId="0" fontId="14" fillId="4" borderId="1" xfId="0" applyFont="1" applyFill="1" applyBorder="1" applyAlignment="1">
      <alignment horizontal="center" vertical="top" wrapText="1"/>
    </xf>
    <xf numFmtId="0" fontId="10" fillId="0" borderId="6" xfId="0" applyFont="1" applyBorder="1"/>
    <xf numFmtId="0" fontId="10" fillId="0" borderId="7" xfId="0" applyFont="1" applyBorder="1"/>
    <xf numFmtId="0" fontId="10" fillId="0" borderId="2" xfId="0" applyFont="1" applyBorder="1"/>
    <xf numFmtId="0" fontId="10" fillId="3" borderId="0" xfId="0" applyFont="1" applyFill="1" applyAlignment="1">
      <alignment vertical="top"/>
    </xf>
    <xf numFmtId="0" fontId="10" fillId="3" borderId="6" xfId="0" applyFont="1" applyFill="1" applyBorder="1" applyAlignment="1">
      <alignment horizontal="justify" vertical="top" wrapText="1"/>
    </xf>
    <xf numFmtId="0" fontId="10" fillId="0" borderId="7" xfId="0" applyFont="1" applyBorder="1" applyAlignment="1">
      <alignment horizontal="justify" vertical="top"/>
    </xf>
    <xf numFmtId="0" fontId="10" fillId="0" borderId="2" xfId="0" applyFont="1" applyBorder="1" applyAlignment="1">
      <alignment horizontal="justify" vertical="top"/>
    </xf>
    <xf numFmtId="168" fontId="10" fillId="3" borderId="2" xfId="2" applyNumberFormat="1" applyFont="1" applyFill="1" applyBorder="1" applyAlignment="1">
      <alignment horizontal="justify" vertical="top"/>
    </xf>
    <xf numFmtId="168" fontId="10" fillId="0" borderId="2" xfId="0" applyNumberFormat="1" applyFont="1" applyBorder="1" applyAlignment="1">
      <alignment horizontal="justify" vertical="top"/>
    </xf>
    <xf numFmtId="0" fontId="10" fillId="0" borderId="2" xfId="0" applyFont="1" applyBorder="1" applyAlignment="1">
      <alignment vertical="top"/>
    </xf>
    <xf numFmtId="168" fontId="10" fillId="0" borderId="2" xfId="2" applyNumberFormat="1" applyFont="1" applyBorder="1" applyAlignment="1">
      <alignment horizontal="right" vertical="top"/>
    </xf>
    <xf numFmtId="168" fontId="10" fillId="0" borderId="7" xfId="2" applyNumberFormat="1" applyFont="1" applyBorder="1" applyAlignment="1">
      <alignment horizontal="right" vertical="top"/>
    </xf>
    <xf numFmtId="43" fontId="10" fillId="0" borderId="2" xfId="2" applyFont="1" applyBorder="1" applyAlignment="1">
      <alignment horizontal="right" vertical="top"/>
    </xf>
    <xf numFmtId="168" fontId="10" fillId="0" borderId="2" xfId="2" applyNumberFormat="1" applyFont="1" applyBorder="1" applyAlignment="1">
      <alignment horizontal="justify" vertical="top"/>
    </xf>
    <xf numFmtId="0" fontId="10" fillId="3" borderId="0" xfId="0" applyFont="1" applyFill="1" applyAlignment="1">
      <alignment horizontal="justify" vertical="top"/>
    </xf>
    <xf numFmtId="0" fontId="10" fillId="3" borderId="7" xfId="0" applyFont="1" applyFill="1" applyBorder="1" applyAlignment="1">
      <alignment horizontal="justify" vertical="top" wrapText="1"/>
    </xf>
    <xf numFmtId="168" fontId="5" fillId="0" borderId="7" xfId="2" applyNumberFormat="1" applyFont="1" applyFill="1" applyBorder="1"/>
    <xf numFmtId="0" fontId="10" fillId="0" borderId="0" xfId="0" applyFont="1" applyAlignment="1">
      <alignment vertical="top"/>
    </xf>
    <xf numFmtId="0" fontId="10" fillId="0" borderId="6" xfId="0" applyFont="1" applyBorder="1" applyAlignment="1">
      <alignment vertical="top"/>
    </xf>
    <xf numFmtId="0" fontId="10" fillId="0" borderId="7" xfId="0" applyFont="1" applyBorder="1" applyAlignment="1">
      <alignment vertical="top"/>
    </xf>
    <xf numFmtId="168" fontId="10" fillId="0" borderId="2" xfId="2" applyNumberFormat="1" applyFont="1" applyBorder="1" applyAlignment="1">
      <alignment vertical="top"/>
    </xf>
    <xf numFmtId="0" fontId="10" fillId="3" borderId="2" xfId="0" applyFont="1" applyFill="1" applyBorder="1" applyAlignment="1">
      <alignment horizontal="justify" vertical="top" wrapText="1"/>
    </xf>
    <xf numFmtId="0" fontId="10" fillId="0" borderId="8" xfId="0" applyFont="1" applyBorder="1"/>
    <xf numFmtId="0" fontId="10" fillId="0" borderId="3" xfId="0" applyFont="1" applyBorder="1" applyAlignment="1">
      <alignment vertical="top"/>
    </xf>
    <xf numFmtId="0" fontId="10" fillId="0" borderId="9" xfId="0" applyFont="1" applyBorder="1" applyAlignment="1">
      <alignment horizontal="justify" vertical="top"/>
    </xf>
    <xf numFmtId="166" fontId="10" fillId="0" borderId="9" xfId="0" applyNumberFormat="1" applyFont="1" applyBorder="1" applyAlignment="1">
      <alignment horizontal="right" vertical="top"/>
    </xf>
    <xf numFmtId="168" fontId="10" fillId="0" borderId="9" xfId="2" applyNumberFormat="1" applyFont="1" applyBorder="1" applyAlignment="1">
      <alignment vertical="top"/>
    </xf>
    <xf numFmtId="168" fontId="10" fillId="0" borderId="9" xfId="0" applyNumberFormat="1" applyFont="1" applyBorder="1" applyAlignment="1">
      <alignment horizontal="justify" vertical="top"/>
    </xf>
    <xf numFmtId="0" fontId="10" fillId="0" borderId="9" xfId="0" applyFont="1" applyBorder="1" applyAlignment="1">
      <alignment vertical="top"/>
    </xf>
    <xf numFmtId="168" fontId="10" fillId="0" borderId="9" xfId="2" applyNumberFormat="1" applyFont="1" applyBorder="1" applyAlignment="1">
      <alignment horizontal="right" vertical="top"/>
    </xf>
    <xf numFmtId="168" fontId="10" fillId="0" borderId="3" xfId="2" applyNumberFormat="1" applyFont="1" applyBorder="1" applyAlignment="1">
      <alignment horizontal="right" vertical="top"/>
    </xf>
    <xf numFmtId="43" fontId="10" fillId="0" borderId="9" xfId="2" applyFont="1" applyBorder="1" applyAlignment="1">
      <alignment horizontal="right" vertical="top"/>
    </xf>
    <xf numFmtId="168" fontId="10" fillId="0" borderId="9" xfId="2" applyNumberFormat="1" applyFont="1" applyBorder="1" applyAlignment="1">
      <alignment horizontal="justify" vertical="top"/>
    </xf>
    <xf numFmtId="166" fontId="10" fillId="0" borderId="0" xfId="0" applyNumberFormat="1" applyFont="1" applyAlignment="1">
      <alignment horizontal="right" vertical="top"/>
    </xf>
    <xf numFmtId="168" fontId="10" fillId="0" borderId="0" xfId="2" applyNumberFormat="1" applyFont="1" applyAlignment="1">
      <alignment vertical="top"/>
    </xf>
    <xf numFmtId="166" fontId="15" fillId="0" borderId="0" xfId="0" applyNumberFormat="1" applyFont="1" applyAlignment="1">
      <alignment horizontal="right" vertical="top"/>
    </xf>
    <xf numFmtId="168" fontId="13" fillId="0" borderId="10" xfId="2" applyNumberFormat="1" applyFont="1" applyBorder="1" applyAlignment="1">
      <alignment vertical="top"/>
    </xf>
    <xf numFmtId="0" fontId="10" fillId="0" borderId="6" xfId="0" applyFont="1" applyBorder="1" applyAlignment="1">
      <alignment horizontal="justify" vertical="top" wrapText="1"/>
    </xf>
    <xf numFmtId="43" fontId="10" fillId="0" borderId="7" xfId="2" applyFont="1" applyBorder="1" applyAlignment="1">
      <alignment horizontal="right" vertical="top"/>
    </xf>
    <xf numFmtId="168" fontId="10" fillId="0" borderId="7" xfId="2" applyNumberFormat="1" applyFont="1" applyBorder="1" applyAlignment="1">
      <alignment horizontal="justify" vertical="top"/>
    </xf>
    <xf numFmtId="168" fontId="10" fillId="0" borderId="7" xfId="0" applyNumberFormat="1" applyFont="1" applyBorder="1" applyAlignment="1">
      <alignment horizontal="justify" vertical="top"/>
    </xf>
    <xf numFmtId="0" fontId="10" fillId="0" borderId="0" xfId="0" applyFont="1" applyAlignment="1">
      <alignment horizontal="justify" vertical="top"/>
    </xf>
    <xf numFmtId="0" fontId="16" fillId="3" borderId="7" xfId="0" applyFont="1" applyFill="1" applyBorder="1" applyAlignment="1">
      <alignment horizontal="justify" vertical="top" wrapText="1"/>
    </xf>
    <xf numFmtId="168" fontId="16" fillId="3" borderId="7" xfId="2" applyNumberFormat="1" applyFont="1" applyFill="1" applyBorder="1" applyAlignment="1">
      <alignment vertical="top"/>
    </xf>
    <xf numFmtId="168" fontId="16" fillId="3" borderId="2" xfId="2" applyNumberFormat="1" applyFont="1" applyFill="1" applyBorder="1" applyAlignment="1">
      <alignment vertical="top"/>
    </xf>
    <xf numFmtId="43" fontId="10" fillId="0" borderId="2" xfId="2" applyNumberFormat="1" applyFont="1" applyBorder="1" applyAlignment="1">
      <alignment horizontal="justify" vertical="top"/>
    </xf>
    <xf numFmtId="43" fontId="10" fillId="0" borderId="3" xfId="2" applyFont="1" applyBorder="1" applyAlignment="1">
      <alignment horizontal="right" vertical="top"/>
    </xf>
    <xf numFmtId="168" fontId="10" fillId="0" borderId="3" xfId="2" applyNumberFormat="1" applyFont="1" applyBorder="1" applyAlignment="1">
      <alignment horizontal="justify" vertical="top"/>
    </xf>
    <xf numFmtId="168" fontId="10" fillId="0" borderId="3" xfId="0" applyNumberFormat="1" applyFont="1" applyBorder="1" applyAlignment="1">
      <alignment horizontal="justify" vertical="top"/>
    </xf>
    <xf numFmtId="0" fontId="10" fillId="0" borderId="3" xfId="0" applyFont="1" applyBorder="1" applyAlignment="1">
      <alignment horizontal="justify" vertical="top"/>
    </xf>
    <xf numFmtId="168" fontId="13" fillId="0" borderId="0" xfId="2" applyNumberFormat="1" applyFont="1" applyBorder="1" applyAlignment="1">
      <alignment vertical="top"/>
    </xf>
  </cellXfs>
  <cellStyles count="3">
    <cellStyle name="Comma" xfId="1" builtinId="3"/>
    <cellStyle name="Comma 3" xfId="2"/>
    <cellStyle name="Normal" xfId="0" builtinId="0"/>
  </cellStyles>
  <dxfs count="1"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T Admin" refreshedDate="44496.49620173611" createdVersion="5" refreshedVersion="5" minRefreshableVersion="3" recordCount="2893">
  <cacheSource type="worksheet">
    <worksheetSource ref="A36:S2929" sheet="Capex &amp; Depreciation-31-03-2021"/>
  </cacheSource>
  <cacheFields count="19">
    <cacheField name="S. No" numFmtId="0">
      <sharedItems containsString="0" containsBlank="1" containsNumber="1" containsInteger="1" minValue="1" maxValue="2887"/>
    </cacheField>
    <cacheField name="Description Of Asset" numFmtId="0">
      <sharedItems/>
    </cacheField>
    <cacheField name="Segment" numFmtId="0">
      <sharedItems/>
    </cacheField>
    <cacheField name="Nature" numFmtId="0">
      <sharedItems count="14">
        <s v="Land"/>
        <s v="Building"/>
        <s v="Plant &amp; Machinery"/>
        <s v="Insurance Spares"/>
        <s v="Vehicles"/>
        <s v="Office Equipments"/>
        <s v="Furniture &amp; Fixtures"/>
        <s v="Factory Building"/>
        <s v="Non-Factory Building"/>
        <s v="Molasses tank"/>
        <s v="Intrangible"/>
        <s v="Right to Use"/>
        <s v="Furniture &amp; Fittings" u="1"/>
        <s v="Non Factory Building" u="1"/>
      </sharedItems>
    </cacheField>
    <cacheField name="Nature2" numFmtId="0">
      <sharedItems containsBlank="1"/>
    </cacheField>
    <cacheField name="Department" numFmtId="0">
      <sharedItems containsBlank="1"/>
    </cacheField>
    <cacheField name="Date of purchase" numFmtId="0">
      <sharedItems containsSemiMixedTypes="0" containsNonDate="0" containsDate="1" containsString="0" minDate="1953-01-01T00:00:00" maxDate="2021-03-21T00:00:00"/>
    </cacheField>
    <cacheField name="Original Cost" numFmtId="0">
      <sharedItems containsSemiMixedTypes="0" containsString="0" containsNumber="1" minValue="0" maxValue="223643447.32178235"/>
    </cacheField>
    <cacheField name="Addition" numFmtId="0">
      <sharedItems containsString="0" containsBlank="1" containsNumber="1" minValue="0" maxValue="25081079.699999999"/>
    </cacheField>
    <cacheField name="Deletion" numFmtId="0">
      <sharedItems containsString="0" containsBlank="1" containsNumber="1" minValue="0" maxValue="167539117.51205501"/>
    </cacheField>
    <cacheField name="Closing Balance" numFmtId="0">
      <sharedItems containsSemiMixedTypes="0" containsString="0" containsNumber="1" minValue="0" maxValue="223643447.32178235"/>
    </cacheField>
    <cacheField name="Salvage Value" numFmtId="164">
      <sharedItems containsSemiMixedTypes="0" containsString="0" containsNumber="1" minValue="0" maxValue="11182172.366089119"/>
    </cacheField>
    <cacheField name="Useful Life" numFmtId="164">
      <sharedItems containsString="0" containsBlank="1" containsNumber="1" containsInteger="1" minValue="3" maxValue="99"/>
    </cacheField>
    <cacheField name="Expired Life as on 1 Apr 2020" numFmtId="164">
      <sharedItems containsString="0" containsBlank="1" containsNumber="1" minValue="0" maxValue="67.295890410958904"/>
    </cacheField>
    <cacheField name="Opening Acc Dep" numFmtId="164">
      <sharedItems containsSemiMixedTypes="0" containsString="0" containsNumber="1" minValue="-12499.11" maxValue="18801599.684404664"/>
    </cacheField>
    <cacheField name="Expired Year as on 1 Apr 2021" numFmtId="164">
      <sharedItems containsString="0" containsBlank="1" containsNumber="1" minValue="3.5616438356164383E-2" maxValue="68.295890410958904"/>
    </cacheField>
    <cacheField name="Dep for the Year" numFmtId="0">
      <sharedItems containsSemiMixedTypes="0" containsString="0" containsNumber="1" minValue="-3.0267983675003053E-11" maxValue="14606091.99822773"/>
    </cacheField>
    <cacheField name="Accumulated Dep as at 31 mar 2021" numFmtId="164">
      <sharedItems containsSemiMixedTypes="0" containsString="0" containsNumber="1" minValue="-12499.11" maxValue="33407691.682632394"/>
    </cacheField>
    <cacheField name="Net Block as on 31 Mar 2021" numFmtId="164">
      <sharedItems containsSemiMixedTypes="0" containsString="0" containsNumber="1" minValue="0" maxValue="211094435.63914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93">
  <r>
    <n v="1"/>
    <s v="Land - Mills,Stores,Offices,Quarters,Mainder,Play Ground &amp; Yard."/>
    <s v="Sugar Division"/>
    <x v="0"/>
    <m/>
    <s v="Common"/>
    <d v="1953-01-01T00:00:00"/>
    <n v="25000.06"/>
    <n v="0"/>
    <n v="0"/>
    <n v="25000.06"/>
    <n v="0"/>
    <n v="99"/>
    <n v="67.295890410958904"/>
    <n v="0"/>
    <n v="68.295890410958904"/>
    <n v="0"/>
    <n v="0"/>
    <n v="25000.06"/>
  </r>
  <r>
    <n v="2"/>
    <s v="Land - Labour Quarter,Khamaria"/>
    <s v="Sugar Division"/>
    <x v="0"/>
    <m/>
    <s v="Common"/>
    <d v="1957-01-01T00:00:00"/>
    <n v="1500"/>
    <n v="0"/>
    <n v="0"/>
    <n v="1500"/>
    <n v="0"/>
    <n v="99"/>
    <n v="63.293150684931504"/>
    <n v="0"/>
    <n v="64.293150684931504"/>
    <n v="0"/>
    <n v="0"/>
    <n v="1500"/>
  </r>
  <r>
    <n v="3"/>
    <s v="Land - Bagasse Yard,Behta"/>
    <s v="Sugar Division"/>
    <x v="0"/>
    <m/>
    <s v="Baggasse Yard"/>
    <d v="1960-01-01T00:00:00"/>
    <n v="11787"/>
    <n v="0"/>
    <n v="0"/>
    <n v="11787"/>
    <n v="0"/>
    <n v="99"/>
    <n v="60.293150684931504"/>
    <n v="0"/>
    <n v="61.293150684931504"/>
    <n v="0"/>
    <n v="0"/>
    <n v="11787"/>
  </r>
  <r>
    <n v="4"/>
    <s v="Land - Sugar Godown At Lakhimpur"/>
    <s v="Sugar Division"/>
    <x v="0"/>
    <m/>
    <s v="Sugar Godown - Distribution"/>
    <d v="1961-01-01T00:00:00"/>
    <n v="2108"/>
    <n v="0"/>
    <n v="0"/>
    <n v="2108"/>
    <n v="0"/>
    <n v="99"/>
    <n v="59.290410958904111"/>
    <n v="0"/>
    <n v="60.290410958904111"/>
    <n v="0"/>
    <n v="0"/>
    <n v="2108"/>
  </r>
  <r>
    <n v="5"/>
    <s v="Land - Industry House,Kolkata"/>
    <s v="Sugar Division"/>
    <x v="0"/>
    <m/>
    <s v="Common"/>
    <d v="1967-01-01T00:00:00"/>
    <n v="3660"/>
    <n v="0"/>
    <n v="0"/>
    <n v="3660"/>
    <n v="0"/>
    <n v="99"/>
    <n v="53.287671232876711"/>
    <n v="0"/>
    <n v="54.287671232876711"/>
    <n v="0"/>
    <n v="0"/>
    <n v="3660"/>
  </r>
  <r>
    <n v="6"/>
    <s v="Land - Ballygunj Place,Kolkatta"/>
    <s v="Sugar Division"/>
    <x v="0"/>
    <m/>
    <s v="Common"/>
    <d v="1969-01-01T00:00:00"/>
    <n v="21738"/>
    <n v="0"/>
    <n v="0"/>
    <n v="21738"/>
    <n v="0"/>
    <n v="99"/>
    <n v="51.284931506849318"/>
    <n v="0"/>
    <n v="52.284931506849318"/>
    <n v="0"/>
    <n v="0"/>
    <n v="21738"/>
  </r>
  <r>
    <n v="7"/>
    <s v="Land - Industry House,Kolkata"/>
    <s v="Sugar Division"/>
    <x v="0"/>
    <m/>
    <s v="Common"/>
    <d v="1973-01-01T00:00:00"/>
    <n v="160"/>
    <n v="0"/>
    <n v="0"/>
    <n v="160"/>
    <n v="0"/>
    <n v="99"/>
    <n v="47.282191780821918"/>
    <n v="0"/>
    <n v="48.282191780821918"/>
    <n v="0"/>
    <n v="0"/>
    <n v="160"/>
  </r>
  <r>
    <n v="8"/>
    <s v="Land - Main Office,Kolkata"/>
    <s v="Sugar Division"/>
    <x v="0"/>
    <m/>
    <s v="Common"/>
    <d v="1975-01-01T00:00:00"/>
    <n v="508"/>
    <n v="0"/>
    <n v="0"/>
    <n v="508"/>
    <n v="0"/>
    <n v="99"/>
    <n v="45.282191780821918"/>
    <n v="0"/>
    <n v="46.282191780821918"/>
    <n v="0"/>
    <n v="0"/>
    <n v="508"/>
  </r>
  <r>
    <n v="9"/>
    <s v="Land - Main Office,Kolkata"/>
    <s v="Sugar Division"/>
    <x v="0"/>
    <m/>
    <s v="Common"/>
    <d v="1981-01-01T00:00:00"/>
    <n v="2362"/>
    <n v="0"/>
    <n v="0"/>
    <n v="2362"/>
    <n v="0"/>
    <n v="99"/>
    <n v="39.276712328767125"/>
    <n v="0"/>
    <n v="40.276712328767125"/>
    <n v="0"/>
    <n v="0"/>
    <n v="2362"/>
  </r>
  <r>
    <n v="10"/>
    <s v="Land - Main Office,Kolkata"/>
    <s v="Sugar Division"/>
    <x v="0"/>
    <m/>
    <s v="Common"/>
    <d v="1982-01-01T00:00:00"/>
    <n v="6496"/>
    <n v="0"/>
    <n v="0"/>
    <n v="6496"/>
    <n v="0"/>
    <n v="99"/>
    <n v="38.276712328767125"/>
    <n v="0"/>
    <n v="39.276712328767125"/>
    <n v="0"/>
    <n v="0"/>
    <n v="6496"/>
  </r>
  <r>
    <n v="11"/>
    <s v="Land - Bagasse Yard,Behta"/>
    <s v="Sugar Division"/>
    <x v="0"/>
    <m/>
    <s v="Common"/>
    <d v="1985-01-01T00:00:00"/>
    <n v="42654"/>
    <n v="0"/>
    <n v="0"/>
    <n v="42654"/>
    <n v="0"/>
    <n v="99"/>
    <n v="35.273972602739725"/>
    <n v="0"/>
    <n v="36.273972602739725"/>
    <n v="0"/>
    <n v="0"/>
    <n v="42654"/>
  </r>
  <r>
    <n v="12"/>
    <s v="Land - Trolly &amp; Cart Yard,Khamaria"/>
    <s v="Sugar Division"/>
    <x v="0"/>
    <m/>
    <s v="Upto gate"/>
    <d v="1986-01-01T00:00:00"/>
    <n v="191737"/>
    <n v="0"/>
    <n v="0"/>
    <n v="191737"/>
    <n v="0"/>
    <n v="99"/>
    <n v="34.273972602739725"/>
    <n v="0"/>
    <n v="35.273972602739725"/>
    <n v="0"/>
    <n v="0"/>
    <n v="191737"/>
  </r>
  <r>
    <n v="13"/>
    <s v="Land - Bagasse Yard,Behta"/>
    <s v="Sugar Division"/>
    <x v="0"/>
    <m/>
    <s v="Baggasse Yard"/>
    <d v="1988-01-01T00:00:00"/>
    <n v="43735"/>
    <n v="0"/>
    <n v="0"/>
    <n v="43735"/>
    <n v="0"/>
    <n v="99"/>
    <n v="32.273972602739725"/>
    <n v="0"/>
    <n v="33.273972602739725"/>
    <n v="0"/>
    <n v="0"/>
    <n v="43735"/>
  </r>
  <r>
    <n v="14"/>
    <s v="Land - Sugar Godown,Alipur."/>
    <s v="Sugar Division"/>
    <x v="0"/>
    <m/>
    <s v="Sugar Godown - Distribution"/>
    <d v="1989-01-01T00:00:00"/>
    <n v="37789"/>
    <n v="0"/>
    <n v="0"/>
    <n v="37789"/>
    <n v="0"/>
    <n v="99"/>
    <n v="31.271232876712329"/>
    <n v="0"/>
    <n v="32.271232876712325"/>
    <n v="0"/>
    <n v="0"/>
    <n v="37789"/>
  </r>
  <r>
    <n v="15"/>
    <s v="Land - Agricultural Use,Alipur"/>
    <s v="Sugar Division"/>
    <x v="0"/>
    <m/>
    <s v="Upto gate"/>
    <d v="2004-01-01T00:00:00"/>
    <n v="3347970"/>
    <n v="0"/>
    <n v="0"/>
    <n v="3347970"/>
    <n v="0"/>
    <n v="99"/>
    <n v="16.263013698630136"/>
    <n v="0"/>
    <n v="17.263013698630136"/>
    <n v="0"/>
    <n v="0"/>
    <n v="3347970"/>
  </r>
  <r>
    <n v="16"/>
    <s v="Land - Sugar Godown &amp; Cane Centre,Alipur &amp; Nainapur"/>
    <s v="Sugar Division"/>
    <x v="0"/>
    <m/>
    <s v="Common"/>
    <d v="2005-01-01T00:00:00"/>
    <n v="393586"/>
    <n v="0"/>
    <n v="0"/>
    <n v="393586"/>
    <n v="0"/>
    <n v="99"/>
    <n v="15.260273972602739"/>
    <n v="0"/>
    <n v="16.260273972602739"/>
    <n v="0"/>
    <n v="0"/>
    <n v="393586"/>
  </r>
  <r>
    <n v="17"/>
    <s v="Land - Fair Value (01.04.2015)"/>
    <s v="Sugar Division"/>
    <x v="0"/>
    <m/>
    <s v="Common"/>
    <d v="2017-04-01T00:00:00"/>
    <n v="142660000"/>
    <n v="0"/>
    <n v="0"/>
    <n v="142660000"/>
    <n v="0"/>
    <n v="99"/>
    <n v="3.0054794520547947"/>
    <n v="0"/>
    <n v="4.0054794520547947"/>
    <n v="0"/>
    <n v="0"/>
    <n v="142660000"/>
  </r>
  <r>
    <n v="18"/>
    <s v="Land - Gurudwara"/>
    <s v="Sugar Division"/>
    <x v="0"/>
    <m/>
    <s v="Common"/>
    <d v="2018-04-01T00:00:00"/>
    <n v="12934340"/>
    <n v="0"/>
    <n v="0"/>
    <n v="12934340"/>
    <n v="0"/>
    <n v="99"/>
    <n v="2.0054794520547947"/>
    <n v="0"/>
    <n v="3.0054794520547947"/>
    <n v="0"/>
    <n v="0"/>
    <n v="12934340"/>
  </r>
  <r>
    <n v="19"/>
    <s v="36 Block"/>
    <s v="Sugar Division"/>
    <x v="1"/>
    <m/>
    <s v="Common"/>
    <d v="2015-12-31T00:00:00"/>
    <n v="270471"/>
    <n v="0"/>
    <n v="1091.1467054794523"/>
    <n v="269379.85329452052"/>
    <n v="13523.550000000001"/>
    <n v="60"/>
    <n v="4.2575342465753421"/>
    <n v="17141.562760273973"/>
    <n v="5.2575342465753421"/>
    <n v="4264.2717215753419"/>
    <n v="21405.834481849313"/>
    <n v="13523.550000000001"/>
  </r>
  <r>
    <n v="20"/>
    <s v="Cane Yard"/>
    <s v="Sugar Division"/>
    <x v="1"/>
    <m/>
    <s v="Upto gate"/>
    <d v="2021-03-15T00:00:00"/>
    <n v="0"/>
    <n v="7645038.4199999999"/>
    <n v="0"/>
    <n v="7645038.4199999999"/>
    <n v="382251.92100000003"/>
    <n v="30"/>
    <n v="0"/>
    <n v="0"/>
    <n v="4.9315068493150684E-2"/>
    <n v="11938.827121643835"/>
    <n v="11938.827121643835"/>
    <n v="7633099.5928783556"/>
  </r>
  <r>
    <n v="21"/>
    <s v="Rcc Flooring At Old Aux Cane Carrier"/>
    <s v="Sugar Division"/>
    <x v="1"/>
    <m/>
    <s v="Upto gate"/>
    <d v="2020-03-31T00:00:00"/>
    <n v="212557.74"/>
    <n v="0"/>
    <n v="0"/>
    <n v="212557.74"/>
    <n v="10627.887000000001"/>
    <n v="30"/>
    <n v="5.4794520547945206E-3"/>
    <n v="36.88216493150685"/>
    <n v="1.0054794520547945"/>
    <n v="6730.9951000000001"/>
    <n v="6767.8772649315069"/>
    <n v="205789.86273506848"/>
  </r>
  <r>
    <n v="22"/>
    <s v="Guest House (36 Rooms)"/>
    <s v="Sugar Division"/>
    <x v="1"/>
    <m/>
    <s v="Common"/>
    <d v="2015-01-04T00:00:00"/>
    <n v="17261562.989999998"/>
    <n v="0"/>
    <n v="339950.32500397257"/>
    <n v="16921612.664996024"/>
    <n v="863078.14949999994"/>
    <n v="60"/>
    <n v="5.2465753424657535"/>
    <n v="1093981.1119621233"/>
    <n v="6.2465753424657535"/>
    <n v="267642.24192493374"/>
    <n v="1361623.3538870569"/>
    <n v="863078.14949999994"/>
  </r>
  <r>
    <n v="23"/>
    <s v="Sugar Godown"/>
    <s v="Sugar Division"/>
    <x v="1"/>
    <m/>
    <s v="Sugar Godown - Distribution"/>
    <d v="2005-06-30T00:00:00"/>
    <n v="13861667.619999999"/>
    <n v="0"/>
    <n v="1862528.1952069001"/>
    <n v="11999139.424793098"/>
    <n v="693083.38100000005"/>
    <n v="60"/>
    <n v="14.767123287671232"/>
    <n v="1378506.9211497204"/>
    <n v="15.767123287671232"/>
    <n v="188434.26739655162"/>
    <n v="1566941.188546272"/>
    <n v="693083.38100000005"/>
  </r>
  <r>
    <n v="24"/>
    <s v="Pump Room (H.O.)"/>
    <s v="Sugar Division"/>
    <x v="1"/>
    <m/>
    <s v="Juice Costing"/>
    <d v="1998-03-31T00:00:00"/>
    <n v="29264"/>
    <n v="0"/>
    <n v="8349.1261004566204"/>
    <n v="20914.873899543381"/>
    <n v="1463.2"/>
    <n v="60"/>
    <n v="22.021917808219179"/>
    <n v="1854.6561095890411"/>
    <n v="23.021917808219179"/>
    <n v="324.1945649923897"/>
    <n v="2178.8506745814307"/>
    <n v="1463.2"/>
  </r>
  <r>
    <n v="25"/>
    <s v="Labour Quarter"/>
    <s v="Sugar Division"/>
    <x v="1"/>
    <m/>
    <s v="Common"/>
    <d v="2013-03-15T00:00:00"/>
    <n v="1236013.75"/>
    <n v="0"/>
    <n v="119458.75357305937"/>
    <n v="1116554.9964269407"/>
    <n v="61800.6875"/>
    <n v="30"/>
    <n v="7.0547945205479454"/>
    <n v="156668.97573630136"/>
    <n v="8.0547945205479454"/>
    <n v="35158.476964231355"/>
    <n v="191827.45270053271"/>
    <n v="61800.6875"/>
  </r>
  <r>
    <n v="26"/>
    <s v="Industry House At Calcutta "/>
    <s v="Sugar Division"/>
    <x v="1"/>
    <m/>
    <s v="Common"/>
    <d v="1981-01-01T00:00:00"/>
    <n v="38986"/>
    <n v="0"/>
    <n v="21773.85901826484"/>
    <n v="17212.14098173516"/>
    <n v="1949.3000000000002"/>
    <n v="60"/>
    <n v="39.276712328767125"/>
    <n v="2470.8045068493157"/>
    <n v="40.276712328767125"/>
    <n v="254.38068302891932"/>
    <n v="2725.1851898782352"/>
    <n v="1949.3000000000002"/>
  </r>
  <r>
    <n v="27"/>
    <s v="Birla Building Calcutta"/>
    <s v="Sugar Division"/>
    <x v="1"/>
    <m/>
    <s v="Common"/>
    <d v="1981-01-01T00:00:00"/>
    <n v="68191"/>
    <n v="0"/>
    <n v="38084.984874429225"/>
    <n v="30106.015125570775"/>
    <n v="3409.55"/>
    <n v="60"/>
    <n v="39.276712328767125"/>
    <n v="4321.7213904109594"/>
    <n v="40.276712328767125"/>
    <n v="444.9410854261796"/>
    <n v="4766.662475837139"/>
    <n v="3409.55"/>
  </r>
  <r>
    <n v="28"/>
    <s v="Room  For Automation Control"/>
    <s v="Sugar Division"/>
    <x v="1"/>
    <m/>
    <s v="Common"/>
    <d v="2009-12-15T00:00:00"/>
    <n v="222821.9"/>
    <n v="0"/>
    <n v="44462.634840182647"/>
    <n v="178359.26515981735"/>
    <n v="11141.095000000001"/>
    <n v="30"/>
    <n v="10.304109589041095"/>
    <n v="28243.438913698621"/>
    <n v="11.304109589041095"/>
    <n v="5573.9390053272455"/>
    <n v="33817.377919025865"/>
    <n v="11141.095000000001"/>
  </r>
  <r>
    <n v="29"/>
    <s v="At Calcutta [Share]"/>
    <s v="Sugar Division"/>
    <x v="1"/>
    <m/>
    <s v="Common"/>
    <d v="1979-01-01T00:00:00"/>
    <n v="19"/>
    <n v="0"/>
    <n v="11.214077625570777"/>
    <n v="7.785922374429223"/>
    <n v="0.95000000000000007"/>
    <n v="60"/>
    <n v="41.279452054794518"/>
    <n v="1.2041575342465745"/>
    <n v="42.279452054794518"/>
    <n v="0.11393203957382038"/>
    <n v="1.3180895738203948"/>
    <n v="0.95000000000000007"/>
  </r>
  <r>
    <n v="30"/>
    <s v="At Calcutta [Share]"/>
    <s v="Sugar Division"/>
    <x v="1"/>
    <m/>
    <s v="Common"/>
    <d v="1978-01-01T00:00:00"/>
    <n v="648"/>
    <n v="0"/>
    <n v="392.7190684931507"/>
    <n v="255.2809315068493"/>
    <n v="32.4"/>
    <n v="60"/>
    <n v="42.279452054794518"/>
    <n v="41.068109589041057"/>
    <n v="43.279452054794518"/>
    <n v="3.7146821917808217"/>
    <n v="44.782791780821881"/>
    <n v="32.4"/>
  </r>
  <r>
    <n v="31"/>
    <s v="Staff Qtr. 2 Room Set-6 Nos"/>
    <s v="Sugar Division"/>
    <x v="1"/>
    <m/>
    <s v="Common"/>
    <d v="2007-03-02T00:00:00"/>
    <n v="2265562.75"/>
    <n v="0"/>
    <n v="652368.27661073045"/>
    <n v="1613194.4733892696"/>
    <n v="113278.13750000001"/>
    <n v="30"/>
    <n v="13.095890410958905"/>
    <n v="287167.83733904117"/>
    <n v="14.095890410958905"/>
    <n v="49997.211196308985"/>
    <n v="337165.04853535013"/>
    <n v="113278.13750000001"/>
  </r>
  <r>
    <n v="32"/>
    <s v="At Calcutta [Share]"/>
    <s v="Sugar Division"/>
    <x v="1"/>
    <m/>
    <s v="Common"/>
    <d v="1977-01-01T00:00:00"/>
    <n v="331"/>
    <n v="0"/>
    <n v="205.84270319634703"/>
    <n v="125.15729680365297"/>
    <n v="16.55"/>
    <n v="60"/>
    <n v="43.279452054794518"/>
    <n v="20.977691780821885"/>
    <n v="44.279452054794518"/>
    <n v="1.8101216133942162"/>
    <n v="22.787813394216101"/>
    <n v="16.55"/>
  </r>
  <r>
    <n v="33"/>
    <s v="Bachelor Qtr."/>
    <s v="Sugar Division"/>
    <x v="1"/>
    <m/>
    <s v="Common"/>
    <d v="2006-10-15T00:00:00"/>
    <n v="208118.27"/>
    <n v="0"/>
    <n v="62419.325700502275"/>
    <n v="145698.9442994977"/>
    <n v="10405.913500000001"/>
    <n v="30"/>
    <n v="13.473972602739726"/>
    <n v="26379.703456301373"/>
    <n v="14.473972602739726"/>
    <n v="4509.7676933165903"/>
    <n v="30889.471149617963"/>
    <n v="10405.913500000001"/>
  </r>
  <r>
    <n v="34"/>
    <s v="Staff Quarter"/>
    <s v="Sugar Division"/>
    <x v="1"/>
    <m/>
    <s v="Common"/>
    <d v="2006-06-15T00:00:00"/>
    <n v="547429"/>
    <n v="0"/>
    <n v="169980.45401369862"/>
    <n v="377448.54598630138"/>
    <n v="27371.45"/>
    <n v="30"/>
    <n v="13.808219178082192"/>
    <n v="69388.500506849348"/>
    <n v="14.808219178082192"/>
    <n v="11669.236532876712"/>
    <n v="81057.737039726053"/>
    <n v="27371.45"/>
  </r>
  <r>
    <n v="35"/>
    <s v="Filter Quarter"/>
    <s v="Sugar Division"/>
    <x v="1"/>
    <m/>
    <s v="Common"/>
    <d v="2006-06-15T00:00:00"/>
    <n v="1256013.24"/>
    <n v="0"/>
    <n v="390000.71385041095"/>
    <n v="866012.5261495891"/>
    <n v="62800.662000000004"/>
    <n v="30"/>
    <n v="13.808219178082192"/>
    <n v="159203.9795852055"/>
    <n v="14.808219178082192"/>
    <n v="26773.728804986302"/>
    <n v="185977.70839019181"/>
    <n v="62800.662000000004"/>
  </r>
  <r>
    <n v="36"/>
    <s v="Boundary Wall &amp; Room For W.B."/>
    <s v="Sugar Division"/>
    <x v="1"/>
    <m/>
    <s v="Upto gate"/>
    <d v="2006-01-31T00:00:00"/>
    <n v="679585.17"/>
    <n v="0"/>
    <n v="218975.37491424658"/>
    <n v="460609.79508575343"/>
    <n v="33979.258500000004"/>
    <n v="30"/>
    <n v="14.178082191780822"/>
    <n v="86139.74764397266"/>
    <n v="15.178082191780822"/>
    <n v="14221.017886191781"/>
    <n v="100360.76553016444"/>
    <n v="33979.258500000004"/>
  </r>
  <r>
    <n v="37"/>
    <s v="Birla Building Calcutta"/>
    <s v="Sugar Division"/>
    <x v="1"/>
    <m/>
    <s v="Common"/>
    <d v="1976-01-01T00:00:00"/>
    <n v="837"/>
    <n v="0"/>
    <n v="533.80343835616429"/>
    <n v="303.19656164383571"/>
    <n v="41.85"/>
    <n v="60"/>
    <n v="44.282191780821918"/>
    <n v="53.046308219178172"/>
    <n v="45.282191780821918"/>
    <n v="4.355776027397261"/>
    <n v="57.402084246575434"/>
    <n v="41.85"/>
  </r>
  <r>
    <n v="38"/>
    <s v="Yard &amp; Token Room"/>
    <s v="Sugar Division"/>
    <x v="1"/>
    <m/>
    <s v="Upto gate"/>
    <d v="2005-11-07T00:00:00"/>
    <n v="239029.81"/>
    <n v="0"/>
    <n v="78782.697331552496"/>
    <n v="160247.11266844749"/>
    <n v="11951.4905"/>
    <n v="30"/>
    <n v="14.41095890410959"/>
    <n v="30297.84701273973"/>
    <n v="15.41095890410959"/>
    <n v="4943.1874056149154"/>
    <n v="35241.034418354648"/>
    <n v="11951.4905"/>
  </r>
  <r>
    <n v="39"/>
    <s v="Drain For Sugar Godown"/>
    <s v="Sugar Division"/>
    <x v="1"/>
    <m/>
    <s v="Sugar Godown - Distribution"/>
    <d v="2005-11-01T00:00:00"/>
    <n v="183095"/>
    <n v="0"/>
    <n v="60442.251255707764"/>
    <n v="122652.74874429224"/>
    <n v="9154.75"/>
    <n v="30"/>
    <n v="14.427397260273972"/>
    <n v="23207.918287671222"/>
    <n v="15.427397260273972"/>
    <n v="3783.2666248097412"/>
    <n v="26991.184912480963"/>
    <n v="9154.75"/>
  </r>
  <r>
    <n v="40"/>
    <s v="Boundry Wall Of Sugar Godown"/>
    <s v="Sugar Division"/>
    <x v="1"/>
    <m/>
    <s v="Sugar Godown - Distribution"/>
    <d v="2005-06-30T00:00:00"/>
    <n v="391666.44"/>
    <n v="0"/>
    <n v="133508.17996547944"/>
    <n v="258158.26003452056"/>
    <n v="19583.322"/>
    <n v="30"/>
    <n v="14.767123287671232"/>
    <n v="49645.062593424664"/>
    <n v="15.767123287671232"/>
    <n v="7952.4979344840176"/>
    <n v="57597.560527908681"/>
    <n v="19583.322"/>
  </r>
  <r>
    <n v="41"/>
    <s v="Birla Building Calcutta"/>
    <s v="Sugar Division"/>
    <x v="1"/>
    <m/>
    <s v="Common"/>
    <d v="1975-01-01T00:00:00"/>
    <n v="5032"/>
    <n v="0"/>
    <n v="3288.8715433789953"/>
    <n v="1743.1284566210047"/>
    <n v="251.60000000000002"/>
    <n v="60"/>
    <n v="45.282191780821918"/>
    <n v="318.9116164383563"/>
    <n v="46.282191780821918"/>
    <n v="24.85880761035008"/>
    <n v="343.77042404870639"/>
    <n v="251.60000000000002"/>
  </r>
  <r>
    <n v="42"/>
    <s v="Birla Building Calcutta"/>
    <s v="Sugar Division"/>
    <x v="1"/>
    <m/>
    <s v="Common"/>
    <d v="1974-01-01T00:00:00"/>
    <n v="16329"/>
    <n v="0"/>
    <n v="10931.035232876709"/>
    <n v="5397.9647671232906"/>
    <n v="816.45"/>
    <n v="60"/>
    <n v="46.282191780821918"/>
    <n v="1034.8783356164404"/>
    <n v="47.282191780821918"/>
    <n v="76.35857945205484"/>
    <n v="1111.2369150684951"/>
    <n v="816.45"/>
  </r>
  <r>
    <n v="43"/>
    <s v="New Cotrol Room "/>
    <s v="Sugar Division"/>
    <x v="1"/>
    <m/>
    <s v="Common"/>
    <d v="2003-11-30T00:00:00"/>
    <n v="139076"/>
    <n v="0"/>
    <n v="54381.256200913245"/>
    <n v="84694.743799086747"/>
    <n v="6953.8"/>
    <n v="30"/>
    <n v="16.350684931506848"/>
    <n v="17628.359287671228"/>
    <n v="17.350684931506848"/>
    <n v="2591.3647933028915"/>
    <n v="20219.72408097412"/>
    <n v="6953.8"/>
  </r>
  <r>
    <n v="44"/>
    <s v="Quarter Two Room Set 2 Nos."/>
    <s v="Sugar Division"/>
    <x v="1"/>
    <m/>
    <s v="Common"/>
    <d v="2003-06-30T00:00:00"/>
    <n v="250554"/>
    <n v="0"/>
    <n v="101297.03726027397"/>
    <n v="149256.96273972603"/>
    <n v="12527.7"/>
    <n v="30"/>
    <n v="16.769863013698629"/>
    <n v="31758.577561643819"/>
    <n v="17.769863013698629"/>
    <n v="4557.6420913242009"/>
    <n v="36316.219652968022"/>
    <n v="12527.7"/>
  </r>
  <r>
    <n v="45"/>
    <s v="Quarter One Room Set  4 Nos. "/>
    <s v="Sugar Division"/>
    <x v="1"/>
    <m/>
    <s v="Common"/>
    <d v="2003-06-30T00:00:00"/>
    <n v="273129"/>
    <n v="0"/>
    <n v="110423.93452054793"/>
    <n v="162705.06547945208"/>
    <n v="13656.45"/>
    <n v="30"/>
    <n v="16.769863013698629"/>
    <n v="34620.036123287646"/>
    <n v="17.769863013698629"/>
    <n v="4968.2871826484024"/>
    <n v="39588.32330593605"/>
    <n v="13656.45"/>
  </r>
  <r>
    <n v="46"/>
    <s v="Store Racks                                               &quot;"/>
    <s v="Sugar Division"/>
    <x v="1"/>
    <m/>
    <s v="Common"/>
    <d v="1973-01-01T00:00:00"/>
    <n v="4213"/>
    <n v="0"/>
    <n v="2886.9919155251141"/>
    <n v="1326.0080844748859"/>
    <n v="210.65"/>
    <n v="60"/>
    <n v="47.282191780821918"/>
    <n v="267.00608904109595"/>
    <n v="48.282191780821918"/>
    <n v="18.589301407914764"/>
    <n v="285.59539044901072"/>
    <n v="210.65"/>
  </r>
  <r>
    <n v="47"/>
    <s v="Remaining Work Of Sugar Godown At Aira     &quot;"/>
    <s v="Sugar Division"/>
    <x v="1"/>
    <m/>
    <s v="Sugar Godown - Distribution"/>
    <d v="1973-01-01T00:00:00"/>
    <n v="14911"/>
    <n v="0"/>
    <n v="10217.881901826484"/>
    <n v="4693.118098173516"/>
    <n v="745.55000000000007"/>
    <n v="60"/>
    <n v="47.282191780821918"/>
    <n v="945.0101575342469"/>
    <n v="48.282191780821918"/>
    <n v="65.792801636225263"/>
    <n v="1010.8029591704721"/>
    <n v="745.55000000000007"/>
  </r>
  <r>
    <n v="48"/>
    <s v="Birla Building Calcutta"/>
    <s v="Sugar Division"/>
    <x v="1"/>
    <m/>
    <s v="Common"/>
    <d v="1973-01-01T00:00:00"/>
    <n v="94052"/>
    <n v="0"/>
    <n v="64449.884557077618"/>
    <n v="29602.115442922382"/>
    <n v="4702.6000000000004"/>
    <n v="60"/>
    <n v="47.282191780821918"/>
    <n v="5960.706547945214"/>
    <n v="48.282191780821918"/>
    <n v="414.99192404870638"/>
    <n v="6375.6984719939201"/>
    <n v="4702.6000000000004"/>
  </r>
  <r>
    <n v="49"/>
    <s v="Hsd Storage Tank "/>
    <s v="Sugar Division"/>
    <x v="1"/>
    <m/>
    <s v="Common"/>
    <d v="2002-01-01T00:00:00"/>
    <n v="212142"/>
    <n v="0"/>
    <n v="95798.096301369864"/>
    <n v="116343.90369863014"/>
    <n v="10607.1"/>
    <n v="30"/>
    <n v="18.263013698630136"/>
    <n v="26889.725013698626"/>
    <n v="19.263013698630136"/>
    <n v="3524.5601232876711"/>
    <n v="30414.285136986298"/>
    <n v="10607.1"/>
  </r>
  <r>
    <n v="50"/>
    <s v="Cane Yard "/>
    <s v="Sugar Division"/>
    <x v="1"/>
    <m/>
    <s v="Upto gate"/>
    <d v="2002-01-01T00:00:00"/>
    <n v="873926"/>
    <n v="0"/>
    <n v="394643.43273972598"/>
    <n v="479282.56726027402"/>
    <n v="43696.3"/>
    <n v="30"/>
    <n v="18.263013698630136"/>
    <n v="110773.11339726025"/>
    <n v="19.263013698630136"/>
    <n v="14519.542242009134"/>
    <n v="125292.65563926939"/>
    <n v="43696.3"/>
  </r>
  <r>
    <n v="51"/>
    <s v="New Sugar Godown                                   &quot;         &quot;"/>
    <s v="Sugar Division"/>
    <x v="1"/>
    <m/>
    <s v="Sugar Godown - Distribution"/>
    <d v="1972-01-01T00:00:00"/>
    <n v="11285"/>
    <n v="0"/>
    <n v="7912.3051255707769"/>
    <n v="3372.6948744292231"/>
    <n v="564.25"/>
    <n v="60"/>
    <n v="48.284931506849318"/>
    <n v="715.2061986301369"/>
    <n v="49.284931506849318"/>
    <n v="46.807414573820381"/>
    <n v="762.01361320395722"/>
    <n v="564.25"/>
  </r>
  <r>
    <n v="52"/>
    <s v="Industry House At Calcutta                         &quot;"/>
    <s v="Sugar Division"/>
    <x v="1"/>
    <m/>
    <s v="Common"/>
    <d v="1971-01-01T00:00:00"/>
    <n v="65"/>
    <n v="0"/>
    <n v="46.60292237442922"/>
    <n v="18.39707762557078"/>
    <n v="3.25"/>
    <n v="60"/>
    <n v="49.284931506849318"/>
    <n v="4.1194863013698679"/>
    <n v="50.284931506849318"/>
    <n v="0.25245129375951303"/>
    <n v="4.3719375951293813"/>
    <n v="3.25"/>
  </r>
  <r>
    <n v="53"/>
    <s v="Stores Racks                            &quot;"/>
    <s v="Sugar Division"/>
    <x v="1"/>
    <m/>
    <s v="Common"/>
    <d v="1971-01-01T00:00:00"/>
    <n v="1990"/>
    <n v="0"/>
    <n v="1426.7663926940638"/>
    <n v="563.23360730593618"/>
    <n v="99.5"/>
    <n v="60"/>
    <n v="49.284931506849318"/>
    <n v="126.1196575342467"/>
    <n v="50.284931506849318"/>
    <n v="7.7288934550989365"/>
    <n v="133.84855098934563"/>
    <n v="99.5"/>
  </r>
  <r>
    <n v="54"/>
    <s v="New Sugar Godown             "/>
    <s v="Sugar Division"/>
    <x v="1"/>
    <m/>
    <s v="Sugar Godown - Distribution"/>
    <d v="1971-01-01T00:00:00"/>
    <n v="14852"/>
    <n v="0"/>
    <n v="10648.409278538813"/>
    <n v="4203.5907214611871"/>
    <n v="742.6"/>
    <n v="60"/>
    <n v="49.284931506849318"/>
    <n v="941.27093150684959"/>
    <n v="50.284931506849318"/>
    <n v="57.683178691019783"/>
    <n v="998.95411019786934"/>
    <n v="742.6"/>
  </r>
  <r>
    <n v="55"/>
    <s v="Revenscar Property At Shillong Th. Calcutta Office "/>
    <s v="Sugar Division"/>
    <x v="1"/>
    <m/>
    <s v="Common"/>
    <d v="1970-01-01T00:00:00"/>
    <n v="3502"/>
    <n v="0"/>
    <n v="2566.2703972602744"/>
    <n v="935.72960273972558"/>
    <n v="175.10000000000002"/>
    <n v="60"/>
    <n v="50.284931506849318"/>
    <n v="221.94524657534248"/>
    <n v="51.284931506849318"/>
    <n v="12.677160045662092"/>
    <n v="234.62240662100459"/>
    <n v="175.10000000000002"/>
  </r>
  <r>
    <n v="56"/>
    <s v="Head Office Building [Industry House]"/>
    <s v="Sugar Division"/>
    <x v="1"/>
    <m/>
    <s v="Common"/>
    <d v="1970-01-01T00:00:00"/>
    <n v="3867"/>
    <n v="0"/>
    <n v="2833.7428972602738"/>
    <n v="1033.2571027397262"/>
    <n v="193.35000000000002"/>
    <n v="60"/>
    <n v="50.284931506849318"/>
    <n v="245.07774657534264"/>
    <n v="51.284931506849318"/>
    <n v="13.99845171232877"/>
    <n v="259.07619828767139"/>
    <n v="193.35000000000002"/>
  </r>
  <r>
    <n v="57"/>
    <s v="Industries House,Calcutta [Th. Kamal Trading Co.)"/>
    <s v="Sugar Division"/>
    <x v="1"/>
    <m/>
    <s v="Common"/>
    <d v="1970-01-01T00:00:00"/>
    <n v="16000"/>
    <n v="0"/>
    <n v="11724.82191780822"/>
    <n v="4275.17808219178"/>
    <n v="800"/>
    <n v="60"/>
    <n v="50.284931506849318"/>
    <n v="1014.0273972602754"/>
    <n v="51.284931506849318"/>
    <n v="57.91963470319633"/>
    <n v="1071.9470319634718"/>
    <n v="800"/>
  </r>
  <r>
    <n v="58"/>
    <s v="New Sugar Godown At Aira"/>
    <s v="Sugar Division"/>
    <x v="1"/>
    <m/>
    <s v="Sugar Godown - Distribution"/>
    <d v="1970-01-01T00:00:00"/>
    <n v="103745"/>
    <n v="0"/>
    <n v="76024.47811643836"/>
    <n v="27720.52188356164"/>
    <n v="5187.25"/>
    <n v="60"/>
    <n v="50.284931506849318"/>
    <n v="6575.0170205479371"/>
    <n v="51.284931506849318"/>
    <n v="375.554531392694"/>
    <n v="6950.5715519406313"/>
    <n v="5187.25"/>
  </r>
  <r>
    <n v="59"/>
    <s v="Drain For Etp "/>
    <s v="Sugar Division"/>
    <x v="1"/>
    <m/>
    <s v="Utilities - ETP"/>
    <d v="1999-11-25T00:00:00"/>
    <n v="3118901"/>
    <n v="0"/>
    <n v="1116231.5880684899"/>
    <n v="2002669.4119315101"/>
    <n v="155945.05000000002"/>
    <n v="30"/>
    <n v="20.367123287671234"/>
    <n v="895331.38291781163"/>
    <n v="21.367123287671234"/>
    <n v="61557.478731050331"/>
    <n v="956888.86164886202"/>
    <n v="155945.05000000002"/>
  </r>
  <r>
    <n v="60"/>
    <s v="House For D G Set"/>
    <s v="Sugar Division"/>
    <x v="1"/>
    <m/>
    <s v="Common"/>
    <d v="1998-12-31T00:00:00"/>
    <n v="116637"/>
    <n v="0"/>
    <n v="63771.146602739725"/>
    <n v="52865.853397260275"/>
    <n v="5831.85"/>
    <n v="30"/>
    <n v="21.268493150684932"/>
    <n v="14784.139191780821"/>
    <n v="22.268493150684932"/>
    <n v="1567.8001132420093"/>
    <n v="16351.93930502283"/>
    <n v="5831.85"/>
  </r>
  <r>
    <n v="61"/>
    <s v="Mill Gate"/>
    <s v="Sugar Division"/>
    <x v="1"/>
    <m/>
    <s v="Upto gate"/>
    <d v="1969-01-01T00:00:00"/>
    <n v="77"/>
    <n v="0"/>
    <n v="57.644872146118722"/>
    <n v="19.355127853881278"/>
    <n v="3.85"/>
    <n v="60"/>
    <n v="51.284931506849318"/>
    <n v="4.8800068493150732"/>
    <n v="52.284931506849318"/>
    <n v="0.258418797564688"/>
    <n v="5.1384256468797611"/>
    <n v="3.85"/>
  </r>
  <r>
    <n v="62"/>
    <s v="Revenscar Property At Shillong Th. Calcutta Office "/>
    <s v="Sugar Division"/>
    <x v="1"/>
    <m/>
    <s v="Common"/>
    <d v="1969-01-01T00:00:00"/>
    <n v="125"/>
    <n v="0"/>
    <n v="93.57933789954339"/>
    <n v="31.42066210045661"/>
    <n v="6.25"/>
    <n v="60"/>
    <n v="51.284931506849318"/>
    <n v="7.9220890410958873"/>
    <n v="52.284931506849318"/>
    <n v="0.41951103500761017"/>
    <n v="8.3416000761034983"/>
    <n v="6.25"/>
  </r>
  <r>
    <n v="63"/>
    <s v="Fitter Quarter 2 Room 6 Nos."/>
    <s v="Sugar Division"/>
    <x v="1"/>
    <m/>
    <s v="Common"/>
    <d v="1998-12-15T00:00:00"/>
    <n v="1026414"/>
    <n v="0"/>
    <n v="562615.47665753425"/>
    <n v="463798.52334246575"/>
    <n v="51320.700000000004"/>
    <n v="30"/>
    <n v="21.312328767123287"/>
    <n v="130101.48961643828"/>
    <n v="22.312328767123287"/>
    <n v="13749.260778082191"/>
    <n v="143850.75039452047"/>
    <n v="51320.700000000004"/>
  </r>
  <r>
    <n v="64"/>
    <s v="Two Room Quarter 6 Nos."/>
    <s v="Sugar Division"/>
    <x v="1"/>
    <m/>
    <s v="Common"/>
    <d v="1998-12-15T00:00:00"/>
    <n v="2196067"/>
    <n v="0"/>
    <n v="703745.54709588992"/>
    <n v="1492321.4529041101"/>
    <n v="109803.35"/>
    <n v="30"/>
    <n v="21.312328767123287"/>
    <n v="778359.01302739745"/>
    <n v="22.312328767123287"/>
    <n v="46083.93676347033"/>
    <n v="824442.94979086774"/>
    <n v="109803.35"/>
  </r>
  <r>
    <n v="65"/>
    <s v="Sugar Godown (Lighting System) "/>
    <s v="Sugar Division"/>
    <x v="1"/>
    <m/>
    <s v="Sugar Godown - Distribution"/>
    <d v="1998-11-15T00:00:00"/>
    <n v="117419"/>
    <n v="0"/>
    <n v="64667.307890410964"/>
    <n v="52751.692109589036"/>
    <n v="5870.9500000000007"/>
    <n v="30"/>
    <n v="21.394520547945206"/>
    <n v="14883.260369863005"/>
    <n v="22.394520547945206"/>
    <n v="1562.6914036529677"/>
    <n v="16445.951773515972"/>
    <n v="5870.9500000000007"/>
  </r>
  <r>
    <n v="66"/>
    <s v="Labour Quarter Single Room 5 Nos."/>
    <s v="Sugar Division"/>
    <x v="1"/>
    <m/>
    <s v="Common"/>
    <d v="1998-11-15T00:00:00"/>
    <n v="665346"/>
    <n v="0"/>
    <n v="366432.47375342465"/>
    <n v="298913.52624657535"/>
    <n v="33267.300000000003"/>
    <n v="30"/>
    <n v="21.394520547945206"/>
    <n v="84334.88408219174"/>
    <n v="22.394520547945206"/>
    <n v="8854.8742082191784"/>
    <n v="93189.758290410915"/>
    <n v="33267.300000000003"/>
  </r>
  <r>
    <n v="67"/>
    <s v="New Mill House  (Cement Flooring)"/>
    <s v="Sugar Division"/>
    <x v="1"/>
    <m/>
    <s v="Juice Costing"/>
    <d v="1998-11-15T00:00:00"/>
    <n v="740309"/>
    <n v="0"/>
    <n v="407717.5758356165"/>
    <n v="332591.4241643835"/>
    <n v="37015.450000000004"/>
    <n v="30"/>
    <n v="21.394520547945206"/>
    <n v="93836.701054794481"/>
    <n v="22.394520547945206"/>
    <n v="9852.5324721461166"/>
    <n v="103689.2335269406"/>
    <n v="37015.450000000004"/>
  </r>
  <r>
    <n v="68"/>
    <s v="Cane Yard (With Doors)"/>
    <s v="Sugar Division"/>
    <x v="1"/>
    <m/>
    <s v="Upto gate"/>
    <d v="1998-11-15T00:00:00"/>
    <n v="994382"/>
    <n v="0"/>
    <n v="547645.67024657538"/>
    <n v="446736.32975342462"/>
    <n v="49719.100000000006"/>
    <n v="30"/>
    <n v="21.394520547945206"/>
    <n v="126041.32391780813"/>
    <n v="22.394520547945206"/>
    <n v="13233.907658447488"/>
    <n v="139275.23157625561"/>
    <n v="49719.100000000006"/>
  </r>
  <r>
    <n v="69"/>
    <s v="Two Room Quarter 4 Nos."/>
    <s v="Sugar Division"/>
    <x v="1"/>
    <m/>
    <s v="Common"/>
    <d v="1998-07-01T00:00:00"/>
    <n v="2414872"/>
    <n v="0"/>
    <n v="858668.73735160008"/>
    <n v="1556203.2626483999"/>
    <n v="120743.6"/>
    <n v="30"/>
    <n v="21.769863013698629"/>
    <n v="806093.29610958719"/>
    <n v="22.769863013698629"/>
    <n v="47848.65542161333"/>
    <n v="853941.95153120055"/>
    <n v="120743.6"/>
  </r>
  <r>
    <n v="70"/>
    <s v="Colony &amp; Factory Drain "/>
    <s v="Sugar Division"/>
    <x v="1"/>
    <m/>
    <s v="Common"/>
    <d v="1998-03-15T00:00:00"/>
    <n v="78705"/>
    <n v="0"/>
    <n v="45018.900616438354"/>
    <n v="33686.099383561646"/>
    <n v="3935.25"/>
    <n v="30"/>
    <n v="22.065753424657533"/>
    <n v="9976.1282876712285"/>
    <n v="23.065753424657533"/>
    <n v="991.69497945205489"/>
    <n v="10967.823267123284"/>
    <n v="3935.25"/>
  </r>
  <r>
    <n v="71"/>
    <s v="House For Cane Seed Treatment Plant "/>
    <s v="Sugar Division"/>
    <x v="1"/>
    <m/>
    <s v="Upto gate"/>
    <d v="1998-01-01T00:00:00"/>
    <n v="21960"/>
    <n v="0"/>
    <n v="12700.099726027396"/>
    <n v="9259.9002739726038"/>
    <n v="1098"/>
    <n v="30"/>
    <n v="22.265753424657536"/>
    <n v="2783.5052054794542"/>
    <n v="23.265753424657536"/>
    <n v="272.06334246575346"/>
    <n v="3055.5685479452077"/>
    <n v="1098"/>
  </r>
  <r>
    <n v="72"/>
    <s v="House For Tubewell "/>
    <s v="Sugar Division"/>
    <x v="1"/>
    <m/>
    <s v="Common"/>
    <d v="1997-12-31T00:00:00"/>
    <n v="46303"/>
    <n v="0"/>
    <n v="26782.374059360729"/>
    <n v="19520.625940639271"/>
    <n v="2315.15"/>
    <n v="30"/>
    <n v="22.268493150684932"/>
    <n v="5869.0638219178072"/>
    <n v="23.268493150684932"/>
    <n v="573.51586468797564"/>
    <n v="6442.5796866057826"/>
    <n v="2315.15"/>
  </r>
  <r>
    <n v="73"/>
    <s v="New Mill Gate"/>
    <s v="Sugar Division"/>
    <x v="1"/>
    <m/>
    <s v="Upto gate"/>
    <d v="1968-01-01T00:00:00"/>
    <n v="575"/>
    <n v="0"/>
    <n v="439.59406392694063"/>
    <n v="135.40593607305937"/>
    <n v="28.75"/>
    <n v="60"/>
    <n v="52.287671232876711"/>
    <n v="36.441609589041036"/>
    <n v="53.287671232876711"/>
    <n v="1.7775989345509895"/>
    <n v="38.219208523592023"/>
    <n v="28.75"/>
  </r>
  <r>
    <n v="74"/>
    <s v="Revenscar Property At Shillong Th. Calcutta Office "/>
    <s v="Sugar Division"/>
    <x v="1"/>
    <m/>
    <s v="Common"/>
    <d v="1968-01-01T00:00:00"/>
    <n v="12759"/>
    <n v="0"/>
    <n v="9754.4011506849311"/>
    <n v="3004.5988493150689"/>
    <n v="637.95000000000005"/>
    <n v="60"/>
    <n v="52.287671232876711"/>
    <n v="808.62347260273964"/>
    <n v="53.287671232876711"/>
    <n v="39.444147488584484"/>
    <n v="848.0676200913241"/>
    <n v="637.95000000000005"/>
  </r>
  <r>
    <n v="75"/>
    <s v="New Boiler House "/>
    <s v="Sugar Division"/>
    <x v="1"/>
    <m/>
    <s v="30% in Juice Costing and 35% in DS and 35% in RS"/>
    <d v="1997-11-16T00:00:00"/>
    <n v="216369"/>
    <n v="0"/>
    <n v="125995.91704109589"/>
    <n v="90373.08295890411"/>
    <n v="10818.45"/>
    <n v="30"/>
    <n v="22.391780821917809"/>
    <n v="27425.511739726018"/>
    <n v="23.391780821917809"/>
    <n v="2651.8210986301369"/>
    <n v="30077.332838356157"/>
    <n v="10818.45"/>
  </r>
  <r>
    <n v="76"/>
    <s v="House For Weighbridge "/>
    <s v="Sugar Division"/>
    <x v="1"/>
    <m/>
    <s v="Upto gate"/>
    <d v="1997-11-16T00:00:00"/>
    <n v="217966"/>
    <n v="0"/>
    <n v="126925.88149771691"/>
    <n v="91040.11850228309"/>
    <n v="10898.300000000001"/>
    <n v="30"/>
    <n v="22.391780821917809"/>
    <n v="27627.936958904116"/>
    <n v="23.391780821917809"/>
    <n v="2671.393950076103"/>
    <n v="30299.330908980221"/>
    <n v="10898.300000000001"/>
  </r>
  <r>
    <n v="77"/>
    <s v="New Pan &amp; Centrifugal House "/>
    <s v="Sugar Division"/>
    <x v="1"/>
    <m/>
    <s v="50% each in RS and 50% in DS"/>
    <d v="1997-11-16T00:00:00"/>
    <n v="298350"/>
    <n v="0"/>
    <n v="173735.06301369864"/>
    <n v="124614.93698630136"/>
    <n v="14917.5"/>
    <n v="30"/>
    <n v="22.391780821917809"/>
    <n v="37816.884246575326"/>
    <n v="23.391780821917809"/>
    <n v="3656.581232876712"/>
    <n v="41473.465479452039"/>
    <n v="14917.5"/>
  </r>
  <r>
    <n v="78"/>
    <s v="New Boiling House "/>
    <s v="Sugar Division"/>
    <x v="1"/>
    <m/>
    <s v="50% each in RS and 50% in DS"/>
    <d v="1997-11-16T00:00:00"/>
    <n v="579062"/>
    <n v="0"/>
    <n v="337199.17231050233"/>
    <n v="241862.82768949767"/>
    <n v="28953.100000000002"/>
    <n v="30"/>
    <n v="22.391780821917809"/>
    <n v="73398.091589041054"/>
    <n v="23.391780821917809"/>
    <n v="7096.9909229832556"/>
    <n v="80495.08251202431"/>
    <n v="28953.100000000002"/>
  </r>
  <r>
    <n v="79"/>
    <s v="New Turbine House "/>
    <s v="Sugar Division"/>
    <x v="1"/>
    <m/>
    <s v="Power"/>
    <d v="1997-11-16T00:00:00"/>
    <n v="691222"/>
    <n v="0"/>
    <n v="402512.14253881283"/>
    <n v="288709.85746118717"/>
    <n v="34561.1"/>
    <n v="30"/>
    <n v="22.391780821917809"/>
    <n v="87614.755698630121"/>
    <n v="23.391780821917809"/>
    <n v="8471.6252487062393"/>
    <n v="96086.380947336365"/>
    <n v="34561.1"/>
  </r>
  <r>
    <n v="80"/>
    <s v="Cane Yard "/>
    <s v="Sugar Division"/>
    <x v="1"/>
    <m/>
    <s v="Upto gate"/>
    <d v="1997-11-16T00:00:00"/>
    <n v="6040430"/>
    <n v="0"/>
    <n v="2517460.9910502299"/>
    <n v="3522969.0089497701"/>
    <n v="302021.5"/>
    <n v="30"/>
    <n v="22.391780821917809"/>
    <n v="1765645.188904108"/>
    <n v="23.391780821917809"/>
    <n v="107364.91696499234"/>
    <n v="1873010.1058691004"/>
    <n v="302021.5"/>
  </r>
  <r>
    <n v="81"/>
    <s v="New Mill House "/>
    <s v="Sugar Division"/>
    <x v="1"/>
    <m/>
    <s v="Juice Costing"/>
    <d v="1997-11-16T00:00:00"/>
    <n v="9508784"/>
    <n v="0"/>
    <n v="2349151.6253516003"/>
    <n v="7159632.3746483997"/>
    <n v="475439.2"/>
    <n v="30"/>
    <n v="22.391780821917809"/>
    <n v="4393270.9363287659"/>
    <n v="23.391780821917809"/>
    <n v="222806.43915494665"/>
    <n v="4616077.3754837122"/>
    <n v="475439.2"/>
  </r>
  <r>
    <n v="82"/>
    <s v="Staff Quarters 3 Room "/>
    <s v="Sugar Division"/>
    <x v="1"/>
    <m/>
    <s v="Common"/>
    <d v="1997-11-01T00:00:00"/>
    <n v="2119489"/>
    <n v="0"/>
    <n v="736978.29934703"/>
    <n v="1382510.70065297"/>
    <n v="105974.45000000001"/>
    <n v="30"/>
    <n v="22.432876712328767"/>
    <n v="768652.48927397467"/>
    <n v="23.432876712328767"/>
    <n v="42551.208355098999"/>
    <n v="811203.69762907363"/>
    <n v="105974.45000000001"/>
  </r>
  <r>
    <n v="83"/>
    <s v="General Toilet "/>
    <s v="Sugar Division"/>
    <x v="1"/>
    <m/>
    <s v="Common"/>
    <d v="1997-06-30T00:00:00"/>
    <n v="183601"/>
    <n v="0"/>
    <n v="109128.57794063927"/>
    <n v="74472.422059360732"/>
    <n v="9180.0500000000011"/>
    <n v="30"/>
    <n v="22.772602739726029"/>
    <n v="23272.055520547947"/>
    <n v="23.772602739726029"/>
    <n v="2176.4124019786909"/>
    <n v="25448.467922526637"/>
    <n v="9180.0500000000011"/>
  </r>
  <r>
    <n v="84"/>
    <s v="Staff Quarters 2 Room 4 Nos."/>
    <s v="Sugar Division"/>
    <x v="1"/>
    <m/>
    <s v="Common"/>
    <d v="1997-04-30T00:00:00"/>
    <n v="973319"/>
    <n v="0"/>
    <n v="583671.4047123288"/>
    <n v="389647.5952876712"/>
    <n v="48665.950000000004"/>
    <n v="30"/>
    <n v="22.93972602739726"/>
    <n v="123371.5165342465"/>
    <n v="23.93972602739726"/>
    <n v="11366.054842922373"/>
    <n v="134737.57137716888"/>
    <n v="48665.950000000004"/>
  </r>
  <r>
    <n v="85"/>
    <s v="House For Motor Rewinding"/>
    <s v="Sugar Division"/>
    <x v="1"/>
    <m/>
    <s v="Common"/>
    <d v="1997-04-01T00:00:00"/>
    <n v="138021"/>
    <n v="0"/>
    <n v="83114.481547945194"/>
    <n v="54906.518452054806"/>
    <n v="6901.05"/>
    <n v="30"/>
    <n v="23.019178082191782"/>
    <n v="17494.634424657546"/>
    <n v="24.019178082191782"/>
    <n v="1600.1822817351601"/>
    <n v="19094.816706392707"/>
    <n v="6901.05"/>
  </r>
  <r>
    <n v="86"/>
    <s v="Labour Quarter For Expansion Project"/>
    <s v="Sugar Division"/>
    <x v="1"/>
    <m/>
    <s v="Common"/>
    <d v="1997-04-01T00:00:00"/>
    <n v="596180"/>
    <n v="0"/>
    <n v="359011.9736073059"/>
    <n v="237168.0263926941"/>
    <n v="29809"/>
    <n v="30"/>
    <n v="23.019178082191782"/>
    <n v="75567.856712328794"/>
    <n v="24.019178082191782"/>
    <n v="6911.9675464231368"/>
    <n v="82479.824258751934"/>
    <n v="29809"/>
  </r>
  <r>
    <n v="87"/>
    <s v="New Sugar Godown For One Lac Bags Capacity - Pfs"/>
    <s v="Sugar Division"/>
    <x v="1"/>
    <m/>
    <s v="Sugar Godown - Distribution"/>
    <d v="1997-03-25T00:00:00"/>
    <n v="7151071"/>
    <n v="0"/>
    <n v="3810626.4148493102"/>
    <n v="3340444.5851506898"/>
    <n v="357553.55000000005"/>
    <n v="30"/>
    <n v="23.038356164383561"/>
    <n v="1406422.7392191831"/>
    <n v="24.038356164383561"/>
    <n v="99429.701171689667"/>
    <n v="1505852.4403908728"/>
    <n v="357553.55000000005"/>
  </r>
  <r>
    <n v="88"/>
    <s v="New Power Supply Of Elactrical For Expansion Colony "/>
    <s v="Sugar Division"/>
    <x v="1"/>
    <m/>
    <s v="Common"/>
    <d v="1997-03-15T00:00:00"/>
    <n v="141205"/>
    <n v="0"/>
    <n v="85240.106894977172"/>
    <n v="55964.893105022828"/>
    <n v="7060.25"/>
    <n v="30"/>
    <n v="23.065753424657533"/>
    <n v="17898.217328767118"/>
    <n v="24.065753424657533"/>
    <n v="1630.1547701674276"/>
    <n v="19528.372098934546"/>
    <n v="7060.25"/>
  </r>
  <r>
    <n v="89"/>
    <s v="New Light System In Ne Cane Yard ,Factory And Bagasse Yard"/>
    <s v="Sugar Division"/>
    <x v="1"/>
    <m/>
    <s v="Upto gate"/>
    <d v="1997-03-15T00:00:00"/>
    <n v="203134"/>
    <n v="0"/>
    <n v="122624.29711415524"/>
    <n v="80509.702885844759"/>
    <n v="10156.700000000001"/>
    <n v="30"/>
    <n v="23.065753424657533"/>
    <n v="25747.930164383535"/>
    <n v="24.065753424657533"/>
    <n v="2345.1000961948253"/>
    <n v="28093.030260578362"/>
    <n v="10156.700000000001"/>
  </r>
  <r>
    <n v="90"/>
    <s v="Labour Quarters For Expansion Project   "/>
    <s v="Sugar Division"/>
    <x v="1"/>
    <m/>
    <s v="Common"/>
    <d v="1997-03-15T00:00:00"/>
    <n v="290000"/>
    <n v="0"/>
    <n v="175062.00913242009"/>
    <n v="114937.99086757991"/>
    <n v="14500"/>
    <n v="30"/>
    <n v="23.065753424657533"/>
    <n v="36758.493150684924"/>
    <n v="24.065753424657533"/>
    <n v="3347.9330289193304"/>
    <n v="40106.426179604256"/>
    <n v="14500"/>
  </r>
  <r>
    <n v="91"/>
    <s v="Lime &amp; Sulphur Godown "/>
    <s v="Sugar Division"/>
    <x v="1"/>
    <m/>
    <s v="DS Costing"/>
    <d v="1997-03-13T00:00:00"/>
    <n v="283304"/>
    <n v="0"/>
    <n v="171069.04547945206"/>
    <n v="112234.95452054794"/>
    <n v="14165.2"/>
    <n v="30"/>
    <n v="23.07123287671233"/>
    <n v="35909.752219178074"/>
    <n v="24.07123287671233"/>
    <n v="3268.991817351598"/>
    <n v="39178.744036529672"/>
    <n v="14165.2"/>
  </r>
  <r>
    <n v="92"/>
    <s v="Godown For Gunny Bags"/>
    <s v="Sugar Division"/>
    <x v="1"/>
    <m/>
    <s v="50% each in RS and 50% in DS"/>
    <d v="1997-02-15T00:00:00"/>
    <n v="74286"/>
    <n v="0"/>
    <n v="45024.100109589039"/>
    <n v="29261.899890410961"/>
    <n v="3714.3"/>
    <n v="30"/>
    <n v="23.142465753424659"/>
    <n v="9416.0049041095917"/>
    <n v="24.142465753424659"/>
    <n v="851.58666301369874"/>
    <n v="10267.591567123291"/>
    <n v="3714.3"/>
  </r>
  <r>
    <n v="93"/>
    <s v="E.F.S.- Drier House "/>
    <s v="Sugar Division"/>
    <x v="1"/>
    <m/>
    <s v="50% each in RS and 50% in DS"/>
    <d v="1997-02-15T00:00:00"/>
    <n v="95008"/>
    <n v="0"/>
    <n v="57583.52452968037"/>
    <n v="37424.47547031963"/>
    <n v="4750.4000000000005"/>
    <n v="30"/>
    <n v="23.142465753424659"/>
    <n v="12042.589369863017"/>
    <n v="24.142465753424659"/>
    <n v="1089.1358490106543"/>
    <n v="13131.725218873671"/>
    <n v="4750.4000000000005"/>
  </r>
  <r>
    <n v="94"/>
    <s v="Extension Of Sugar Office "/>
    <s v="Sugar Division"/>
    <x v="1"/>
    <m/>
    <s v="Upto gate"/>
    <d v="1996-12-15T00:00:00"/>
    <n v="27690"/>
    <n v="0"/>
    <n v="16931.613150684931"/>
    <n v="10758.386849315069"/>
    <n v="1384.5"/>
    <n v="30"/>
    <n v="23.312328767123287"/>
    <n v="3509.802328767124"/>
    <n v="24.312328767123287"/>
    <n v="312.46289497716896"/>
    <n v="3822.2652237442931"/>
    <n v="1384.5"/>
  </r>
  <r>
    <n v="95"/>
    <s v="Auto Garage"/>
    <s v="Sugar Division"/>
    <x v="1"/>
    <m/>
    <s v="Common"/>
    <d v="1996-10-15T00:00:00"/>
    <n v="150976"/>
    <n v="0"/>
    <n v="93116.343817351604"/>
    <n v="57859.656182648396"/>
    <n v="7548.8"/>
    <n v="30"/>
    <n v="23.479452054794521"/>
    <n v="19136.725041095895"/>
    <n v="24.479452054794521"/>
    <n v="1677.028539421613"/>
    <n v="20813.753580517507"/>
    <n v="7548.8"/>
  </r>
  <r>
    <n v="96"/>
    <s v="Garage For Jeeps &amp; Cars - Pfs"/>
    <s v="Sugar Division"/>
    <x v="1"/>
    <m/>
    <s v="Common"/>
    <d v="1996-10-15T00:00:00"/>
    <n v="261295"/>
    <n v="0"/>
    <n v="161156.9723515982"/>
    <n v="100138.0276484018"/>
    <n v="13064.75"/>
    <n v="30"/>
    <n v="23.479452054794521"/>
    <n v="33120.036095890391"/>
    <n v="24.479452054794521"/>
    <n v="2902.4425882800597"/>
    <n v="36022.478684170448"/>
    <n v="13064.75"/>
  </r>
  <r>
    <n v="97"/>
    <s v="New Office Building (Cane) - Pfs"/>
    <s v="Sugar Division"/>
    <x v="1"/>
    <m/>
    <s v="Upto gate"/>
    <d v="1996-10-15T00:00:00"/>
    <n v="492876"/>
    <n v="0"/>
    <n v="303987.46208219178"/>
    <n v="188888.53791780822"/>
    <n v="24643.800000000003"/>
    <n v="30"/>
    <n v="23.479452054794521"/>
    <n v="62473.720931506832"/>
    <n v="24.479452054794521"/>
    <n v="5474.8245972602745"/>
    <n v="67948.545528767107"/>
    <n v="24643.800000000003"/>
  </r>
  <r>
    <n v="98"/>
    <s v="New Workshop - Pfs"/>
    <s v="Sugar Division"/>
    <x v="1"/>
    <m/>
    <s v="Common"/>
    <d v="1996-10-15T00:00:00"/>
    <n v="2818811"/>
    <n v="0"/>
    <n v="1238537.08027854"/>
    <n v="1580273.91972146"/>
    <n v="140940.55000000002"/>
    <n v="30"/>
    <n v="23.479452054794521"/>
    <n v="857293.94771232782"/>
    <n v="24.479452054794521"/>
    <n v="47977.778990715327"/>
    <n v="905271.7267030431"/>
    <n v="140940.55000000002"/>
  </r>
  <r>
    <n v="99"/>
    <s v="Extension Of Two Rooms In General Guest House "/>
    <s v="Sugar Division"/>
    <x v="1"/>
    <m/>
    <s v="Common"/>
    <d v="1996-08-16T00:00:00"/>
    <n v="154224"/>
    <n v="0"/>
    <n v="95922.398465753417"/>
    <n v="58301.601534246583"/>
    <n v="7711.2000000000007"/>
    <n v="30"/>
    <n v="23.643835616438356"/>
    <n v="19548.420164383555"/>
    <n v="24.643835616438356"/>
    <n v="1686.3467178082194"/>
    <n v="21234.766882191776"/>
    <n v="7711.2000000000007"/>
  </r>
  <r>
    <n v="100"/>
    <s v="House For Boiler No. 12"/>
    <s v="Sugar Division"/>
    <x v="1"/>
    <m/>
    <s v="50% each in RS and 50% in DS"/>
    <d v="1996-03-15T00:00:00"/>
    <n v="104554"/>
    <n v="0"/>
    <n v="66426.163917808211"/>
    <n v="38127.836082191789"/>
    <n v="5227.7000000000007"/>
    <n v="30"/>
    <n v="24.065753424657533"/>
    <n v="13252.577561643833"/>
    <n v="25.065753424657533"/>
    <n v="1096.6712027397264"/>
    <n v="14349.248764383559"/>
    <n v="5227.7000000000007"/>
  </r>
  <r>
    <n v="101"/>
    <s v="Drier House - Efs"/>
    <s v="Sugar Division"/>
    <x v="1"/>
    <m/>
    <s v="50% each in RS and 50% in DS"/>
    <d v="1996-02-25T00:00:00"/>
    <n v="2746818"/>
    <n v="0"/>
    <n v="1609529.3532602701"/>
    <n v="1137288.6467397299"/>
    <n v="137340.9"/>
    <n v="30"/>
    <n v="24.117808219178084"/>
    <n v="488299.58841096307"/>
    <n v="25.117808219178084"/>
    <n v="33331.591557990992"/>
    <n v="521631.17996895406"/>
    <n v="137340.9"/>
  </r>
  <r>
    <n v="102"/>
    <s v="House Of D.G. Set - Efs"/>
    <s v="Sugar Division"/>
    <x v="1"/>
    <m/>
    <s v="Common"/>
    <d v="1996-01-05T00:00:00"/>
    <n v="362741"/>
    <n v="0"/>
    <n v="232662.73994063929"/>
    <n v="130078.26005936071"/>
    <n v="18137.05"/>
    <n v="30"/>
    <n v="24.257534246575343"/>
    <n v="45978.664013698639"/>
    <n v="25.257534246575343"/>
    <n v="3731.3736686453567"/>
    <n v="49710.037682343995"/>
    <n v="18137.05"/>
  </r>
  <r>
    <n v="103"/>
    <s v="One Room Addition In C.E. Project Residence"/>
    <s v="Sugar Division"/>
    <x v="1"/>
    <m/>
    <s v="Common"/>
    <d v="1995-11-11T00:00:00"/>
    <n v="28404"/>
    <n v="0"/>
    <n v="18353.912547945205"/>
    <n v="10050.087452054795"/>
    <n v="1420.2"/>
    <n v="30"/>
    <n v="24.408219178082192"/>
    <n v="3600.3042739726006"/>
    <n v="25.408219178082192"/>
    <n v="287.66291506849313"/>
    <n v="3887.9671890410937"/>
    <n v="1420.2"/>
  </r>
  <r>
    <n v="104"/>
    <s v="Making Of Kitchen &amp; Bathroom At Trainee Executive Quarter"/>
    <s v="Sugar Division"/>
    <x v="1"/>
    <m/>
    <s v="Common"/>
    <d v="1995-10-31T00:00:00"/>
    <n v="80357"/>
    <n v="0"/>
    <n v="52001.252954337899"/>
    <n v="28355.747045662101"/>
    <n v="4017.8500000000004"/>
    <n v="30"/>
    <n v="24.438356164383563"/>
    <n v="10185.524945205485"/>
    <n v="25.438356164383563"/>
    <n v="811.26323485540343"/>
    <n v="10996.788180060888"/>
    <n v="4017.8500000000004"/>
  </r>
  <r>
    <n v="105"/>
    <s v="House For Tube Well Near Boiler                     &quot;"/>
    <s v="Sugar Division"/>
    <x v="1"/>
    <m/>
    <s v="Common"/>
    <d v="1995-09-30T00:00:00"/>
    <n v="32633"/>
    <n v="0"/>
    <n v="21205.489634703197"/>
    <n v="11427.510365296803"/>
    <n v="1631.65"/>
    <n v="30"/>
    <n v="24.523287671232875"/>
    <n v="4136.3445068493129"/>
    <n v="25.523287671232875"/>
    <n v="326.52867884322677"/>
    <n v="4462.8731856925397"/>
    <n v="1631.65"/>
  </r>
  <r>
    <n v="106"/>
    <s v="Staff Quarter No. 4 "/>
    <s v="Sugar Division"/>
    <x v="1"/>
    <m/>
    <s v="Common"/>
    <d v="1995-03-25T00:00:00"/>
    <n v="521291"/>
    <n v="0"/>
    <n v="347291.68123744288"/>
    <n v="173999.31876255712"/>
    <n v="26064.550000000003"/>
    <n v="30"/>
    <n v="25.041095890410958"/>
    <n v="66075.419493150664"/>
    <n v="26.041095890410958"/>
    <n v="4931.1589587519038"/>
    <n v="71006.578451902562"/>
    <n v="26064.550000000003"/>
  </r>
  <r>
    <n v="107"/>
    <s v="Trainee Manager'S Quarters "/>
    <s v="Sugar Division"/>
    <x v="1"/>
    <m/>
    <s v="Common"/>
    <d v="1995-03-25T00:00:00"/>
    <n v="580217"/>
    <n v="0"/>
    <n v="386549.043456621"/>
    <n v="193667.956543379"/>
    <n v="29010.850000000002"/>
    <n v="30"/>
    <n v="25.041095890410958"/>
    <n v="73544.491794520523"/>
    <n v="26.041095890410958"/>
    <n v="5488.5702181126326"/>
    <n v="79033.062012633163"/>
    <n v="29010.850000000002"/>
  </r>
  <r>
    <n v="108"/>
    <s v="Latrine Cum Bath Room At Evp Bunglow"/>
    <s v="Sugar Division"/>
    <x v="1"/>
    <m/>
    <s v="Common"/>
    <d v="1995-01-12T00:00:00"/>
    <n v="32646"/>
    <n v="0"/>
    <n v="21953.167917808219"/>
    <n v="10692.832082191781"/>
    <n v="1632.3000000000002"/>
    <n v="30"/>
    <n v="25.238356164383561"/>
    <n v="4137.9923013698608"/>
    <n v="26.238356164383561"/>
    <n v="302.01773607305938"/>
    <n v="4440.0100374429203"/>
    <n v="1632.3000000000002"/>
  </r>
  <r>
    <n v="109"/>
    <s v="Staff Quarters   "/>
    <s v="Sugar Division"/>
    <x v="1"/>
    <m/>
    <s v="Common"/>
    <d v="1994-12-31T00:00:00"/>
    <n v="118781"/>
    <n v="0"/>
    <n v="79999.274689497717"/>
    <n v="38781.725310502283"/>
    <n v="5939.05"/>
    <n v="30"/>
    <n v="25.271232876712329"/>
    <n v="15055.898534246575"/>
    <n v="26.271232876712329"/>
    <n v="1094.7558436834092"/>
    <n v="16150.654377929985"/>
    <n v="5939.05"/>
  </r>
  <r>
    <n v="110"/>
    <s v="House For New Boiler No. 12"/>
    <s v="Sugar Division"/>
    <x v="1"/>
    <m/>
    <s v="30% in Juice Costing and 35% in DS and 35% in RS"/>
    <d v="1994-12-31T00:00:00"/>
    <n v="173547"/>
    <n v="0"/>
    <n v="116884.3007260274"/>
    <n v="56662.699273972597"/>
    <n v="8677.35"/>
    <n v="30"/>
    <n v="25.271232876712329"/>
    <n v="21997.676589041075"/>
    <n v="26.271232876712329"/>
    <n v="1599.5116424657533"/>
    <n v="23597.188231506829"/>
    <n v="8677.35"/>
  </r>
  <r>
    <n v="111"/>
    <s v="House For J.T. Boiler "/>
    <s v="Sugar Division"/>
    <x v="1"/>
    <m/>
    <s v="30% in Juice Costing and 35% in DS and 35% in RS"/>
    <d v="1994-12-31T00:00:00"/>
    <n v="793597"/>
    <n v="0"/>
    <n v="534489.39136529679"/>
    <n v="259107.60863470321"/>
    <n v="39679.850000000006"/>
    <n v="30"/>
    <n v="25.271232876712329"/>
    <n v="100591.13754794525"/>
    <n v="26.271232876712329"/>
    <n v="7314.2586211567732"/>
    <n v="107905.39616910202"/>
    <n v="39679.850000000006"/>
  </r>
  <r>
    <n v="112"/>
    <s v="Lime Godown Near Spray Pond "/>
    <s v="Sugar Division"/>
    <x v="1"/>
    <m/>
    <s v="DS Costing"/>
    <d v="1994-11-06T00:00:00"/>
    <n v="19822"/>
    <n v="0"/>
    <n v="13444.746684931508"/>
    <n v="6377.2533150684922"/>
    <n v="991.1"/>
    <n v="30"/>
    <n v="25.421917808219177"/>
    <n v="2512.5063835616438"/>
    <n v="26.421917808219177"/>
    <n v="179.53844383561639"/>
    <n v="2692.0448273972602"/>
    <n v="991.1"/>
  </r>
  <r>
    <n v="113"/>
    <s v="House For Truck Weighbridge "/>
    <s v="Sugar Division"/>
    <x v="1"/>
    <m/>
    <s v="Upto gate"/>
    <d v="1994-11-06T00:00:00"/>
    <n v="27575"/>
    <n v="0"/>
    <n v="18703.404794520549"/>
    <n v="8871.5952054794507"/>
    <n v="1378.75"/>
    <n v="30"/>
    <n v="25.421917808219177"/>
    <n v="3495.2256849315054"/>
    <n v="26.421917808219177"/>
    <n v="249.76150684931503"/>
    <n v="3744.9871917808205"/>
    <n v="1378.75"/>
  </r>
  <r>
    <n v="114"/>
    <s v="Boundry Wall At Evp Bunglow "/>
    <s v="Sugar Division"/>
    <x v="1"/>
    <m/>
    <s v="Common"/>
    <d v="1994-11-01T00:00:00"/>
    <n v="21121"/>
    <n v="0"/>
    <n v="14334.986652968037"/>
    <n v="6786.0133470319633"/>
    <n v="1056.05"/>
    <n v="30"/>
    <n v="25.435616438356163"/>
    <n v="2677.1590821917816"/>
    <n v="26.435616438356163"/>
    <n v="190.99877823439877"/>
    <n v="2868.1578604261804"/>
    <n v="1056.05"/>
  </r>
  <r>
    <n v="115"/>
    <s v="Cane Quarter Modification "/>
    <s v="Sugar Division"/>
    <x v="1"/>
    <m/>
    <s v="Upto gate"/>
    <d v="1994-06-15T00:00:00"/>
    <n v="24954"/>
    <n v="0"/>
    <n v="17237.402794520545"/>
    <n v="7716.5972054794547"/>
    <n v="1247.7"/>
    <n v="30"/>
    <n v="25.816438356164383"/>
    <n v="3163.0049589041082"/>
    <n v="26.816438356164383"/>
    <n v="215.62990684931515"/>
    <n v="3378.6348657534236"/>
    <n v="1247.7"/>
  </r>
  <r>
    <n v="116"/>
    <s v="House For Tubewell "/>
    <s v="Sugar Division"/>
    <x v="1"/>
    <m/>
    <s v="Common"/>
    <d v="1993-12-25T00:00:00"/>
    <n v="21315"/>
    <n v="0"/>
    <n v="15041.771643835616"/>
    <n v="6273.2283561643835"/>
    <n v="1065.75"/>
    <n v="30"/>
    <n v="26.287671232876711"/>
    <n v="2701.7492465753439"/>
    <n v="27.287671232876711"/>
    <n v="173.58261187214612"/>
    <n v="2875.33185844749"/>
    <n v="1065.75"/>
  </r>
  <r>
    <n v="117"/>
    <s v="House For Spray Pump"/>
    <s v="Sugar Division"/>
    <x v="1"/>
    <m/>
    <s v="Common"/>
    <d v="1993-11-21T00:00:00"/>
    <n v="6112"/>
    <n v="0"/>
    <n v="4331.2032146118718"/>
    <n v="1780.7967853881282"/>
    <n v="305.60000000000002"/>
    <n v="30"/>
    <n v="26.38082191780822"/>
    <n v="774.71693150684951"/>
    <n v="27.38082191780822"/>
    <n v="49.173226179604278"/>
    <n v="823.89015768645379"/>
    <n v="305.60000000000002"/>
  </r>
  <r>
    <n v="118"/>
    <s v="House For Cane Unloader "/>
    <s v="Sugar Division"/>
    <x v="1"/>
    <m/>
    <s v="Upto gate"/>
    <d v="1993-11-21T00:00:00"/>
    <n v="124308"/>
    <n v="0"/>
    <n v="88089.530301369872"/>
    <n v="36218.469698630128"/>
    <n v="6215.4000000000005"/>
    <n v="30"/>
    <n v="26.38082191780822"/>
    <n v="15756.464712328758"/>
    <n v="27.38082191780822"/>
    <n v="1000.1023232876709"/>
    <n v="16756.56703561643"/>
    <n v="6215.4000000000005"/>
  </r>
  <r>
    <n v="119"/>
    <s v="New Garage For C.C. Kothi "/>
    <s v="Sugar Division"/>
    <x v="1"/>
    <m/>
    <s v="Common"/>
    <d v="1993-11-10T00:00:00"/>
    <n v="7247"/>
    <n v="0"/>
    <n v="5142.4248721461181"/>
    <n v="2104.5751278538819"/>
    <n v="362.35"/>
    <n v="30"/>
    <n v="26.410958904109588"/>
    <n v="918.58206849315047"/>
    <n v="27.410958904109588"/>
    <n v="58.074170928462735"/>
    <n v="976.65623942161324"/>
    <n v="362.35"/>
  </r>
  <r>
    <n v="120"/>
    <s v="Boundry Wall At Farm "/>
    <s v="Sugar Division"/>
    <x v="1"/>
    <m/>
    <s v="Upto gate"/>
    <d v="1993-08-30T00:00:00"/>
    <n v="114017"/>
    <n v="0"/>
    <n v="81617.950105022828"/>
    <n v="32399.049894977172"/>
    <n v="5700.85"/>
    <n v="30"/>
    <n v="26.608219178082191"/>
    <n v="14452.045219178079"/>
    <n v="27.608219178082191"/>
    <n v="889.9399964992391"/>
    <n v="15341.985215677318"/>
    <n v="5700.85"/>
  </r>
  <r>
    <n v="121"/>
    <s v="Latrine For Worker'S Quarter "/>
    <s v="Sugar Division"/>
    <x v="1"/>
    <m/>
    <s v="Common"/>
    <d v="1993-04-05T00:00:00"/>
    <n v="7957"/>
    <n v="0"/>
    <n v="5797.4193333333333"/>
    <n v="2159.5806666666667"/>
    <n v="397.85"/>
    <n v="30"/>
    <n v="27.010958904109589"/>
    <n v="1008.5770000000002"/>
    <n v="28.010958904109589"/>
    <n v="58.724355555555562"/>
    <n v="1067.3013555555558"/>
    <n v="397.85"/>
  </r>
  <r>
    <n v="122"/>
    <s v="House For 60 Ton Pan (Uttam)"/>
    <s v="Sugar Division"/>
    <x v="1"/>
    <m/>
    <s v="50% each in RS and 50% in DS"/>
    <d v="1993-03-18T00:00:00"/>
    <n v="94326"/>
    <n v="0"/>
    <n v="68872.624219178077"/>
    <n v="25453.375780821923"/>
    <n v="4716.3"/>
    <n v="30"/>
    <n v="27.06027397260274"/>
    <n v="11956.14353424657"/>
    <n v="28.06027397260274"/>
    <n v="691.23585936073084"/>
    <n v="12647.379393607302"/>
    <n v="4716.3"/>
  </r>
  <r>
    <n v="123"/>
    <s v="House For Spray Pump"/>
    <s v="Sugar Division"/>
    <x v="1"/>
    <m/>
    <s v="Common"/>
    <d v="1993-02-28T00:00:00"/>
    <n v="5658"/>
    <n v="0"/>
    <n v="4140.0541917808223"/>
    <n v="1517.9458082191777"/>
    <n v="282.90000000000003"/>
    <n v="30"/>
    <n v="27.109589041095891"/>
    <n v="717.17087671232912"/>
    <n v="28.109589041095891"/>
    <n v="41.168193607305923"/>
    <n v="758.33907031963508"/>
    <n v="282.90000000000003"/>
  </r>
  <r>
    <n v="124"/>
    <s v="House For Weighbridge "/>
    <s v="Sugar Division"/>
    <x v="1"/>
    <m/>
    <s v="Upto gate"/>
    <d v="1993-02-25T00:00:00"/>
    <n v="16460"/>
    <n v="0"/>
    <n v="12048.344200913241"/>
    <n v="4411.6557990867586"/>
    <n v="823"/>
    <n v="30"/>
    <n v="27.117808219178084"/>
    <n v="2086.3613698630161"/>
    <n v="28.117808219178084"/>
    <n v="119.62185996955861"/>
    <n v="2205.9832298325746"/>
    <n v="823"/>
  </r>
  <r>
    <n v="125"/>
    <s v="House For Evaporator"/>
    <s v="Sugar Division"/>
    <x v="1"/>
    <m/>
    <s v="Common"/>
    <d v="1993-02-11T00:00:00"/>
    <n v="383664"/>
    <n v="0"/>
    <n v="281299.29139726021"/>
    <n v="102364.70860273979"/>
    <n v="19183.2"/>
    <n v="30"/>
    <n v="27.156164383561645"/>
    <n v="48630.725917808246"/>
    <n v="28.156164383561645"/>
    <n v="2772.7169534246596"/>
    <n v="51403.442871232903"/>
    <n v="19183.2"/>
  </r>
  <r>
    <n v="126"/>
    <s v="House For 380 Kw Generator "/>
    <s v="Sugar Division"/>
    <x v="1"/>
    <m/>
    <s v="Juice Costing"/>
    <d v="1992-07-25T00:00:00"/>
    <n v="12167"/>
    <n v="0"/>
    <n v="9132.9168767123283"/>
    <n v="3034.0831232876717"/>
    <n v="608.35"/>
    <n v="30"/>
    <n v="27.706849315068492"/>
    <n v="1542.2089178082188"/>
    <n v="28.706849315068492"/>
    <n v="80.85777077625572"/>
    <n v="1623.0666885844744"/>
    <n v="608.35"/>
  </r>
  <r>
    <n v="127"/>
    <s v="House For Diesel Generating Set "/>
    <s v="Sugar Division"/>
    <x v="1"/>
    <m/>
    <s v="Common"/>
    <d v="1992-07-25T00:00:00"/>
    <n v="59546"/>
    <n v="0"/>
    <n v="44697.022136986299"/>
    <n v="14848.977863013701"/>
    <n v="2977.3"/>
    <n v="30"/>
    <n v="27.706849315068492"/>
    <n v="7547.6594246575332"/>
    <n v="28.706849315068492"/>
    <n v="395.72259543379005"/>
    <n v="7943.3820200913233"/>
    <n v="2977.3"/>
  </r>
  <r>
    <n v="128"/>
    <s v="House For 60 Ton Pan "/>
    <s v="Sugar Division"/>
    <x v="1"/>
    <m/>
    <s v="50% each in RS and 50% in DS"/>
    <d v="1992-04-25T00:00:00"/>
    <n v="155088"/>
    <n v="0"/>
    <n v="117638.14290410958"/>
    <n v="37449.857095890417"/>
    <n v="7754.4000000000005"/>
    <n v="30"/>
    <n v="27.956164383561642"/>
    <n v="19657.935123287665"/>
    <n v="28.956164383561642"/>
    <n v="989.84856986301384"/>
    <n v="20647.783693150679"/>
    <n v="7754.4000000000005"/>
  </r>
  <r>
    <n v="129"/>
    <s v="Labour Quarters"/>
    <s v="Sugar Division"/>
    <x v="1"/>
    <m/>
    <s v="Common"/>
    <d v="1992-03-25T00:00:00"/>
    <n v="5510"/>
    <n v="0"/>
    <n v="4194.292511415525"/>
    <n v="1315.707488584475"/>
    <n v="275.5"/>
    <n v="30"/>
    <n v="28.041095890410958"/>
    <n v="698.41136986301353"/>
    <n v="29.041095890410958"/>
    <n v="34.673582952815835"/>
    <n v="733.08495281582941"/>
    <n v="275.5"/>
  </r>
  <r>
    <n v="130"/>
    <s v="Two Labour Quarter Of 2 Roomed "/>
    <s v="Sugar Division"/>
    <x v="1"/>
    <m/>
    <s v="Common"/>
    <d v="1992-03-25T00:00:00"/>
    <n v="343508"/>
    <n v="0"/>
    <n v="261483.30889497715"/>
    <n v="82024.691105022852"/>
    <n v="17175.400000000001"/>
    <n v="30"/>
    <n v="28.041095890410958"/>
    <n v="43540.815397260245"/>
    <n v="29.041095890410958"/>
    <n v="2161.6430368340948"/>
    <n v="45702.45843409434"/>
    <n v="17175.400000000001"/>
  </r>
  <r>
    <n v="131"/>
    <s v="Lime Godown "/>
    <s v="Sugar Division"/>
    <x v="1"/>
    <m/>
    <s v="DS Costing"/>
    <d v="1992-03-08T00:00:00"/>
    <n v="36389"/>
    <n v="0"/>
    <n v="27753.508132420095"/>
    <n v="8635.4918675799054"/>
    <n v="1819.45"/>
    <n v="30"/>
    <n v="28.087671232876712"/>
    <n v="4612.4303698630101"/>
    <n v="29.087671232876712"/>
    <n v="227.20139558599683"/>
    <n v="4839.6317654490067"/>
    <n v="1819.45"/>
  </r>
  <r>
    <n v="132"/>
    <s v="Boundry Wall "/>
    <s v="Sugar Division"/>
    <x v="1"/>
    <m/>
    <s v="Common"/>
    <d v="1991-12-31T00:00:00"/>
    <n v="15952"/>
    <n v="0"/>
    <n v="12260.532383561644"/>
    <n v="3691.4676164383563"/>
    <n v="797.6"/>
    <n v="30"/>
    <n v="28.273972602739725"/>
    <n v="2021.9706301369861"/>
    <n v="29.273972602739725"/>
    <n v="96.462253881278542"/>
    <n v="2118.4328840182648"/>
    <n v="797.6"/>
  </r>
  <r>
    <n v="133"/>
    <s v="Suger Godown At Lakhimpur"/>
    <s v="Sugar Division"/>
    <x v="1"/>
    <m/>
    <s v="Sugar Godown - Distribution"/>
    <d v="1962-01-01T00:00:00"/>
    <n v="7264"/>
    <n v="0"/>
    <n v="6243.8060273972606"/>
    <n v="1020.1939726027394"/>
    <n v="363.20000000000005"/>
    <n v="60"/>
    <n v="58.290410958904111"/>
    <n v="460.36843835616401"/>
    <n v="59.290410958904111"/>
    <n v="10.94989954337899"/>
    <n v="471.318337899543"/>
    <n v="363.20000000000005"/>
  </r>
  <r>
    <n v="134"/>
    <s v="Room For 5 Ton  Weighbridge "/>
    <s v="Sugar Division"/>
    <x v="1"/>
    <m/>
    <s v="Upto gate"/>
    <d v="1991-12-13T00:00:00"/>
    <n v="13604"/>
    <n v="0"/>
    <n v="10477.129917808219"/>
    <n v="3126.870082191781"/>
    <n v="680.2"/>
    <n v="30"/>
    <n v="28.323287671232876"/>
    <n v="1724.3535890410949"/>
    <n v="29.323287671232876"/>
    <n v="81.55566940639271"/>
    <n v="1805.9092584474877"/>
    <n v="680.2"/>
  </r>
  <r>
    <n v="135"/>
    <s v="Room For Lorry Weighbridge "/>
    <s v="Sugar Division"/>
    <x v="1"/>
    <m/>
    <s v="Upto gate"/>
    <d v="1991-12-13T00:00:00"/>
    <n v="17907"/>
    <n v="0"/>
    <n v="13791.088315068495"/>
    <n v="4115.9116849315051"/>
    <n v="895.35"/>
    <n v="30"/>
    <n v="28.323287671232876"/>
    <n v="2269.7735753424658"/>
    <n v="29.323287671232876"/>
    <n v="107.3520561643835"/>
    <n v="2377.1256315068495"/>
    <n v="895.35"/>
  </r>
  <r>
    <n v="136"/>
    <s v="Latrine In Factory Yard "/>
    <s v="Sugar Division"/>
    <x v="1"/>
    <m/>
    <s v="Upto gate"/>
    <d v="1991-09-27T00:00:00"/>
    <n v="28984"/>
    <n v="0"/>
    <n v="22515.67115981735"/>
    <n v="6468.3288401826503"/>
    <n v="1449.2"/>
    <n v="30"/>
    <n v="28.534246575342465"/>
    <n v="3673.8212602739732"/>
    <n v="29.534246575342465"/>
    <n v="167.30429467275502"/>
    <n v="3841.1255549467282"/>
    <n v="1449.2"/>
  </r>
  <r>
    <n v="137"/>
    <s v="Boundry Wall "/>
    <s v="Sugar Division"/>
    <x v="1"/>
    <m/>
    <s v="Common"/>
    <d v="1991-06-15T00:00:00"/>
    <n v="18077"/>
    <n v="0"/>
    <n v="14205.880611872148"/>
    <n v="3871.1193881278523"/>
    <n v="903.85"/>
    <n v="30"/>
    <n v="28.81917808219178"/>
    <n v="2291.3216575342449"/>
    <n v="29.81917808219178"/>
    <n v="98.908979604261745"/>
    <n v="2390.2306371385066"/>
    <n v="903.85"/>
  </r>
  <r>
    <n v="138"/>
    <s v="Addition In Quarter No.8 P"/>
    <s v="Sugar Division"/>
    <x v="1"/>
    <m/>
    <s v="Common"/>
    <d v="1991-04-30T00:00:00"/>
    <n v="23236"/>
    <n v="0"/>
    <n v="18352.832584474887"/>
    <n v="4883.167415525113"/>
    <n v="1161.8"/>
    <n v="30"/>
    <n v="28.945205479452056"/>
    <n v="2945.2425753424686"/>
    <n v="29.945205479452056"/>
    <n v="124.04558051750377"/>
    <n v="3069.2881558599724"/>
    <n v="1161.8"/>
  </r>
  <r>
    <n v="139"/>
    <s v="House For Tubewell "/>
    <s v="Sugar Division"/>
    <x v="1"/>
    <m/>
    <s v="Common"/>
    <d v="1991-03-31T00:00:00"/>
    <n v="41932"/>
    <n v="0"/>
    <n v="33228.908091324207"/>
    <n v="8703.0919086757931"/>
    <n v="2096.6"/>
    <n v="30"/>
    <n v="29.027397260273972"/>
    <n v="5315.0246027397225"/>
    <n v="30.027397260273972"/>
    <n v="220.21639695585975"/>
    <n v="5535.2409996955821"/>
    <n v="2096.6"/>
  </r>
  <r>
    <n v="140"/>
    <s v="Oil Storage Godown "/>
    <s v="Sugar Division"/>
    <x v="1"/>
    <m/>
    <s v="Common"/>
    <d v="1991-03-21T00:00:00"/>
    <n v="13492"/>
    <n v="0"/>
    <n v="10703.406904109588"/>
    <n v="2788.5930958904119"/>
    <n v="674.6"/>
    <n v="30"/>
    <n v="29.054794520547944"/>
    <n v="1710.1572054794524"/>
    <n v="30.054794520547944"/>
    <n v="70.466436529680394"/>
    <n v="1780.6236420091327"/>
    <n v="674.6"/>
  </r>
  <r>
    <n v="141"/>
    <s v="Room For Primary School "/>
    <s v="Sugar Division"/>
    <x v="1"/>
    <m/>
    <s v="Common"/>
    <d v="1991-03-11T00:00:00"/>
    <n v="51076"/>
    <n v="0"/>
    <n v="40563.672949771681"/>
    <n v="10512.327050228319"/>
    <n v="2553.8000000000002"/>
    <n v="30"/>
    <n v="29.082191780821919"/>
    <n v="6474.0579178082262"/>
    <n v="30.082191780821919"/>
    <n v="265.28423500761062"/>
    <n v="6739.3421528158369"/>
    <n v="2553.8000000000002"/>
  </r>
  <r>
    <n v="142"/>
    <s v="Cement Godown In Stores"/>
    <s v="Sugar Division"/>
    <x v="1"/>
    <m/>
    <s v="Common"/>
    <d v="1991-03-11T00:00:00"/>
    <n v="90062"/>
    <n v="0"/>
    <n v="71525.67768036529"/>
    <n v="18536.32231963471"/>
    <n v="4503.1000000000004"/>
    <n v="30"/>
    <n v="29.082191780821919"/>
    <n v="11415.666931506858"/>
    <n v="30.082191780821919"/>
    <n v="467.77407732115699"/>
    <n v="11883.441008828015"/>
    <n v="4503.1000000000004"/>
  </r>
  <r>
    <n v="143"/>
    <s v="Cattle Shed In Cane Yard"/>
    <s v="Sugar Division"/>
    <x v="1"/>
    <m/>
    <s v="Upto gate"/>
    <d v="1991-02-20T00:00:00"/>
    <n v="12211"/>
    <n v="0"/>
    <n v="9717.8929543378999"/>
    <n v="2493.1070456621001"/>
    <n v="610.55000000000007"/>
    <n v="30"/>
    <n v="29.134246575342466"/>
    <n v="1547.7860684931511"/>
    <n v="30.134246575342466"/>
    <n v="62.751901522069993"/>
    <n v="1610.5379700152212"/>
    <n v="610.55000000000007"/>
  </r>
  <r>
    <n v="144"/>
    <s v="Yagya Shala"/>
    <s v="Sugar Division"/>
    <x v="1"/>
    <m/>
    <s v="Common"/>
    <d v="1991-02-15T00:00:00"/>
    <n v="27284"/>
    <n v="0"/>
    <n v="21725.289899543379"/>
    <n v="5558.7101004566211"/>
    <n v="1364.2"/>
    <n v="30"/>
    <n v="29.147945205479452"/>
    <n v="3458.3404383561647"/>
    <n v="30.147945205479452"/>
    <n v="139.81700334855404"/>
    <n v="3598.1574417047186"/>
    <n v="1364.2"/>
  </r>
  <r>
    <n v="145"/>
    <s v="Two Suger Godown At Lakhimpur"/>
    <s v="Sugar Division"/>
    <x v="1"/>
    <m/>
    <s v="Sugar Godown - Distribution"/>
    <d v="1961-01-01T00:00:00"/>
    <n v="113304"/>
    <n v="0"/>
    <n v="99184.976438356171"/>
    <n v="14119.023561643829"/>
    <n v="5665.2000000000007"/>
    <n v="60"/>
    <n v="59.290410958904111"/>
    <n v="7180.8350136986264"/>
    <n v="60.290410958904111"/>
    <n v="140.89705936073048"/>
    <n v="7321.7320730593565"/>
    <n v="5665.2000000000007"/>
  </r>
  <r>
    <n v="146"/>
    <s v="Room For Watch &amp; Ward Office "/>
    <s v="Sugar Division"/>
    <x v="1"/>
    <m/>
    <s v="Common"/>
    <d v="1990-08-23T00:00:00"/>
    <n v="27092"/>
    <n v="0"/>
    <n v="21986.085808219181"/>
    <n v="5105.9141917808192"/>
    <n v="1354.6000000000001"/>
    <n v="30"/>
    <n v="29.63013698630137"/>
    <n v="3434.0037808219167"/>
    <n v="30.63013698630137"/>
    <n v="125.04380639269397"/>
    <n v="3559.0475872146108"/>
    <n v="1354.6000000000001"/>
  </r>
  <r>
    <n v="147"/>
    <s v="Tubewell Near Bechlor Hostel"/>
    <s v="Sugar Division"/>
    <x v="1"/>
    <m/>
    <s v="Common"/>
    <d v="2015-06-17T00:00:00"/>
    <n v="250780"/>
    <n v="0"/>
    <n v="37857.473972602733"/>
    <n v="212922.52602739725"/>
    <n v="12539"/>
    <n v="5"/>
    <n v="4.7972602739726025"/>
    <n v="190723.34301369858"/>
    <n v="5.7972602739726025"/>
    <n v="40076.705205479455"/>
    <n v="230800.04821917805"/>
    <n v="12539"/>
  </r>
  <r>
    <n v="148"/>
    <s v="House For Evaporator"/>
    <s v="Sugar Division"/>
    <x v="1"/>
    <m/>
    <s v="50% each in RS and 50% in DS"/>
    <d v="1990-01-01T00:00:00"/>
    <n v="2466"/>
    <n v="0"/>
    <n v="2342.6999999999998"/>
    <n v="123.30000000000018"/>
    <n v="123.30000000000001"/>
    <n v="30"/>
    <n v="30.271232876712329"/>
    <n v="2342.6999999999998"/>
    <n v="31.271232876712329"/>
    <n v="5.6843418860808018E-15"/>
    <n v="2342.6999999999998"/>
    <n v="123.30000000000001"/>
  </r>
  <r>
    <n v="149"/>
    <s v="Room For Cane Parking Yard "/>
    <s v="Sugar Division"/>
    <x v="1"/>
    <m/>
    <s v="Upto gate"/>
    <d v="1990-01-01T00:00:00"/>
    <n v="9095"/>
    <n v="0"/>
    <n v="8640.25"/>
    <n v="454.75"/>
    <n v="454.75"/>
    <n v="30"/>
    <n v="30.271232876712329"/>
    <n v="8640.25"/>
    <n v="31.271232876712329"/>
    <n v="0"/>
    <n v="8640.25"/>
    <n v="454.75"/>
  </r>
  <r>
    <n v="150"/>
    <s v="Motor Garage "/>
    <s v="Sugar Division"/>
    <x v="1"/>
    <m/>
    <s v="Common"/>
    <d v="1990-01-01T00:00:00"/>
    <n v="9598"/>
    <n v="0"/>
    <n v="9118.1"/>
    <n v="479.89999999999964"/>
    <n v="479.90000000000003"/>
    <n v="30"/>
    <n v="30.271232876712329"/>
    <n v="9118.1"/>
    <n v="31.271232876712329"/>
    <n v="-1.3263464400855204E-14"/>
    <n v="9118.1"/>
    <n v="479.89999999999964"/>
  </r>
  <r>
    <n v="151"/>
    <s v="Drama Stage "/>
    <s v="Sugar Division"/>
    <x v="1"/>
    <m/>
    <s v="Common"/>
    <d v="1990-01-01T00:00:00"/>
    <n v="13198"/>
    <n v="0"/>
    <n v="12538.1"/>
    <n v="659.89999999999964"/>
    <n v="659.90000000000009"/>
    <n v="30"/>
    <n v="30.271232876712329"/>
    <n v="12538.1"/>
    <n v="31.271232876712329"/>
    <n v="-1.5158245029548804E-14"/>
    <n v="12538.1"/>
    <n v="659.89999999999964"/>
  </r>
  <r>
    <n v="152"/>
    <s v="Boundry Wall "/>
    <s v="Sugar Division"/>
    <x v="1"/>
    <m/>
    <s v="Common"/>
    <d v="1990-01-01T00:00:00"/>
    <n v="582843"/>
    <n v="0"/>
    <n v="553700.85"/>
    <n v="29142.150000000023"/>
    <n v="29142.15"/>
    <n v="30"/>
    <n v="30.271232876712329"/>
    <n v="553700.85"/>
    <n v="31.271232876712329"/>
    <n v="7.2759576141834263E-13"/>
    <n v="553700.85"/>
    <n v="29142.150000000023"/>
  </r>
  <r>
    <n v="153"/>
    <s v="Room Addition At Quarter No. G 17"/>
    <s v="Sugar Division"/>
    <x v="1"/>
    <m/>
    <s v="Common"/>
    <d v="1989-01-01T00:00:00"/>
    <n v="5688"/>
    <n v="0"/>
    <n v="5403.6"/>
    <n v="284.39999999999964"/>
    <n v="284.40000000000003"/>
    <n v="30"/>
    <n v="31.271232876712329"/>
    <n v="5403.6"/>
    <n v="32.271232876712325"/>
    <n v="-1.3263464400855156E-14"/>
    <n v="5403.6"/>
    <n v="284.39999999999964"/>
  </r>
  <r>
    <n v="154"/>
    <s v="Bathroom Addition &amp; Remodification Of Quarter No.B 6"/>
    <s v="Sugar Division"/>
    <x v="1"/>
    <m/>
    <s v="Common"/>
    <d v="1989-01-01T00:00:00"/>
    <n v="15226"/>
    <n v="0"/>
    <n v="14464.7"/>
    <n v="761.29999999999927"/>
    <n v="761.30000000000007"/>
    <n v="30"/>
    <n v="31.271232876712329"/>
    <n v="14464.7"/>
    <n v="32.271232876712325"/>
    <n v="-2.6526928801710313E-14"/>
    <n v="14464.7"/>
    <n v="761.29999999999927"/>
  </r>
  <r>
    <n v="155"/>
    <s v="House For Hot Water Cane Seed Treatment Plant "/>
    <s v="Sugar Division"/>
    <x v="1"/>
    <m/>
    <s v="Upto gate"/>
    <d v="1989-01-01T00:00:00"/>
    <n v="24450"/>
    <n v="0"/>
    <n v="23227.5"/>
    <n v="1222.5"/>
    <n v="1222.5"/>
    <n v="30"/>
    <n v="31.271232876712329"/>
    <n v="23227.5"/>
    <n v="32.271232876712325"/>
    <n v="0"/>
    <n v="23227.5"/>
    <n v="1222.5"/>
  </r>
  <r>
    <n v="156"/>
    <s v="Molasses Side"/>
    <s v="Sugar Division"/>
    <x v="1"/>
    <m/>
    <s v="Common"/>
    <d v="1989-01-01T00:00:00"/>
    <n v="49323"/>
    <n v="0"/>
    <n v="46856.85"/>
    <n v="2466.1500000000015"/>
    <n v="2466.15"/>
    <n v="30"/>
    <n v="31.271232876712329"/>
    <n v="46856.85"/>
    <n v="32.271232876712325"/>
    <n v="4.547473508864625E-14"/>
    <n v="46856.85"/>
    <n v="2466.1500000000015"/>
  </r>
  <r>
    <n v="157"/>
    <s v="House For Boilers"/>
    <s v="Sugar Division"/>
    <x v="1"/>
    <m/>
    <s v="30% in Juice Costing and 35% in DS and 35% in RS"/>
    <d v="1989-01-01T00:00:00"/>
    <n v="154546"/>
    <n v="0"/>
    <n v="146818.70000000001"/>
    <n v="7727.2999999999884"/>
    <n v="7727.3"/>
    <n v="30"/>
    <n v="31.271232876712329"/>
    <n v="146818.70000000001"/>
    <n v="32.271232876712325"/>
    <n v="-3.941143707682675E-13"/>
    <n v="146818.70000000001"/>
    <n v="7727.2999999999884"/>
  </r>
  <r>
    <n v="158"/>
    <s v="House For Turbine"/>
    <s v="Sugar Division"/>
    <x v="1"/>
    <m/>
    <s v="Power"/>
    <d v="1989-01-01T00:00:00"/>
    <n v="180609"/>
    <n v="0"/>
    <n v="171578.55"/>
    <n v="9030.4500000000116"/>
    <n v="9030.4500000000007"/>
    <n v="30"/>
    <n v="31.271232876712329"/>
    <n v="171578.55"/>
    <n v="32.271232876712325"/>
    <n v="3.6379788070917E-13"/>
    <n v="171578.55"/>
    <n v="9030.4500000000116"/>
  </r>
  <r>
    <n v="159"/>
    <s v="Factory Boundry Wall And Maingate"/>
    <s v="Sugar Division"/>
    <x v="1"/>
    <m/>
    <s v="Common"/>
    <d v="1989-01-01T00:00:00"/>
    <n v="327175"/>
    <n v="0"/>
    <n v="310816.25"/>
    <n v="16358.75"/>
    <n v="16358.75"/>
    <n v="30"/>
    <n v="31.271232876712329"/>
    <n v="310816.25"/>
    <n v="32.271232876712325"/>
    <n v="0"/>
    <n v="310816.25"/>
    <n v="16358.75"/>
  </r>
  <r>
    <n v="160"/>
    <s v="Addition To Latrine &amp;Bathroom For Darban Block No.3"/>
    <s v="Sugar Division"/>
    <x v="1"/>
    <m/>
    <s v="Common"/>
    <d v="1988-01-01T00:00:00"/>
    <n v="2668"/>
    <n v="0"/>
    <n v="2534.6"/>
    <n v="133.40000000000009"/>
    <n v="133.4"/>
    <n v="30"/>
    <n v="32.273972602739725"/>
    <n v="2534.6"/>
    <n v="33.273972602739725"/>
    <n v="2.8421709430404009E-15"/>
    <n v="2534.6"/>
    <n v="133.40000000000009"/>
  </r>
  <r>
    <n v="161"/>
    <s v="Dormitari"/>
    <s v="Sugar Division"/>
    <x v="1"/>
    <m/>
    <s v="Common"/>
    <d v="1988-01-01T00:00:00"/>
    <n v="3293"/>
    <n v="0"/>
    <n v="3128.35"/>
    <n v="164.65000000000009"/>
    <n v="164.65"/>
    <n v="30"/>
    <n v="32.273972602739725"/>
    <n v="3128.35"/>
    <n v="33.273972602739725"/>
    <n v="2.8421709430404009E-15"/>
    <n v="3128.35"/>
    <n v="164.65000000000009"/>
  </r>
  <r>
    <n v="162"/>
    <s v="Molasses Quarter "/>
    <s v="Sugar Division"/>
    <x v="1"/>
    <m/>
    <s v="Common"/>
    <d v="1988-01-01T00:00:00"/>
    <n v="8160"/>
    <n v="0"/>
    <n v="7752"/>
    <n v="408"/>
    <n v="408"/>
    <n v="30"/>
    <n v="32.273972602739725"/>
    <n v="7752"/>
    <n v="33.273972602739725"/>
    <n v="0"/>
    <n v="7752"/>
    <n v="408"/>
  </r>
  <r>
    <n v="163"/>
    <s v="Boundry Wall P.O. Side "/>
    <s v="Sugar Division"/>
    <x v="1"/>
    <m/>
    <s v="Common"/>
    <d v="1988-01-01T00:00:00"/>
    <n v="40784"/>
    <n v="0"/>
    <n v="38744.800000000003"/>
    <n v="2039.1999999999971"/>
    <n v="2039.2"/>
    <n v="30"/>
    <n v="32.273972602739725"/>
    <n v="38744.800000000003"/>
    <n v="33.273972602739725"/>
    <n v="-9.8528592692067229E-14"/>
    <n v="38744.800000000003"/>
    <n v="2039.1999999999971"/>
  </r>
  <r>
    <n v="164"/>
    <s v="Raising Hight Of Old Mill House "/>
    <s v="Sugar Division"/>
    <x v="1"/>
    <m/>
    <s v="50% each in RS and 50% in DS"/>
    <d v="1988-01-01T00:00:00"/>
    <n v="127367"/>
    <n v="0"/>
    <n v="120998.65"/>
    <n v="6368.3500000000058"/>
    <n v="6368.35"/>
    <n v="30"/>
    <n v="32.273972602739725"/>
    <n v="120998.65"/>
    <n v="33.273972602739725"/>
    <n v="1.8189894035458566E-13"/>
    <n v="120998.65"/>
    <n v="6368.3500000000058"/>
  </r>
  <r>
    <n v="165"/>
    <s v="House For Quad"/>
    <s v="Sugar Division"/>
    <x v="1"/>
    <m/>
    <s v="Upto gate"/>
    <d v="1988-01-01T00:00:00"/>
    <n v="134946"/>
    <n v="0"/>
    <n v="128198.7"/>
    <n v="6747.3000000000029"/>
    <n v="6747.3"/>
    <n v="30"/>
    <n v="32.273972602739725"/>
    <n v="128198.7"/>
    <n v="33.273972602739725"/>
    <n v="9.0949470177292829E-14"/>
    <n v="128198.7"/>
    <n v="6747.3000000000029"/>
  </r>
  <r>
    <n v="166"/>
    <s v="House For Evaporator"/>
    <s v="Sugar Division"/>
    <x v="1"/>
    <m/>
    <s v="50% each in RS and 50% in DS"/>
    <d v="1988-01-01T00:00:00"/>
    <n v="196616"/>
    <n v="0"/>
    <n v="186785.2"/>
    <n v="9830.7999999999884"/>
    <n v="9830.8000000000011"/>
    <n v="30"/>
    <n v="32.273972602739725"/>
    <n v="186785.2"/>
    <n v="33.273972602739725"/>
    <n v="-4.2443086082736652E-13"/>
    <n v="186785.2"/>
    <n v="9830.7999999999884"/>
  </r>
  <r>
    <n v="167"/>
    <s v="House For Boilers"/>
    <s v="Sugar Division"/>
    <x v="1"/>
    <m/>
    <s v="30% in Juice Costing and 35% in DS and 35% in RS"/>
    <d v="1988-01-01T00:00:00"/>
    <n v="357162"/>
    <n v="0"/>
    <n v="339303.9"/>
    <n v="17858.099999999977"/>
    <n v="17858.100000000002"/>
    <n v="30"/>
    <n v="32.273972602739725"/>
    <n v="339303.9"/>
    <n v="33.273972602739725"/>
    <n v="-8.4886172165473304E-13"/>
    <n v="339303.9"/>
    <n v="17858.099999999977"/>
  </r>
  <r>
    <n v="168"/>
    <s v="Suger Godown At Lakhimpur"/>
    <s v="Sugar Division"/>
    <x v="1"/>
    <m/>
    <s v="Sugar Godown - Distribution"/>
    <d v="1958-01-01T00:00:00"/>
    <n v="28061"/>
    <n v="0"/>
    <n v="26657.95"/>
    <n v="1403.0499999999993"/>
    <n v="1403.0500000000002"/>
    <n v="60"/>
    <n v="62.293150684931504"/>
    <n v="26657.95"/>
    <n v="63.293150684931504"/>
    <n v="-1.5158245029548804E-14"/>
    <n v="26657.95"/>
    <n v="1403.0499999999993"/>
  </r>
  <r>
    <n v="169"/>
    <s v="Dormitory No. 2"/>
    <s v="Sugar Division"/>
    <x v="1"/>
    <m/>
    <s v="Common"/>
    <d v="1987-01-01T00:00:00"/>
    <n v="145732"/>
    <n v="0"/>
    <n v="138445.4"/>
    <n v="7286.6000000000058"/>
    <n v="7286.6"/>
    <n v="30"/>
    <n v="33.273972602739725"/>
    <n v="138445.4"/>
    <n v="34.273972602739725"/>
    <n v="1.8189894035458566E-13"/>
    <n v="138445.4"/>
    <n v="7286.6000000000058"/>
  </r>
  <r>
    <n v="170"/>
    <s v="Dormitary 110'X25' With Kitchen,Bathroom &amp; Latrines"/>
    <s v="Sugar Division"/>
    <x v="1"/>
    <m/>
    <s v="Common"/>
    <d v="1987-01-01T00:00:00"/>
    <n v="59888"/>
    <n v="0"/>
    <n v="56893.599999999999"/>
    <n v="2994.4000000000015"/>
    <n v="2994.4"/>
    <n v="30"/>
    <n v="33.273972602739725"/>
    <n v="56893.599999999999"/>
    <n v="34.273972602739725"/>
    <n v="4.5474735088646414E-14"/>
    <n v="56893.599999999999"/>
    <n v="2994.4000000000015"/>
  </r>
  <r>
    <n v="171"/>
    <s v="Suger  Godown At Lakhimpur"/>
    <s v="Sugar Division"/>
    <x v="1"/>
    <m/>
    <s v="Sugar Godown - Distribution"/>
    <d v="1957-01-01T00:00:00"/>
    <n v="34554"/>
    <n v="0"/>
    <n v="32826.300000000003"/>
    <n v="1727.6999999999971"/>
    <n v="1727.7"/>
    <n v="60"/>
    <n v="63.293150684931504"/>
    <n v="32826.300000000003"/>
    <n v="64.293150684931504"/>
    <n v="-4.9264296346033615E-14"/>
    <n v="32826.300000000003"/>
    <n v="1727.6999999999971"/>
  </r>
  <r>
    <n v="172"/>
    <s v="2 Room Quarters At Block No. "/>
    <s v="Sugar Division"/>
    <x v="1"/>
    <m/>
    <s v="Common"/>
    <d v="1986-01-01T00:00:00"/>
    <n v="77377"/>
    <n v="0"/>
    <n v="73508.149999999994"/>
    <n v="3868.8500000000058"/>
    <n v="3868.8500000000004"/>
    <n v="30"/>
    <n v="34.273972602739725"/>
    <n v="73508.149999999994"/>
    <n v="35.273972602739725"/>
    <n v="1.8189894035458566E-13"/>
    <n v="73508.149999999994"/>
    <n v="3868.8500000000004"/>
  </r>
  <r>
    <n v="173"/>
    <s v="Two Labour Quarter Of 2 Roomed "/>
    <s v="Sugar Division"/>
    <x v="1"/>
    <m/>
    <s v="Common"/>
    <d v="1986-01-01T00:00:00"/>
    <n v="26024"/>
    <n v="0"/>
    <n v="24722.799999999999"/>
    <n v="1301.2000000000007"/>
    <n v="1301.2"/>
    <n v="30"/>
    <n v="34.273972602739725"/>
    <n v="24722.799999999999"/>
    <n v="35.273972602739725"/>
    <n v="2.2737367544323207E-14"/>
    <n v="24722.799999999999"/>
    <n v="1301.2000000000007"/>
  </r>
  <r>
    <n v="174"/>
    <s v="New Boundry Wall For Covering Land"/>
    <s v="Sugar Division"/>
    <x v="1"/>
    <m/>
    <s v="Common"/>
    <d v="1986-01-01T00:00:00"/>
    <n v="13951"/>
    <n v="0"/>
    <n v="13253.45"/>
    <n v="697.54999999999927"/>
    <n v="697.55000000000007"/>
    <n v="30"/>
    <n v="34.273972602739725"/>
    <n v="13253.45"/>
    <n v="35.273972602739725"/>
    <n v="-2.6526928801710407E-14"/>
    <n v="13253.45"/>
    <n v="697.54999999999927"/>
  </r>
  <r>
    <n v="175"/>
    <s v="House For New Tubewell "/>
    <s v="Sugar Division"/>
    <x v="1"/>
    <m/>
    <s v="Common"/>
    <d v="1986-01-01T00:00:00"/>
    <n v="12283"/>
    <n v="0"/>
    <n v="11668.85"/>
    <n v="614.14999999999964"/>
    <n v="614.15000000000009"/>
    <n v="30"/>
    <n v="34.273972602739725"/>
    <n v="11668.85"/>
    <n v="35.273972602739725"/>
    <n v="-1.5158245029548804E-14"/>
    <n v="11668.85"/>
    <n v="614.14999999999964"/>
  </r>
  <r>
    <n v="176"/>
    <s v="Addition Of Kitchen &amp; Bathroom In Quarter No. 4-D"/>
    <s v="Sugar Division"/>
    <x v="1"/>
    <m/>
    <s v="Common"/>
    <d v="1986-01-01T00:00:00"/>
    <n v="2870"/>
    <n v="0"/>
    <n v="2726.5"/>
    <n v="143.5"/>
    <n v="143.5"/>
    <n v="30"/>
    <n v="34.273972602739725"/>
    <n v="2726.5"/>
    <n v="35.273972602739725"/>
    <n v="0"/>
    <n v="2726.5"/>
    <n v="143.5"/>
  </r>
  <r>
    <n v="177"/>
    <s v="Factory &amp; Colony Drains"/>
    <s v="Sugar Division"/>
    <x v="1"/>
    <m/>
    <s v="Common"/>
    <d v="1985-01-01T00:00:00"/>
    <n v="26279"/>
    <n v="0"/>
    <n v="24965.05"/>
    <n v="1313.9500000000007"/>
    <n v="1313.95"/>
    <n v="30"/>
    <n v="35.273972602739725"/>
    <n v="24965.05"/>
    <n v="36.273972602739725"/>
    <n v="2.2737367544323207E-14"/>
    <n v="24965.05"/>
    <n v="1313.9500000000007"/>
  </r>
  <r>
    <n v="178"/>
    <s v="House For New Diesel Engine"/>
    <s v="Sugar Division"/>
    <x v="1"/>
    <m/>
    <s v="Common"/>
    <d v="1985-01-01T00:00:00"/>
    <n v="21247"/>
    <n v="0"/>
    <n v="20184.650000000001"/>
    <n v="1062.3499999999985"/>
    <n v="1062.3500000000001"/>
    <n v="30"/>
    <n v="35.273972602739725"/>
    <n v="20184.650000000001"/>
    <n v="36.273972602739725"/>
    <n v="-5.3053857603420815E-14"/>
    <n v="20184.650000000001"/>
    <n v="1062.3499999999985"/>
  </r>
  <r>
    <n v="179"/>
    <s v="New Boundry Wall For Covering Land"/>
    <s v="Sugar Division"/>
    <x v="1"/>
    <m/>
    <s v="Common"/>
    <d v="1985-01-01T00:00:00"/>
    <n v="13697"/>
    <n v="0"/>
    <n v="13012.15"/>
    <n v="684.85000000000036"/>
    <n v="684.85"/>
    <n v="30"/>
    <n v="35.273972602739725"/>
    <n v="13012.15"/>
    <n v="36.273972602739725"/>
    <n v="1.1368683772161604E-14"/>
    <n v="13012.15"/>
    <n v="684.85000000000036"/>
  </r>
  <r>
    <n v="180"/>
    <s v="New House For Waste Water Pump  Including Tank"/>
    <s v="Sugar Division"/>
    <x v="1"/>
    <m/>
    <s v="Common"/>
    <d v="1985-01-01T00:00:00"/>
    <n v="6487"/>
    <n v="0"/>
    <n v="6162.65"/>
    <n v="324.35000000000036"/>
    <n v="324.35000000000002"/>
    <n v="30"/>
    <n v="35.273972602739725"/>
    <n v="6162.65"/>
    <n v="36.273972602739725"/>
    <n v="1.1368683772161604E-14"/>
    <n v="6162.65"/>
    <n v="324.35000000000036"/>
  </r>
  <r>
    <n v="181"/>
    <s v="Addition One Room In Shashivind Verma'S Quarter"/>
    <s v="Sugar Division"/>
    <x v="1"/>
    <m/>
    <s v="Common"/>
    <d v="1985-01-01T00:00:00"/>
    <n v="3330"/>
    <n v="0"/>
    <n v="3163.5"/>
    <n v="166.5"/>
    <n v="166.5"/>
    <n v="30"/>
    <n v="35.273972602739725"/>
    <n v="3163.5"/>
    <n v="36.273972602739725"/>
    <n v="0"/>
    <n v="3163.5"/>
    <n v="166.5"/>
  </r>
  <r>
    <n v="182"/>
    <s v="Addition One Room In S.N. Sen'S Quarter"/>
    <s v="Sugar Division"/>
    <x v="1"/>
    <m/>
    <s v="Common"/>
    <d v="1985-01-01T00:00:00"/>
    <n v="2707"/>
    <n v="0"/>
    <n v="2571.65"/>
    <n v="135.34999999999991"/>
    <n v="135.35"/>
    <n v="30"/>
    <n v="35.273972602739725"/>
    <n v="2571.65"/>
    <n v="36.273972602739725"/>
    <n v="-2.8421709430404009E-15"/>
    <n v="2571.65"/>
    <n v="135.34999999999991"/>
  </r>
  <r>
    <n v="183"/>
    <s v="Room For Guest House No. 1"/>
    <s v="Sugar Division"/>
    <x v="1"/>
    <m/>
    <s v="Common"/>
    <d v="1985-01-01T00:00:00"/>
    <n v="532"/>
    <n v="0"/>
    <n v="505.4"/>
    <n v="26.600000000000023"/>
    <n v="26.6"/>
    <n v="30"/>
    <n v="35.273972602739725"/>
    <n v="505.4"/>
    <n v="36.273972602739725"/>
    <n v="7.1054273576010023E-16"/>
    <n v="505.4"/>
    <n v="26.600000000000023"/>
  </r>
  <r>
    <n v="184"/>
    <s v="House For Ruston  Engine"/>
    <s v="Sugar Division"/>
    <x v="1"/>
    <m/>
    <s v="Common"/>
    <d v="1984-01-15T00:00:00"/>
    <n v="7556"/>
    <n v="0"/>
    <n v="7178.2"/>
    <n v="377.80000000000018"/>
    <n v="377.8"/>
    <n v="30"/>
    <n v="36.238356164383561"/>
    <n v="7178.2"/>
    <n v="37.238356164383561"/>
    <n v="5.6843418860808018E-15"/>
    <n v="7178.2"/>
    <n v="377.80000000000018"/>
  </r>
  <r>
    <n v="185"/>
    <s v="Raising Hight Of Cane Carrier Shed"/>
    <s v="Sugar Division"/>
    <x v="1"/>
    <m/>
    <s v="Juice Costing"/>
    <d v="1984-01-01T00:00:00"/>
    <n v="191662"/>
    <n v="0"/>
    <n v="182078.9"/>
    <n v="9583.1000000000058"/>
    <n v="9583.1"/>
    <n v="30"/>
    <n v="36.276712328767125"/>
    <n v="182078.9"/>
    <n v="37.276712328767125"/>
    <n v="1.8189894035458566E-13"/>
    <n v="182078.9"/>
    <n v="9583.1000000000058"/>
  </r>
  <r>
    <n v="186"/>
    <s v="2 Rooms 3 Quarters In Boundry"/>
    <s v="Sugar Division"/>
    <x v="1"/>
    <m/>
    <s v="Common"/>
    <d v="1984-01-01T00:00:00"/>
    <n v="85104"/>
    <n v="0"/>
    <n v="80848.800000000003"/>
    <n v="4255.1999999999971"/>
    <n v="4255.2"/>
    <n v="30"/>
    <n v="36.276712328767125"/>
    <n v="80848.800000000003"/>
    <n v="37.276712328767125"/>
    <n v="-9.0949470177292829E-14"/>
    <n v="80848.800000000003"/>
    <n v="4255.1999999999971"/>
  </r>
  <r>
    <n v="187"/>
    <s v="3 Quarters For Labour"/>
    <s v="Sugar Division"/>
    <x v="1"/>
    <m/>
    <s v="Common"/>
    <d v="1984-01-01T00:00:00"/>
    <n v="21713"/>
    <n v="0"/>
    <n v="20627.349999999999"/>
    <n v="1085.6500000000015"/>
    <n v="1085.6500000000001"/>
    <n v="30"/>
    <n v="36.276712328767125"/>
    <n v="20627.349999999999"/>
    <n v="37.276712328767125"/>
    <n v="4.5474735088646414E-14"/>
    <n v="20627.349999999999"/>
    <n v="1085.6500000000015"/>
  </r>
  <r>
    <n v="188"/>
    <s v="Addition Of One Room In Guest House"/>
    <s v="Sugar Division"/>
    <x v="1"/>
    <m/>
    <s v="Common"/>
    <d v="1984-01-01T00:00:00"/>
    <n v="21360"/>
    <n v="0"/>
    <n v="20292"/>
    <n v="1068"/>
    <n v="1068"/>
    <n v="30"/>
    <n v="36.276712328767125"/>
    <n v="20292"/>
    <n v="37.276712328767125"/>
    <n v="0"/>
    <n v="20292"/>
    <n v="1068"/>
  </r>
  <r>
    <n v="189"/>
    <s v="Latrine And Bathroom At Cane Quarter"/>
    <s v="Sugar Division"/>
    <x v="1"/>
    <m/>
    <s v="Upto gate"/>
    <d v="1984-01-01T00:00:00"/>
    <n v="6746"/>
    <n v="0"/>
    <n v="6408.7"/>
    <n v="337.30000000000018"/>
    <n v="337.3"/>
    <n v="30"/>
    <n v="36.276712328767125"/>
    <n v="6408.7"/>
    <n v="37.276712328767125"/>
    <n v="5.6843418860808018E-15"/>
    <n v="6408.7"/>
    <n v="337.30000000000018"/>
  </r>
  <r>
    <n v="190"/>
    <s v="Addition Of One Room Ved Prakash'S Quarter"/>
    <s v="Sugar Division"/>
    <x v="1"/>
    <m/>
    <s v="Common"/>
    <d v="1984-01-01T00:00:00"/>
    <n v="6231"/>
    <n v="0"/>
    <n v="5919.45"/>
    <n v="311.55000000000018"/>
    <n v="311.55"/>
    <n v="30"/>
    <n v="36.276712328767125"/>
    <n v="5919.45"/>
    <n v="37.276712328767125"/>
    <n v="5.6843418860808018E-15"/>
    <n v="5919.45"/>
    <n v="311.55000000000018"/>
  </r>
  <r>
    <n v="191"/>
    <s v="Water Through  Tank In Cane Yard"/>
    <s v="Sugar Division"/>
    <x v="1"/>
    <m/>
    <s v="Upto gate"/>
    <d v="1984-01-01T00:00:00"/>
    <n v="5598"/>
    <n v="0"/>
    <n v="5318.1"/>
    <n v="279.89999999999964"/>
    <n v="279.90000000000003"/>
    <n v="30"/>
    <n v="36.276712328767125"/>
    <n v="5318.1"/>
    <n v="37.276712328767125"/>
    <n v="-1.3263464400855204E-14"/>
    <n v="5318.1"/>
    <n v="279.89999999999964"/>
  </r>
  <r>
    <n v="192"/>
    <s v="Colony And Factory Drains"/>
    <s v="Sugar Division"/>
    <x v="1"/>
    <m/>
    <s v="Common"/>
    <d v="1984-01-01T00:00:00"/>
    <n v="4826"/>
    <n v="0"/>
    <n v="4584.7"/>
    <n v="241.30000000000018"/>
    <n v="241.3"/>
    <n v="30"/>
    <n v="36.276712328767125"/>
    <n v="4584.7"/>
    <n v="37.276712328767125"/>
    <n v="5.6843418860808018E-15"/>
    <n v="4584.7"/>
    <n v="241.30000000000018"/>
  </r>
  <r>
    <n v="193"/>
    <s v="Room For Molasses Pump"/>
    <s v="Sugar Division"/>
    <x v="1"/>
    <m/>
    <s v="Common"/>
    <d v="1984-01-01T00:00:00"/>
    <n v="3110"/>
    <n v="0"/>
    <n v="2954.5"/>
    <n v="155.5"/>
    <n v="155.5"/>
    <n v="30"/>
    <n v="36.276712328767125"/>
    <n v="2954.5"/>
    <n v="37.276712328767125"/>
    <n v="0"/>
    <n v="2954.5"/>
    <n v="155.5"/>
  </r>
  <r>
    <n v="194"/>
    <s v="Addition In Shri K.P. Raizada'S Quarter Of Kitchen"/>
    <s v="Sugar Division"/>
    <x v="1"/>
    <m/>
    <s v="Common"/>
    <d v="1984-01-01T00:00:00"/>
    <n v="2480"/>
    <n v="0"/>
    <n v="2356"/>
    <n v="124"/>
    <n v="124"/>
    <n v="30"/>
    <n v="36.276712328767125"/>
    <n v="2356"/>
    <n v="37.276712328767125"/>
    <n v="0"/>
    <n v="2356"/>
    <n v="124"/>
  </r>
  <r>
    <n v="195"/>
    <s v="Addition In Shri Ganga Ram'S Quarters Of One Room"/>
    <s v="Sugar Division"/>
    <x v="1"/>
    <m/>
    <s v="Common"/>
    <d v="1984-01-01T00:00:00"/>
    <n v="1874"/>
    <n v="0"/>
    <n v="1780.3"/>
    <n v="93.700000000000045"/>
    <n v="93.7"/>
    <n v="30"/>
    <n v="36.276712328767125"/>
    <n v="1780.3"/>
    <n v="37.276712328767125"/>
    <n v="1.4210854715202005E-15"/>
    <n v="1780.3"/>
    <n v="93.700000000000045"/>
  </r>
  <r>
    <n v="196"/>
    <s v="Sugar Godown At Lakhimpur"/>
    <s v="Sugar Division"/>
    <x v="1"/>
    <m/>
    <s v="Sugar Godown - Distribution"/>
    <d v="1954-01-01T00:00:00"/>
    <n v="35485"/>
    <n v="0"/>
    <n v="33710.75"/>
    <n v="1774.25"/>
    <n v="1774.25"/>
    <n v="60"/>
    <n v="66.295890410958904"/>
    <n v="33710.75"/>
    <n v="67.295890410958904"/>
    <n v="0"/>
    <n v="33710.75"/>
    <n v="1774.25"/>
  </r>
  <r>
    <n v="197"/>
    <s v="Tube Well"/>
    <s v="Sugar Division"/>
    <x v="1"/>
    <m/>
    <s v="Common"/>
    <d v="2008-11-27T00:00:00"/>
    <n v="1063242.03"/>
    <n v="0"/>
    <n v="1010079.9285"/>
    <n v="53162.10149999999"/>
    <n v="53162.101500000004"/>
    <n v="5"/>
    <n v="11.353424657534246"/>
    <n v="1010079.9285"/>
    <n v="12.353424657534246"/>
    <n v="-2.9103830456733705E-12"/>
    <n v="1010079.9285"/>
    <n v="53162.10149999999"/>
  </r>
  <r>
    <n v="198"/>
    <s v="2 Roomed Quarter In Boundary"/>
    <s v="Sugar Division"/>
    <x v="1"/>
    <m/>
    <s v="Common"/>
    <d v="1983-01-01T00:00:00"/>
    <n v="52203"/>
    <n v="0"/>
    <n v="49592.85"/>
    <n v="2610.1500000000015"/>
    <n v="2610.15"/>
    <n v="30"/>
    <n v="37.276712328767125"/>
    <n v="49592.85"/>
    <n v="38.276712328767125"/>
    <n v="4.5474735088646414E-14"/>
    <n v="49592.85"/>
    <n v="2610.1500000000015"/>
  </r>
  <r>
    <n v="199"/>
    <s v="Cane Yard Soling"/>
    <s v="Sugar Division"/>
    <x v="1"/>
    <m/>
    <s v="Upto gate"/>
    <d v="1983-01-01T00:00:00"/>
    <n v="38130"/>
    <n v="0"/>
    <n v="36223.5"/>
    <n v="1906.5"/>
    <n v="1906.5"/>
    <n v="30"/>
    <n v="37.276712328767125"/>
    <n v="36223.5"/>
    <n v="38.276712328767125"/>
    <n v="0"/>
    <n v="36223.5"/>
    <n v="1906.5"/>
  </r>
  <r>
    <n v="200"/>
    <s v="M.L. Sharma'S Quarter"/>
    <s v="Sugar Division"/>
    <x v="1"/>
    <m/>
    <s v="Common"/>
    <d v="1983-01-01T00:00:00"/>
    <n v="1397"/>
    <n v="0"/>
    <n v="1327.15"/>
    <n v="69.849999999999909"/>
    <n v="69.850000000000009"/>
    <n v="30"/>
    <n v="37.276712328767125"/>
    <n v="1327.15"/>
    <n v="38.276712328767125"/>
    <n v="-3.3158661002138009E-15"/>
    <n v="1327.15"/>
    <n v="69.849999999999909"/>
  </r>
  <r>
    <n v="201"/>
    <s v="Sugar Godown At Lakhimpur"/>
    <s v="Sugar Division"/>
    <x v="1"/>
    <m/>
    <s v="Sugar Godown - Distribution"/>
    <d v="1953-01-01T00:00:00"/>
    <n v="14892"/>
    <n v="0"/>
    <n v="14147.4"/>
    <n v="744.60000000000036"/>
    <n v="744.6"/>
    <n v="60"/>
    <n v="67.295890410958904"/>
    <n v="14147.4"/>
    <n v="68.295890410958904"/>
    <n v="5.6843418860808018E-15"/>
    <n v="14147.4"/>
    <n v="744.60000000000036"/>
  </r>
  <r>
    <n v="202"/>
    <s v="Extension Of Shri P.N. Pandey'S Quarter   F.Building"/>
    <s v="Sugar Division"/>
    <x v="1"/>
    <m/>
    <s v="Common"/>
    <d v="1982-01-01T00:00:00"/>
    <n v="5288"/>
    <n v="0"/>
    <n v="5023.6000000000004"/>
    <n v="264.39999999999964"/>
    <n v="264.40000000000003"/>
    <n v="30"/>
    <n v="38.276712328767125"/>
    <n v="5023.6000000000004"/>
    <n v="39.276712328767125"/>
    <n v="-1.3263464400855204E-14"/>
    <n v="5023.6000000000004"/>
    <n v="264.39999999999964"/>
  </r>
  <r>
    <n v="203"/>
    <s v="Extension Of Harnam Singh,S Quarter"/>
    <s v="Sugar Division"/>
    <x v="1"/>
    <m/>
    <s v="Common"/>
    <d v="1982-01-01T00:00:00"/>
    <n v="5247"/>
    <n v="0"/>
    <n v="4984.6499999999996"/>
    <n v="262.35000000000036"/>
    <n v="262.35000000000002"/>
    <n v="30"/>
    <n v="38.276712328767125"/>
    <n v="4984.6499999999996"/>
    <n v="39.276712328767125"/>
    <n v="1.1368683772161604E-14"/>
    <n v="4984.6499999999996"/>
    <n v="262.35000000000002"/>
  </r>
  <r>
    <n v="204"/>
    <s v="Extension Of Katwaroo'S Quarter"/>
    <s v="Sugar Division"/>
    <x v="1"/>
    <m/>
    <s v="Common"/>
    <d v="1982-01-01T00:00:00"/>
    <n v="3510"/>
    <n v="0"/>
    <n v="3334.5"/>
    <n v="175.5"/>
    <n v="175.5"/>
    <n v="30"/>
    <n v="38.276712328767125"/>
    <n v="3334.5"/>
    <n v="39.276712328767125"/>
    <n v="0"/>
    <n v="3334.5"/>
    <n v="175.5"/>
  </r>
  <r>
    <n v="205"/>
    <s v="New Latrine In 28 Block "/>
    <s v="Sugar Division"/>
    <x v="1"/>
    <m/>
    <s v="Common"/>
    <d v="1982-01-01T00:00:00"/>
    <n v="1725"/>
    <n v="0"/>
    <n v="1638.75"/>
    <n v="86.25"/>
    <n v="86.25"/>
    <n v="30"/>
    <n v="38.276712328767125"/>
    <n v="1638.75"/>
    <n v="39.276712328767125"/>
    <n v="0"/>
    <n v="1638.75"/>
    <n v="86.25"/>
  </r>
  <r>
    <n v="206"/>
    <s v="Dormatory"/>
    <s v="Sugar Division"/>
    <x v="1"/>
    <m/>
    <s v="Common"/>
    <d v="1981-01-01T00:00:00"/>
    <n v="110154"/>
    <n v="0"/>
    <n v="104646.3"/>
    <n v="5507.6999999999971"/>
    <n v="5507.7000000000007"/>
    <n v="30"/>
    <n v="39.276712328767125"/>
    <n v="104646.3"/>
    <n v="40.276712328767125"/>
    <n v="-1.2126596023639043E-13"/>
    <n v="104646.3"/>
    <n v="5507.6999999999971"/>
  </r>
  <r>
    <n v="207"/>
    <s v="Extension Of One Room In Block B-6  Quarter"/>
    <s v="Sugar Division"/>
    <x v="1"/>
    <m/>
    <s v="Common"/>
    <d v="1981-01-01T00:00:00"/>
    <n v="18080"/>
    <n v="0"/>
    <n v="17176"/>
    <n v="904"/>
    <n v="904"/>
    <n v="30"/>
    <n v="39.276712328767125"/>
    <n v="17176"/>
    <n v="40.276712328767125"/>
    <n v="0"/>
    <n v="17176"/>
    <n v="904"/>
  </r>
  <r>
    <n v="208"/>
    <s v="Cattle Shed In Cane Yard"/>
    <s v="Sugar Division"/>
    <x v="1"/>
    <m/>
    <s v="Upto gate"/>
    <d v="1981-01-01T00:00:00"/>
    <n v="9373"/>
    <n v="0"/>
    <n v="8904.35"/>
    <n v="468.64999999999964"/>
    <n v="468.65000000000003"/>
    <n v="30"/>
    <n v="39.276712328767125"/>
    <n v="8904.35"/>
    <n v="40.276712328767125"/>
    <n v="-1.3263464400855204E-14"/>
    <n v="8904.35"/>
    <n v="468.64999999999964"/>
  </r>
  <r>
    <n v="209"/>
    <s v="New Sugar Office "/>
    <s v="Sugar Division"/>
    <x v="1"/>
    <m/>
    <s v="Sugar Godown - Distribution"/>
    <d v="1981-01-01T00:00:00"/>
    <n v="7173"/>
    <n v="0"/>
    <n v="6814.35"/>
    <n v="358.64999999999964"/>
    <n v="358.65000000000003"/>
    <n v="30"/>
    <n v="39.276712328767125"/>
    <n v="6814.35"/>
    <n v="40.276712328767125"/>
    <n v="-1.3263464400855204E-14"/>
    <n v="6814.35"/>
    <n v="358.64999999999964"/>
  </r>
  <r>
    <n v="210"/>
    <s v="Test Weighbridge Room"/>
    <s v="Sugar Division"/>
    <x v="1"/>
    <m/>
    <s v="Upto gate"/>
    <d v="1981-01-01T00:00:00"/>
    <n v="6975"/>
    <n v="0"/>
    <n v="6626.25"/>
    <n v="348.75"/>
    <n v="348.75"/>
    <n v="30"/>
    <n v="39.276712328767125"/>
    <n v="6626.25"/>
    <n v="40.276712328767125"/>
    <n v="0"/>
    <n v="6626.25"/>
    <n v="348.75"/>
  </r>
  <r>
    <n v="211"/>
    <s v="Tubewell House"/>
    <s v="Sugar Division"/>
    <x v="1"/>
    <m/>
    <s v="Common"/>
    <d v="1981-01-01T00:00:00"/>
    <n v="6070"/>
    <n v="0"/>
    <n v="5766.5"/>
    <n v="303.5"/>
    <n v="303.5"/>
    <n v="30"/>
    <n v="39.276712328767125"/>
    <n v="5766.5"/>
    <n v="40.276712328767125"/>
    <n v="0"/>
    <n v="5766.5"/>
    <n v="303.5"/>
  </r>
  <r>
    <n v="212"/>
    <s v="Two Latrine  In Boundry Wall "/>
    <s v="Sugar Division"/>
    <x v="1"/>
    <m/>
    <s v="Common"/>
    <d v="1981-01-01T00:00:00"/>
    <n v="4856"/>
    <n v="0"/>
    <n v="4613.2"/>
    <n v="242.80000000000018"/>
    <n v="242.8"/>
    <n v="30"/>
    <n v="39.276712328767125"/>
    <n v="4613.2"/>
    <n v="40.276712328767125"/>
    <n v="5.6843418860808018E-15"/>
    <n v="4613.2"/>
    <n v="242.8"/>
  </r>
  <r>
    <n v="213"/>
    <s v="Raising Height Of New Power House"/>
    <s v="Sugar Division"/>
    <x v="1"/>
    <m/>
    <s v="Power"/>
    <d v="1981-01-01T00:00:00"/>
    <n v="1205"/>
    <n v="0"/>
    <n v="1144.75"/>
    <n v="60.25"/>
    <n v="60.25"/>
    <n v="30"/>
    <n v="39.276712328767125"/>
    <n v="1144.75"/>
    <n v="40.276712328767125"/>
    <n v="0"/>
    <n v="1144.75"/>
    <n v="60.25"/>
  </r>
  <r>
    <n v="214"/>
    <s v="Road Of Sugar Godown"/>
    <s v="Sugar Division"/>
    <x v="1"/>
    <m/>
    <s v="Sugar Godown - Distribution"/>
    <d v="2005-06-30T00:00:00"/>
    <n v="413066.27"/>
    <n v="0"/>
    <n v="392412.95650000003"/>
    <n v="20653.313499999989"/>
    <n v="20653.313500000004"/>
    <n v="5"/>
    <n v="14.767123287671232"/>
    <n v="392412.95650000003"/>
    <n v="15.767123287671232"/>
    <n v="-2.9103830456733705E-12"/>
    <n v="392412.95650000003"/>
    <n v="20653.313499999989"/>
  </r>
  <r>
    <n v="215"/>
    <s v="Tubewell "/>
    <s v="Sugar Division"/>
    <x v="1"/>
    <m/>
    <s v="Common"/>
    <d v="2005-03-31T00:00:00"/>
    <n v="728873.94"/>
    <n v="0"/>
    <n v="692430.2429999999"/>
    <n v="36443.697000000044"/>
    <n v="36443.697"/>
    <n v="5"/>
    <n v="15.016438356164384"/>
    <n v="692430.2429999999"/>
    <n v="16.016438356164382"/>
    <n v="8.7311491370200962E-12"/>
    <n v="692430.2429999999"/>
    <n v="36443.697"/>
  </r>
  <r>
    <n v="216"/>
    <s v="Turbine House Height Raising "/>
    <s v="Sugar Division"/>
    <x v="1"/>
    <m/>
    <s v="Power"/>
    <d v="1980-01-01T00:00:00"/>
    <n v="21475"/>
    <n v="0"/>
    <n v="20401.25"/>
    <n v="1073.75"/>
    <n v="1073.75"/>
    <n v="30"/>
    <n v="40.279452054794518"/>
    <n v="20401.25"/>
    <n v="41.279452054794518"/>
    <n v="0"/>
    <n v="20401.25"/>
    <n v="1073.75"/>
  </r>
  <r>
    <n v="217"/>
    <s v="New Gross Weighbridge  Room"/>
    <s v="Sugar Division"/>
    <x v="1"/>
    <m/>
    <s v="Upto gate"/>
    <d v="1980-01-01T00:00:00"/>
    <n v="13329"/>
    <n v="0"/>
    <n v="12662.55"/>
    <n v="666.45000000000073"/>
    <n v="666.45"/>
    <n v="30"/>
    <n v="40.279452054794518"/>
    <n v="12662.55"/>
    <n v="41.279452054794518"/>
    <n v="2.2737367544323207E-14"/>
    <n v="12662.55"/>
    <n v="666.45"/>
  </r>
  <r>
    <n v="218"/>
    <s v="Latrine In 23 Block Quarters "/>
    <s v="Sugar Division"/>
    <x v="1"/>
    <m/>
    <s v="Common"/>
    <d v="1980-01-01T00:00:00"/>
    <n v="9519"/>
    <n v="0"/>
    <n v="9043.0499999999993"/>
    <n v="475.95000000000073"/>
    <n v="475.95000000000005"/>
    <n v="30"/>
    <n v="40.279452054794518"/>
    <n v="9043.0499999999993"/>
    <n v="41.279452054794518"/>
    <n v="2.2737367544323207E-14"/>
    <n v="9043.0499999999993"/>
    <n v="475.95000000000005"/>
  </r>
  <r>
    <n v="219"/>
    <s v="Factory Boundry Wall "/>
    <s v="Sugar Division"/>
    <x v="1"/>
    <m/>
    <s v="Common"/>
    <d v="1980-01-01T00:00:00"/>
    <n v="7619"/>
    <n v="0"/>
    <n v="7238.05"/>
    <n v="380.94999999999982"/>
    <n v="380.95000000000005"/>
    <n v="30"/>
    <n v="40.279452054794518"/>
    <n v="7238.05"/>
    <n v="41.279452054794518"/>
    <n v="-7.5791225147744019E-15"/>
    <n v="7238.05"/>
    <n v="380.94999999999982"/>
  </r>
  <r>
    <n v="220"/>
    <s v="Tubewell House"/>
    <s v="Sugar Division"/>
    <x v="1"/>
    <m/>
    <s v="Common"/>
    <d v="1980-01-01T00:00:00"/>
    <n v="1756"/>
    <n v="0"/>
    <n v="1668.2"/>
    <n v="87.799999999999955"/>
    <n v="87.800000000000011"/>
    <n v="30"/>
    <n v="40.279452054794518"/>
    <n v="1668.2"/>
    <n v="41.279452054794518"/>
    <n v="-1.8947806286936005E-15"/>
    <n v="1668.2"/>
    <n v="87.799999999999955"/>
  </r>
  <r>
    <n v="221"/>
    <s v="Drain Near Flour Mill "/>
    <s v="Sugar Division"/>
    <x v="1"/>
    <m/>
    <s v="50% each in RS and 50% in DS"/>
    <d v="1980-01-01T00:00:00"/>
    <n v="1560"/>
    <n v="0"/>
    <n v="1482"/>
    <n v="78"/>
    <n v="78"/>
    <n v="30"/>
    <n v="40.279452054794518"/>
    <n v="1482"/>
    <n v="41.279452054794518"/>
    <n v="0"/>
    <n v="1482"/>
    <n v="78"/>
  </r>
  <r>
    <n v="222"/>
    <s v="Old Mill House Partlyconverted Into Sugar Godown"/>
    <s v="Sugar Division"/>
    <x v="1"/>
    <m/>
    <s v="Sugar Godown - Distribution"/>
    <d v="1979-01-01T00:00:00"/>
    <n v="13766"/>
    <n v="0"/>
    <n v="13077.7"/>
    <n v="688.29999999999927"/>
    <n v="688.30000000000007"/>
    <n v="30"/>
    <n v="41.279452054794518"/>
    <n v="13077.7"/>
    <n v="42.279452054794518"/>
    <n v="-2.6526928801710407E-14"/>
    <n v="13077.7"/>
    <n v="688.29999999999927"/>
  </r>
  <r>
    <n v="223"/>
    <s v="New Chacking Weightbridge"/>
    <s v="Sugar Division"/>
    <x v="1"/>
    <m/>
    <s v="Upto gate"/>
    <d v="1979-01-01T00:00:00"/>
    <n v="8238"/>
    <n v="0"/>
    <n v="7826.1"/>
    <n v="411.89999999999964"/>
    <n v="411.90000000000003"/>
    <n v="30"/>
    <n v="41.279452054794518"/>
    <n v="7826.1"/>
    <n v="42.279452054794518"/>
    <n v="-1.3263464400855204E-14"/>
    <n v="7826.1"/>
    <n v="411.89999999999964"/>
  </r>
  <r>
    <n v="224"/>
    <s v="Godown At Lakhimpur "/>
    <s v="Sugar Division"/>
    <x v="1"/>
    <m/>
    <s v="Sugar Godown - Distribution"/>
    <d v="1978-01-01T00:00:00"/>
    <n v="23441"/>
    <n v="0"/>
    <n v="22268.95"/>
    <n v="1172.0499999999993"/>
    <n v="1172.05"/>
    <n v="30"/>
    <n v="42.279452054794518"/>
    <n v="22268.95"/>
    <n v="43.279452054794518"/>
    <n v="-2.2737367544323207E-14"/>
    <n v="22268.95"/>
    <n v="1172.0499999999993"/>
  </r>
  <r>
    <n v="225"/>
    <s v="Cane Carrier Shed "/>
    <s v="Sugar Division"/>
    <x v="1"/>
    <m/>
    <s v="Upto gate"/>
    <d v="1978-01-01T00:00:00"/>
    <n v="5001"/>
    <n v="0"/>
    <n v="4750.95"/>
    <n v="250.05000000000018"/>
    <n v="250.05"/>
    <n v="30"/>
    <n v="42.279452054794518"/>
    <n v="4750.95"/>
    <n v="43.279452054794518"/>
    <n v="5.6843418860808018E-15"/>
    <n v="4750.95"/>
    <n v="250.05"/>
  </r>
  <r>
    <n v="226"/>
    <s v="Height Raising  Of Boiling House"/>
    <s v="Sugar Division"/>
    <x v="1"/>
    <m/>
    <s v="50% each in RS and 50% in DS"/>
    <d v="1977-01-01T00:00:00"/>
    <n v="150361"/>
    <n v="0"/>
    <n v="142842.95000000001"/>
    <n v="7518.0499999999884"/>
    <n v="7518.05"/>
    <n v="30"/>
    <n v="43.279452054794518"/>
    <n v="142842.95000000001"/>
    <n v="44.279452054794518"/>
    <n v="-3.9411437076826892E-13"/>
    <n v="142842.95000000001"/>
    <n v="7518.0499999999884"/>
  </r>
  <r>
    <n v="227"/>
    <s v="Turbine House"/>
    <s v="Sugar Division"/>
    <x v="1"/>
    <m/>
    <s v="Power"/>
    <d v="1977-01-01T00:00:00"/>
    <n v="99300"/>
    <n v="0"/>
    <n v="94335"/>
    <n v="4965"/>
    <n v="4965"/>
    <n v="30"/>
    <n v="43.279452054794518"/>
    <n v="94335"/>
    <n v="44.279452054794518"/>
    <n v="0"/>
    <n v="94335"/>
    <n v="4965"/>
  </r>
  <r>
    <n v="228"/>
    <s v="2 Block Quarters [Block No. 10&amp;11]"/>
    <s v="Sugar Division"/>
    <x v="1"/>
    <m/>
    <s v="Common"/>
    <d v="1977-01-01T00:00:00"/>
    <n v="39801"/>
    <n v="0"/>
    <n v="37810.949999999997"/>
    <n v="1990.0500000000029"/>
    <n v="1990.0500000000002"/>
    <n v="30"/>
    <n v="43.279452054794518"/>
    <n v="37810.949999999997"/>
    <n v="44.279452054794518"/>
    <n v="9.0949470177292829E-14"/>
    <n v="37810.949999999997"/>
    <n v="1990.0500000000002"/>
  </r>
  <r>
    <n v="229"/>
    <s v="Boiler House"/>
    <s v="Sugar Division"/>
    <x v="1"/>
    <m/>
    <s v="30% in Juice Costing and 35% in DS and 35% in RS"/>
    <d v="1977-01-01T00:00:00"/>
    <n v="38628"/>
    <n v="0"/>
    <n v="36696.6"/>
    <n v="1931.4000000000015"/>
    <n v="1931.4"/>
    <n v="30"/>
    <n v="43.279452054794518"/>
    <n v="36696.6"/>
    <n v="44.279452054794518"/>
    <n v="4.5474735088646414E-14"/>
    <n v="36696.6"/>
    <n v="1931.4"/>
  </r>
  <r>
    <n v="230"/>
    <s v="Mill House"/>
    <s v="Sugar Division"/>
    <x v="1"/>
    <m/>
    <s v="50% each in RS and 50% in DS"/>
    <d v="1977-01-01T00:00:00"/>
    <n v="25007"/>
    <n v="0"/>
    <n v="23756.65"/>
    <n v="1250.3499999999985"/>
    <n v="1250.3500000000001"/>
    <n v="30"/>
    <n v="43.279452054794518"/>
    <n v="23756.65"/>
    <n v="44.279452054794518"/>
    <n v="-5.3053857603420815E-14"/>
    <n v="23756.65"/>
    <n v="1250.3499999999985"/>
  </r>
  <r>
    <n v="231"/>
    <s v="Latrine &amp; Bathroom In Guest House"/>
    <s v="Sugar Division"/>
    <x v="1"/>
    <m/>
    <s v="Common"/>
    <d v="1977-01-01T00:00:00"/>
    <n v="3442"/>
    <n v="0"/>
    <n v="3269.9"/>
    <n v="172.09999999999991"/>
    <n v="172.10000000000002"/>
    <n v="30"/>
    <n v="43.279452054794518"/>
    <n v="3269.9"/>
    <n v="44.279452054794518"/>
    <n v="-3.7895612573872009E-15"/>
    <n v="3269.9"/>
    <n v="172.09999999999991"/>
  </r>
  <r>
    <n v="232"/>
    <s v="Cane Carrier Road "/>
    <s v="Sugar Division"/>
    <x v="1"/>
    <m/>
    <s v="Upto gate"/>
    <d v="1977-01-01T00:00:00"/>
    <n v="3164"/>
    <n v="0"/>
    <n v="3005.8"/>
    <n v="158.19999999999982"/>
    <n v="158.20000000000002"/>
    <n v="30"/>
    <n v="43.279452054794518"/>
    <n v="3005.8"/>
    <n v="44.279452054794518"/>
    <n v="-6.6317322004276018E-15"/>
    <n v="3005.8"/>
    <n v="158.19999999999982"/>
  </r>
  <r>
    <n v="233"/>
    <s v="New Shop [Near Telephone Exchange]"/>
    <s v="Sugar Division"/>
    <x v="1"/>
    <m/>
    <s v="Common"/>
    <d v="1977-01-01T00:00:00"/>
    <n v="2730"/>
    <n v="0"/>
    <n v="2593.5"/>
    <n v="136.5"/>
    <n v="136.5"/>
    <n v="30"/>
    <n v="43.279452054794518"/>
    <n v="2593.5"/>
    <n v="44.279452054794518"/>
    <n v="0"/>
    <n v="2593.5"/>
    <n v="136.5"/>
  </r>
  <r>
    <n v="234"/>
    <s v="House For Spray Pump"/>
    <s v="Sugar Division"/>
    <x v="1"/>
    <m/>
    <s v="Common"/>
    <d v="1977-01-01T00:00:00"/>
    <n v="2603"/>
    <n v="0"/>
    <n v="2472.85"/>
    <n v="130.15000000000009"/>
    <n v="130.15"/>
    <n v="30"/>
    <n v="43.279452054794518"/>
    <n v="2472.85"/>
    <n v="44.279452054794518"/>
    <n v="2.8421709430404009E-15"/>
    <n v="2472.85"/>
    <n v="130.15000000000009"/>
  </r>
  <r>
    <n v="235"/>
    <s v="New Electric Room "/>
    <s v="Sugar Division"/>
    <x v="1"/>
    <m/>
    <s v="Common"/>
    <d v="1977-01-01T00:00:00"/>
    <n v="1030"/>
    <n v="0"/>
    <n v="978.5"/>
    <n v="51.5"/>
    <n v="51.5"/>
    <n v="30"/>
    <n v="43.279452054794518"/>
    <n v="978.5"/>
    <n v="44.279452054794518"/>
    <n v="0"/>
    <n v="978.5"/>
    <n v="51.5"/>
  </r>
  <r>
    <n v="236"/>
    <s v="New Mill House "/>
    <s v="Sugar Division"/>
    <x v="1"/>
    <m/>
    <s v="Juice Costing"/>
    <d v="1976-01-01T00:00:00"/>
    <n v="490651"/>
    <n v="0"/>
    <n v="466118.45"/>
    <n v="24532.549999999988"/>
    <n v="24532.550000000003"/>
    <n v="30"/>
    <n v="44.282191780821918"/>
    <n v="466118.45"/>
    <n v="45.282191780821918"/>
    <n v="-4.8506384094556172E-13"/>
    <n v="466118.45"/>
    <n v="24532.549999999988"/>
  </r>
  <r>
    <n v="237"/>
    <s v="New Moulding House"/>
    <s v="Sugar Division"/>
    <x v="1"/>
    <m/>
    <s v="Juice Costing"/>
    <d v="1976-01-01T00:00:00"/>
    <n v="40642"/>
    <n v="0"/>
    <n v="38609.9"/>
    <n v="2032.0999999999985"/>
    <n v="2032.1000000000001"/>
    <n v="30"/>
    <n v="44.282191780821918"/>
    <n v="38609.9"/>
    <n v="45.282191780821918"/>
    <n v="-5.3053857603420815E-14"/>
    <n v="38609.9"/>
    <n v="2032.0999999999985"/>
  </r>
  <r>
    <n v="238"/>
    <s v="Cement Godown In Stores"/>
    <s v="Sugar Division"/>
    <x v="1"/>
    <m/>
    <s v="Common"/>
    <d v="1976-01-01T00:00:00"/>
    <n v="6586"/>
    <n v="0"/>
    <n v="6256.7"/>
    <n v="329.30000000000018"/>
    <n v="329.3"/>
    <n v="30"/>
    <n v="44.282191780821918"/>
    <n v="6256.7"/>
    <n v="45.282191780821918"/>
    <n v="5.6843418860808018E-15"/>
    <n v="6256.7"/>
    <n v="329.30000000000018"/>
  </r>
  <r>
    <n v="239"/>
    <s v="Cow Shed Of Shri I.C. Agarwal [B/6]"/>
    <s v="Sugar Division"/>
    <x v="1"/>
    <m/>
    <s v="Common"/>
    <d v="1976-01-01T00:00:00"/>
    <n v="4918"/>
    <n v="0"/>
    <n v="4672.1000000000004"/>
    <n v="245.89999999999964"/>
    <n v="245.9"/>
    <n v="30"/>
    <n v="44.282191780821918"/>
    <n v="4672.1000000000004"/>
    <n v="45.282191780821918"/>
    <n v="-1.2316074086508404E-14"/>
    <n v="4672.1000000000004"/>
    <n v="245.89999999999964"/>
  </r>
  <r>
    <n v="240"/>
    <s v="Workers Latrine"/>
    <s v="Sugar Division"/>
    <x v="1"/>
    <m/>
    <s v="Common"/>
    <d v="1976-01-01T00:00:00"/>
    <n v="3397"/>
    <n v="0"/>
    <n v="3227.15"/>
    <n v="169.84999999999991"/>
    <n v="169.85000000000002"/>
    <n v="30"/>
    <n v="44.282191780821918"/>
    <n v="3227.15"/>
    <n v="45.282191780821918"/>
    <n v="-3.7895612573872009E-15"/>
    <n v="3227.15"/>
    <n v="169.84999999999991"/>
  </r>
  <r>
    <n v="241"/>
    <s v="Separate Smithy Shop In Workshop"/>
    <s v="Sugar Division"/>
    <x v="1"/>
    <m/>
    <s v="Common"/>
    <d v="1976-01-01T00:00:00"/>
    <n v="2026"/>
    <n v="0"/>
    <n v="1924.7"/>
    <n v="101.29999999999995"/>
    <n v="101.30000000000001"/>
    <n v="30"/>
    <n v="44.282191780821918"/>
    <n v="1924.7"/>
    <n v="45.282191780821918"/>
    <n v="-1.8947806286936005E-15"/>
    <n v="1924.7"/>
    <n v="101.29999999999995"/>
  </r>
  <r>
    <n v="242"/>
    <s v="Bathroom &amp;Latrine In Mess"/>
    <s v="Sugar Division"/>
    <x v="1"/>
    <m/>
    <s v="Common"/>
    <d v="1976-01-01T00:00:00"/>
    <n v="1373"/>
    <n v="0"/>
    <n v="1304.3499999999999"/>
    <n v="68.650000000000091"/>
    <n v="68.650000000000006"/>
    <n v="30"/>
    <n v="44.282191780821918"/>
    <n v="1304.3499999999999"/>
    <n v="45.282191780821918"/>
    <n v="2.8421709430404009E-15"/>
    <n v="1304.3499999999999"/>
    <n v="68.650000000000006"/>
  </r>
  <r>
    <n v="243"/>
    <s v="One Room Added In Shri Jangliram'S Quarter"/>
    <s v="Sugar Division"/>
    <x v="1"/>
    <m/>
    <s v="Common"/>
    <d v="1976-01-01T00:00:00"/>
    <n v="1370"/>
    <n v="0"/>
    <n v="1301.5"/>
    <n v="68.5"/>
    <n v="68.5"/>
    <n v="30"/>
    <n v="44.282191780821918"/>
    <n v="1301.5"/>
    <n v="45.282191780821918"/>
    <n v="0"/>
    <n v="1301.5"/>
    <n v="68.5"/>
  </r>
  <r>
    <n v="244"/>
    <s v="Shri Nand Ji'S &amp; Hazara Singh'S Quarter Converted In To Family Quarters"/>
    <s v="Sugar Division"/>
    <x v="1"/>
    <m/>
    <s v="Common"/>
    <d v="1976-01-01T00:00:00"/>
    <n v="1049"/>
    <n v="0"/>
    <n v="996.55"/>
    <n v="52.450000000000045"/>
    <n v="52.45"/>
    <n v="30"/>
    <n v="44.282191780821918"/>
    <n v="996.55"/>
    <n v="45.282191780821918"/>
    <n v="1.4210854715202005E-15"/>
    <n v="996.55"/>
    <n v="52.45"/>
  </r>
  <r>
    <n v="245"/>
    <s v="New Workshop"/>
    <s v="Sugar Division"/>
    <x v="1"/>
    <m/>
    <s v="50% each in RS and 50% in DS"/>
    <d v="1975-01-01T00:00:00"/>
    <n v="89713"/>
    <n v="0"/>
    <n v="85227.35"/>
    <n v="4485.6499999999942"/>
    <n v="4485.6500000000005"/>
    <n v="30"/>
    <n v="45.282191780821918"/>
    <n v="85227.35"/>
    <n v="46.282191780821918"/>
    <n v="-2.1221543041368326E-13"/>
    <n v="85227.35"/>
    <n v="4485.6499999999942"/>
  </r>
  <r>
    <n v="246"/>
    <s v="2 Room Quarters In Staff  Colony"/>
    <s v="Sugar Division"/>
    <x v="1"/>
    <m/>
    <s v="Common"/>
    <d v="1975-01-01T00:00:00"/>
    <n v="35702"/>
    <n v="0"/>
    <n v="33916.9"/>
    <n v="1785.0999999999985"/>
    <n v="1785.1000000000001"/>
    <n v="30"/>
    <n v="45.282191780821918"/>
    <n v="33916.9"/>
    <n v="46.282191780821918"/>
    <n v="-5.3053857603420815E-14"/>
    <n v="33916.9"/>
    <n v="1785.0999999999985"/>
  </r>
  <r>
    <n v="247"/>
    <s v="Tractor Garage"/>
    <s v="Sugar Division"/>
    <x v="1"/>
    <m/>
    <s v="Upto gate"/>
    <d v="1975-01-01T00:00:00"/>
    <n v="6965"/>
    <n v="0"/>
    <n v="6616.75"/>
    <n v="348.25"/>
    <n v="348.25"/>
    <n v="30"/>
    <n v="45.282191780821918"/>
    <n v="6616.75"/>
    <n v="46.282191780821918"/>
    <n v="0"/>
    <n v="6616.75"/>
    <n v="348.25"/>
  </r>
  <r>
    <n v="248"/>
    <s v="House For Tubewell "/>
    <s v="Sugar Division"/>
    <x v="1"/>
    <m/>
    <s v="Common"/>
    <d v="1975-01-01T00:00:00"/>
    <n v="4154"/>
    <n v="0"/>
    <n v="3946.3"/>
    <n v="207.69999999999982"/>
    <n v="207.70000000000002"/>
    <n v="30"/>
    <n v="45.282191780821918"/>
    <n v="3946.3"/>
    <n v="46.282191780821918"/>
    <n v="-6.6317322004276018E-15"/>
    <n v="3946.3"/>
    <n v="207.69999999999982"/>
  </r>
  <r>
    <n v="249"/>
    <s v="3 Block Quarter In Boundry Wall "/>
    <s v="Sugar Division"/>
    <x v="1"/>
    <m/>
    <s v="Common"/>
    <d v="1975-01-01T00:00:00"/>
    <n v="3369"/>
    <n v="0"/>
    <n v="3200.55"/>
    <n v="168.44999999999982"/>
    <n v="168.45000000000002"/>
    <n v="30"/>
    <n v="45.282191780821918"/>
    <n v="3200.55"/>
    <n v="46.282191780821918"/>
    <n v="-6.6317322004276018E-15"/>
    <n v="3200.55"/>
    <n v="168.44999999999982"/>
  </r>
  <r>
    <n v="250"/>
    <s v="Store Racks &amp; Cement Godown "/>
    <s v="Sugar Division"/>
    <x v="1"/>
    <m/>
    <s v="Common"/>
    <d v="1975-01-01T00:00:00"/>
    <n v="3124"/>
    <n v="0"/>
    <n v="2967.8"/>
    <n v="156.19999999999982"/>
    <n v="156.20000000000002"/>
    <n v="30"/>
    <n v="45.282191780821918"/>
    <n v="2967.8"/>
    <n v="46.282191780821918"/>
    <n v="-6.6317322004276018E-15"/>
    <n v="2967.8"/>
    <n v="156.19999999999982"/>
  </r>
  <r>
    <n v="251"/>
    <s v="Cow Shed In Sewa Singh Quarter"/>
    <s v="Sugar Division"/>
    <x v="1"/>
    <m/>
    <s v="Common"/>
    <d v="1975-01-01T00:00:00"/>
    <n v="2853"/>
    <n v="0"/>
    <n v="2710.35"/>
    <n v="142.65000000000009"/>
    <n v="142.65"/>
    <n v="30"/>
    <n v="45.282191780821918"/>
    <n v="2710.35"/>
    <n v="46.282191780821918"/>
    <n v="2.8421709430404009E-15"/>
    <n v="2710.35"/>
    <n v="142.65000000000009"/>
  </r>
  <r>
    <n v="252"/>
    <s v="Cow Shed In Shantiranjan Quarter"/>
    <s v="Sugar Division"/>
    <x v="1"/>
    <m/>
    <s v="Common"/>
    <d v="1975-01-01T00:00:00"/>
    <n v="2380"/>
    <n v="0"/>
    <n v="2261"/>
    <n v="119"/>
    <n v="119"/>
    <n v="30"/>
    <n v="45.282191780821918"/>
    <n v="2261"/>
    <n v="46.282191780821918"/>
    <n v="0"/>
    <n v="2261"/>
    <n v="119"/>
  </r>
  <r>
    <n v="253"/>
    <s v="Single Room Quarter Converted In Family Quarter"/>
    <s v="Sugar Division"/>
    <x v="1"/>
    <m/>
    <s v="Common"/>
    <d v="1975-01-01T00:00:00"/>
    <n v="2032"/>
    <n v="0"/>
    <n v="1930.4"/>
    <n v="101.59999999999991"/>
    <n v="101.60000000000001"/>
    <n v="30"/>
    <n v="45.282191780821918"/>
    <n v="1930.4"/>
    <n v="46.282191780821918"/>
    <n v="-3.3158661002138009E-15"/>
    <n v="1930.4"/>
    <n v="101.59999999999991"/>
  </r>
  <r>
    <n v="254"/>
    <s v="Generating Set House"/>
    <s v="Sugar Division"/>
    <x v="1"/>
    <m/>
    <s v="Common"/>
    <d v="1975-01-01T00:00:00"/>
    <n v="1182"/>
    <n v="0"/>
    <n v="1122.9000000000001"/>
    <n v="59.099999999999909"/>
    <n v="59.1"/>
    <n v="30"/>
    <n v="45.282191780821918"/>
    <n v="1122.9000000000001"/>
    <n v="46.282191780821918"/>
    <n v="-3.0790185216271009E-15"/>
    <n v="1122.9000000000001"/>
    <n v="59.099999999999909"/>
  </r>
  <r>
    <n v="255"/>
    <s v="Cane Yard Water Drain "/>
    <s v="Sugar Division"/>
    <x v="1"/>
    <m/>
    <s v="Upto gate"/>
    <d v="1975-01-01T00:00:00"/>
    <n v="850"/>
    <n v="0"/>
    <n v="807.5"/>
    <n v="42.5"/>
    <n v="42.5"/>
    <n v="30"/>
    <n v="45.282191780821918"/>
    <n v="807.5"/>
    <n v="46.282191780821918"/>
    <n v="0"/>
    <n v="807.5"/>
    <n v="42.5"/>
  </r>
  <r>
    <n v="256"/>
    <s v="One Room In Cane Office"/>
    <s v="Sugar Division"/>
    <x v="1"/>
    <m/>
    <s v="Upto gate"/>
    <d v="1975-01-01T00:00:00"/>
    <n v="687"/>
    <n v="0"/>
    <n v="652.65"/>
    <n v="34.350000000000023"/>
    <n v="34.35"/>
    <n v="30"/>
    <n v="45.282191780821918"/>
    <n v="652.65"/>
    <n v="46.282191780821918"/>
    <n v="7.1054273576010023E-16"/>
    <n v="652.65"/>
    <n v="34.350000000000023"/>
  </r>
  <r>
    <n v="257"/>
    <s v="Tubewell At Birla Building Ltd."/>
    <s v="Sugar Division"/>
    <x v="1"/>
    <m/>
    <s v="Common"/>
    <d v="1999-03-31T00:00:00"/>
    <n v="4244"/>
    <n v="0"/>
    <n v="4031.8"/>
    <n v="212.19999999999982"/>
    <n v="212.20000000000002"/>
    <n v="5"/>
    <n v="21.021917808219179"/>
    <n v="4031.8"/>
    <n v="22.021917808219179"/>
    <n v="-3.9790393202565614E-14"/>
    <n v="4031.8"/>
    <n v="212.19999999999982"/>
  </r>
  <r>
    <n v="258"/>
    <s v="Addition Of One Room In 19 Block Quarters"/>
    <s v="Sugar Division"/>
    <x v="1"/>
    <m/>
    <s v="Common"/>
    <d v="1974-01-01T00:00:00"/>
    <n v="33860"/>
    <n v="0"/>
    <n v="32167"/>
    <n v="1693"/>
    <n v="1693"/>
    <n v="30"/>
    <n v="46.282191780821918"/>
    <n v="32167"/>
    <n v="47.282191780821918"/>
    <n v="0"/>
    <n v="32167"/>
    <n v="1693"/>
  </r>
  <r>
    <n v="259"/>
    <s v="3 Block Quarters [2 Room]"/>
    <s v="Sugar Division"/>
    <x v="1"/>
    <m/>
    <s v="Common"/>
    <d v="1974-01-01T00:00:00"/>
    <n v="30532"/>
    <n v="0"/>
    <n v="29005.4"/>
    <n v="1526.5999999999985"/>
    <n v="1526.6000000000001"/>
    <n v="30"/>
    <n v="46.282191780821918"/>
    <n v="29005.4"/>
    <n v="47.282191780821918"/>
    <n v="-5.3053857603420815E-14"/>
    <n v="29005.4"/>
    <n v="1526.5999999999985"/>
  </r>
  <r>
    <n v="260"/>
    <s v="Renovation Of Filter Press House             "/>
    <s v="Sugar Division"/>
    <x v="1"/>
    <m/>
    <s v="Common"/>
    <d v="1974-01-01T00:00:00"/>
    <n v="9167"/>
    <n v="0"/>
    <n v="8708.65"/>
    <n v="458.35000000000036"/>
    <n v="458.35"/>
    <n v="30"/>
    <n v="46.282191780821918"/>
    <n v="8708.65"/>
    <n v="47.282191780821918"/>
    <n v="1.1368683772161604E-14"/>
    <n v="8708.65"/>
    <n v="458.35"/>
  </r>
  <r>
    <n v="261"/>
    <s v="Water Line At Lakhimpur Office"/>
    <s v="Sugar Division"/>
    <x v="1"/>
    <m/>
    <s v="Common"/>
    <d v="1974-01-01T00:00:00"/>
    <n v="5848"/>
    <n v="0"/>
    <n v="5555.6"/>
    <n v="292.39999999999964"/>
    <n v="292.40000000000003"/>
    <n v="30"/>
    <n v="46.282191780821918"/>
    <n v="5555.6"/>
    <n v="47.282191780821918"/>
    <n v="-1.3263464400855204E-14"/>
    <n v="5555.6"/>
    <n v="292.39999999999964"/>
  </r>
  <r>
    <n v="262"/>
    <s v="New Latrines Inside Factory "/>
    <s v="Sugar Division"/>
    <x v="1"/>
    <m/>
    <s v="Common"/>
    <d v="1974-01-01T00:00:00"/>
    <n v="5480"/>
    <n v="0"/>
    <n v="5206"/>
    <n v="274"/>
    <n v="274"/>
    <n v="30"/>
    <n v="46.282191780821918"/>
    <n v="5206"/>
    <n v="47.282191780821918"/>
    <n v="0"/>
    <n v="5206"/>
    <n v="274"/>
  </r>
  <r>
    <n v="263"/>
    <s v="Brick Flooring Infront Of Staff Quarters"/>
    <s v="Sugar Division"/>
    <x v="1"/>
    <m/>
    <s v="Common"/>
    <d v="1974-01-01T00:00:00"/>
    <n v="1633"/>
    <n v="0"/>
    <n v="1551.35"/>
    <n v="81.650000000000091"/>
    <n v="81.650000000000006"/>
    <n v="30"/>
    <n v="46.282191780821918"/>
    <n v="1551.35"/>
    <n v="47.282191780821918"/>
    <n v="2.8421709430404009E-15"/>
    <n v="1551.35"/>
    <n v="81.650000000000006"/>
  </r>
  <r>
    <n v="264"/>
    <s v="Two Cow Sheds [For Fitter Line ]"/>
    <s v="Sugar Division"/>
    <x v="1"/>
    <m/>
    <s v="Common"/>
    <d v="1974-01-01T00:00:00"/>
    <n v="1504"/>
    <n v="0"/>
    <n v="1428.8"/>
    <n v="75.200000000000045"/>
    <n v="75.2"/>
    <n v="30"/>
    <n v="46.282191780821918"/>
    <n v="1428.8"/>
    <n v="47.282191780821918"/>
    <n v="1.4210854715202005E-15"/>
    <n v="1428.8"/>
    <n v="75.200000000000045"/>
  </r>
  <r>
    <n v="265"/>
    <s v="Addition Of One Room In R.L. Maheshwari'S Quarter"/>
    <s v="Sugar Division"/>
    <x v="1"/>
    <m/>
    <s v="Common"/>
    <d v="1974-01-01T00:00:00"/>
    <n v="1013"/>
    <n v="0"/>
    <n v="962.35"/>
    <n v="50.649999999999977"/>
    <n v="50.650000000000006"/>
    <n v="30"/>
    <n v="46.282191780821918"/>
    <n v="962.35"/>
    <n v="47.282191780821918"/>
    <n v="-9.4739031434680023E-16"/>
    <n v="962.35"/>
    <n v="50.649999999999977"/>
  </r>
  <r>
    <n v="266"/>
    <s v="Factory Boundry Wall "/>
    <s v="Sugar Division"/>
    <x v="1"/>
    <m/>
    <s v="Common"/>
    <d v="1974-01-01T00:00:00"/>
    <n v="943"/>
    <n v="0"/>
    <n v="895.85"/>
    <n v="47.149999999999977"/>
    <n v="47.150000000000006"/>
    <n v="30"/>
    <n v="46.282191780821918"/>
    <n v="895.85"/>
    <n v="47.282191780821918"/>
    <n v="-9.4739031434680023E-16"/>
    <n v="895.85"/>
    <n v="47.149999999999977"/>
  </r>
  <r>
    <n v="267"/>
    <s v="Converted In Family Quarter[2]"/>
    <s v="Sugar Division"/>
    <x v="1"/>
    <m/>
    <s v="Common"/>
    <d v="1974-01-01T00:00:00"/>
    <n v="617"/>
    <n v="0"/>
    <n v="586.15"/>
    <n v="30.850000000000023"/>
    <n v="30.85"/>
    <n v="30"/>
    <n v="46.282191780821918"/>
    <n v="586.15"/>
    <n v="47.282191780821918"/>
    <n v="7.1054273576010023E-16"/>
    <n v="586.15"/>
    <n v="30.85"/>
  </r>
  <r>
    <n v="268"/>
    <s v="Tubewell "/>
    <s v="Sugar Division"/>
    <x v="1"/>
    <m/>
    <s v="Common"/>
    <d v="1998-11-29T00:00:00"/>
    <n v="1112473"/>
    <n v="0"/>
    <n v="1056849.3500000001"/>
    <n v="55623.649999999907"/>
    <n v="55623.65"/>
    <n v="5"/>
    <n v="21.356164383561644"/>
    <n v="1056849.3500000001"/>
    <n v="22.356164383561644"/>
    <n v="-1.8917489796876908E-11"/>
    <n v="1056849.3500000001"/>
    <n v="55623.649999999907"/>
  </r>
  <r>
    <n v="269"/>
    <s v="3 New Quarters                                          &quot;"/>
    <s v="Sugar Division"/>
    <x v="1"/>
    <m/>
    <s v="Upto gate"/>
    <d v="1973-01-01T00:00:00"/>
    <n v="22608"/>
    <n v="0"/>
    <n v="21477.599999999999"/>
    <n v="1130.4000000000015"/>
    <n v="1130.4000000000001"/>
    <n v="30"/>
    <n v="47.282191780821918"/>
    <n v="21477.599999999999"/>
    <n v="48.282191780821918"/>
    <n v="4.5474735088646414E-14"/>
    <n v="21477.599999999999"/>
    <n v="1130.4000000000001"/>
  </r>
  <r>
    <n v="270"/>
    <s v="Farm Boundry Wall                                    &quot;"/>
    <s v="Sugar Division"/>
    <x v="1"/>
    <m/>
    <s v="Upto gate"/>
    <d v="1973-01-01T00:00:00"/>
    <n v="8307"/>
    <n v="0"/>
    <n v="7891.65"/>
    <n v="415.35000000000036"/>
    <n v="415.35"/>
    <n v="30"/>
    <n v="47.282191780821918"/>
    <n v="7891.65"/>
    <n v="48.282191780821918"/>
    <n v="1.1368683772161604E-14"/>
    <n v="7891.65"/>
    <n v="415.35"/>
  </r>
  <r>
    <n v="271"/>
    <s v="Renovation Of Cane Office                           &quot;"/>
    <s v="Sugar Division"/>
    <x v="1"/>
    <m/>
    <s v="Upto gate"/>
    <d v="1973-01-01T00:00:00"/>
    <n v="6186"/>
    <n v="0"/>
    <n v="5876.7"/>
    <n v="309.30000000000018"/>
    <n v="309.3"/>
    <n v="30"/>
    <n v="47.282191780821918"/>
    <n v="5876.7"/>
    <n v="48.282191780821918"/>
    <n v="5.6843418860808018E-15"/>
    <n v="5876.7"/>
    <n v="309.30000000000018"/>
  </r>
  <r>
    <n v="272"/>
    <s v="Flour Mill Shifting                                       &quot;"/>
    <s v="Sugar Division"/>
    <x v="1"/>
    <m/>
    <s v="Juice Costing"/>
    <d v="1973-01-01T00:00:00"/>
    <n v="6186"/>
    <n v="0"/>
    <n v="5876.7"/>
    <n v="309.30000000000018"/>
    <n v="309.3"/>
    <n v="30"/>
    <n v="47.282191780821918"/>
    <n v="5876.7"/>
    <n v="48.282191780821918"/>
    <n v="5.6843418860808018E-15"/>
    <n v="5876.7"/>
    <n v="309.30000000000018"/>
  </r>
  <r>
    <n v="273"/>
    <s v="Boundry Wall [Molasses Quarter]                &quot;"/>
    <s v="Sugar Division"/>
    <x v="1"/>
    <m/>
    <s v="Common"/>
    <d v="1973-01-01T00:00:00"/>
    <n v="5155"/>
    <n v="0"/>
    <n v="4897.25"/>
    <n v="257.75"/>
    <n v="257.75"/>
    <n v="30"/>
    <n v="47.282191780821918"/>
    <n v="4897.25"/>
    <n v="48.282191780821918"/>
    <n v="0"/>
    <n v="4897.25"/>
    <n v="257.75"/>
  </r>
  <r>
    <n v="274"/>
    <s v="Cane Manager'S Quarter Extn.                    &quot;"/>
    <s v="Sugar Division"/>
    <x v="1"/>
    <m/>
    <s v="Upto gate"/>
    <d v="1973-01-01T00:00:00"/>
    <n v="3521"/>
    <n v="0"/>
    <n v="3344.95"/>
    <n v="176.05000000000018"/>
    <n v="176.05"/>
    <n v="30"/>
    <n v="47.282191780821918"/>
    <n v="3344.95"/>
    <n v="48.282191780821918"/>
    <n v="5.6843418860808018E-15"/>
    <n v="3344.95"/>
    <n v="176.05"/>
  </r>
  <r>
    <n v="275"/>
    <s v="Brick Flooring Infront Of Staff Quarter        N. Fty.Bldg."/>
    <s v="Sugar Division"/>
    <x v="1"/>
    <m/>
    <s v="Common"/>
    <d v="1973-01-01T00:00:00"/>
    <n v="1496"/>
    <n v="0"/>
    <n v="1421.2"/>
    <n v="74.799999999999955"/>
    <n v="74.8"/>
    <n v="30"/>
    <n v="47.282191780821918"/>
    <n v="1421.2"/>
    <n v="48.282191780821918"/>
    <n v="-1.4210854715202005E-15"/>
    <n v="1421.2"/>
    <n v="74.799999999999955"/>
  </r>
  <r>
    <n v="276"/>
    <s v="Water Pipe Connection In Staff Quarter         &quot;"/>
    <s v="Sugar Division"/>
    <x v="1"/>
    <m/>
    <s v="Common"/>
    <d v="1973-01-01T00:00:00"/>
    <n v="1027"/>
    <n v="0"/>
    <n v="975.65"/>
    <n v="51.350000000000023"/>
    <n v="51.35"/>
    <n v="30"/>
    <n v="47.282191780821918"/>
    <n v="975.65"/>
    <n v="48.282191780821918"/>
    <n v="7.1054273576010023E-16"/>
    <n v="975.65"/>
    <n v="51.350000000000023"/>
  </r>
  <r>
    <n v="277"/>
    <s v="New Mill Gate                                          Fty. Bldg."/>
    <s v="Sugar Division"/>
    <x v="1"/>
    <m/>
    <s v="Juice Costing"/>
    <d v="1973-01-01T00:00:00"/>
    <n v="536"/>
    <n v="0"/>
    <n v="509.2"/>
    <n v="26.800000000000011"/>
    <n v="26.8"/>
    <n v="30"/>
    <n v="47.282191780821918"/>
    <n v="509.2"/>
    <n v="48.282191780821918"/>
    <n v="3.5527136788005011E-16"/>
    <n v="509.2"/>
    <n v="26.800000000000011"/>
  </r>
  <r>
    <n v="278"/>
    <s v="House For Tube Well Near Boiler                     &quot;"/>
    <s v="Sugar Division"/>
    <x v="1"/>
    <m/>
    <s v="50% each in RS and 50% in DS"/>
    <d v="1973-01-01T00:00:00"/>
    <n v="513"/>
    <n v="0"/>
    <n v="487.35"/>
    <n v="25.649999999999977"/>
    <n v="25.650000000000002"/>
    <n v="30"/>
    <n v="47.282191780821918"/>
    <n v="487.35"/>
    <n v="48.282191780821918"/>
    <n v="-8.2896652505345023E-16"/>
    <n v="487.35"/>
    <n v="25.649999999999977"/>
  </r>
  <r>
    <n v="279"/>
    <s v="Boundry Wall Near Waste Water Pump          &quot;"/>
    <s v="Sugar Division"/>
    <x v="1"/>
    <m/>
    <s v="Common"/>
    <d v="1973-01-01T00:00:00"/>
    <n v="378"/>
    <n v="0"/>
    <n v="359.1"/>
    <n v="18.899999999999977"/>
    <n v="18.900000000000002"/>
    <n v="30"/>
    <n v="47.282191780821918"/>
    <n v="359.1"/>
    <n v="48.282191780821918"/>
    <n v="-8.2896652505345023E-16"/>
    <n v="359.1"/>
    <n v="18.899999999999977"/>
  </r>
  <r>
    <n v="280"/>
    <s v="Tubewell At Birla Building Ltd."/>
    <s v="Sugar Division"/>
    <x v="1"/>
    <m/>
    <s v="Common"/>
    <d v="1997-08-15T00:00:00"/>
    <n v="4931"/>
    <n v="0"/>
    <n v="4684.45"/>
    <n v="246.55000000000018"/>
    <n v="246.55"/>
    <n v="5"/>
    <n v="22.646575342465752"/>
    <n v="4684.45"/>
    <n v="23.646575342465752"/>
    <n v="3.4106051316484814E-14"/>
    <n v="4684.45"/>
    <n v="246.55"/>
  </r>
  <r>
    <n v="281"/>
    <s v="New Grader House                                    &quot;"/>
    <s v="Sugar Division"/>
    <x v="1"/>
    <m/>
    <s v="Juice Costing"/>
    <d v="1972-01-01T00:00:00"/>
    <n v="4724"/>
    <n v="0"/>
    <n v="4487.8"/>
    <n v="236.19999999999982"/>
    <n v="236.20000000000002"/>
    <n v="30"/>
    <n v="48.284931506849318"/>
    <n v="4487.8"/>
    <n v="49.284931506849318"/>
    <n v="-6.6317322004276018E-15"/>
    <n v="4487.8"/>
    <n v="236.19999999999982"/>
  </r>
  <r>
    <n v="282"/>
    <s v="3 Block Cow Sheds                                    &quot;         &quot;"/>
    <s v="Sugar Division"/>
    <x v="1"/>
    <m/>
    <s v="Common"/>
    <d v="1972-01-01T00:00:00"/>
    <n v="2858"/>
    <n v="0"/>
    <n v="2715.1"/>
    <n v="142.90000000000009"/>
    <n v="142.9"/>
    <n v="30"/>
    <n v="48.284931506849318"/>
    <n v="2715.1"/>
    <n v="49.284931506849318"/>
    <n v="2.8421709430404009E-15"/>
    <n v="2715.1"/>
    <n v="142.90000000000009"/>
  </r>
  <r>
    <n v="283"/>
    <s v="House Of Spray Motor                               F. Building"/>
    <s v="Sugar Division"/>
    <x v="1"/>
    <m/>
    <s v="Common"/>
    <d v="1972-01-01T00:00:00"/>
    <n v="2487"/>
    <n v="0"/>
    <n v="2362.65"/>
    <n v="124.34999999999991"/>
    <n v="124.35000000000001"/>
    <n v="30"/>
    <n v="48.284931506849318"/>
    <n v="2362.65"/>
    <n v="49.284931506849318"/>
    <n v="-3.3158661002138009E-15"/>
    <n v="2362.65"/>
    <n v="124.34999999999991"/>
  </r>
  <r>
    <n v="284"/>
    <s v="Approach Road Maingate To Factory             &quot;     &quot;"/>
    <s v="Sugar Division"/>
    <x v="1"/>
    <m/>
    <s v="Common"/>
    <d v="1972-01-01T00:00:00"/>
    <n v="2088"/>
    <n v="0"/>
    <n v="1983.6"/>
    <n v="104.40000000000009"/>
    <n v="104.4"/>
    <n v="30"/>
    <n v="48.284931506849318"/>
    <n v="1983.6"/>
    <n v="49.284931506849318"/>
    <n v="2.8421709430404009E-15"/>
    <n v="1983.6"/>
    <n v="104.4"/>
  </r>
  <r>
    <n v="285"/>
    <s v="Gumti Near Shop Gate                                &quot;         &quot;"/>
    <s v="Sugar Division"/>
    <x v="1"/>
    <m/>
    <s v="Common"/>
    <d v="1972-01-01T00:00:00"/>
    <n v="1399"/>
    <n v="0"/>
    <n v="1329.05"/>
    <n v="69.950000000000045"/>
    <n v="69.95"/>
    <n v="30"/>
    <n v="48.284931506849318"/>
    <n v="1329.05"/>
    <n v="49.284931506849318"/>
    <n v="1.4210854715202005E-15"/>
    <n v="1329.05"/>
    <n v="69.950000000000045"/>
  </r>
  <r>
    <n v="286"/>
    <s v="Ravi'S Quarter Extension                             &quot;         &quot;"/>
    <s v="Sugar Division"/>
    <x v="1"/>
    <m/>
    <s v="Common"/>
    <d v="1972-01-01T00:00:00"/>
    <n v="1259"/>
    <n v="0"/>
    <n v="1196.05"/>
    <n v="62.950000000000045"/>
    <n v="62.95"/>
    <n v="30"/>
    <n v="48.284931506849318"/>
    <n v="1196.05"/>
    <n v="49.284931506849318"/>
    <n v="1.4210854715202005E-15"/>
    <n v="1196.05"/>
    <n v="62.95"/>
  </r>
  <r>
    <n v="287"/>
    <s v="6 Block 2 Room Quarter                              &quot;         &quot;"/>
    <s v="Sugar Division"/>
    <x v="1"/>
    <m/>
    <s v="Common"/>
    <d v="1972-01-01T00:00:00"/>
    <n v="1062"/>
    <n v="0"/>
    <n v="1008.9"/>
    <n v="53.100000000000023"/>
    <n v="53.1"/>
    <n v="30"/>
    <n v="48.284931506849318"/>
    <n v="1008.9"/>
    <n v="49.284931506849318"/>
    <n v="7.1054273576010023E-16"/>
    <n v="1008.9"/>
    <n v="53.100000000000023"/>
  </r>
  <r>
    <n v="288"/>
    <s v="Motor Garage                                           &quot;         &quot;"/>
    <s v="Sugar Division"/>
    <x v="1"/>
    <m/>
    <s v="Common"/>
    <d v="1972-01-01T00:00:00"/>
    <n v="1037"/>
    <n v="0"/>
    <n v="985.15"/>
    <n v="51.850000000000023"/>
    <n v="51.85"/>
    <n v="30"/>
    <n v="48.284931506849318"/>
    <n v="985.15"/>
    <n v="49.284931506849318"/>
    <n v="7.1054273576010023E-16"/>
    <n v="985.15"/>
    <n v="51.850000000000023"/>
  </r>
  <r>
    <n v="289"/>
    <s v="Extension Of Post Office                               &quot;         &quot;"/>
    <s v="Sugar Division"/>
    <x v="1"/>
    <m/>
    <s v="Common"/>
    <d v="1972-01-01T00:00:00"/>
    <n v="835"/>
    <n v="0"/>
    <n v="793.25"/>
    <n v="41.75"/>
    <n v="41.75"/>
    <n v="30"/>
    <n v="48.284931506849318"/>
    <n v="793.25"/>
    <n v="49.284931506849318"/>
    <n v="0"/>
    <n v="793.25"/>
    <n v="41.75"/>
  </r>
  <r>
    <n v="290"/>
    <s v="Extention Of G. Office                              Non F. Building"/>
    <s v="Sugar Division"/>
    <x v="1"/>
    <m/>
    <s v="Common"/>
    <d v="1972-01-01T00:00:00"/>
    <n v="686"/>
    <n v="0"/>
    <n v="651.70000000000005"/>
    <n v="34.299999999999955"/>
    <n v="34.300000000000004"/>
    <n v="30"/>
    <n v="48.284931506849318"/>
    <n v="651.70000000000005"/>
    <n v="49.284931506849318"/>
    <n v="-1.6579330501069005E-15"/>
    <n v="651.70000000000005"/>
    <n v="34.299999999999955"/>
  </r>
  <r>
    <n v="291"/>
    <s v="Ramdeo'S &quot;       &quot;                                       &quot;         &quot;"/>
    <s v="Sugar Division"/>
    <x v="1"/>
    <m/>
    <s v="Common"/>
    <d v="1972-01-01T00:00:00"/>
    <n v="629"/>
    <n v="0"/>
    <n v="597.54999999999995"/>
    <n v="31.450000000000045"/>
    <n v="31.450000000000003"/>
    <n v="30"/>
    <n v="48.284931506849318"/>
    <n v="597.54999999999995"/>
    <n v="49.284931506849318"/>
    <n v="1.4210854715202005E-15"/>
    <n v="597.54999999999995"/>
    <n v="31.450000000000003"/>
  </r>
  <r>
    <n v="292"/>
    <s v="Cane Manager'S Qt.  &quot;                                 &quot;         &quot;"/>
    <s v="Sugar Division"/>
    <x v="1"/>
    <m/>
    <s v="Upto gate"/>
    <d v="1972-01-01T00:00:00"/>
    <n v="369"/>
    <n v="0"/>
    <n v="350.55"/>
    <n v="18.449999999999989"/>
    <n v="18.45"/>
    <n v="30"/>
    <n v="48.284931506849318"/>
    <n v="350.55"/>
    <n v="49.284931506849318"/>
    <n v="-3.5527136788005011E-16"/>
    <n v="350.55"/>
    <n v="18.449999999999989"/>
  </r>
  <r>
    <n v="293"/>
    <s v="Wall Of Water Softening Plant                      &quot;"/>
    <s v="Sugar Division"/>
    <x v="1"/>
    <m/>
    <s v="Common"/>
    <d v="1972-01-01T00:00:00"/>
    <n v="265"/>
    <n v="0"/>
    <n v="251.75"/>
    <n v="13.25"/>
    <n v="13.25"/>
    <n v="30"/>
    <n v="48.284931506849318"/>
    <n v="251.75"/>
    <n v="49.284931506849318"/>
    <n v="0"/>
    <n v="251.75"/>
    <n v="13.25"/>
  </r>
  <r>
    <n v="294"/>
    <s v="New Grader House                    &quot;"/>
    <s v="Sugar Division"/>
    <x v="1"/>
    <m/>
    <s v="Juice Costing"/>
    <d v="1971-01-01T00:00:00"/>
    <n v="83825"/>
    <n v="0"/>
    <n v="79633.75"/>
    <n v="4191.25"/>
    <n v="4191.25"/>
    <n v="30"/>
    <n v="49.284931506849318"/>
    <n v="79633.75"/>
    <n v="50.284931506849318"/>
    <n v="0"/>
    <n v="79633.75"/>
    <n v="4191.25"/>
  </r>
  <r>
    <n v="295"/>
    <s v="3 Double Rooms Quarters"/>
    <s v="Sugar Division"/>
    <x v="1"/>
    <m/>
    <s v="Common"/>
    <d v="1971-01-01T00:00:00"/>
    <n v="15963"/>
    <n v="0"/>
    <n v="15164.85"/>
    <n v="798.14999999999964"/>
    <n v="798.15000000000009"/>
    <n v="30"/>
    <n v="49.284931506849318"/>
    <n v="15164.85"/>
    <n v="50.284931506849318"/>
    <n v="-1.5158245029548804E-14"/>
    <n v="15164.85"/>
    <n v="798.14999999999964"/>
  </r>
  <r>
    <n v="296"/>
    <s v="Filter Press House                   &quot;"/>
    <s v="Sugar Division"/>
    <x v="1"/>
    <m/>
    <s v="Common"/>
    <d v="1971-01-01T00:00:00"/>
    <n v="13508"/>
    <n v="0"/>
    <n v="12832.6"/>
    <n v="675.39999999999964"/>
    <n v="675.40000000000009"/>
    <n v="30"/>
    <n v="49.284931506849318"/>
    <n v="12832.6"/>
    <n v="50.284931506849318"/>
    <n v="-1.5158245029548804E-14"/>
    <n v="12832.6"/>
    <n v="675.39999999999964"/>
  </r>
  <r>
    <n v="297"/>
    <s v="New Workshop                         &quot;"/>
    <s v="Sugar Division"/>
    <x v="1"/>
    <m/>
    <s v="Common"/>
    <d v="1971-01-01T00:00:00"/>
    <n v="5844"/>
    <n v="0"/>
    <n v="5551.8"/>
    <n v="292.19999999999982"/>
    <n v="292.2"/>
    <n v="30"/>
    <n v="49.284931506849318"/>
    <n v="5551.8"/>
    <n v="50.284931506849318"/>
    <n v="-5.6843418860808018E-15"/>
    <n v="5551.8"/>
    <n v="292.19999999999982"/>
  </r>
  <r>
    <n v="298"/>
    <s v="New Office At Lmp. Near Godown               &quot;"/>
    <s v="Sugar Division"/>
    <x v="1"/>
    <m/>
    <s v="Common"/>
    <d v="1971-01-01T00:00:00"/>
    <n v="5842"/>
    <n v="0"/>
    <n v="5549.9"/>
    <n v="292.10000000000036"/>
    <n v="292.10000000000002"/>
    <n v="30"/>
    <n v="49.284931506849318"/>
    <n v="5549.9"/>
    <n v="50.284931506849318"/>
    <n v="1.1368683772161604E-14"/>
    <n v="5549.9"/>
    <n v="292.10000000000002"/>
  </r>
  <r>
    <n v="299"/>
    <s v="Boundry Wall Of Colony Building"/>
    <s v="Sugar Division"/>
    <x v="1"/>
    <m/>
    <s v="Common"/>
    <d v="1971-01-01T00:00:00"/>
    <n v="3922"/>
    <n v="0"/>
    <n v="3725.9"/>
    <n v="196.09999999999991"/>
    <n v="196.10000000000002"/>
    <n v="30"/>
    <n v="49.284931506849318"/>
    <n v="3725.9"/>
    <n v="50.284931506849318"/>
    <n v="-3.7895612573872009E-15"/>
    <n v="3725.9"/>
    <n v="196.09999999999991"/>
  </r>
  <r>
    <n v="300"/>
    <s v="Extension Of Shri P.N. Pandey'S Quarter   F.Building"/>
    <s v="Sugar Division"/>
    <x v="1"/>
    <m/>
    <s v="Common"/>
    <d v="1971-01-01T00:00:00"/>
    <n v="2426"/>
    <n v="0"/>
    <n v="2304.6999999999998"/>
    <n v="121.30000000000018"/>
    <n v="121.30000000000001"/>
    <n v="30"/>
    <n v="49.284931506849318"/>
    <n v="2304.6999999999998"/>
    <n v="50.284931506849318"/>
    <n v="5.6843418860808018E-15"/>
    <n v="2304.6999999999998"/>
    <n v="121.30000000000001"/>
  </r>
  <r>
    <n v="301"/>
    <s v="New Gunny Bag Godown          &quot;"/>
    <s v="Sugar Division"/>
    <x v="1"/>
    <m/>
    <s v="50% each in RS and 50% in DS"/>
    <d v="1971-01-01T00:00:00"/>
    <n v="1888"/>
    <n v="0"/>
    <n v="1793.6"/>
    <n v="94.400000000000091"/>
    <n v="94.4"/>
    <n v="30"/>
    <n v="49.284931506849318"/>
    <n v="1793.6"/>
    <n v="50.284931506849318"/>
    <n v="2.8421709430404009E-15"/>
    <n v="1793.6"/>
    <n v="94.4"/>
  </r>
  <r>
    <n v="302"/>
    <s v="Extension Of Bharat Mistry Quarters    F.Building"/>
    <s v="Sugar Division"/>
    <x v="1"/>
    <m/>
    <s v="Common"/>
    <d v="1971-01-01T00:00:00"/>
    <n v="1731"/>
    <n v="0"/>
    <n v="1644.45"/>
    <n v="86.549999999999955"/>
    <n v="86.550000000000011"/>
    <n v="30"/>
    <n v="49.284931506849318"/>
    <n v="1644.45"/>
    <n v="50.284931506849318"/>
    <n v="-1.8947806286936005E-15"/>
    <n v="1644.45"/>
    <n v="86.549999999999955"/>
  </r>
  <r>
    <n v="303"/>
    <s v="Labour Quarter At Lmp.                              &quot;"/>
    <s v="Sugar Division"/>
    <x v="1"/>
    <m/>
    <s v="Common"/>
    <d v="1971-01-01T00:00:00"/>
    <n v="1575"/>
    <n v="0"/>
    <n v="1496.25"/>
    <n v="78.75"/>
    <n v="78.75"/>
    <n v="30"/>
    <n v="49.284931506849318"/>
    <n v="1496.25"/>
    <n v="50.284931506849318"/>
    <n v="0"/>
    <n v="1496.25"/>
    <n v="78.75"/>
  </r>
  <r>
    <n v="304"/>
    <s v="Flooring Infront Of Lmp. Office                    &quot;"/>
    <s v="Sugar Division"/>
    <x v="1"/>
    <m/>
    <s v="Common"/>
    <d v="1971-01-01T00:00:00"/>
    <n v="1307"/>
    <n v="0"/>
    <n v="1241.6500000000001"/>
    <n v="65.349999999999909"/>
    <n v="65.350000000000009"/>
    <n v="30"/>
    <n v="49.284931506849318"/>
    <n v="1241.6500000000001"/>
    <n v="50.284931506849318"/>
    <n v="-3.3158661002138009E-15"/>
    <n v="1241.6500000000001"/>
    <n v="65.349999999999909"/>
  </r>
  <r>
    <n v="305"/>
    <s v="Temporary Huts At Issanagar                      &quot;"/>
    <s v="Sugar Division"/>
    <x v="1"/>
    <m/>
    <s v="Common"/>
    <d v="1971-01-01T00:00:00"/>
    <n v="1135"/>
    <n v="0"/>
    <n v="1078.25"/>
    <n v="56.75"/>
    <n v="56.75"/>
    <n v="30"/>
    <n v="49.284931506849318"/>
    <n v="1078.25"/>
    <n v="50.284931506849318"/>
    <n v="0"/>
    <n v="1078.25"/>
    <n v="56.75"/>
  </r>
  <r>
    <n v="306"/>
    <s v="New Brown Sugar Godown         &quot;"/>
    <s v="Sugar Division"/>
    <x v="1"/>
    <m/>
    <s v="Sugar Godown - Distribution"/>
    <d v="1971-01-01T00:00:00"/>
    <n v="1111"/>
    <n v="0"/>
    <n v="1055.45"/>
    <n v="55.549999999999955"/>
    <n v="55.550000000000004"/>
    <n v="30"/>
    <n v="49.284931506849318"/>
    <n v="1055.45"/>
    <n v="50.284931506849318"/>
    <n v="-1.6579330501069005E-15"/>
    <n v="1055.45"/>
    <n v="55.549999999999955"/>
  </r>
  <r>
    <n v="307"/>
    <s v="New Shop Near Coop. Shop                       &quot;"/>
    <s v="Sugar Division"/>
    <x v="1"/>
    <m/>
    <s v="Common"/>
    <d v="1971-01-01T00:00:00"/>
    <n v="1071"/>
    <n v="0"/>
    <n v="1017.45"/>
    <n v="53.549999999999955"/>
    <n v="53.550000000000004"/>
    <n v="30"/>
    <n v="49.284931506849318"/>
    <n v="1017.45"/>
    <n v="50.284931506849318"/>
    <n v="-1.6579330501069005E-15"/>
    <n v="1017.45"/>
    <n v="53.549999999999955"/>
  </r>
  <r>
    <n v="308"/>
    <s v="Carbide Room                           &quot;"/>
    <s v="Sugar Division"/>
    <x v="1"/>
    <m/>
    <s v="50% each in RS and 50% in DS"/>
    <d v="1971-01-01T00:00:00"/>
    <n v="1064"/>
    <n v="0"/>
    <n v="1010.8"/>
    <n v="53.200000000000045"/>
    <n v="53.2"/>
    <n v="30"/>
    <n v="49.284931506849318"/>
    <n v="1010.8"/>
    <n v="50.284931506849318"/>
    <n v="1.4210854715202005E-15"/>
    <n v="1010.8"/>
    <n v="53.2"/>
  </r>
  <r>
    <n v="309"/>
    <s v="House For Water Cooler              &quot;"/>
    <s v="Sugar Division"/>
    <x v="1"/>
    <m/>
    <s v="Common"/>
    <d v="1971-01-01T00:00:00"/>
    <n v="499"/>
    <n v="0"/>
    <n v="474.05"/>
    <n v="24.949999999999989"/>
    <n v="24.950000000000003"/>
    <n v="30"/>
    <n v="49.284931506849318"/>
    <n v="474.05"/>
    <n v="50.284931506849318"/>
    <n v="-4.7369515717340012E-16"/>
    <n v="474.05"/>
    <n v="24.949999999999989"/>
  </r>
  <r>
    <n v="310"/>
    <s v="Power House Flooring                &quot;"/>
    <s v="Sugar Division"/>
    <x v="1"/>
    <m/>
    <s v="Power"/>
    <d v="1971-01-01T00:00:00"/>
    <n v="414"/>
    <n v="0"/>
    <n v="393.3"/>
    <n v="20.699999999999989"/>
    <n v="20.700000000000003"/>
    <n v="30"/>
    <n v="49.284931506849318"/>
    <n v="393.3"/>
    <n v="50.284931506849318"/>
    <n v="-4.7369515717340012E-16"/>
    <n v="393.3"/>
    <n v="20.699999999999989"/>
  </r>
  <r>
    <n v="311"/>
    <s v="Extension Of S.N. Sen'S Quarter                 &quot;"/>
    <s v="Sugar Division"/>
    <x v="1"/>
    <m/>
    <s v="Common"/>
    <d v="1971-01-01T00:00:00"/>
    <n v="365"/>
    <n v="0"/>
    <n v="346.75"/>
    <n v="18.25"/>
    <n v="18.25"/>
    <n v="30"/>
    <n v="49.284931506849318"/>
    <n v="346.75"/>
    <n v="50.284931506849318"/>
    <n v="0"/>
    <n v="346.75"/>
    <n v="18.25"/>
  </r>
  <r>
    <n v="312"/>
    <s v="Extension Of Badri Mistry'S Quarter            &quot;"/>
    <s v="Sugar Division"/>
    <x v="1"/>
    <m/>
    <s v="Common"/>
    <d v="1971-01-01T00:00:00"/>
    <n v="297"/>
    <n v="0"/>
    <n v="282.14999999999998"/>
    <n v="14.850000000000023"/>
    <n v="14.850000000000001"/>
    <n v="30"/>
    <n v="49.284931506849318"/>
    <n v="282.14999999999998"/>
    <n v="50.284931506849318"/>
    <n v="7.1054273576010023E-16"/>
    <n v="282.14999999999998"/>
    <n v="14.850000000000001"/>
  </r>
  <r>
    <n v="313"/>
    <s v="Extension Of 8 Block Quarters    &quot;"/>
    <s v="Sugar Division"/>
    <x v="1"/>
    <m/>
    <s v="Common"/>
    <d v="1971-01-01T00:00:00"/>
    <n v="256"/>
    <n v="0"/>
    <n v="243.2"/>
    <n v="12.800000000000011"/>
    <n v="12.8"/>
    <n v="30"/>
    <n v="49.284931506849318"/>
    <n v="243.2"/>
    <n v="50.284931506849318"/>
    <n v="3.5527136788005011E-16"/>
    <n v="243.2"/>
    <n v="12.8"/>
  </r>
  <r>
    <n v="314"/>
    <s v="Water Pipe Line For Above Vertical Deepwell Tubewell Pump"/>
    <s v="Sugar Division"/>
    <x v="1"/>
    <m/>
    <s v="Common"/>
    <d v="1995-02-18T00:00:00"/>
    <n v="340879"/>
    <n v="0"/>
    <n v="323835.05"/>
    <n v="17043.950000000012"/>
    <n v="17043.95"/>
    <n v="5"/>
    <n v="25.136986301369863"/>
    <n v="323835.05"/>
    <n v="26.136986301369863"/>
    <n v="2.1827872842550281E-12"/>
    <n v="323835.05"/>
    <n v="17043.95"/>
  </r>
  <r>
    <n v="315"/>
    <s v="Installation Of 30000 Ghp Vertical Deepwell Tubewell Pump"/>
    <s v="Sugar Division"/>
    <x v="1"/>
    <m/>
    <s v="Common"/>
    <d v="1995-01-15T00:00:00"/>
    <n v="561585"/>
    <n v="0"/>
    <n v="533505.75"/>
    <n v="28079.25"/>
    <n v="28079.25"/>
    <n v="5"/>
    <n v="25.230136986301371"/>
    <n v="533505.75"/>
    <n v="26.230136986301371"/>
    <n v="0"/>
    <n v="533505.75"/>
    <n v="28079.25"/>
  </r>
  <r>
    <n v="316"/>
    <s v="Boundry Wall Of Colony [Field] "/>
    <s v="Sugar Division"/>
    <x v="1"/>
    <m/>
    <s v="Common"/>
    <d v="1970-01-01T00:00:00"/>
    <n v="31286"/>
    <n v="0"/>
    <n v="29721.7"/>
    <n v="1564.2999999999993"/>
    <n v="1564.3000000000002"/>
    <n v="30"/>
    <n v="50.284931506849318"/>
    <n v="29721.7"/>
    <n v="51.284931506849318"/>
    <n v="-3.0316490059097608E-14"/>
    <n v="29721.7"/>
    <n v="1564.2999999999993"/>
  </r>
  <r>
    <n v="317"/>
    <s v="Addition One 3 Room Quarterin 6 Block"/>
    <s v="Sugar Division"/>
    <x v="1"/>
    <m/>
    <s v="Common"/>
    <d v="1970-01-01T00:00:00"/>
    <n v="16351"/>
    <n v="0"/>
    <n v="15533.45"/>
    <n v="817.54999999999927"/>
    <n v="817.55000000000007"/>
    <n v="30"/>
    <n v="50.284931506849318"/>
    <n v="15533.45"/>
    <n v="51.284931506849318"/>
    <n v="-2.6526928801710407E-14"/>
    <n v="15533.45"/>
    <n v="817.54999999999927"/>
  </r>
  <r>
    <n v="318"/>
    <s v="New Workshop Building"/>
    <s v="Sugar Division"/>
    <x v="1"/>
    <m/>
    <s v="50% each in RS and 50% in DS"/>
    <d v="1970-01-01T00:00:00"/>
    <n v="13154"/>
    <n v="0"/>
    <n v="12496.3"/>
    <n v="657.70000000000073"/>
    <n v="657.7"/>
    <n v="30"/>
    <n v="50.284931506849318"/>
    <n v="12496.3"/>
    <n v="51.284931506849318"/>
    <n v="2.2737367544323207E-14"/>
    <n v="12496.3"/>
    <n v="657.7"/>
  </r>
  <r>
    <n v="319"/>
    <s v="6 New Quarters For Labour"/>
    <s v="Sugar Division"/>
    <x v="1"/>
    <m/>
    <s v="Common"/>
    <d v="1970-01-01T00:00:00"/>
    <n v="13108"/>
    <n v="0"/>
    <n v="12452.6"/>
    <n v="655.39999999999964"/>
    <n v="655.40000000000009"/>
    <n v="30"/>
    <n v="50.284931506849318"/>
    <n v="12452.6"/>
    <n v="51.284931506849318"/>
    <n v="-1.5158245029548804E-14"/>
    <n v="12452.6"/>
    <n v="655.39999999999964"/>
  </r>
  <r>
    <n v="320"/>
    <s v="New Kitchen In G.S. Kothi"/>
    <s v="Sugar Division"/>
    <x v="1"/>
    <m/>
    <s v="Common"/>
    <d v="1970-01-01T00:00:00"/>
    <n v="6758"/>
    <n v="0"/>
    <n v="6420.1"/>
    <n v="337.89999999999964"/>
    <n v="337.90000000000003"/>
    <n v="30"/>
    <n v="50.284931506849318"/>
    <n v="6420.1"/>
    <n v="51.284931506849318"/>
    <n v="-1.3263464400855204E-14"/>
    <n v="6420.1"/>
    <n v="337.89999999999964"/>
  </r>
  <r>
    <n v="321"/>
    <s v="Boundry Wall Molasses Tank"/>
    <s v="Sugar Division"/>
    <x v="1"/>
    <m/>
    <s v="Distillery division"/>
    <d v="1970-01-01T00:00:00"/>
    <n v="5506"/>
    <n v="0"/>
    <n v="5230.7"/>
    <n v="275.30000000000018"/>
    <n v="275.3"/>
    <n v="30"/>
    <n v="50.284931506849318"/>
    <n v="5230.7"/>
    <n v="51.284931506849318"/>
    <n v="5.6843418860808018E-15"/>
    <n v="5230.7"/>
    <n v="275.30000000000018"/>
  </r>
  <r>
    <n v="322"/>
    <s v="Three Temorary Labour Quarters"/>
    <s v="Sugar Division"/>
    <x v="1"/>
    <m/>
    <s v="Common"/>
    <d v="1970-01-01T00:00:00"/>
    <n v="5460"/>
    <n v="0"/>
    <n v="5187"/>
    <n v="273"/>
    <n v="273"/>
    <n v="30"/>
    <n v="50.284931506849318"/>
    <n v="5187"/>
    <n v="51.284931506849318"/>
    <n v="0"/>
    <n v="5187"/>
    <n v="273"/>
  </r>
  <r>
    <n v="323"/>
    <s v="Stores Cement, Sulphur Godown &amp; Racks"/>
    <s v="Sugar Division"/>
    <x v="1"/>
    <m/>
    <s v="Common"/>
    <d v="1970-01-01T00:00:00"/>
    <n v="2745"/>
    <n v="0"/>
    <n v="2607.75"/>
    <n v="137.25"/>
    <n v="137.25"/>
    <n v="30"/>
    <n v="50.284931506849318"/>
    <n v="2607.75"/>
    <n v="51.284931506849318"/>
    <n v="0"/>
    <n v="2607.75"/>
    <n v="137.25"/>
  </r>
  <r>
    <n v="324"/>
    <s v="Extension In 8 Block Quarter"/>
    <s v="Sugar Division"/>
    <x v="1"/>
    <m/>
    <s v="Common"/>
    <d v="1970-01-01T00:00:00"/>
    <n v="1507"/>
    <n v="0"/>
    <n v="1431.65"/>
    <n v="75.349999999999909"/>
    <n v="75.350000000000009"/>
    <n v="30"/>
    <n v="50.284931506849318"/>
    <n v="1431.65"/>
    <n v="51.284931506849318"/>
    <n v="-3.3158661002138009E-15"/>
    <n v="1431.65"/>
    <n v="75.349999999999909"/>
  </r>
  <r>
    <n v="325"/>
    <s v="Brick Flooring In Sugar Godown At Lakhimpur"/>
    <s v="Sugar Division"/>
    <x v="1"/>
    <m/>
    <s v="Sugar Godown - Distribution"/>
    <d v="1970-01-01T00:00:00"/>
    <n v="1441"/>
    <n v="0"/>
    <n v="1368.95"/>
    <n v="72.049999999999955"/>
    <n v="72.05"/>
    <n v="30"/>
    <n v="50.284931506849318"/>
    <n v="1368.95"/>
    <n v="51.284931506849318"/>
    <n v="-1.4210854715202005E-15"/>
    <n v="1368.95"/>
    <n v="72.049999999999955"/>
  </r>
  <r>
    <n v="326"/>
    <s v="Badminton Court In Club"/>
    <s v="Sugar Division"/>
    <x v="1"/>
    <m/>
    <s v="Common"/>
    <d v="1970-01-01T00:00:00"/>
    <n v="1384"/>
    <n v="0"/>
    <n v="1314.8"/>
    <n v="69.200000000000045"/>
    <n v="69.2"/>
    <n v="30"/>
    <n v="50.284931506849318"/>
    <n v="1314.8"/>
    <n v="51.284931506849318"/>
    <n v="1.4210854715202005E-15"/>
    <n v="1314.8"/>
    <n v="69.200000000000045"/>
  </r>
  <r>
    <n v="327"/>
    <s v="One Labour Quarter Badri Mistry"/>
    <s v="Sugar Division"/>
    <x v="1"/>
    <m/>
    <s v="Common"/>
    <d v="1970-01-01T00:00:00"/>
    <n v="1298"/>
    <n v="0"/>
    <n v="1233.0999999999999"/>
    <n v="64.900000000000091"/>
    <n v="64.900000000000006"/>
    <n v="30"/>
    <n v="50.284931506849318"/>
    <n v="1233.0999999999999"/>
    <n v="51.284931506849318"/>
    <n v="2.8421709430404009E-15"/>
    <n v="1233.0999999999999"/>
    <n v="64.900000000000006"/>
  </r>
  <r>
    <n v="328"/>
    <s v="New Latrine In Guest House"/>
    <s v="Sugar Division"/>
    <x v="1"/>
    <m/>
    <s v="Common"/>
    <d v="1970-01-01T00:00:00"/>
    <n v="1294"/>
    <n v="0"/>
    <n v="1229.3"/>
    <n v="64.700000000000045"/>
    <n v="64.7"/>
    <n v="30"/>
    <n v="50.284931506849318"/>
    <n v="1229.3"/>
    <n v="51.284931506849318"/>
    <n v="1.4210854715202005E-15"/>
    <n v="1229.3"/>
    <n v="64.700000000000045"/>
  </r>
  <r>
    <n v="329"/>
    <s v="Extension Of Shed In Front Of Sugar Godown"/>
    <s v="Sugar Division"/>
    <x v="1"/>
    <m/>
    <s v="Common"/>
    <d v="1970-01-01T00:00:00"/>
    <n v="1096"/>
    <n v="0"/>
    <n v="1041.2"/>
    <n v="54.799999999999955"/>
    <n v="54.800000000000004"/>
    <n v="30"/>
    <n v="50.284931506849318"/>
    <n v="1041.2"/>
    <n v="51.284931506849318"/>
    <n v="-1.6579330501069005E-15"/>
    <n v="1041.2"/>
    <n v="54.799999999999955"/>
  </r>
  <r>
    <n v="330"/>
    <s v="Latrine For Sweeper'S Colony"/>
    <s v="Sugar Division"/>
    <x v="1"/>
    <m/>
    <s v="Common"/>
    <d v="1970-01-01T00:00:00"/>
    <n v="1013"/>
    <n v="0"/>
    <n v="962.35"/>
    <n v="50.649999999999977"/>
    <n v="50.650000000000006"/>
    <n v="30"/>
    <n v="50.284931506849318"/>
    <n v="962.35"/>
    <n v="51.284931506849318"/>
    <n v="-9.4739031434680023E-16"/>
    <n v="962.35"/>
    <n v="50.649999999999977"/>
  </r>
  <r>
    <n v="331"/>
    <s v="New Petrol Godown "/>
    <s v="Sugar Division"/>
    <x v="1"/>
    <m/>
    <s v="Upto gate"/>
    <d v="1970-01-01T00:00:00"/>
    <n v="947"/>
    <n v="0"/>
    <n v="899.65"/>
    <n v="47.350000000000023"/>
    <n v="47.35"/>
    <n v="30"/>
    <n v="50.284931506849318"/>
    <n v="899.65"/>
    <n v="51.284931506849318"/>
    <n v="7.1054273576010023E-16"/>
    <n v="899.65"/>
    <n v="47.350000000000023"/>
  </r>
  <r>
    <n v="332"/>
    <s v="Water Tank In Cane Yard"/>
    <s v="Sugar Division"/>
    <x v="1"/>
    <m/>
    <s v="Upto gate"/>
    <d v="1970-01-01T00:00:00"/>
    <n v="788"/>
    <n v="0"/>
    <n v="748.6"/>
    <n v="39.399999999999977"/>
    <n v="39.400000000000006"/>
    <n v="30"/>
    <n v="50.284931506849318"/>
    <n v="748.6"/>
    <n v="51.284931506849318"/>
    <n v="-9.4739031434680023E-16"/>
    <n v="748.6"/>
    <n v="39.399999999999977"/>
  </r>
  <r>
    <n v="333"/>
    <s v="One Labour Quarter Gardener"/>
    <s v="Sugar Division"/>
    <x v="1"/>
    <m/>
    <s v="Common"/>
    <d v="1970-01-01T00:00:00"/>
    <n v="768"/>
    <n v="0"/>
    <n v="729.6"/>
    <n v="38.399999999999977"/>
    <n v="38.400000000000006"/>
    <n v="30"/>
    <n v="50.284931506849318"/>
    <n v="729.6"/>
    <n v="51.284931506849318"/>
    <n v="-9.4739031434680023E-16"/>
    <n v="729.6"/>
    <n v="38.399999999999977"/>
  </r>
  <r>
    <n v="334"/>
    <s v="One Labour Quarter For Siddiqui"/>
    <s v="Sugar Division"/>
    <x v="1"/>
    <m/>
    <s v="Common"/>
    <d v="1970-01-01T00:00:00"/>
    <n v="748"/>
    <n v="0"/>
    <n v="710.6"/>
    <n v="37.399999999999977"/>
    <n v="37.4"/>
    <n v="30"/>
    <n v="50.284931506849318"/>
    <n v="710.6"/>
    <n v="51.284931506849318"/>
    <n v="-7.1054273576010023E-16"/>
    <n v="710.6"/>
    <n v="37.399999999999977"/>
  </r>
  <r>
    <n v="335"/>
    <s v="Water Connection In Labour Line"/>
    <s v="Sugar Division"/>
    <x v="1"/>
    <m/>
    <s v="Common"/>
    <d v="1970-01-01T00:00:00"/>
    <n v="712"/>
    <n v="0"/>
    <n v="676.4"/>
    <n v="35.600000000000023"/>
    <n v="35.6"/>
    <n v="30"/>
    <n v="50.284931506849318"/>
    <n v="676.4"/>
    <n v="51.284931506849318"/>
    <n v="7.1054273576010023E-16"/>
    <n v="676.4"/>
    <n v="35.600000000000023"/>
  </r>
  <r>
    <n v="336"/>
    <s v="One Labour Quarter At Lakhimpur"/>
    <s v="Sugar Division"/>
    <x v="1"/>
    <m/>
    <s v="Common"/>
    <d v="1970-01-01T00:00:00"/>
    <n v="470"/>
    <n v="0"/>
    <n v="446.5"/>
    <n v="23.5"/>
    <n v="23.5"/>
    <n v="30"/>
    <n v="50.284931506849318"/>
    <n v="446.5"/>
    <n v="51.284931506849318"/>
    <n v="0"/>
    <n v="446.5"/>
    <n v="23.5"/>
  </r>
  <r>
    <n v="337"/>
    <s v="One Room For Dispensary"/>
    <s v="Sugar Division"/>
    <x v="1"/>
    <m/>
    <s v="Common"/>
    <d v="1970-01-01T00:00:00"/>
    <n v="196"/>
    <n v="0"/>
    <n v="186.2"/>
    <n v="9.8000000000000114"/>
    <n v="9.8000000000000007"/>
    <n v="30"/>
    <n v="50.284931506849318"/>
    <n v="186.2"/>
    <n v="51.284931506849318"/>
    <n v="3.5527136788005011E-16"/>
    <n v="186.2"/>
    <n v="9.8000000000000007"/>
  </r>
  <r>
    <n v="338"/>
    <s v="Telephone Room "/>
    <s v="Sugar Division"/>
    <x v="1"/>
    <m/>
    <s v="Common"/>
    <d v="1970-01-01T00:00:00"/>
    <n v="90"/>
    <n v="0"/>
    <n v="85.5"/>
    <n v="4.5"/>
    <n v="4.5"/>
    <n v="30"/>
    <n v="50.284931506849318"/>
    <n v="85.5"/>
    <n v="51.284931506849318"/>
    <n v="0"/>
    <n v="85.5"/>
    <n v="4.5"/>
  </r>
  <r>
    <n v="339"/>
    <s v="Cattle Shed "/>
    <s v="Sugar Division"/>
    <x v="1"/>
    <m/>
    <s v="Upto gate"/>
    <d v="1969-01-01T00:00:00"/>
    <n v="4194"/>
    <n v="0"/>
    <n v="3984.3"/>
    <n v="209.69999999999982"/>
    <n v="209.70000000000002"/>
    <n v="30"/>
    <n v="51.284931506849318"/>
    <n v="3984.3"/>
    <n v="52.284931506849318"/>
    <n v="-6.6317322004276018E-15"/>
    <n v="3984.3"/>
    <n v="209.69999999999982"/>
  </r>
  <r>
    <n v="340"/>
    <s v="Water Line Connection In Colony "/>
    <s v="Sugar Division"/>
    <x v="1"/>
    <m/>
    <s v="Common"/>
    <d v="1969-01-01T00:00:00"/>
    <n v="3498"/>
    <n v="0"/>
    <n v="3323.1"/>
    <n v="174.90000000000009"/>
    <n v="174.9"/>
    <n v="30"/>
    <n v="51.284931506849318"/>
    <n v="3323.1"/>
    <n v="52.284931506849318"/>
    <n v="2.8421709430404009E-15"/>
    <n v="3323.1"/>
    <n v="174.90000000000009"/>
  </r>
  <r>
    <n v="341"/>
    <s v="Boundry Wall Of Colony"/>
    <s v="Sugar Division"/>
    <x v="1"/>
    <m/>
    <s v="Common"/>
    <d v="1969-01-01T00:00:00"/>
    <n v="3109"/>
    <n v="0"/>
    <n v="2953.55"/>
    <n v="155.44999999999982"/>
    <n v="155.45000000000002"/>
    <n v="30"/>
    <n v="51.284931506849318"/>
    <n v="2953.55"/>
    <n v="52.284931506849318"/>
    <n v="-6.6317322004276018E-15"/>
    <n v="2953.55"/>
    <n v="155.44999999999982"/>
  </r>
  <r>
    <n v="342"/>
    <s v="Boundry Wall Of Colony [Field] "/>
    <s v="Sugar Division"/>
    <x v="1"/>
    <m/>
    <s v="Common"/>
    <d v="1969-01-01T00:00:00"/>
    <n v="2851"/>
    <n v="0"/>
    <n v="2708.45"/>
    <n v="142.55000000000018"/>
    <n v="142.55000000000001"/>
    <n v="30"/>
    <n v="51.284931506849318"/>
    <n v="2708.45"/>
    <n v="52.284931506849318"/>
    <n v="5.6843418860808018E-15"/>
    <n v="2708.45"/>
    <n v="142.55000000000001"/>
  </r>
  <r>
    <n v="343"/>
    <s v="New Latrine In Labour Colony"/>
    <s v="Sugar Division"/>
    <x v="1"/>
    <m/>
    <s v="Common"/>
    <d v="1969-01-01T00:00:00"/>
    <n v="2663"/>
    <n v="0"/>
    <n v="2529.85"/>
    <n v="133.15000000000009"/>
    <n v="133.15"/>
    <n v="30"/>
    <n v="51.284931506849318"/>
    <n v="2529.85"/>
    <n v="52.284931506849318"/>
    <n v="2.8421709430404009E-15"/>
    <n v="2529.85"/>
    <n v="133.15000000000009"/>
  </r>
  <r>
    <n v="344"/>
    <s v="One Quarter For Gardener"/>
    <s v="Sugar Division"/>
    <x v="1"/>
    <m/>
    <s v="Common"/>
    <d v="1969-01-01T00:00:00"/>
    <n v="2373"/>
    <n v="0"/>
    <n v="2254.35"/>
    <n v="118.65000000000009"/>
    <n v="118.65"/>
    <n v="30"/>
    <n v="51.284931506849318"/>
    <n v="2254.35"/>
    <n v="52.284931506849318"/>
    <n v="2.8421709430404009E-15"/>
    <n v="2254.35"/>
    <n v="118.65"/>
  </r>
  <r>
    <n v="345"/>
    <s v="Addition Of One Room In Dispansary"/>
    <s v="Sugar Division"/>
    <x v="1"/>
    <m/>
    <s v="Common"/>
    <d v="1969-01-01T00:00:00"/>
    <n v="1950"/>
    <n v="0"/>
    <n v="1852.5"/>
    <n v="97.5"/>
    <n v="97.5"/>
    <n v="30"/>
    <n v="51.284931506849318"/>
    <n v="1852.5"/>
    <n v="52.284931506849318"/>
    <n v="0"/>
    <n v="1852.5"/>
    <n v="97.5"/>
  </r>
  <r>
    <n v="346"/>
    <s v="Additions In 8 Block Staff Quarters"/>
    <s v="Sugar Division"/>
    <x v="1"/>
    <m/>
    <s v="Common"/>
    <d v="1969-01-01T00:00:00"/>
    <n v="1649"/>
    <n v="0"/>
    <n v="1566.55"/>
    <n v="82.450000000000045"/>
    <n v="82.45"/>
    <n v="30"/>
    <n v="51.284931506849318"/>
    <n v="1566.55"/>
    <n v="52.284931506849318"/>
    <n v="1.4210854715202005E-15"/>
    <n v="1566.55"/>
    <n v="82.450000000000045"/>
  </r>
  <r>
    <n v="347"/>
    <s v="One Bachelor Quarter Converted Into Family Quarter"/>
    <s v="Sugar Division"/>
    <x v="1"/>
    <m/>
    <s v="Common"/>
    <d v="1969-01-01T00:00:00"/>
    <n v="548"/>
    <n v="0"/>
    <n v="520.6"/>
    <n v="27.399999999999977"/>
    <n v="27.400000000000002"/>
    <n v="30"/>
    <n v="51.284931506849318"/>
    <n v="520.6"/>
    <n v="52.284931506849318"/>
    <n v="-8.2896652505345023E-16"/>
    <n v="520.6"/>
    <n v="27.399999999999977"/>
  </r>
  <r>
    <n v="348"/>
    <s v="Alterationsin Asstt. Cane Manager'S Office"/>
    <s v="Sugar Division"/>
    <x v="1"/>
    <m/>
    <s v="Upto gate"/>
    <d v="1969-01-01T00:00:00"/>
    <n v="498"/>
    <n v="0"/>
    <n v="473.1"/>
    <n v="24.899999999999977"/>
    <n v="24.900000000000002"/>
    <n v="30"/>
    <n v="51.284931506849318"/>
    <n v="473.1"/>
    <n v="52.284931506849318"/>
    <n v="-8.2896652505345023E-16"/>
    <n v="473.1"/>
    <n v="24.899999999999977"/>
  </r>
  <r>
    <n v="349"/>
    <s v="Alterations In G.S. Office"/>
    <s v="Sugar Division"/>
    <x v="1"/>
    <m/>
    <s v="Common"/>
    <d v="1969-01-01T00:00:00"/>
    <n v="271"/>
    <n v="0"/>
    <n v="257.45"/>
    <n v="13.550000000000011"/>
    <n v="13.55"/>
    <n v="30"/>
    <n v="51.284931506849318"/>
    <n v="257.45"/>
    <n v="52.284931506849318"/>
    <n v="3.5527136788005011E-16"/>
    <n v="257.45"/>
    <n v="13.55"/>
  </r>
  <r>
    <n v="350"/>
    <s v="Shed Infront Of Lakhimpur Godown"/>
    <s v="Sugar Division"/>
    <x v="1"/>
    <m/>
    <s v="Sugar Godown - Distribution"/>
    <d v="1969-01-01T00:00:00"/>
    <n v="140"/>
    <n v="0"/>
    <n v="133"/>
    <n v="7"/>
    <n v="7"/>
    <n v="30"/>
    <n v="51.284931506849318"/>
    <n v="133"/>
    <n v="52.284931506849318"/>
    <n v="0"/>
    <n v="133"/>
    <n v="7"/>
  </r>
  <r>
    <n v="351"/>
    <s v="C.E. Kothi'S Washbasin "/>
    <s v="Sugar Division"/>
    <x v="1"/>
    <m/>
    <s v="Common"/>
    <d v="1969-01-01T00:00:00"/>
    <n v="124"/>
    <n v="0"/>
    <n v="117.8"/>
    <n v="6.2000000000000028"/>
    <n v="6.2"/>
    <n v="30"/>
    <n v="51.284931506849318"/>
    <n v="117.8"/>
    <n v="52.284931506849318"/>
    <n v="8.8817841970012528E-17"/>
    <n v="117.8"/>
    <n v="6.2000000000000028"/>
  </r>
  <r>
    <n v="352"/>
    <s v="Additions  In Labour Quarter "/>
    <s v="Sugar Division"/>
    <x v="1"/>
    <m/>
    <s v="Common"/>
    <d v="1969-01-01T00:00:00"/>
    <n v="106"/>
    <n v="0"/>
    <n v="100.7"/>
    <n v="5.2999999999999972"/>
    <n v="5.3000000000000007"/>
    <n v="30"/>
    <n v="51.284931506849318"/>
    <n v="100.7"/>
    <n v="52.284931506849318"/>
    <n v="-1.1842378929335003E-16"/>
    <n v="100.7"/>
    <n v="5.2999999999999972"/>
  </r>
  <r>
    <n v="353"/>
    <s v="Tubewell Near 24 Block "/>
    <s v="Sugar Division"/>
    <x v="1"/>
    <m/>
    <s v="Common"/>
    <d v="1993-11-20T00:00:00"/>
    <n v="639700"/>
    <n v="0"/>
    <n v="607715"/>
    <n v="31985"/>
    <n v="31985"/>
    <n v="5"/>
    <n v="26.383561643835616"/>
    <n v="607715"/>
    <n v="27.383561643835616"/>
    <n v="0"/>
    <n v="607715"/>
    <n v="31985"/>
  </r>
  <r>
    <n v="354"/>
    <s v="House For Ruston  Engine"/>
    <s v="Sugar Division"/>
    <x v="1"/>
    <m/>
    <s v="Common"/>
    <d v="1968-01-01T00:00:00"/>
    <n v="5687"/>
    <n v="0"/>
    <n v="5402.65"/>
    <n v="284.35000000000036"/>
    <n v="284.35000000000002"/>
    <n v="30"/>
    <n v="52.287671232876711"/>
    <n v="5402.65"/>
    <n v="53.287671232876711"/>
    <n v="1.1368683772161604E-14"/>
    <n v="5402.65"/>
    <n v="284.35000000000002"/>
  </r>
  <r>
    <n v="355"/>
    <s v="Shed Infront Of Suger Godown At Lakhimpur"/>
    <s v="Sugar Division"/>
    <x v="1"/>
    <m/>
    <s v="Sugar Godown - Distribution"/>
    <d v="1968-01-01T00:00:00"/>
    <n v="2331"/>
    <n v="0"/>
    <n v="2214.4499999999998"/>
    <n v="116.55000000000018"/>
    <n v="116.55000000000001"/>
    <n v="30"/>
    <n v="52.287671232876711"/>
    <n v="2214.4499999999998"/>
    <n v="53.287671232876711"/>
    <n v="5.6843418860808018E-15"/>
    <n v="2214.4499999999998"/>
    <n v="116.55000000000001"/>
  </r>
  <r>
    <n v="356"/>
    <s v="New Weighbridge Room"/>
    <s v="Sugar Division"/>
    <x v="1"/>
    <m/>
    <s v="Upto gate"/>
    <d v="1968-01-01T00:00:00"/>
    <n v="1097"/>
    <n v="0"/>
    <n v="1042.1500000000001"/>
    <n v="54.849999999999909"/>
    <n v="54.85"/>
    <n v="30"/>
    <n v="52.287671232876711"/>
    <n v="1042.1500000000001"/>
    <n v="53.287671232876711"/>
    <n v="-3.0790185216271009E-15"/>
    <n v="1042.1500000000001"/>
    <n v="54.849999999999909"/>
  </r>
  <r>
    <n v="357"/>
    <s v="Tin Drain Fixed In Godown Shed"/>
    <s v="Sugar Division"/>
    <x v="1"/>
    <m/>
    <s v="Sugar Godown - Distribution"/>
    <d v="1968-01-01T00:00:00"/>
    <n v="897"/>
    <n v="0"/>
    <n v="852.15"/>
    <n v="44.850000000000023"/>
    <n v="44.85"/>
    <n v="30"/>
    <n v="52.287671232876711"/>
    <n v="852.15"/>
    <n v="53.287671232876711"/>
    <n v="7.1054273576010023E-16"/>
    <n v="852.15"/>
    <n v="44.850000000000023"/>
  </r>
  <r>
    <n v="358"/>
    <s v="Water Line In Colony"/>
    <s v="Sugar Division"/>
    <x v="1"/>
    <m/>
    <s v="Common"/>
    <d v="1968-01-01T00:00:00"/>
    <n v="767"/>
    <n v="0"/>
    <n v="728.65"/>
    <n v="38.350000000000023"/>
    <n v="38.35"/>
    <n v="30"/>
    <n v="52.287671232876711"/>
    <n v="728.65"/>
    <n v="53.287671232876711"/>
    <n v="7.1054273576010023E-16"/>
    <n v="728.65"/>
    <n v="38.350000000000023"/>
  </r>
  <r>
    <n v="359"/>
    <s v="Addition Of One Room In 34 Block Quarter"/>
    <s v="Sugar Division"/>
    <x v="1"/>
    <m/>
    <s v="Common"/>
    <d v="1968-01-01T00:00:00"/>
    <n v="621"/>
    <n v="0"/>
    <n v="589.95000000000005"/>
    <n v="31.049999999999955"/>
    <n v="31.05"/>
    <n v="30"/>
    <n v="52.287671232876711"/>
    <n v="589.95000000000005"/>
    <n v="53.287671232876711"/>
    <n v="-1.5395092608135505E-15"/>
    <n v="589.95000000000005"/>
    <n v="31.049999999999955"/>
  </r>
  <r>
    <n v="360"/>
    <s v="One Room For Keeping Dunnage"/>
    <s v="Sugar Division"/>
    <x v="1"/>
    <m/>
    <s v="Common"/>
    <d v="1968-01-01T00:00:00"/>
    <n v="502"/>
    <n v="0"/>
    <n v="476.9"/>
    <n v="25.100000000000023"/>
    <n v="25.1"/>
    <n v="30"/>
    <n v="52.287671232876711"/>
    <n v="476.9"/>
    <n v="53.287671232876711"/>
    <n v="7.1054273576010023E-16"/>
    <n v="476.9"/>
    <n v="25.1"/>
  </r>
  <r>
    <n v="361"/>
    <s v="Tool Room In Factory"/>
    <s v="Sugar Division"/>
    <x v="1"/>
    <m/>
    <s v="Common"/>
    <d v="1968-01-01T00:00:00"/>
    <n v="371"/>
    <n v="0"/>
    <n v="352.45"/>
    <n v="18.550000000000011"/>
    <n v="18.55"/>
    <n v="30"/>
    <n v="52.287671232876711"/>
    <n v="352.45"/>
    <n v="53.287671232876711"/>
    <n v="3.5527136788005011E-16"/>
    <n v="352.45"/>
    <n v="18.550000000000011"/>
  </r>
  <r>
    <n v="362"/>
    <s v="Factory Boundry Wall Of Molasses Tank"/>
    <s v="Sugar Division"/>
    <x v="1"/>
    <m/>
    <s v="Distillery division"/>
    <d v="1968-01-01T00:00:00"/>
    <n v="218"/>
    <n v="0"/>
    <n v="207.1"/>
    <n v="10.900000000000006"/>
    <n v="10.9"/>
    <n v="30"/>
    <n v="52.287671232876711"/>
    <n v="207.1"/>
    <n v="53.287671232876711"/>
    <n v="1.7763568394002506E-16"/>
    <n v="207.1"/>
    <n v="10.900000000000006"/>
  </r>
  <r>
    <n v="363"/>
    <s v="One Bachelor Quarter Converted Into Family Quarter"/>
    <s v="Sugar Division"/>
    <x v="1"/>
    <m/>
    <s v="Common"/>
    <d v="1968-01-01T00:00:00"/>
    <n v="204"/>
    <n v="0"/>
    <n v="193.8"/>
    <n v="10.199999999999989"/>
    <n v="10.200000000000001"/>
    <n v="30"/>
    <n v="52.287671232876711"/>
    <n v="193.8"/>
    <n v="53.287671232876711"/>
    <n v="-4.1448326252672511E-16"/>
    <n v="193.8"/>
    <n v="10.199999999999989"/>
  </r>
  <r>
    <n v="364"/>
    <s v="Garage For Car &amp; Jeep At Lakhimpur"/>
    <s v="Sugar Division"/>
    <x v="1"/>
    <m/>
    <s v="Common"/>
    <d v="1968-01-01T00:00:00"/>
    <n v="7"/>
    <n v="0"/>
    <n v="6.65"/>
    <n v="0.34999999999999964"/>
    <n v="0.35000000000000003"/>
    <n v="30"/>
    <n v="52.287671232876711"/>
    <n v="6.65"/>
    <n v="53.287671232876711"/>
    <n v="-1.295260195396016E-17"/>
    <n v="6.65"/>
    <n v="0.34999999999999964"/>
  </r>
  <r>
    <n v="365"/>
    <s v="Tubewell At Birla Building Ltd."/>
    <s v="Sugar Division"/>
    <x v="1"/>
    <m/>
    <s v="Common"/>
    <d v="1992-02-19T00:00:00"/>
    <n v="2880"/>
    <n v="0"/>
    <n v="2736"/>
    <n v="144"/>
    <n v="144"/>
    <n v="5"/>
    <n v="28.136986301369863"/>
    <n v="2736"/>
    <n v="29.136986301369863"/>
    <n v="0"/>
    <n v="2736"/>
    <n v="144"/>
  </r>
  <r>
    <n v="366"/>
    <s v="Bandhani Quarters Two"/>
    <s v="Sugar Division"/>
    <x v="1"/>
    <m/>
    <s v="Common"/>
    <d v="1967-01-01T00:00:00"/>
    <n v="2107"/>
    <n v="0"/>
    <n v="2001.65"/>
    <n v="105.34999999999991"/>
    <n v="105.35000000000001"/>
    <n v="30"/>
    <n v="53.287671232876711"/>
    <n v="2001.65"/>
    <n v="54.287671232876711"/>
    <n v="-3.3158661002138009E-15"/>
    <n v="2001.65"/>
    <n v="105.34999999999991"/>
  </r>
  <r>
    <n v="367"/>
    <s v="Gola Set Roofing"/>
    <s v="Sugar Division"/>
    <x v="1"/>
    <m/>
    <s v="Common"/>
    <d v="1967-01-01T00:00:00"/>
    <n v="1869"/>
    <n v="0"/>
    <n v="1775.55"/>
    <n v="93.450000000000045"/>
    <n v="93.45"/>
    <n v="30"/>
    <n v="53.287671232876711"/>
    <n v="1775.55"/>
    <n v="54.287671232876711"/>
    <n v="1.4210854715202005E-15"/>
    <n v="1775.55"/>
    <n v="93.450000000000045"/>
  </r>
  <r>
    <n v="368"/>
    <s v="Weighbridge Room"/>
    <s v="Sugar Division"/>
    <x v="1"/>
    <m/>
    <s v="Upto gate"/>
    <d v="1967-01-01T00:00:00"/>
    <n v="1703"/>
    <n v="0"/>
    <n v="1617.85"/>
    <n v="85.150000000000091"/>
    <n v="85.15"/>
    <n v="30"/>
    <n v="53.287671232876711"/>
    <n v="1617.85"/>
    <n v="54.287671232876711"/>
    <n v="2.8421709430404009E-15"/>
    <n v="1617.85"/>
    <n v="85.15"/>
  </r>
  <r>
    <n v="369"/>
    <s v="Bathroom &amp;Latrine For Molesses Quarter "/>
    <s v="Sugar Division"/>
    <x v="1"/>
    <m/>
    <s v="Common"/>
    <d v="1967-01-01T00:00:00"/>
    <n v="871"/>
    <n v="0"/>
    <n v="827.45"/>
    <n v="43.549999999999955"/>
    <n v="43.550000000000004"/>
    <n v="30"/>
    <n v="53.287671232876711"/>
    <n v="827.45"/>
    <n v="54.287671232876711"/>
    <n v="-1.6579330501069005E-15"/>
    <n v="827.45"/>
    <n v="43.549999999999955"/>
  </r>
  <r>
    <n v="370"/>
    <s v="One Labour Quarter"/>
    <s v="Sugar Division"/>
    <x v="1"/>
    <m/>
    <s v="Common"/>
    <d v="1967-01-01T00:00:00"/>
    <n v="843"/>
    <n v="0"/>
    <n v="800.85"/>
    <n v="42.149999999999977"/>
    <n v="42.150000000000006"/>
    <n v="30"/>
    <n v="53.287671232876711"/>
    <n v="800.85"/>
    <n v="54.287671232876711"/>
    <n v="-9.4739031434680023E-16"/>
    <n v="800.85"/>
    <n v="42.149999999999977"/>
  </r>
  <r>
    <n v="371"/>
    <s v="34 Block Quarter Extension"/>
    <s v="Sugar Division"/>
    <x v="1"/>
    <m/>
    <s v="Common"/>
    <d v="1967-01-01T00:00:00"/>
    <n v="492"/>
    <n v="0"/>
    <n v="467.4"/>
    <n v="24.600000000000023"/>
    <n v="24.6"/>
    <n v="30"/>
    <n v="53.287671232876711"/>
    <n v="467.4"/>
    <n v="54.287671232876711"/>
    <n v="7.1054273576010023E-16"/>
    <n v="467.4"/>
    <n v="24.6"/>
  </r>
  <r>
    <n v="372"/>
    <s v="House For High Tension Engine "/>
    <s v="Sugar Division"/>
    <x v="1"/>
    <m/>
    <s v="50% each in RS and 50% in DS"/>
    <d v="1967-01-01T00:00:00"/>
    <n v="435"/>
    <n v="0"/>
    <n v="413.25"/>
    <n v="21.75"/>
    <n v="21.75"/>
    <n v="30"/>
    <n v="53.287671232876711"/>
    <n v="413.25"/>
    <n v="54.287671232876711"/>
    <n v="0"/>
    <n v="413.25"/>
    <n v="21.75"/>
  </r>
  <r>
    <n v="373"/>
    <s v="Cement &amp; Sulpher Godowns &amp; Racks In Store"/>
    <s v="Sugar Division"/>
    <x v="1"/>
    <m/>
    <s v="Common"/>
    <d v="1967-01-01T00:00:00"/>
    <n v="225"/>
    <n v="0"/>
    <n v="213.75"/>
    <n v="11.25"/>
    <n v="11.25"/>
    <n v="30"/>
    <n v="53.287671232876711"/>
    <n v="213.75"/>
    <n v="54.287671232876711"/>
    <n v="0"/>
    <n v="213.75"/>
    <n v="11.25"/>
  </r>
  <r>
    <n v="374"/>
    <s v="Dunnage Store At Lakhimpur"/>
    <s v="Sugar Division"/>
    <x v="1"/>
    <m/>
    <s v="Common"/>
    <d v="1967-01-01T00:00:00"/>
    <n v="216"/>
    <n v="0"/>
    <n v="205.2"/>
    <n v="10.800000000000011"/>
    <n v="10.8"/>
    <n v="30"/>
    <n v="53.287671232876711"/>
    <n v="205.2"/>
    <n v="54.287671232876711"/>
    <n v="3.5527136788005011E-16"/>
    <n v="205.2"/>
    <n v="10.8"/>
  </r>
  <r>
    <n v="375"/>
    <s v="Tubewell At Birla Building Ltd."/>
    <s v="Sugar Division"/>
    <x v="1"/>
    <m/>
    <s v="Common"/>
    <d v="1991-03-04T00:00:00"/>
    <n v="3496"/>
    <n v="0"/>
    <n v="3321.2"/>
    <n v="174.80000000000018"/>
    <n v="174.8"/>
    <n v="5"/>
    <n v="29.101369863013698"/>
    <n v="3321.2"/>
    <n v="30.101369863013698"/>
    <n v="3.4106051316484814E-14"/>
    <n v="3321.2"/>
    <n v="174.8"/>
  </r>
  <r>
    <n v="376"/>
    <s v="Tublewell At Cane Yard "/>
    <s v="Sugar Division"/>
    <x v="1"/>
    <m/>
    <s v="Upto gate"/>
    <d v="1991-03-02T00:00:00"/>
    <n v="250496"/>
    <n v="0"/>
    <n v="237971.20000000001"/>
    <n v="12524.799999999988"/>
    <n v="12524.800000000001"/>
    <n v="5"/>
    <n v="29.106849315068494"/>
    <n v="237971.20000000001"/>
    <n v="30.106849315068494"/>
    <n v="-2.5465851649641993E-12"/>
    <n v="237971.20000000001"/>
    <n v="12524.799999999988"/>
  </r>
  <r>
    <n v="377"/>
    <s v="One Room Addition In Fitter Line "/>
    <s v="Sugar Division"/>
    <x v="1"/>
    <m/>
    <s v="Common"/>
    <d v="1966-01-01T00:00:00"/>
    <n v="17485"/>
    <n v="0"/>
    <n v="16610.75"/>
    <n v="874.25"/>
    <n v="874.25"/>
    <n v="30"/>
    <n v="54.287671232876711"/>
    <n v="16610.75"/>
    <n v="55.287671232876711"/>
    <n v="0"/>
    <n v="16610.75"/>
    <n v="874.25"/>
  </r>
  <r>
    <n v="378"/>
    <s v="Four Single Room Quarters "/>
    <s v="Sugar Division"/>
    <x v="1"/>
    <m/>
    <s v="Common"/>
    <d v="1966-01-01T00:00:00"/>
    <n v="10432"/>
    <n v="0"/>
    <n v="9910.4"/>
    <n v="521.60000000000036"/>
    <n v="521.6"/>
    <n v="30"/>
    <n v="54.287671232876711"/>
    <n v="9910.4"/>
    <n v="55.287671232876711"/>
    <n v="1.1368683772161604E-14"/>
    <n v="9910.4"/>
    <n v="521.60000000000036"/>
  </r>
  <r>
    <n v="379"/>
    <s v="One Bath Room &amp; Latrine In 23 Block "/>
    <s v="Sugar Division"/>
    <x v="1"/>
    <m/>
    <s v="Common"/>
    <d v="1966-01-01T00:00:00"/>
    <n v="8136"/>
    <n v="0"/>
    <n v="7729.2"/>
    <n v="406.80000000000018"/>
    <n v="406.8"/>
    <n v="30"/>
    <n v="54.287671232876711"/>
    <n v="7729.2"/>
    <n v="55.287671232876711"/>
    <n v="5.6843418860808018E-15"/>
    <n v="7729.2"/>
    <n v="406.80000000000018"/>
  </r>
  <r>
    <n v="380"/>
    <s v="Five Labour Quarters "/>
    <s v="Sugar Division"/>
    <x v="1"/>
    <m/>
    <s v="Common"/>
    <d v="1966-01-01T00:00:00"/>
    <n v="3711"/>
    <n v="0"/>
    <n v="3525.45"/>
    <n v="185.55000000000018"/>
    <n v="185.55"/>
    <n v="30"/>
    <n v="54.287671232876711"/>
    <n v="3525.45"/>
    <n v="55.287671232876711"/>
    <n v="5.6843418860808018E-15"/>
    <n v="3525.45"/>
    <n v="185.55"/>
  </r>
  <r>
    <n v="381"/>
    <s v="House For 300 K.W. Generating Set"/>
    <s v="Sugar Division"/>
    <x v="1"/>
    <m/>
    <s v="Power"/>
    <d v="1966-01-01T00:00:00"/>
    <n v="3170"/>
    <n v="0"/>
    <n v="3011.5"/>
    <n v="158.5"/>
    <n v="158.5"/>
    <n v="30"/>
    <n v="54.287671232876711"/>
    <n v="3011.5"/>
    <n v="55.287671232876711"/>
    <n v="0"/>
    <n v="3011.5"/>
    <n v="158.5"/>
  </r>
  <r>
    <n v="382"/>
    <s v="Factory Drain "/>
    <s v="Sugar Division"/>
    <x v="1"/>
    <m/>
    <s v="Common"/>
    <d v="1966-01-01T00:00:00"/>
    <n v="2568"/>
    <n v="0"/>
    <n v="2439.6"/>
    <n v="128.40000000000009"/>
    <n v="128.4"/>
    <n v="30"/>
    <n v="54.287671232876711"/>
    <n v="2439.6"/>
    <n v="55.287671232876711"/>
    <n v="2.8421709430404009E-15"/>
    <n v="2439.6"/>
    <n v="128.40000000000009"/>
  </r>
  <r>
    <n v="383"/>
    <s v="Carpentary Shop"/>
    <s v="Sugar Division"/>
    <x v="1"/>
    <m/>
    <s v="Common"/>
    <d v="1966-01-01T00:00:00"/>
    <n v="2541"/>
    <n v="0"/>
    <n v="2413.9499999999998"/>
    <n v="127.05000000000018"/>
    <n v="127.05000000000001"/>
    <n v="30"/>
    <n v="54.287671232876711"/>
    <n v="2413.9499999999998"/>
    <n v="55.287671232876711"/>
    <n v="5.6843418860808018E-15"/>
    <n v="2413.9499999999998"/>
    <n v="127.05000000000001"/>
  </r>
  <r>
    <n v="384"/>
    <s v="Extension Of Lakhimpur Godown Set"/>
    <s v="Sugar Division"/>
    <x v="1"/>
    <m/>
    <s v="Sugar Godown - Distribution"/>
    <d v="1966-01-01T00:00:00"/>
    <n v="2077"/>
    <n v="0"/>
    <n v="1973.15"/>
    <n v="103.84999999999991"/>
    <n v="103.85000000000001"/>
    <n v="30"/>
    <n v="54.287671232876711"/>
    <n v="1973.15"/>
    <n v="55.287671232876711"/>
    <n v="-3.3158661002138009E-15"/>
    <n v="1973.15"/>
    <n v="103.84999999999991"/>
  </r>
  <r>
    <n v="385"/>
    <s v="House For Gola Set"/>
    <s v="Sugar Division"/>
    <x v="1"/>
    <m/>
    <s v="Common"/>
    <d v="1966-01-01T00:00:00"/>
    <n v="1801"/>
    <n v="0"/>
    <n v="1710.95"/>
    <n v="90.049999999999955"/>
    <n v="90.050000000000011"/>
    <n v="30"/>
    <n v="54.287671232876711"/>
    <n v="1710.95"/>
    <n v="55.287671232876711"/>
    <n v="-1.8947806286936005E-15"/>
    <n v="1710.95"/>
    <n v="90.049999999999955"/>
  </r>
  <r>
    <n v="386"/>
    <s v="Boundry Wall Of Rest House"/>
    <s v="Sugar Division"/>
    <x v="1"/>
    <m/>
    <s v="Common"/>
    <d v="1966-01-01T00:00:00"/>
    <n v="1756"/>
    <n v="0"/>
    <n v="1668.2"/>
    <n v="87.799999999999955"/>
    <n v="87.800000000000011"/>
    <n v="30"/>
    <n v="54.287671232876711"/>
    <n v="1668.2"/>
    <n v="55.287671232876711"/>
    <n v="-1.8947806286936005E-15"/>
    <n v="1668.2"/>
    <n v="87.799999999999955"/>
  </r>
  <r>
    <n v="387"/>
    <s v="Two Weighbridge Room "/>
    <s v="Sugar Division"/>
    <x v="1"/>
    <m/>
    <s v="Upto gate"/>
    <d v="1966-01-01T00:00:00"/>
    <n v="1684"/>
    <n v="0"/>
    <n v="1599.8"/>
    <n v="84.200000000000045"/>
    <n v="84.2"/>
    <n v="30"/>
    <n v="54.287671232876711"/>
    <n v="1599.8"/>
    <n v="55.287671232876711"/>
    <n v="1.4210854715202005E-15"/>
    <n v="1599.8"/>
    <n v="84.200000000000045"/>
  </r>
  <r>
    <n v="388"/>
    <s v="Factory Boundry Wall Near Tare Gate"/>
    <s v="Sugar Division"/>
    <x v="1"/>
    <m/>
    <s v="Upto gate"/>
    <d v="1966-01-01T00:00:00"/>
    <n v="1228"/>
    <n v="0"/>
    <n v="1166.5999999999999"/>
    <n v="61.400000000000091"/>
    <n v="61.400000000000006"/>
    <n v="30"/>
    <n v="54.287671232876711"/>
    <n v="1166.5999999999999"/>
    <n v="55.287671232876711"/>
    <n v="2.8421709430404009E-15"/>
    <n v="1166.5999999999999"/>
    <n v="61.400000000000006"/>
  </r>
  <r>
    <n v="389"/>
    <s v="Two Rooms At Lakhimpur "/>
    <s v="Sugar Division"/>
    <x v="1"/>
    <m/>
    <s v="Common"/>
    <d v="1966-01-01T00:00:00"/>
    <n v="1165"/>
    <n v="0"/>
    <n v="1106.75"/>
    <n v="58.25"/>
    <n v="58.25"/>
    <n v="30"/>
    <n v="54.287671232876711"/>
    <n v="1106.75"/>
    <n v="55.287671232876711"/>
    <n v="0"/>
    <n v="1106.75"/>
    <n v="58.25"/>
  </r>
  <r>
    <n v="390"/>
    <s v="3 Quarters Converted In Family Quarters From Bechelor Quarters"/>
    <s v="Sugar Division"/>
    <x v="1"/>
    <m/>
    <s v="Common"/>
    <d v="1966-01-01T00:00:00"/>
    <n v="1106"/>
    <n v="0"/>
    <n v="1050.7"/>
    <n v="55.299999999999955"/>
    <n v="55.300000000000004"/>
    <n v="30"/>
    <n v="54.287671232876711"/>
    <n v="1050.7"/>
    <n v="55.287671232876711"/>
    <n v="-1.6579330501069005E-15"/>
    <n v="1050.7"/>
    <n v="55.299999999999955"/>
  </r>
  <r>
    <n v="391"/>
    <s v="House For Disintegrater"/>
    <s v="Sugar Division"/>
    <x v="1"/>
    <m/>
    <s v="50% each in RS and 50% in DS"/>
    <d v="1966-01-01T00:00:00"/>
    <n v="864"/>
    <n v="0"/>
    <n v="820.8"/>
    <n v="43.200000000000045"/>
    <n v="43.2"/>
    <n v="30"/>
    <n v="54.287671232876711"/>
    <n v="820.8"/>
    <n v="55.287671232876711"/>
    <n v="1.4210854715202005E-15"/>
    <n v="820.8"/>
    <n v="43.2"/>
  </r>
  <r>
    <n v="392"/>
    <s v="Barber Shop "/>
    <s v="Sugar Division"/>
    <x v="1"/>
    <m/>
    <s v="Common"/>
    <d v="1966-01-01T00:00:00"/>
    <n v="846"/>
    <n v="0"/>
    <n v="803.7"/>
    <n v="42.299999999999955"/>
    <n v="42.300000000000004"/>
    <n v="30"/>
    <n v="54.287671232876711"/>
    <n v="803.7"/>
    <n v="55.287671232876711"/>
    <n v="-1.6579330501069005E-15"/>
    <n v="803.7"/>
    <n v="42.299999999999955"/>
  </r>
  <r>
    <n v="393"/>
    <s v="Extension Of Boiling House"/>
    <s v="Sugar Division"/>
    <x v="1"/>
    <m/>
    <s v="50% each in RS and 50% in DS"/>
    <d v="1966-01-01T00:00:00"/>
    <n v="435"/>
    <n v="0"/>
    <n v="413.25"/>
    <n v="21.75"/>
    <n v="21.75"/>
    <n v="30"/>
    <n v="54.287671232876711"/>
    <n v="413.25"/>
    <n v="55.287671232876711"/>
    <n v="0"/>
    <n v="413.25"/>
    <n v="21.75"/>
  </r>
  <r>
    <n v="394"/>
    <s v="Extension Of Boiling House"/>
    <s v="Sugar Division"/>
    <x v="1"/>
    <m/>
    <s v="50% each in RS and 50% in DS"/>
    <d v="1965-01-01T00:00:00"/>
    <n v="48510"/>
    <n v="0"/>
    <n v="46084.5"/>
    <n v="2425.5"/>
    <n v="2425.5"/>
    <n v="30"/>
    <n v="55.287671232876711"/>
    <n v="46084.5"/>
    <n v="56.287671232876711"/>
    <n v="0"/>
    <n v="46084.5"/>
    <n v="2425.5"/>
  </r>
  <r>
    <n v="395"/>
    <s v="To Enlarge The Existing Outchannel To Spray Pond"/>
    <s v="Sugar Division"/>
    <x v="1"/>
    <m/>
    <s v="Common"/>
    <d v="1965-01-01T00:00:00"/>
    <n v="6301"/>
    <n v="0"/>
    <n v="5985.95"/>
    <n v="315.05000000000018"/>
    <n v="315.05"/>
    <n v="30"/>
    <n v="55.287671232876711"/>
    <n v="5985.95"/>
    <n v="56.287671232876711"/>
    <n v="5.6843418860808018E-15"/>
    <n v="5985.95"/>
    <n v="315.05000000000018"/>
  </r>
  <r>
    <n v="396"/>
    <s v="House For Gola Set"/>
    <s v="Sugar Division"/>
    <x v="1"/>
    <m/>
    <s v="Common"/>
    <d v="1965-01-01T00:00:00"/>
    <n v="5694"/>
    <n v="0"/>
    <n v="5409.3"/>
    <n v="284.69999999999982"/>
    <n v="284.7"/>
    <n v="30"/>
    <n v="55.287671232876711"/>
    <n v="5409.3"/>
    <n v="56.287671232876711"/>
    <n v="-5.6843418860808018E-15"/>
    <n v="5409.3"/>
    <n v="284.69999999999982"/>
  </r>
  <r>
    <n v="397"/>
    <s v="Lakhimpur Guest House Modification"/>
    <s v="Sugar Division"/>
    <x v="1"/>
    <m/>
    <s v="Common"/>
    <d v="1965-01-01T00:00:00"/>
    <n v="4620"/>
    <n v="0"/>
    <n v="4389"/>
    <n v="231"/>
    <n v="231"/>
    <n v="30"/>
    <n v="55.287671232876711"/>
    <n v="4389"/>
    <n v="56.287671232876711"/>
    <n v="0"/>
    <n v="4389"/>
    <n v="231"/>
  </r>
  <r>
    <n v="398"/>
    <s v="Pipe Line Connection At Lakhimpur Office"/>
    <s v="Sugar Division"/>
    <x v="1"/>
    <m/>
    <s v="Common"/>
    <d v="1965-01-01T00:00:00"/>
    <n v="3825"/>
    <n v="0"/>
    <n v="3633.75"/>
    <n v="191.25"/>
    <n v="191.25"/>
    <n v="30"/>
    <n v="55.287671232876711"/>
    <n v="3633.75"/>
    <n v="56.287671232876711"/>
    <n v="0"/>
    <n v="3633.75"/>
    <n v="191.25"/>
  </r>
  <r>
    <n v="399"/>
    <s v="Kitchens In Mess"/>
    <s v="Sugar Division"/>
    <x v="1"/>
    <m/>
    <s v="Common"/>
    <d v="1965-01-01T00:00:00"/>
    <n v="1764"/>
    <n v="0"/>
    <n v="1675.8"/>
    <n v="88.200000000000045"/>
    <n v="88.2"/>
    <n v="30"/>
    <n v="55.287671232876711"/>
    <n v="1675.8"/>
    <n v="56.287671232876711"/>
    <n v="1.4210854715202005E-15"/>
    <n v="1675.8"/>
    <n v="88.200000000000045"/>
  </r>
  <r>
    <n v="400"/>
    <s v="House For Disentrygator"/>
    <s v="Sugar Division"/>
    <x v="1"/>
    <m/>
    <s v="Common"/>
    <d v="1965-01-01T00:00:00"/>
    <n v="902"/>
    <n v="0"/>
    <n v="856.9"/>
    <n v="45.100000000000023"/>
    <n v="45.1"/>
    <n v="30"/>
    <n v="55.287671232876711"/>
    <n v="856.9"/>
    <n v="56.287671232876711"/>
    <n v="7.1054273576010023E-16"/>
    <n v="856.9"/>
    <n v="45.100000000000023"/>
  </r>
  <r>
    <n v="401"/>
    <s v="Carpentary Shop"/>
    <s v="Sugar Division"/>
    <x v="1"/>
    <m/>
    <s v="Common"/>
    <d v="1965-01-01T00:00:00"/>
    <n v="605"/>
    <n v="0"/>
    <n v="574.75"/>
    <n v="30.25"/>
    <n v="30.25"/>
    <n v="30"/>
    <n v="55.287671232876711"/>
    <n v="574.75"/>
    <n v="56.287671232876711"/>
    <n v="0"/>
    <n v="574.75"/>
    <n v="30.25"/>
  </r>
  <r>
    <n v="402"/>
    <s v="Shed In Front Of Lakhimpur Godown"/>
    <s v="Sugar Division"/>
    <x v="1"/>
    <m/>
    <s v="Sugar Godown - Distribution"/>
    <d v="1965-01-01T00:00:00"/>
    <n v="555"/>
    <n v="0"/>
    <n v="527.25"/>
    <n v="27.75"/>
    <n v="27.75"/>
    <n v="30"/>
    <n v="55.287671232876711"/>
    <n v="527.25"/>
    <n v="56.287671232876711"/>
    <n v="0"/>
    <n v="527.25"/>
    <n v="27.75"/>
  </r>
  <r>
    <n v="403"/>
    <s v="House For Ruston  Engine"/>
    <s v="Sugar Division"/>
    <x v="1"/>
    <m/>
    <s v="Common"/>
    <d v="1965-01-01T00:00:00"/>
    <n v="454"/>
    <n v="0"/>
    <n v="431.3"/>
    <n v="22.699999999999989"/>
    <n v="22.700000000000003"/>
    <n v="30"/>
    <n v="55.287671232876711"/>
    <n v="431.3"/>
    <n v="56.287671232876711"/>
    <n v="-4.7369515717340012E-16"/>
    <n v="431.3"/>
    <n v="22.699999999999989"/>
  </r>
  <r>
    <n v="404"/>
    <s v="Cement &amp; Sulpher Godown"/>
    <s v="Sugar Division"/>
    <x v="1"/>
    <m/>
    <s v="Common"/>
    <d v="1965-01-01T00:00:00"/>
    <n v="419"/>
    <n v="0"/>
    <n v="398.05"/>
    <n v="20.949999999999989"/>
    <n v="20.950000000000003"/>
    <n v="30"/>
    <n v="55.287671232876711"/>
    <n v="398.05"/>
    <n v="56.287671232876711"/>
    <n v="-4.7369515717340012E-16"/>
    <n v="398.05"/>
    <n v="20.949999999999989"/>
  </r>
  <r>
    <n v="405"/>
    <s v="New Office For C.C."/>
    <s v="Sugar Division"/>
    <x v="1"/>
    <m/>
    <s v="Common"/>
    <d v="1965-01-01T00:00:00"/>
    <n v="216"/>
    <n v="0"/>
    <n v="205.2"/>
    <n v="10.800000000000011"/>
    <n v="10.8"/>
    <n v="30"/>
    <n v="55.287671232876711"/>
    <n v="205.2"/>
    <n v="56.287671232876711"/>
    <n v="3.5527136788005011E-16"/>
    <n v="205.2"/>
    <n v="10.8"/>
  </r>
  <r>
    <n v="406"/>
    <s v="Addition One Room In C.C. Kothi"/>
    <s v="Sugar Division"/>
    <x v="1"/>
    <m/>
    <s v="Common"/>
    <d v="1965-01-01T00:00:00"/>
    <n v="29"/>
    <n v="0"/>
    <n v="27.55"/>
    <n v="1.4499999999999993"/>
    <n v="1.4500000000000002"/>
    <n v="30"/>
    <n v="55.287671232876711"/>
    <n v="27.55"/>
    <n v="56.287671232876711"/>
    <n v="-2.9605947323337507E-17"/>
    <n v="27.55"/>
    <n v="1.4499999999999993"/>
  </r>
  <r>
    <n v="407"/>
    <s v="Extension Of Boiling House"/>
    <s v="Sugar Division"/>
    <x v="1"/>
    <m/>
    <s v="50% each in RS and 50% in DS"/>
    <d v="1964-01-01T00:00:00"/>
    <n v="28608"/>
    <n v="0"/>
    <n v="27177.599999999999"/>
    <n v="1430.4000000000015"/>
    <n v="1430.4"/>
    <n v="30"/>
    <n v="56.290410958904111"/>
    <n v="27177.599999999999"/>
    <n v="57.290410958904111"/>
    <n v="4.5474735088646414E-14"/>
    <n v="27177.599999999999"/>
    <n v="1430.4"/>
  </r>
  <r>
    <n v="408"/>
    <s v="Raising Of Boiler House "/>
    <s v="Sugar Division"/>
    <x v="1"/>
    <m/>
    <s v="30% in Juice Costing and 35% in DS and 35% in RS"/>
    <d v="1964-01-01T00:00:00"/>
    <n v="4227"/>
    <n v="0"/>
    <n v="4015.65"/>
    <n v="211.34999999999991"/>
    <n v="211.35000000000002"/>
    <n v="30"/>
    <n v="56.290410958904111"/>
    <n v="4015.65"/>
    <n v="57.290410958904111"/>
    <n v="-3.7895612573872009E-15"/>
    <n v="4015.65"/>
    <n v="211.34999999999991"/>
  </r>
  <r>
    <n v="409"/>
    <s v="Two Single Room Quarters"/>
    <s v="Sugar Division"/>
    <x v="1"/>
    <m/>
    <s v="Common"/>
    <d v="1964-01-01T00:00:00"/>
    <n v="4001"/>
    <n v="0"/>
    <n v="3800.95"/>
    <n v="200.05000000000018"/>
    <n v="200.05"/>
    <n v="30"/>
    <n v="56.290410958904111"/>
    <n v="3800.95"/>
    <n v="57.290410958904111"/>
    <n v="5.6843418860808018E-15"/>
    <n v="3800.95"/>
    <n v="200.05"/>
  </r>
  <r>
    <n v="410"/>
    <s v="Shed Infront Of Lakhimpur Godown"/>
    <s v="Sugar Division"/>
    <x v="1"/>
    <m/>
    <s v="Sugar Godown - Distribution"/>
    <d v="1964-01-01T00:00:00"/>
    <n v="3635"/>
    <n v="0"/>
    <n v="3453.25"/>
    <n v="181.75"/>
    <n v="181.75"/>
    <n v="30"/>
    <n v="56.290410958904111"/>
    <n v="3453.25"/>
    <n v="57.290410958904111"/>
    <n v="0"/>
    <n v="3453.25"/>
    <n v="181.75"/>
  </r>
  <r>
    <n v="411"/>
    <s v="Addition One Room In Exise Inspector Quarter."/>
    <s v="Sugar Division"/>
    <x v="1"/>
    <m/>
    <s v="Common"/>
    <d v="1964-01-01T00:00:00"/>
    <n v="3232"/>
    <n v="0"/>
    <n v="3070.4"/>
    <n v="161.59999999999991"/>
    <n v="161.60000000000002"/>
    <n v="30"/>
    <n v="56.290410958904111"/>
    <n v="3070.4"/>
    <n v="57.290410958904111"/>
    <n v="-3.7895612573872009E-15"/>
    <n v="3070.4"/>
    <n v="161.59999999999991"/>
  </r>
  <r>
    <n v="412"/>
    <s v="Alkathene&amp; Bricks Laying In Suger Godown At Lakhimpur"/>
    <s v="Sugar Division"/>
    <x v="1"/>
    <m/>
    <s v="Sugar Godown - Distribution"/>
    <d v="1964-01-01T00:00:00"/>
    <n v="2835"/>
    <n v="0"/>
    <n v="2693.25"/>
    <n v="141.75"/>
    <n v="141.75"/>
    <n v="30"/>
    <n v="56.290410958904111"/>
    <n v="2693.25"/>
    <n v="57.290410958904111"/>
    <n v="0"/>
    <n v="2693.25"/>
    <n v="141.75"/>
  </r>
  <r>
    <n v="413"/>
    <s v="Addition Of Varendah In 12 Quarters Block "/>
    <s v="Sugar Division"/>
    <x v="1"/>
    <m/>
    <s v="Common"/>
    <d v="1964-01-01T00:00:00"/>
    <n v="2828"/>
    <n v="0"/>
    <n v="2686.6"/>
    <n v="141.40000000000009"/>
    <n v="141.4"/>
    <n v="30"/>
    <n v="56.290410958904111"/>
    <n v="2686.6"/>
    <n v="57.290410958904111"/>
    <n v="2.8421709430404009E-15"/>
    <n v="2686.6"/>
    <n v="141.40000000000009"/>
  </r>
  <r>
    <n v="414"/>
    <s v="New Wall For Economisor"/>
    <s v="Sugar Division"/>
    <x v="1"/>
    <m/>
    <s v="Common"/>
    <d v="1964-01-01T00:00:00"/>
    <n v="2624"/>
    <n v="0"/>
    <n v="2492.8000000000002"/>
    <n v="131.19999999999982"/>
    <n v="131.20000000000002"/>
    <n v="30"/>
    <n v="56.290410958904111"/>
    <n v="2492.8000000000002"/>
    <n v="57.290410958904111"/>
    <n v="-6.6317322004276018E-15"/>
    <n v="2492.8000000000002"/>
    <n v="131.19999999999982"/>
  </r>
  <r>
    <n v="415"/>
    <s v="New Office For C.C."/>
    <s v="Sugar Division"/>
    <x v="1"/>
    <m/>
    <s v="Common"/>
    <d v="1964-01-01T00:00:00"/>
    <n v="2001"/>
    <n v="0"/>
    <n v="1900.95"/>
    <n v="100.04999999999995"/>
    <n v="100.05000000000001"/>
    <n v="30"/>
    <n v="56.290410958904111"/>
    <n v="1900.95"/>
    <n v="57.290410958904111"/>
    <n v="-1.8947806286936005E-15"/>
    <n v="1900.95"/>
    <n v="100.04999999999995"/>
  </r>
  <r>
    <n v="416"/>
    <s v="Modification In Dispensary Building"/>
    <s v="Sugar Division"/>
    <x v="1"/>
    <m/>
    <s v="Common"/>
    <d v="1964-01-01T00:00:00"/>
    <n v="1267"/>
    <n v="0"/>
    <n v="1203.6500000000001"/>
    <n v="63.349999999999909"/>
    <n v="63.35"/>
    <n v="30"/>
    <n v="56.290410958904111"/>
    <n v="1203.6500000000001"/>
    <n v="57.290410958904111"/>
    <n v="-3.0790185216271009E-15"/>
    <n v="1203.6500000000001"/>
    <n v="63.349999999999909"/>
  </r>
  <r>
    <n v="417"/>
    <s v="One Room For Fire Fighting Engine"/>
    <s v="Sugar Division"/>
    <x v="1"/>
    <m/>
    <s v="Common"/>
    <d v="1964-01-01T00:00:00"/>
    <n v="1071"/>
    <n v="0"/>
    <n v="1017.45"/>
    <n v="53.549999999999955"/>
    <n v="53.550000000000004"/>
    <n v="30"/>
    <n v="56.290410958904111"/>
    <n v="1017.45"/>
    <n v="57.290410958904111"/>
    <n v="-1.6579330501069005E-15"/>
    <n v="1017.45"/>
    <n v="53.549999999999955"/>
  </r>
  <r>
    <n v="418"/>
    <s v="Slab In Suger Office"/>
    <s v="Sugar Division"/>
    <x v="1"/>
    <m/>
    <s v="Common"/>
    <d v="1964-01-01T00:00:00"/>
    <n v="1050"/>
    <n v="0"/>
    <n v="997.5"/>
    <n v="52.5"/>
    <n v="52.5"/>
    <n v="30"/>
    <n v="56.290410958904111"/>
    <n v="997.5"/>
    <n v="57.290410958904111"/>
    <n v="0"/>
    <n v="997.5"/>
    <n v="52.5"/>
  </r>
  <r>
    <n v="419"/>
    <s v="Addition Of One Room In C.C. Kothi"/>
    <s v="Sugar Division"/>
    <x v="1"/>
    <m/>
    <s v="Common"/>
    <d v="1964-01-01T00:00:00"/>
    <n v="839"/>
    <n v="0"/>
    <n v="797.05"/>
    <n v="41.950000000000045"/>
    <n v="41.95"/>
    <n v="30"/>
    <n v="56.290410958904111"/>
    <n v="797.05"/>
    <n v="57.290410958904111"/>
    <n v="1.4210854715202005E-15"/>
    <n v="797.05"/>
    <n v="41.95"/>
  </r>
  <r>
    <n v="420"/>
    <s v="Protection Wall At Filter Press"/>
    <s v="Sugar Division"/>
    <x v="1"/>
    <m/>
    <s v="Common"/>
    <d v="1964-01-01T00:00:00"/>
    <n v="284"/>
    <n v="0"/>
    <n v="269.8"/>
    <n v="14.199999999999989"/>
    <n v="14.200000000000001"/>
    <n v="30"/>
    <n v="56.290410958904111"/>
    <n v="269.8"/>
    <n v="57.290410958904111"/>
    <n v="-4.1448326252672511E-16"/>
    <n v="269.8"/>
    <n v="14.199999999999989"/>
  </r>
  <r>
    <n v="421"/>
    <s v="Methoid Flooring &amp; Roofing Of Suger Godowns."/>
    <s v="Sugar Division"/>
    <x v="1"/>
    <m/>
    <s v="Sugar Godown - Distribution"/>
    <d v="1963-01-01T00:00:00"/>
    <n v="27800"/>
    <n v="0"/>
    <n v="26410"/>
    <n v="1390"/>
    <n v="1390"/>
    <n v="30"/>
    <n v="57.290410958904111"/>
    <n v="26410"/>
    <n v="58.290410958904111"/>
    <n v="0"/>
    <n v="26410"/>
    <n v="1390"/>
  </r>
  <r>
    <n v="422"/>
    <s v="Protection Wall Of Press Station"/>
    <s v="Sugar Division"/>
    <x v="1"/>
    <m/>
    <s v="Common"/>
    <d v="1963-01-01T00:00:00"/>
    <n v="5621"/>
    <n v="0"/>
    <n v="5339.95"/>
    <n v="281.05000000000018"/>
    <n v="281.05"/>
    <n v="30"/>
    <n v="57.290410958904111"/>
    <n v="5339.95"/>
    <n v="58.290410958904111"/>
    <n v="5.6843418860808018E-15"/>
    <n v="5339.95"/>
    <n v="281.05000000000018"/>
  </r>
  <r>
    <n v="423"/>
    <s v="Raising Of Boiler House "/>
    <s v="Sugar Division"/>
    <x v="1"/>
    <m/>
    <s v="30% in Juice Costing and 35% in DS and 35% in RS"/>
    <d v="1963-01-01T00:00:00"/>
    <n v="3493"/>
    <n v="0"/>
    <n v="3318.35"/>
    <n v="174.65000000000009"/>
    <n v="174.65"/>
    <n v="30"/>
    <n v="57.290410958904111"/>
    <n v="3318.35"/>
    <n v="58.290410958904111"/>
    <n v="2.8421709430404009E-15"/>
    <n v="3318.35"/>
    <n v="174.65000000000009"/>
  </r>
  <r>
    <n v="424"/>
    <s v="One Room For Laboratory"/>
    <s v="Sugar Division"/>
    <x v="1"/>
    <m/>
    <s v="Common"/>
    <d v="1963-01-01T00:00:00"/>
    <n v="3129"/>
    <n v="0"/>
    <n v="2972.55"/>
    <n v="156.44999999999982"/>
    <n v="156.45000000000002"/>
    <n v="30"/>
    <n v="57.290410958904111"/>
    <n v="2972.55"/>
    <n v="58.290410958904111"/>
    <n v="-6.6317322004276018E-15"/>
    <n v="2972.55"/>
    <n v="156.44999999999982"/>
  </r>
  <r>
    <n v="425"/>
    <s v="Conversion Of Old C.C. Bungalow To Guest House."/>
    <s v="Sugar Division"/>
    <x v="1"/>
    <m/>
    <s v="Common"/>
    <d v="1963-01-01T00:00:00"/>
    <n v="1743"/>
    <n v="0"/>
    <n v="1655.85"/>
    <n v="87.150000000000091"/>
    <n v="87.15"/>
    <n v="30"/>
    <n v="57.290410958904111"/>
    <n v="1655.85"/>
    <n v="58.290410958904111"/>
    <n v="2.8421709430404009E-15"/>
    <n v="1655.85"/>
    <n v="87.15"/>
  </r>
  <r>
    <n v="426"/>
    <s v="Two Single Room Quarters"/>
    <s v="Sugar Division"/>
    <x v="1"/>
    <m/>
    <s v="Common"/>
    <d v="1963-01-01T00:00:00"/>
    <n v="1212"/>
    <n v="0"/>
    <n v="1151.4000000000001"/>
    <n v="60.599999999999909"/>
    <n v="60.6"/>
    <n v="30"/>
    <n v="57.290410958904111"/>
    <n v="1151.4000000000001"/>
    <n v="58.290410958904111"/>
    <n v="-3.0790185216271009E-15"/>
    <n v="1151.4000000000001"/>
    <n v="60.599999999999909"/>
  </r>
  <r>
    <n v="427"/>
    <s v="New Latrine In C.C. Kothi"/>
    <s v="Sugar Division"/>
    <x v="1"/>
    <m/>
    <s v="Common"/>
    <d v="1963-01-01T00:00:00"/>
    <n v="1022"/>
    <n v="0"/>
    <n v="970.9"/>
    <n v="51.100000000000023"/>
    <n v="51.1"/>
    <n v="30"/>
    <n v="57.290410958904111"/>
    <n v="970.9"/>
    <n v="58.290410958904111"/>
    <n v="7.1054273576010023E-16"/>
    <n v="970.9"/>
    <n v="51.100000000000023"/>
  </r>
  <r>
    <n v="428"/>
    <s v="Boiler Drain "/>
    <s v="Sugar Division"/>
    <x v="1"/>
    <m/>
    <s v="30% in Juice Costing and 35% in DS and 35% in RS"/>
    <d v="1963-01-01T00:00:00"/>
    <n v="820"/>
    <n v="0"/>
    <n v="779"/>
    <n v="41"/>
    <n v="41"/>
    <n v="30"/>
    <n v="57.290410958904111"/>
    <n v="779"/>
    <n v="58.290410958904111"/>
    <n v="0"/>
    <n v="779"/>
    <n v="41"/>
  </r>
  <r>
    <n v="429"/>
    <s v="Tubewell "/>
    <s v="Sugar Division"/>
    <x v="1"/>
    <m/>
    <s v="Common"/>
    <d v="1987-01-01T00:00:00"/>
    <n v="11873"/>
    <n v="0"/>
    <n v="11279.35"/>
    <n v="593.64999999999964"/>
    <n v="593.65"/>
    <n v="5"/>
    <n v="33.273972602739725"/>
    <n v="11279.35"/>
    <n v="34.273972602739725"/>
    <n v="-6.8212102632969628E-14"/>
    <n v="11279.35"/>
    <n v="593.64999999999964"/>
  </r>
  <r>
    <n v="430"/>
    <s v="New Kothi For C.C."/>
    <s v="Sugar Division"/>
    <x v="1"/>
    <m/>
    <s v="Common"/>
    <d v="1962-01-01T00:00:00"/>
    <n v="21595"/>
    <n v="0"/>
    <n v="20515.25"/>
    <n v="1079.75"/>
    <n v="1079.75"/>
    <n v="30"/>
    <n v="58.290410958904111"/>
    <n v="20515.25"/>
    <n v="59.290410958904111"/>
    <n v="0"/>
    <n v="20515.25"/>
    <n v="1079.75"/>
  </r>
  <r>
    <n v="431"/>
    <s v="Melthoid Flooring Of Suger Godowns"/>
    <s v="Sugar Division"/>
    <x v="1"/>
    <m/>
    <s v="Sugar Godown - Distribution"/>
    <d v="1962-01-01T00:00:00"/>
    <n v="14140"/>
    <n v="0"/>
    <n v="13433"/>
    <n v="707"/>
    <n v="707"/>
    <n v="30"/>
    <n v="58.290410958904111"/>
    <n v="13433"/>
    <n v="59.290410958904111"/>
    <n v="0"/>
    <n v="13433"/>
    <n v="707"/>
  </r>
  <r>
    <n v="432"/>
    <s v="2 Room In B.B.L.C. Inter College"/>
    <s v="Sugar Division"/>
    <x v="1"/>
    <m/>
    <s v="Common"/>
    <d v="1962-01-01T00:00:00"/>
    <n v="9239"/>
    <n v="0"/>
    <n v="8777.0499999999993"/>
    <n v="461.95000000000073"/>
    <n v="461.95000000000005"/>
    <n v="30"/>
    <n v="58.290410958904111"/>
    <n v="8777.0499999999993"/>
    <n v="59.290410958904111"/>
    <n v="2.2737367544323207E-14"/>
    <n v="8777.0499999999993"/>
    <n v="461.95000000000005"/>
  </r>
  <r>
    <n v="433"/>
    <s v="Single Room Quarters Converted Into Family Quarters For Workers"/>
    <s v="Sugar Division"/>
    <x v="1"/>
    <m/>
    <s v="Common"/>
    <d v="1962-01-01T00:00:00"/>
    <n v="6786"/>
    <n v="0"/>
    <n v="6446.7"/>
    <n v="339.30000000000018"/>
    <n v="339.3"/>
    <n v="30"/>
    <n v="58.290410958904111"/>
    <n v="6446.7"/>
    <n v="59.290410958904111"/>
    <n v="5.6843418860808018E-15"/>
    <n v="6446.7"/>
    <n v="339.30000000000018"/>
  </r>
  <r>
    <n v="434"/>
    <s v="Conversion Of Old C.C. Bungalow To Guest House."/>
    <s v="Sugar Division"/>
    <x v="1"/>
    <m/>
    <s v="Common"/>
    <d v="1962-01-01T00:00:00"/>
    <n v="3920"/>
    <n v="0"/>
    <n v="3724"/>
    <n v="196"/>
    <n v="196"/>
    <n v="30"/>
    <n v="58.290410958904111"/>
    <n v="3724"/>
    <n v="59.290410958904111"/>
    <n v="0"/>
    <n v="3724"/>
    <n v="196"/>
  </r>
  <r>
    <n v="435"/>
    <s v="Shed For Suger Loadingat Lakhimpur"/>
    <s v="Sugar Division"/>
    <x v="1"/>
    <m/>
    <s v="Sugar Godown - Distribution"/>
    <d v="1962-01-01T00:00:00"/>
    <n v="3719"/>
    <n v="0"/>
    <n v="3533.05"/>
    <n v="185.94999999999982"/>
    <n v="185.95000000000002"/>
    <n v="30"/>
    <n v="58.290410958904111"/>
    <n v="3533.05"/>
    <n v="59.290410958904111"/>
    <n v="-6.6317322004276018E-15"/>
    <n v="3533.05"/>
    <n v="185.94999999999982"/>
  </r>
  <r>
    <n v="436"/>
    <s v="Conversion Of Coop. Shop Into Dispensary And New Shop For Coop. Shop."/>
    <s v="Sugar Division"/>
    <x v="1"/>
    <m/>
    <s v="Common"/>
    <d v="1962-01-01T00:00:00"/>
    <n v="2199"/>
    <n v="0"/>
    <n v="2089.0500000000002"/>
    <n v="109.94999999999982"/>
    <n v="109.95"/>
    <n v="30"/>
    <n v="58.290410958904111"/>
    <n v="2089.0500000000002"/>
    <n v="59.290410958904111"/>
    <n v="-6.1580370432542018E-15"/>
    <n v="2089.0500000000002"/>
    <n v="109.94999999999982"/>
  </r>
  <r>
    <n v="437"/>
    <s v="Motor Garage Two"/>
    <s v="Sugar Division"/>
    <x v="1"/>
    <m/>
    <s v="Common"/>
    <d v="1962-01-01T00:00:00"/>
    <n v="1970"/>
    <n v="0"/>
    <n v="1871.5"/>
    <n v="98.5"/>
    <n v="98.5"/>
    <n v="30"/>
    <n v="58.290410958904111"/>
    <n v="1871.5"/>
    <n v="59.290410958904111"/>
    <n v="0"/>
    <n v="1871.5"/>
    <n v="98.5"/>
  </r>
  <r>
    <n v="438"/>
    <s v="Air Extractor For Drier House  "/>
    <s v="Sugar Division"/>
    <x v="1"/>
    <m/>
    <s v="DS Costing"/>
    <d v="1962-01-01T00:00:00"/>
    <n v="759"/>
    <n v="0"/>
    <n v="721.05"/>
    <n v="37.950000000000045"/>
    <n v="37.950000000000003"/>
    <n v="30"/>
    <n v="58.290410958904111"/>
    <n v="721.05"/>
    <n v="59.290410958904111"/>
    <n v="1.4210854715202005E-15"/>
    <n v="721.05"/>
    <n v="37.950000000000003"/>
  </r>
  <r>
    <n v="439"/>
    <s v="One 6&quot; Borring With Pipe Connection"/>
    <s v="Sugar Division"/>
    <x v="1"/>
    <m/>
    <s v="Common"/>
    <d v="1986-01-01T00:00:00"/>
    <n v="158796"/>
    <n v="0"/>
    <n v="150856.20000000001"/>
    <n v="7939.7999999999884"/>
    <n v="7939.8"/>
    <n v="5"/>
    <n v="34.273972602739725"/>
    <n v="150856.20000000001"/>
    <n v="35.273972602739725"/>
    <n v="-2.3646862246096135E-12"/>
    <n v="150856.20000000001"/>
    <n v="7939.7999999999884"/>
  </r>
  <r>
    <n v="440"/>
    <s v="Ten Single Room Quarters For Workers"/>
    <s v="Sugar Division"/>
    <x v="1"/>
    <m/>
    <s v="Common"/>
    <d v="1961-01-01T00:00:00"/>
    <n v="14002"/>
    <n v="0"/>
    <n v="13301.9"/>
    <n v="700.10000000000036"/>
    <n v="700.1"/>
    <n v="30"/>
    <n v="59.290410958904111"/>
    <n v="13301.9"/>
    <n v="60.290410958904111"/>
    <n v="1.1368683772161604E-14"/>
    <n v="13301.9"/>
    <n v="700.10000000000036"/>
  </r>
  <r>
    <n v="441"/>
    <s v="Cane Yard Railing"/>
    <s v="Sugar Division"/>
    <x v="1"/>
    <m/>
    <s v="Upto gate"/>
    <d v="1961-01-01T00:00:00"/>
    <n v="11089"/>
    <n v="0"/>
    <n v="10534.55"/>
    <n v="554.45000000000073"/>
    <n v="554.45000000000005"/>
    <n v="30"/>
    <n v="59.290410958904111"/>
    <n v="10534.55"/>
    <n v="60.290410958904111"/>
    <n v="2.2737367544323207E-14"/>
    <n v="10534.55"/>
    <n v="554.45000000000005"/>
  </r>
  <r>
    <n v="442"/>
    <s v="Single Room Quarters Converted In Family Quarters"/>
    <s v="Sugar Division"/>
    <x v="1"/>
    <m/>
    <s v="Common"/>
    <d v="1961-01-01T00:00:00"/>
    <n v="10255"/>
    <n v="0"/>
    <n v="9742.25"/>
    <n v="512.75"/>
    <n v="512.75"/>
    <n v="30"/>
    <n v="59.290410958904111"/>
    <n v="9742.25"/>
    <n v="60.290410958904111"/>
    <n v="0"/>
    <n v="9742.25"/>
    <n v="512.75"/>
  </r>
  <r>
    <n v="443"/>
    <s v="Conversion Of Coop. Shop To Dispensary And New Shop For Coop. Store"/>
    <s v="Sugar Division"/>
    <x v="1"/>
    <m/>
    <s v="Common"/>
    <d v="1961-01-01T00:00:00"/>
    <n v="8458"/>
    <n v="0"/>
    <n v="8035.1"/>
    <n v="422.89999999999964"/>
    <n v="422.90000000000003"/>
    <n v="30"/>
    <n v="59.290410958904111"/>
    <n v="8035.1"/>
    <n v="60.290410958904111"/>
    <n v="-1.3263464400855204E-14"/>
    <n v="8035.1"/>
    <n v="422.89999999999964"/>
  </r>
  <r>
    <n v="444"/>
    <s v="Sulphur Godown"/>
    <s v="Sugar Division"/>
    <x v="1"/>
    <m/>
    <s v="DS Costing"/>
    <d v="1961-01-01T00:00:00"/>
    <n v="4785"/>
    <n v="0"/>
    <n v="4545.75"/>
    <n v="239.25"/>
    <n v="239.25"/>
    <n v="30"/>
    <n v="59.290410958904111"/>
    <n v="4545.75"/>
    <n v="60.290410958904111"/>
    <n v="0"/>
    <n v="4545.75"/>
    <n v="239.25"/>
  </r>
  <r>
    <n v="445"/>
    <s v="New  Kothi For C.C."/>
    <s v="Sugar Division"/>
    <x v="1"/>
    <m/>
    <s v="Common"/>
    <d v="1961-01-01T00:00:00"/>
    <n v="4571"/>
    <n v="0"/>
    <n v="4342.45"/>
    <n v="228.55000000000018"/>
    <n v="228.55"/>
    <n v="30"/>
    <n v="59.290410958904111"/>
    <n v="4342.45"/>
    <n v="60.290410958904111"/>
    <n v="5.6843418860808018E-15"/>
    <n v="4342.45"/>
    <n v="228.55"/>
  </r>
  <r>
    <n v="446"/>
    <s v="Tubewell At Club"/>
    <s v="Sugar Division"/>
    <x v="1"/>
    <m/>
    <s v="Common"/>
    <d v="1985-01-01T00:00:00"/>
    <n v="16577"/>
    <n v="0"/>
    <n v="15748.15"/>
    <n v="828.85000000000036"/>
    <n v="828.85"/>
    <n v="5"/>
    <n v="35.273972602739725"/>
    <n v="15748.15"/>
    <n v="36.273972602739725"/>
    <n v="6.8212102632969628E-14"/>
    <n v="15748.15"/>
    <n v="828.85"/>
  </r>
  <r>
    <n v="447"/>
    <s v="Tubewell  At Bagasse Yard"/>
    <s v="Sugar Division"/>
    <x v="1"/>
    <m/>
    <s v="Steam"/>
    <d v="1985-01-01T00:00:00"/>
    <n v="11832"/>
    <n v="0"/>
    <n v="11240.4"/>
    <n v="591.60000000000036"/>
    <n v="591.6"/>
    <n v="5"/>
    <n v="35.273972602739725"/>
    <n v="11240.4"/>
    <n v="36.273972602739725"/>
    <n v="6.8212102632969628E-14"/>
    <n v="11240.4"/>
    <n v="591.6"/>
  </r>
  <r>
    <n v="448"/>
    <s v="3 Rooms Staff Quarters"/>
    <s v="Sugar Division"/>
    <x v="1"/>
    <m/>
    <s v="Common"/>
    <d v="1960-01-01T00:00:00"/>
    <n v="22626"/>
    <n v="0"/>
    <n v="21494.7"/>
    <n v="1131.2999999999993"/>
    <n v="1131.3"/>
    <n v="30"/>
    <n v="60.293150684931504"/>
    <n v="21494.7"/>
    <n v="61.293150684931504"/>
    <n v="-2.2737367544323207E-14"/>
    <n v="21494.7"/>
    <n v="1131.2999999999993"/>
  </r>
  <r>
    <n v="449"/>
    <s v="Addition In Mess"/>
    <s v="Sugar Division"/>
    <x v="1"/>
    <m/>
    <s v="Common"/>
    <d v="1960-01-01T00:00:00"/>
    <n v="6276"/>
    <n v="0"/>
    <n v="5962.2"/>
    <n v="313.80000000000018"/>
    <n v="313.8"/>
    <n v="30"/>
    <n v="60.293150684931504"/>
    <n v="5962.2"/>
    <n v="61.293150684931504"/>
    <n v="5.6843418860808018E-15"/>
    <n v="5962.2"/>
    <n v="313.80000000000018"/>
  </r>
  <r>
    <n v="450"/>
    <s v="Waste Water Drain    "/>
    <s v="Sugar Division"/>
    <x v="1"/>
    <m/>
    <s v="Common"/>
    <d v="1960-01-01T00:00:00"/>
    <n v="5548"/>
    <n v="0"/>
    <n v="5270.6"/>
    <n v="277.39999999999964"/>
    <n v="277.40000000000003"/>
    <n v="30"/>
    <n v="60.293150684931504"/>
    <n v="5270.6"/>
    <n v="61.293150684931504"/>
    <n v="-1.3263464400855204E-14"/>
    <n v="5270.6"/>
    <n v="277.39999999999964"/>
  </r>
  <r>
    <n v="451"/>
    <s v="Cane Yard Railing"/>
    <s v="Sugar Division"/>
    <x v="1"/>
    <m/>
    <s v="Upto gate"/>
    <d v="1960-01-01T00:00:00"/>
    <n v="5415"/>
    <n v="0"/>
    <n v="5144.25"/>
    <n v="270.75"/>
    <n v="270.75"/>
    <n v="30"/>
    <n v="60.293150684931504"/>
    <n v="5144.25"/>
    <n v="61.293150684931504"/>
    <n v="0"/>
    <n v="5144.25"/>
    <n v="270.75"/>
  </r>
  <r>
    <n v="452"/>
    <s v="Addition Of One Room In Kothi No. 1"/>
    <s v="Sugar Division"/>
    <x v="1"/>
    <m/>
    <s v="Common"/>
    <d v="1960-01-01T00:00:00"/>
    <n v="4758"/>
    <n v="0"/>
    <n v="4520.1000000000004"/>
    <n v="237.89999999999964"/>
    <n v="237.9"/>
    <n v="30"/>
    <n v="60.293150684931504"/>
    <n v="4520.1000000000004"/>
    <n v="61.293150684931504"/>
    <n v="-1.2316074086508404E-14"/>
    <n v="4520.1000000000004"/>
    <n v="237.89999999999964"/>
  </r>
  <r>
    <n v="453"/>
    <s v="Workers'S Rest House "/>
    <s v="Sugar Division"/>
    <x v="1"/>
    <m/>
    <s v="Common"/>
    <d v="1960-01-01T00:00:00"/>
    <n v="2623"/>
    <n v="0"/>
    <n v="2491.85"/>
    <n v="131.15000000000009"/>
    <n v="131.15"/>
    <n v="30"/>
    <n v="60.293150684931504"/>
    <n v="2491.85"/>
    <n v="61.293150684931504"/>
    <n v="2.8421709430404009E-15"/>
    <n v="2491.85"/>
    <n v="131.15000000000009"/>
  </r>
  <r>
    <n v="454"/>
    <s v="One Room For Suger Office"/>
    <s v="Sugar Division"/>
    <x v="1"/>
    <m/>
    <s v="Upto gate"/>
    <d v="1960-01-01T00:00:00"/>
    <n v="1587"/>
    <n v="0"/>
    <n v="1507.65"/>
    <n v="79.349999999999909"/>
    <n v="79.350000000000009"/>
    <n v="30"/>
    <n v="60.293150684931504"/>
    <n v="1507.65"/>
    <n v="61.293150684931504"/>
    <n v="-3.3158661002138009E-15"/>
    <n v="1507.65"/>
    <n v="79.349999999999909"/>
  </r>
  <r>
    <n v="455"/>
    <s v="Ten 1 Room Workers Quarters"/>
    <s v="Sugar Division"/>
    <x v="1"/>
    <m/>
    <s v="Common"/>
    <d v="1960-01-01T00:00:00"/>
    <n v="118"/>
    <n v="0"/>
    <n v="112.1"/>
    <n v="5.9000000000000057"/>
    <n v="5.9"/>
    <n v="30"/>
    <n v="60.293150684931504"/>
    <n v="112.1"/>
    <n v="61.293150684931504"/>
    <n v="1.7763568394002506E-16"/>
    <n v="112.1"/>
    <n v="5.9"/>
  </r>
  <r>
    <n v="456"/>
    <s v="10 Single Room Staff Quarters"/>
    <s v="Sugar Division"/>
    <x v="1"/>
    <m/>
    <s v="Common"/>
    <d v="1959-01-01T00:00:00"/>
    <n v="22048"/>
    <n v="0"/>
    <n v="20945.599999999999"/>
    <n v="1102.4000000000015"/>
    <n v="1102.4000000000001"/>
    <n v="30"/>
    <n v="61.293150684931504"/>
    <n v="20945.599999999999"/>
    <n v="62.293150684931504"/>
    <n v="4.5474735088646414E-14"/>
    <n v="20945.599999999999"/>
    <n v="1102.4000000000001"/>
  </r>
  <r>
    <n v="457"/>
    <s v="Waste Water Drain For Colony"/>
    <s v="Sugar Division"/>
    <x v="1"/>
    <m/>
    <s v="Common"/>
    <d v="1959-01-01T00:00:00"/>
    <n v="8126"/>
    <n v="0"/>
    <n v="7719.7"/>
    <n v="406.30000000000018"/>
    <n v="406.3"/>
    <n v="30"/>
    <n v="61.293150684931504"/>
    <n v="7719.7"/>
    <n v="62.293150684931504"/>
    <n v="5.6843418860808018E-15"/>
    <n v="7719.7"/>
    <n v="406.30000000000018"/>
  </r>
  <r>
    <n v="458"/>
    <s v="Extension Of Five Block Quarters"/>
    <s v="Sugar Division"/>
    <x v="1"/>
    <m/>
    <s v="Common"/>
    <d v="1959-01-01T00:00:00"/>
    <n v="5714"/>
    <n v="0"/>
    <n v="5428.3"/>
    <n v="285.69999999999982"/>
    <n v="285.7"/>
    <n v="30"/>
    <n v="61.293150684931504"/>
    <n v="5428.3"/>
    <n v="62.293150684931504"/>
    <n v="-5.6843418860808018E-15"/>
    <n v="5428.3"/>
    <n v="285.69999999999982"/>
  </r>
  <r>
    <n v="459"/>
    <s v="Lakhimpur Jamadar'S Quarters"/>
    <s v="Sugar Division"/>
    <x v="1"/>
    <m/>
    <s v="Common"/>
    <d v="1959-01-01T00:00:00"/>
    <n v="3706"/>
    <n v="0"/>
    <n v="3520.7"/>
    <n v="185.30000000000018"/>
    <n v="185.3"/>
    <n v="30"/>
    <n v="61.293150684931504"/>
    <n v="3520.7"/>
    <n v="62.293150684931504"/>
    <n v="5.6843418860808018E-15"/>
    <n v="3520.7"/>
    <n v="185.3"/>
  </r>
  <r>
    <n v="460"/>
    <s v="Manager'S Kothi Boundry Wall"/>
    <s v="Sugar Division"/>
    <x v="1"/>
    <m/>
    <s v="Common"/>
    <d v="1959-01-01T00:00:00"/>
    <n v="2135"/>
    <n v="0"/>
    <n v="2028.25"/>
    <n v="106.75"/>
    <n v="106.75"/>
    <n v="30"/>
    <n v="61.293150684931504"/>
    <n v="2028.25"/>
    <n v="62.293150684931504"/>
    <n v="0"/>
    <n v="2028.25"/>
    <n v="106.75"/>
  </r>
  <r>
    <n v="461"/>
    <s v="Motor Garage At Lakhimpur"/>
    <s v="Sugar Division"/>
    <x v="1"/>
    <m/>
    <s v="Common"/>
    <d v="1959-01-01T00:00:00"/>
    <n v="1361"/>
    <n v="0"/>
    <n v="1292.95"/>
    <n v="68.049999999999955"/>
    <n v="68.05"/>
    <n v="30"/>
    <n v="61.293150684931504"/>
    <n v="1292.95"/>
    <n v="62.293150684931504"/>
    <n v="-1.4210854715202005E-15"/>
    <n v="1292.95"/>
    <n v="68.049999999999955"/>
  </r>
  <r>
    <n v="462"/>
    <s v="Hot Room For Workshop"/>
    <s v="Sugar Division"/>
    <x v="1"/>
    <m/>
    <s v="50% each in RS and 50% in DS"/>
    <d v="1959-01-01T00:00:00"/>
    <n v="1024"/>
    <n v="0"/>
    <n v="972.8"/>
    <n v="51.200000000000045"/>
    <n v="51.2"/>
    <n v="30"/>
    <n v="61.293150684931504"/>
    <n v="972.8"/>
    <n v="62.293150684931504"/>
    <n v="1.4210854715202005E-15"/>
    <n v="972.8"/>
    <n v="51.2"/>
  </r>
  <r>
    <n v="463"/>
    <s v="Extension Of Post Office Building"/>
    <s v="Sugar Division"/>
    <x v="1"/>
    <m/>
    <s v="Common"/>
    <d v="1959-01-01T00:00:00"/>
    <n v="930"/>
    <n v="0"/>
    <n v="883.5"/>
    <n v="46.5"/>
    <n v="46.5"/>
    <n v="30"/>
    <n v="61.293150684931504"/>
    <n v="883.5"/>
    <n v="62.293150684931504"/>
    <n v="0"/>
    <n v="883.5"/>
    <n v="46.5"/>
  </r>
  <r>
    <n v="464"/>
    <s v="Tubewell At Main Office"/>
    <s v="Sugar Division"/>
    <x v="1"/>
    <m/>
    <s v="Common"/>
    <d v="1983-01-01T00:00:00"/>
    <n v="474"/>
    <n v="0"/>
    <n v="450.3"/>
    <n v="23.699999999999989"/>
    <n v="23.700000000000003"/>
    <n v="5"/>
    <n v="37.276712328767125"/>
    <n v="450.3"/>
    <n v="38.276712328767125"/>
    <n v="-2.8421709430404009E-15"/>
    <n v="450.3"/>
    <n v="23.699999999999989"/>
  </r>
  <r>
    <n v="465"/>
    <s v="Manager'S Kothi"/>
    <s v="Sugar Division"/>
    <x v="1"/>
    <m/>
    <s v="Common"/>
    <d v="1958-01-01T00:00:00"/>
    <n v="40349"/>
    <n v="0"/>
    <n v="38331.550000000003"/>
    <n v="2017.4499999999971"/>
    <n v="2017.45"/>
    <n v="30"/>
    <n v="62.293150684931504"/>
    <n v="38331.550000000003"/>
    <n v="63.293150684931504"/>
    <n v="-9.8528592692067229E-14"/>
    <n v="38331.550000000003"/>
    <n v="2017.4499999999971"/>
  </r>
  <r>
    <n v="466"/>
    <s v="Boiler House"/>
    <s v="Sugar Division"/>
    <x v="1"/>
    <m/>
    <s v="30% in Juice Costing and 35% in DS and 35% in RS"/>
    <d v="1958-01-01T00:00:00"/>
    <n v="21745"/>
    <n v="0"/>
    <n v="20657.75"/>
    <n v="1087.25"/>
    <n v="1087.25"/>
    <n v="30"/>
    <n v="62.293150684931504"/>
    <n v="20657.75"/>
    <n v="63.293150684931504"/>
    <n v="0"/>
    <n v="20657.75"/>
    <n v="1087.25"/>
  </r>
  <r>
    <n v="467"/>
    <s v="Four Staff Quarters"/>
    <s v="Sugar Division"/>
    <x v="1"/>
    <m/>
    <s v="Common"/>
    <d v="1958-01-01T00:00:00"/>
    <n v="16987"/>
    <n v="0"/>
    <n v="16137.65"/>
    <n v="849.35000000000036"/>
    <n v="849.35"/>
    <n v="30"/>
    <n v="62.293150684931504"/>
    <n v="16137.65"/>
    <n v="63.293150684931504"/>
    <n v="1.1368683772161604E-14"/>
    <n v="16137.65"/>
    <n v="849.35000000000036"/>
  </r>
  <r>
    <n v="468"/>
    <s v="Ten Single Room Staff Quarters"/>
    <s v="Sugar Division"/>
    <x v="1"/>
    <m/>
    <s v="Common"/>
    <d v="1958-01-01T00:00:00"/>
    <n v="7659"/>
    <n v="0"/>
    <n v="7276.05"/>
    <n v="382.94999999999982"/>
    <n v="382.95000000000005"/>
    <n v="30"/>
    <n v="62.293150684931504"/>
    <n v="7276.05"/>
    <n v="63.293150684931504"/>
    <n v="-7.5791225147744019E-15"/>
    <n v="7276.05"/>
    <n v="382.94999999999982"/>
  </r>
  <r>
    <n v="469"/>
    <s v="Gunny Bags Godown"/>
    <s v="Sugar Division"/>
    <x v="1"/>
    <m/>
    <s v="50% each in RS and 50% in DS"/>
    <d v="1958-01-01T00:00:00"/>
    <n v="5146"/>
    <n v="0"/>
    <n v="4888.7"/>
    <n v="257.30000000000018"/>
    <n v="257.3"/>
    <n v="30"/>
    <n v="62.293150684931504"/>
    <n v="4888.7"/>
    <n v="63.293150684931504"/>
    <n v="5.6843418860808018E-15"/>
    <n v="4888.7"/>
    <n v="257.30000000000018"/>
  </r>
  <r>
    <n v="470"/>
    <s v="Brown Suger Godown"/>
    <s v="Sugar Division"/>
    <x v="1"/>
    <m/>
    <s v="50% each in RS and 50% in DS"/>
    <d v="1958-01-01T00:00:00"/>
    <n v="3796"/>
    <n v="0"/>
    <n v="3606.2"/>
    <n v="189.80000000000018"/>
    <n v="189.8"/>
    <n v="30"/>
    <n v="62.293150684931504"/>
    <n v="3606.2"/>
    <n v="63.293150684931504"/>
    <n v="5.6843418860808018E-15"/>
    <n v="3606.2"/>
    <n v="189.8"/>
  </r>
  <r>
    <n v="471"/>
    <s v="Filter Press Roofing"/>
    <s v="Sugar Division"/>
    <x v="1"/>
    <m/>
    <s v="Common"/>
    <d v="1958-01-01T00:00:00"/>
    <n v="3216"/>
    <n v="0"/>
    <n v="3055.2"/>
    <n v="160.80000000000018"/>
    <n v="160.80000000000001"/>
    <n v="30"/>
    <n v="62.293150684931504"/>
    <n v="3055.2"/>
    <n v="63.293150684931504"/>
    <n v="5.6843418860808018E-15"/>
    <n v="3055.2"/>
    <n v="160.80000000000001"/>
  </r>
  <r>
    <n v="472"/>
    <s v="Manager'S Kothi'S Servent'S Room'S"/>
    <s v="Sugar Division"/>
    <x v="1"/>
    <m/>
    <s v="Common"/>
    <d v="1958-01-01T00:00:00"/>
    <n v="1563"/>
    <n v="0"/>
    <n v="1484.85"/>
    <n v="78.150000000000091"/>
    <n v="78.150000000000006"/>
    <n v="30"/>
    <n v="62.293150684931504"/>
    <n v="1484.85"/>
    <n v="63.293150684931504"/>
    <n v="2.8421709430404009E-15"/>
    <n v="1484.85"/>
    <n v="78.150000000000006"/>
  </r>
  <r>
    <n v="473"/>
    <s v="Cane Entrance Room"/>
    <s v="Sugar Division"/>
    <x v="1"/>
    <m/>
    <s v="Upto gate"/>
    <d v="1958-01-01T00:00:00"/>
    <n v="105"/>
    <n v="0"/>
    <n v="99.75"/>
    <n v="5.25"/>
    <n v="5.25"/>
    <n v="30"/>
    <n v="62.293150684931504"/>
    <n v="99.75"/>
    <n v="63.293150684931504"/>
    <n v="0"/>
    <n v="99.75"/>
    <n v="5.25"/>
  </r>
  <r>
    <n v="474"/>
    <s v="Sri Hanumanji Mandir"/>
    <s v="Sugar Division"/>
    <x v="1"/>
    <m/>
    <s v="Common"/>
    <d v="1957-01-01T00:00:00"/>
    <n v="18427"/>
    <n v="0"/>
    <n v="17505.650000000001"/>
    <n v="921.34999999999854"/>
    <n v="921.35"/>
    <n v="30"/>
    <n v="63.293150684931504"/>
    <n v="17505.650000000001"/>
    <n v="64.293150684931504"/>
    <n v="-4.9264296346033615E-14"/>
    <n v="17505.650000000001"/>
    <n v="921.34999999999854"/>
  </r>
  <r>
    <n v="475"/>
    <s v="Four Quarters"/>
    <s v="Sugar Division"/>
    <x v="1"/>
    <m/>
    <s v="Common"/>
    <d v="1957-01-01T00:00:00"/>
    <n v="3774"/>
    <n v="0"/>
    <n v="3585.3"/>
    <n v="188.69999999999982"/>
    <n v="188.70000000000002"/>
    <n v="30"/>
    <n v="63.293150684931504"/>
    <n v="3585.3"/>
    <n v="64.293150684931504"/>
    <n v="-6.6317322004276018E-15"/>
    <n v="3585.3"/>
    <n v="188.69999999999982"/>
  </r>
  <r>
    <n v="476"/>
    <s v="Drier Seed House [2Nd Class]"/>
    <s v="Sugar Division"/>
    <x v="1"/>
    <m/>
    <s v="DS Costing"/>
    <d v="1957-01-01T00:00:00"/>
    <n v="3440"/>
    <n v="0"/>
    <n v="3268"/>
    <n v="172"/>
    <n v="172"/>
    <n v="30"/>
    <n v="63.293150684931504"/>
    <n v="3268"/>
    <n v="64.293150684931504"/>
    <n v="0"/>
    <n v="3268"/>
    <n v="172"/>
  </r>
  <r>
    <n v="477"/>
    <s v="Boiler House [2Nd Class]"/>
    <s v="Sugar Division"/>
    <x v="1"/>
    <m/>
    <s v="30% in Juice Costing and 35% in DS and 35% in RS"/>
    <d v="1957-01-01T00:00:00"/>
    <n v="3339"/>
    <n v="0"/>
    <n v="3172.05"/>
    <n v="166.94999999999982"/>
    <n v="166.95000000000002"/>
    <n v="30"/>
    <n v="63.293150684931504"/>
    <n v="3172.05"/>
    <n v="64.293150684931504"/>
    <n v="-6.6317322004276018E-15"/>
    <n v="3172.05"/>
    <n v="166.94999999999982"/>
  </r>
  <r>
    <n v="478"/>
    <s v="Patter Room [1Class]"/>
    <s v="Sugar Division"/>
    <x v="1"/>
    <m/>
    <s v="Common"/>
    <d v="1957-01-01T00:00:00"/>
    <n v="1883"/>
    <n v="0"/>
    <n v="1788.85"/>
    <n v="94.150000000000091"/>
    <n v="94.15"/>
    <n v="30"/>
    <n v="63.293150684931504"/>
    <n v="1788.85"/>
    <n v="64.293150684931504"/>
    <n v="2.8421709430404009E-15"/>
    <n v="1788.85"/>
    <n v="94.15"/>
  </r>
  <r>
    <n v="479"/>
    <s v="Manager'S Kothi"/>
    <s v="Sugar Division"/>
    <x v="1"/>
    <m/>
    <s v="Common"/>
    <d v="1957-01-01T00:00:00"/>
    <n v="67"/>
    <n v="0"/>
    <n v="63.65"/>
    <n v="3.3500000000000014"/>
    <n v="3.35"/>
    <n v="30"/>
    <n v="63.293150684931504"/>
    <n v="63.65"/>
    <n v="64.293150684931504"/>
    <n v="4.4408920985006264E-17"/>
    <n v="63.65"/>
    <n v="3.3500000000000014"/>
  </r>
  <r>
    <n v="480"/>
    <s v="Molasses Tank"/>
    <s v="Sugar Division"/>
    <x v="1"/>
    <m/>
    <s v="Distillery division"/>
    <d v="1956-01-01T00:00:00"/>
    <n v="23813"/>
    <n v="0"/>
    <n v="22622.35"/>
    <n v="1190.6500000000015"/>
    <n v="1190.6500000000001"/>
    <n v="30"/>
    <n v="64.295890410958904"/>
    <n v="22622.35"/>
    <n v="65.295890410958904"/>
    <n v="4.5474735088646414E-14"/>
    <n v="22622.35"/>
    <n v="1190.6500000000001"/>
  </r>
  <r>
    <n v="481"/>
    <s v="Lime Kiln"/>
    <s v="Sugar Division"/>
    <x v="1"/>
    <m/>
    <s v="50% each in RS and 50% in DS"/>
    <d v="1956-01-01T00:00:00"/>
    <n v="6909"/>
    <n v="0"/>
    <n v="6563.55"/>
    <n v="345.44999999999982"/>
    <n v="345.45000000000005"/>
    <n v="30"/>
    <n v="64.295890410958904"/>
    <n v="6563.55"/>
    <n v="65.295890410958904"/>
    <n v="-7.5791225147744019E-15"/>
    <n v="6563.55"/>
    <n v="345.44999999999982"/>
  </r>
  <r>
    <n v="482"/>
    <s v="Vacuum Engine House"/>
    <s v="Sugar Division"/>
    <x v="1"/>
    <m/>
    <s v="Common"/>
    <d v="1956-01-01T00:00:00"/>
    <n v="5262"/>
    <n v="0"/>
    <n v="4998.8999999999996"/>
    <n v="263.10000000000036"/>
    <n v="263.10000000000002"/>
    <n v="30"/>
    <n v="64.295890410958904"/>
    <n v="4998.8999999999996"/>
    <n v="65.295890410958904"/>
    <n v="1.1368683772161604E-14"/>
    <n v="4998.8999999999996"/>
    <n v="263.10000000000002"/>
  </r>
  <r>
    <n v="483"/>
    <s v="Addition'S In C.C.'Sbunglow"/>
    <s v="Sugar Division"/>
    <x v="1"/>
    <m/>
    <s v="Common"/>
    <d v="1956-01-01T00:00:00"/>
    <n v="4764"/>
    <n v="0"/>
    <n v="4525.8"/>
    <n v="238.19999999999982"/>
    <n v="238.20000000000002"/>
    <n v="30"/>
    <n v="64.295890410958904"/>
    <n v="4525.8"/>
    <n v="65.295890410958904"/>
    <n v="-6.6317322004276018E-15"/>
    <n v="4525.8"/>
    <n v="238.19999999999982"/>
  </r>
  <r>
    <n v="484"/>
    <s v="Lime Godown"/>
    <s v="Sugar Division"/>
    <x v="1"/>
    <m/>
    <s v="50% each in RS and 50% in DS"/>
    <d v="1956-01-01T00:00:00"/>
    <n v="2535"/>
    <n v="0"/>
    <n v="2408.25"/>
    <n v="126.75"/>
    <n v="126.75"/>
    <n v="30"/>
    <n v="64.295890410958904"/>
    <n v="2408.25"/>
    <n v="65.295890410958904"/>
    <n v="0"/>
    <n v="2408.25"/>
    <n v="126.75"/>
  </r>
  <r>
    <n v="485"/>
    <s v="Spray Pump House"/>
    <s v="Sugar Division"/>
    <x v="1"/>
    <m/>
    <s v="Common"/>
    <d v="1956-01-01T00:00:00"/>
    <n v="1507"/>
    <n v="0"/>
    <n v="1431.65"/>
    <n v="75.349999999999909"/>
    <n v="75.350000000000009"/>
    <n v="30"/>
    <n v="64.295890410958904"/>
    <n v="1431.65"/>
    <n v="65.295890410958904"/>
    <n v="-3.3158661002138009E-15"/>
    <n v="1431.65"/>
    <n v="75.349999999999909"/>
  </r>
  <r>
    <n v="486"/>
    <s v="Flooring Of Mill House"/>
    <s v="Sugar Division"/>
    <x v="1"/>
    <m/>
    <s v="Juice Costing"/>
    <d v="1956-01-01T00:00:00"/>
    <n v="1078"/>
    <n v="0"/>
    <n v="1024.0999999999999"/>
    <n v="53.900000000000091"/>
    <n v="53.900000000000006"/>
    <n v="30"/>
    <n v="64.295890410958904"/>
    <n v="1024.0999999999999"/>
    <n v="65.295890410958904"/>
    <n v="2.8421709430404009E-15"/>
    <n v="1024.0999999999999"/>
    <n v="53.900000000000006"/>
  </r>
  <r>
    <n v="487"/>
    <s v="Manager'S Kothi"/>
    <s v="Sugar Division"/>
    <x v="1"/>
    <m/>
    <s v="Common"/>
    <d v="1956-01-01T00:00:00"/>
    <n v="986"/>
    <n v="0"/>
    <n v="936.7"/>
    <n v="49.299999999999955"/>
    <n v="49.300000000000004"/>
    <n v="30"/>
    <n v="64.295890410958904"/>
    <n v="936.7"/>
    <n v="65.295890410958904"/>
    <n v="-1.6579330501069005E-15"/>
    <n v="936.7"/>
    <n v="49.299999999999955"/>
  </r>
  <r>
    <n v="488"/>
    <s v="One Room On Lab"/>
    <s v="Sugar Division"/>
    <x v="1"/>
    <m/>
    <s v="Common"/>
    <d v="1956-01-01T00:00:00"/>
    <n v="904"/>
    <n v="0"/>
    <n v="858.8"/>
    <n v="45.200000000000045"/>
    <n v="45.2"/>
    <n v="30"/>
    <n v="64.295890410958904"/>
    <n v="858.8"/>
    <n v="65.295890410958904"/>
    <n v="1.4210854715202005E-15"/>
    <n v="858.8"/>
    <n v="45.2"/>
  </r>
  <r>
    <n v="489"/>
    <s v="One 8&quot; Deep Well Tubewell"/>
    <s v="Sugar Division"/>
    <x v="1"/>
    <m/>
    <s v="Common"/>
    <d v="1980-01-01T00:00:00"/>
    <n v="86671"/>
    <n v="0"/>
    <n v="82337.45"/>
    <n v="4333.5500000000029"/>
    <n v="4333.55"/>
    <n v="5"/>
    <n v="40.279452054794518"/>
    <n v="82337.45"/>
    <n v="41.279452054794518"/>
    <n v="5.4569682106375702E-13"/>
    <n v="82337.45"/>
    <n v="4333.55"/>
  </r>
  <r>
    <n v="490"/>
    <s v="Extension In Mill House"/>
    <s v="Sugar Division"/>
    <x v="1"/>
    <m/>
    <s v="Common"/>
    <d v="1955-01-01T00:00:00"/>
    <n v="18487"/>
    <n v="0"/>
    <n v="17562.650000000001"/>
    <n v="924.34999999999854"/>
    <n v="924.35"/>
    <n v="30"/>
    <n v="65.295890410958904"/>
    <n v="17562.650000000001"/>
    <n v="66.295890410958904"/>
    <n v="-4.9264296346033615E-14"/>
    <n v="17562.650000000001"/>
    <n v="924.34999999999854"/>
  </r>
  <r>
    <n v="491"/>
    <s v="4 Roomed Quarter"/>
    <s v="Sugar Division"/>
    <x v="1"/>
    <m/>
    <s v="Common"/>
    <d v="1955-01-01T00:00:00"/>
    <n v="6336"/>
    <n v="0"/>
    <n v="6019.2"/>
    <n v="316.80000000000018"/>
    <n v="316.8"/>
    <n v="30"/>
    <n v="65.295890410958904"/>
    <n v="6019.2"/>
    <n v="66.295890410958904"/>
    <n v="5.6843418860808018E-15"/>
    <n v="6019.2"/>
    <n v="316.80000000000018"/>
  </r>
  <r>
    <n v="492"/>
    <s v="C.E.Bungalow Addition 1 Room"/>
    <s v="Sugar Division"/>
    <x v="1"/>
    <m/>
    <s v="Common"/>
    <d v="1955-01-01T00:00:00"/>
    <n v="5325"/>
    <n v="0"/>
    <n v="5058.75"/>
    <n v="266.25"/>
    <n v="266.25"/>
    <n v="30"/>
    <n v="65.295890410958904"/>
    <n v="5058.75"/>
    <n v="66.295890410958904"/>
    <n v="0"/>
    <n v="5058.75"/>
    <n v="266.25"/>
  </r>
  <r>
    <n v="493"/>
    <s v="New Vacuum Engine House"/>
    <s v="Sugar Division"/>
    <x v="1"/>
    <m/>
    <s v="Common"/>
    <d v="1955-01-01T00:00:00"/>
    <n v="3514"/>
    <n v="0"/>
    <n v="3338.3"/>
    <n v="175.69999999999982"/>
    <n v="175.70000000000002"/>
    <n v="30"/>
    <n v="65.295890410958904"/>
    <n v="3338.3"/>
    <n v="66.295890410958904"/>
    <n v="-6.6317322004276018E-15"/>
    <n v="3338.3"/>
    <n v="175.69999999999982"/>
  </r>
  <r>
    <n v="494"/>
    <s v="Addition 2 Room In Society Office"/>
    <s v="Sugar Division"/>
    <x v="1"/>
    <m/>
    <s v="Upto gate"/>
    <d v="1955-01-01T00:00:00"/>
    <n v="3192"/>
    <n v="0"/>
    <n v="3032.4"/>
    <n v="159.59999999999991"/>
    <n v="159.60000000000002"/>
    <n v="30"/>
    <n v="65.295890410958904"/>
    <n v="3032.4"/>
    <n v="66.295890410958904"/>
    <n v="-3.7895612573872009E-15"/>
    <n v="3032.4"/>
    <n v="159.59999999999991"/>
  </r>
  <r>
    <n v="495"/>
    <s v="Spray Pump House"/>
    <s v="Sugar Division"/>
    <x v="1"/>
    <m/>
    <s v="Common"/>
    <d v="1955-01-01T00:00:00"/>
    <n v="2370"/>
    <n v="0"/>
    <n v="2251.5"/>
    <n v="118.5"/>
    <n v="118.5"/>
    <n v="30"/>
    <n v="65.295890410958904"/>
    <n v="2251.5"/>
    <n v="66.295890410958904"/>
    <n v="0"/>
    <n v="2251.5"/>
    <n v="118.5"/>
  </r>
  <r>
    <n v="496"/>
    <s v="Quarter 4 Room"/>
    <s v="Sugar Division"/>
    <x v="1"/>
    <m/>
    <s v="Common"/>
    <d v="1954-04-01T00:00:00"/>
    <n v="7600"/>
    <n v="0"/>
    <n v="7220"/>
    <n v="380"/>
    <n v="380"/>
    <n v="30"/>
    <n v="66.049315068493144"/>
    <n v="7220"/>
    <n v="67.049315068493144"/>
    <n v="0"/>
    <n v="7220"/>
    <n v="380"/>
  </r>
  <r>
    <n v="497"/>
    <s v="C.E.S Bunglow, Addition On Room"/>
    <s v="Sugar Division"/>
    <x v="1"/>
    <m/>
    <s v="Common"/>
    <d v="1954-04-01T00:00:00"/>
    <n v="794"/>
    <n v="0"/>
    <n v="754.3"/>
    <n v="39.700000000000045"/>
    <n v="39.700000000000003"/>
    <n v="30"/>
    <n v="66.049315068493144"/>
    <n v="754.3"/>
    <n v="67.049315068493144"/>
    <n v="1.4210854715202005E-15"/>
    <n v="754.3"/>
    <n v="39.700000000000003"/>
  </r>
  <r>
    <n v="498"/>
    <s v="Collansible Gate"/>
    <s v="Sugar Division"/>
    <x v="1"/>
    <m/>
    <s v="Common"/>
    <d v="1954-04-01T00:00:00"/>
    <n v="780"/>
    <n v="0"/>
    <n v="741"/>
    <n v="39"/>
    <n v="39"/>
    <n v="30"/>
    <n v="66.049315068493144"/>
    <n v="741"/>
    <n v="67.049315068493144"/>
    <n v="0"/>
    <n v="741"/>
    <n v="39"/>
  </r>
  <r>
    <n v="499"/>
    <s v="Cane Leveller Engine House"/>
    <s v="Sugar Division"/>
    <x v="1"/>
    <m/>
    <s v="Upto gate"/>
    <d v="1954-01-01T00:00:00"/>
    <n v="2882"/>
    <n v="0"/>
    <n v="2737.9"/>
    <n v="144.09999999999991"/>
    <n v="144.1"/>
    <n v="30"/>
    <n v="66.295890410958904"/>
    <n v="2737.9"/>
    <n v="67.295890410958904"/>
    <n v="-2.8421709430404009E-15"/>
    <n v="2737.9"/>
    <n v="144.09999999999991"/>
  </r>
  <r>
    <n v="500"/>
    <s v="Tubewell No. 4 Gumti"/>
    <s v="Sugar Division"/>
    <x v="1"/>
    <m/>
    <s v="Common"/>
    <d v="1954-01-01T00:00:00"/>
    <n v="1400"/>
    <n v="0"/>
    <n v="1330"/>
    <n v="70"/>
    <n v="70"/>
    <n v="30"/>
    <n v="66.295890410958904"/>
    <n v="1330"/>
    <n v="67.295890410958904"/>
    <n v="0"/>
    <n v="1330"/>
    <n v="70"/>
  </r>
  <r>
    <n v="501"/>
    <s v="Tubewell At Scrap Yard"/>
    <s v="Sugar Division"/>
    <x v="1"/>
    <m/>
    <s v="Common"/>
    <d v="1978-01-01T00:00:00"/>
    <n v="45539"/>
    <n v="0"/>
    <n v="43262.05"/>
    <n v="2276.9499999999971"/>
    <n v="2276.9500000000003"/>
    <n v="5"/>
    <n v="42.279452054794518"/>
    <n v="43262.05"/>
    <n v="43.279452054794518"/>
    <n v="-6.3664629124104983E-13"/>
    <n v="43262.05"/>
    <n v="2276.9499999999971"/>
  </r>
  <r>
    <n v="502"/>
    <s v="Mill House(Purchase Price)"/>
    <s v="Sugar Division"/>
    <x v="1"/>
    <m/>
    <s v="Juice Costing"/>
    <d v="1953-01-01T00:00:00"/>
    <n v="90761"/>
    <n v="0"/>
    <n v="86222.95"/>
    <n v="4538.0500000000029"/>
    <n v="4538.05"/>
    <n v="30"/>
    <n v="67.295890410958904"/>
    <n v="86222.95"/>
    <n v="68.295890410958904"/>
    <n v="9.0949470177292829E-14"/>
    <n v="86222.95"/>
    <n v="4538.0500000000029"/>
  </r>
  <r>
    <n v="503"/>
    <s v="Staff &amp; Labour Coloney(Purchase Price)"/>
    <s v="Sugar Division"/>
    <x v="1"/>
    <m/>
    <s v="Common"/>
    <d v="1953-01-01T00:00:00"/>
    <n v="68494.3"/>
    <n v="0"/>
    <n v="65069.585000000006"/>
    <n v="3424.7149999999965"/>
    <n v="3424.7150000000001"/>
    <n v="30"/>
    <n v="67.295890410958904"/>
    <n v="65069.585000000006"/>
    <n v="68.295890410958904"/>
    <n v="-1.2126596023639043E-13"/>
    <n v="65069.585000000006"/>
    <n v="3424.7149999999965"/>
  </r>
  <r>
    <n v="504"/>
    <s v="Registration  Fee &amp; Interest 50%"/>
    <s v="Sugar Division"/>
    <x v="1"/>
    <m/>
    <s v="Common"/>
    <d v="1953-01-01T00:00:00"/>
    <n v="7607"/>
    <n v="0"/>
    <n v="7226.65"/>
    <n v="380.35000000000036"/>
    <n v="380.35"/>
    <n v="30"/>
    <n v="67.295890410958904"/>
    <n v="7226.65"/>
    <n v="68.295890410958904"/>
    <n v="1.1368683772161604E-14"/>
    <n v="7226.65"/>
    <n v="380.35"/>
  </r>
  <r>
    <n v="505"/>
    <s v="C.E.S Bunglow, Latrine &amp; Bath Room "/>
    <s v="Sugar Division"/>
    <x v="1"/>
    <m/>
    <s v="Common"/>
    <d v="1953-01-01T00:00:00"/>
    <n v="1050"/>
    <n v="0"/>
    <n v="997.5"/>
    <n v="52.5"/>
    <n v="52.5"/>
    <n v="30"/>
    <n v="67.295890410958904"/>
    <n v="997.5"/>
    <n v="68.295890410958904"/>
    <n v="0"/>
    <n v="997.5"/>
    <n v="52.5"/>
  </r>
  <r>
    <n v="506"/>
    <s v="Tubewell 8&quot; New Bagasse Heaps"/>
    <s v="Sugar Division"/>
    <x v="1"/>
    <m/>
    <s v="Common"/>
    <d v="1977-01-01T00:00:00"/>
    <n v="89124"/>
    <n v="0"/>
    <n v="84667.8"/>
    <n v="4456.1999999999971"/>
    <n v="4456.2"/>
    <n v="5"/>
    <n v="43.279452054794518"/>
    <n v="84667.8"/>
    <n v="44.279452054794518"/>
    <n v="-5.4569682106375702E-13"/>
    <n v="84667.8"/>
    <n v="4456.1999999999971"/>
  </r>
  <r>
    <n v="507"/>
    <s v="Water Pipe Line"/>
    <s v="Sugar Division"/>
    <x v="1"/>
    <m/>
    <s v="Common"/>
    <d v="1977-01-01T00:00:00"/>
    <n v="8571.0400000000009"/>
    <n v="0"/>
    <n v="8142.4880000000012"/>
    <n v="428.55199999999968"/>
    <n v="428.55200000000008"/>
    <n v="5"/>
    <n v="43.279452054794518"/>
    <n v="8142.4880000000012"/>
    <n v="44.279452054794518"/>
    <n v="-7.9580786405131228E-14"/>
    <n v="8142.4880000000012"/>
    <n v="428.55199999999968"/>
  </r>
  <r>
    <n v="508"/>
    <s v="Pumping Set With Motor For Club Tubewell"/>
    <s v="Sugar Division"/>
    <x v="1"/>
    <m/>
    <s v="Common"/>
    <d v="1976-01-01T00:00:00"/>
    <n v="51784"/>
    <n v="0"/>
    <n v="49194.8"/>
    <n v="2589.1999999999971"/>
    <n v="2589.2000000000003"/>
    <n v="5"/>
    <n v="44.282191780821918"/>
    <n v="49194.8"/>
    <n v="45.282191780821918"/>
    <n v="-6.3664629124104983E-13"/>
    <n v="49194.8"/>
    <n v="2589.1999999999971"/>
  </r>
  <r>
    <n v="509"/>
    <s v="One Tubewell12&quot;X60&quot; Gravell Near Club"/>
    <s v="Sugar Division"/>
    <x v="1"/>
    <m/>
    <s v="Common"/>
    <d v="1975-01-01T00:00:00"/>
    <n v="54932"/>
    <n v="0"/>
    <n v="52185.4"/>
    <n v="2746.5999999999985"/>
    <n v="2746.6000000000004"/>
    <n v="5"/>
    <n v="45.282191780821918"/>
    <n v="52185.4"/>
    <n v="46.282191780821918"/>
    <n v="-3.6379788070917132E-13"/>
    <n v="52185.4"/>
    <n v="2746.5999999999985"/>
  </r>
  <r>
    <n v="510"/>
    <s v="Approach Road To Factory                            &quot;"/>
    <s v="Sugar Division"/>
    <x v="1"/>
    <m/>
    <s v="Upto gate"/>
    <d v="1973-01-01T00:00:00"/>
    <n v="1427"/>
    <n v="0"/>
    <n v="1355.65"/>
    <n v="71.349999999999909"/>
    <n v="71.350000000000009"/>
    <n v="5"/>
    <n v="47.282191780821918"/>
    <n v="1355.65"/>
    <n v="48.282191780821918"/>
    <n v="-1.9895196601282807E-14"/>
    <n v="1355.65"/>
    <n v="71.349999999999909"/>
  </r>
  <r>
    <n v="511"/>
    <s v="Road Infrot Of Staff  Qrts.                            &quot;"/>
    <s v="Sugar Division"/>
    <x v="1"/>
    <m/>
    <s v="Common"/>
    <d v="1971-01-01T00:00:00"/>
    <n v="2228"/>
    <n v="0"/>
    <n v="2116.6"/>
    <n v="111.40000000000009"/>
    <n v="111.4"/>
    <n v="5"/>
    <n v="49.284931506849318"/>
    <n v="2116.6"/>
    <n v="50.284931506849318"/>
    <n v="1.7053025658242407E-14"/>
    <n v="2116.6"/>
    <n v="111.4"/>
  </r>
  <r>
    <n v="512"/>
    <s v="Approach Road To Factory &amp;Truck Gate"/>
    <s v="Sugar Division"/>
    <x v="1"/>
    <m/>
    <s v="Upto gate"/>
    <d v="1970-01-01T00:00:00"/>
    <n v="1383"/>
    <n v="0"/>
    <n v="1313.85"/>
    <n v="69.150000000000091"/>
    <n v="69.150000000000006"/>
    <n v="5"/>
    <n v="50.284931506849318"/>
    <n v="1313.85"/>
    <n v="51.284931506849318"/>
    <n v="1.7053025658242407E-14"/>
    <n v="1313.85"/>
    <n v="69.150000000000006"/>
  </r>
  <r>
    <n v="513"/>
    <s v="Approch Road To Factory &amp; Colony "/>
    <s v="Sugar Division"/>
    <x v="1"/>
    <m/>
    <s v="Upto gate"/>
    <d v="1969-01-01T00:00:00"/>
    <n v="22499"/>
    <n v="0"/>
    <n v="21374.05"/>
    <n v="1124.9500000000007"/>
    <n v="1124.95"/>
    <n v="5"/>
    <n v="51.284931506849318"/>
    <n v="21374.05"/>
    <n v="52.284931506849318"/>
    <n v="1.3642420526593926E-13"/>
    <n v="21374.05"/>
    <n v="1124.95"/>
  </r>
  <r>
    <n v="514"/>
    <s v="Approach Road To Factory"/>
    <s v="Sugar Division"/>
    <x v="1"/>
    <m/>
    <s v="Upto gate"/>
    <d v="1968-01-01T00:00:00"/>
    <n v="11995"/>
    <n v="0"/>
    <n v="11395.25"/>
    <n v="599.75"/>
    <n v="599.75"/>
    <n v="5"/>
    <n v="52.287671232876711"/>
    <n v="11395.25"/>
    <n v="53.287671232876711"/>
    <n v="0"/>
    <n v="11395.25"/>
    <n v="599.75"/>
  </r>
  <r>
    <n v="515"/>
    <s v="Colony Road"/>
    <s v="Sugar Division"/>
    <x v="1"/>
    <m/>
    <s v="Common"/>
    <d v="1966-01-01T00:00:00"/>
    <n v="2283"/>
    <n v="0"/>
    <n v="2168.85"/>
    <n v="114.15000000000009"/>
    <n v="114.15"/>
    <n v="5"/>
    <n v="54.287671232876711"/>
    <n v="2168.85"/>
    <n v="55.287671232876711"/>
    <n v="1.7053025658242407E-14"/>
    <n v="2168.85"/>
    <n v="114.15"/>
  </r>
  <r>
    <n v="516"/>
    <s v="Colony Road"/>
    <s v="Sugar Division"/>
    <x v="1"/>
    <m/>
    <s v="Common"/>
    <d v="1965-01-01T00:00:00"/>
    <n v="1913"/>
    <n v="0"/>
    <n v="1817.35"/>
    <n v="95.650000000000091"/>
    <n v="95.65"/>
    <n v="5"/>
    <n v="55.287671232876711"/>
    <n v="1817.35"/>
    <n v="56.287671232876711"/>
    <n v="1.7053025658242407E-14"/>
    <n v="1817.35"/>
    <n v="95.65"/>
  </r>
  <r>
    <n v="517"/>
    <s v="Weight (Bat) 50 Kg - 180 Nos"/>
    <s v="Sugar Division"/>
    <x v="2"/>
    <m/>
    <s v="Upto gate"/>
    <d v="2015-12-15T00:00:00"/>
    <n v="390890.89"/>
    <n v="0"/>
    <n v="22179.04200520548"/>
    <n v="368711.84799479455"/>
    <n v="19544.5445"/>
    <n v="5"/>
    <n v="4.3013698630136989"/>
    <n v="531386.30000000005"/>
    <n v="5.3013698630136989"/>
    <n v="69833.460698958908"/>
    <n v="601219.760698959"/>
    <n v="19544.5445"/>
  </r>
  <r>
    <n v="518"/>
    <s v="Weight (Bat) 10 Kg - 20 Nos"/>
    <s v="Sugar Division"/>
    <x v="2"/>
    <m/>
    <s v="Upto gate"/>
    <d v="2015-12-15T00:00:00"/>
    <n v="9299.11"/>
    <n v="0"/>
    <n v="527.6289536986302"/>
    <n v="8771.481046301371"/>
    <n v="464.95550000000003"/>
    <n v="5"/>
    <n v="4.3013698630136989"/>
    <n v="720547.45"/>
    <n v="5.3013698630136989"/>
    <n v="1661.3051092602743"/>
    <n v="722208.75510926021"/>
    <n v="464.95550000000003"/>
  </r>
  <r>
    <n v="519"/>
    <s v="Beam Scale - 100 Kg - 13 Nos"/>
    <s v="Sugar Division"/>
    <x v="2"/>
    <m/>
    <s v="50% each in RS and 50% in DS"/>
    <d v="2015-12-15T00:00:00"/>
    <n v="44363"/>
    <n v="0"/>
    <n v="2517.1444657534244"/>
    <n v="41845.855534246577"/>
    <n v="2218.15"/>
    <n v="5"/>
    <n v="4.3013698630136989"/>
    <n v="207122.8"/>
    <n v="5.3013698630136989"/>
    <n v="7925.5411068493158"/>
    <n v="215048.34110684932"/>
    <n v="2218.15"/>
  </r>
  <r>
    <n v="520"/>
    <s v="Weighbridge 10 Ton - 12 Nos"/>
    <s v="Sugar Division"/>
    <x v="2"/>
    <m/>
    <s v="Upto gate"/>
    <d v="2015-12-15T00:00:00"/>
    <n v="2354150"/>
    <n v="0"/>
    <n v="1133573.8260273971"/>
    <n v="1220576.1739726029"/>
    <n v="117707.5"/>
    <n v="5"/>
    <n v="4.3013698630136989"/>
    <n v="23787.05"/>
    <n v="5.3013698630136989"/>
    <n v="220573.7347945206"/>
    <n v="244360.78479452059"/>
    <n v="117707.5"/>
  </r>
  <r>
    <n v="521"/>
    <s v="Automatic Polarimeter - 1"/>
    <s v="Sugar Division"/>
    <x v="2"/>
    <m/>
    <s v="50% each in RS and 50% in DS"/>
    <d v="2016-03-15T00:00:00"/>
    <n v="387600"/>
    <n v="0"/>
    <n v="1815.8794520547945"/>
    <n v="385784.1205479452"/>
    <n v="19380"/>
    <n v="10"/>
    <n v="4.0520547945205481"/>
    <n v="96.9"/>
    <n v="5.0520547945205481"/>
    <n v="36640.41205479452"/>
    <n v="36737.312054794522"/>
    <n v="19380"/>
  </r>
  <r>
    <n v="522"/>
    <s v="Mini Mobile Hot Water"/>
    <s v="Sugar Division"/>
    <x v="2"/>
    <m/>
    <s v="50% each in RS and 50% in DS"/>
    <d v="2017-05-15T00:00:00"/>
    <n v="409000"/>
    <n v="0"/>
    <n v="0"/>
    <n v="409000"/>
    <n v="20450"/>
    <n v="5"/>
    <n v="2.8849315068493149"/>
    <n v="193.8"/>
    <n v="3.8849315068493149"/>
    <n v="77710"/>
    <n v="77903.8"/>
    <n v="20450"/>
  </r>
  <r>
    <n v="523"/>
    <s v="3 Rd Helical Pinion"/>
    <s v="Sugar Division"/>
    <x v="2"/>
    <m/>
    <s v="Steam"/>
    <d v="2017-09-15T00:00:00"/>
    <n v="377884.1"/>
    <n v="0"/>
    <n v="0"/>
    <n v="377884.1"/>
    <n v="18894.204999999998"/>
    <n v="25"/>
    <n v="2.547945205479452"/>
    <n v="5171.8"/>
    <n v="3.547945205479452"/>
    <n v="14359.595799999999"/>
    <n v="19531.395799999998"/>
    <n v="18894.204999999998"/>
  </r>
  <r>
    <n v="524"/>
    <s v="Weighbridge"/>
    <s v="Sugar Division"/>
    <x v="2"/>
    <m/>
    <s v="Upto gate"/>
    <d v="2017-08-15T00:00:00"/>
    <n v="484875"/>
    <n v="0"/>
    <n v="0"/>
    <n v="484875"/>
    <n v="24243.75"/>
    <n v="15"/>
    <n v="2.6328767123287671"/>
    <n v="5734.2"/>
    <n v="3.6328767123287671"/>
    <n v="30708.75"/>
    <n v="36442.949999999997"/>
    <n v="24243.75"/>
  </r>
  <r>
    <n v="525"/>
    <s v="10 Ton Fully Electronic Weighbridge 5 Nos"/>
    <s v="Sugar Division"/>
    <x v="2"/>
    <m/>
    <s v="Upto gate"/>
    <d v="2017-10-15T00:00:00"/>
    <n v="743000"/>
    <n v="0"/>
    <n v="0"/>
    <n v="743000"/>
    <n v="37150"/>
    <n v="15"/>
    <n v="2.4657534246575343"/>
    <n v="6422"/>
    <n v="3.4657534246575343"/>
    <n v="47056.666666666664"/>
    <n v="53478.666666666664"/>
    <n v="37150"/>
  </r>
  <r>
    <n v="526"/>
    <s v="70 Tph Boiler Fire Bricks"/>
    <s v="Sugar Division"/>
    <x v="2"/>
    <m/>
    <s v="Steam"/>
    <d v="2019-02-28T00:00:00"/>
    <n v="116790"/>
    <n v="0"/>
    <n v="0"/>
    <n v="116790"/>
    <n v="5839.5"/>
    <n v="25"/>
    <n v="1.0931506849315069"/>
    <n v="137772.79999999999"/>
    <n v="2.0931506849315067"/>
    <n v="4438.0199999999995"/>
    <n v="142210.81999999998"/>
    <n v="5839.5"/>
  </r>
  <r>
    <n v="527"/>
    <s v="Refurbsing Of 70 Tph Boiler"/>
    <s v="Sugar Division"/>
    <x v="2"/>
    <m/>
    <s v="Steam"/>
    <d v="2019-11-30T00:00:00"/>
    <n v="9879404.5500000007"/>
    <n v="0"/>
    <n v="0"/>
    <n v="9879404.5500000007"/>
    <n v="493970.22750000004"/>
    <n v="25"/>
    <n v="0.33972602739726027"/>
    <n v="7334"/>
    <n v="1.3397260273972602"/>
    <n v="375417.37290000007"/>
    <n v="382751.37290000007"/>
    <n v="493970.22750000004"/>
  </r>
  <r>
    <n v="528"/>
    <s v="Centrifugal Machine"/>
    <s v="Sugar Division"/>
    <x v="2"/>
    <m/>
    <s v="50% each in RS and 50% in DS"/>
    <d v="2020-03-31T00:00:00"/>
    <n v="2429525.65"/>
    <n v="0"/>
    <n v="0"/>
    <n v="2429525.65"/>
    <n v="121476.2825"/>
    <n v="25"/>
    <n v="5.4794520547945206E-3"/>
    <n v="71763.95"/>
    <n v="1.0054794520547945"/>
    <n v="92321.974699999992"/>
    <n v="164085.92469999997"/>
    <n v="121476.2825"/>
  </r>
  <r>
    <n v="529"/>
    <s v="3Mw Old Turbine Stg. Set -1 No."/>
    <s v="Sugar Division"/>
    <x v="2"/>
    <m/>
    <s v="Power"/>
    <d v="2021-03-20T00:00:00"/>
    <n v="0"/>
    <n v="25081079.699999999"/>
    <n v="0"/>
    <n v="25081079.699999999"/>
    <n v="1254053.9850000001"/>
    <n v="25"/>
    <n v="0"/>
    <n v="56170.65"/>
    <n v="3.5616438356164383E-2"/>
    <n v="33945.351703561646"/>
    <n v="90116.001703561647"/>
    <n v="1254053.9850000001"/>
  </r>
  <r>
    <n v="530"/>
    <s v="Mill"/>
    <s v="Sugar Division"/>
    <x v="2"/>
    <m/>
    <s v="Juice Costing"/>
    <d v="2021-03-15T00:00:00"/>
    <n v="0"/>
    <n v="7165295.7400000002"/>
    <n v="0"/>
    <n v="7165295.7400000002"/>
    <n v="358264.78700000001"/>
    <n v="25"/>
    <n v="0"/>
    <n v="55284.3"/>
    <n v="4.9315068493150684E-2"/>
    <n v="13427.56790728767"/>
    <n v="68711.867907287669"/>
    <n v="358264.78700000001"/>
  </r>
  <r>
    <n v="531"/>
    <s v="1750 Kg/Batch Centrifugal Machine-1 No."/>
    <s v="Sugar Division"/>
    <x v="2"/>
    <m/>
    <s v="RS Costing"/>
    <d v="2021-03-15T00:00:00"/>
    <n v="0"/>
    <n v="5760940.7599999998"/>
    <n v="0"/>
    <n v="5760940.7599999998"/>
    <n v="288047.038"/>
    <n v="25"/>
    <n v="0"/>
    <n v="3426.65"/>
    <n v="4.9315068493150684E-2"/>
    <n v="10795.845150246576"/>
    <n v="14222.495150246576"/>
    <n v="288047.038"/>
  </r>
  <r>
    <n v="532"/>
    <s v="Cane Unloader Machine (Hyd.Tp)"/>
    <s v="Sugar Division"/>
    <x v="2"/>
    <m/>
    <s v="Upto gate"/>
    <d v="2021-03-15T00:00:00"/>
    <n v="0"/>
    <n v="498931"/>
    <n v="0"/>
    <n v="498931"/>
    <n v="24946.550000000003"/>
    <n v="25"/>
    <n v="0"/>
    <n v="10175.450000000001"/>
    <n v="4.9315068493150684E-2"/>
    <n v="934.9830246575342"/>
    <n v="11110.433024657535"/>
    <n v="24946.550000000003"/>
  </r>
  <r>
    <n v="533"/>
    <s v="Stem Economy"/>
    <s v="Sugar Division"/>
    <x v="2"/>
    <m/>
    <s v="Juice Costing"/>
    <d v="2013-12-25T00:00:00"/>
    <n v="63636077"/>
    <n v="0"/>
    <n v="32771391.308641098"/>
    <n v="30864685.691358902"/>
    <n v="3181803.85"/>
    <n v="25"/>
    <n v="6.2739726027397262"/>
    <n v="44957.8"/>
    <n v="7.2739726027397262"/>
    <n v="1107315.2736543561"/>
    <n v="1152273.0736543562"/>
    <n v="24040483.850000001"/>
  </r>
  <r>
    <n v="534"/>
    <s v="New Mill "/>
    <s v="Sugar Division"/>
    <x v="2"/>
    <m/>
    <s v="Juice Costing"/>
    <d v="1997-11-17T00:00:00"/>
    <n v="195424550"/>
    <n v="0"/>
    <n v="167539117.51205501"/>
    <n v="27885432.48794499"/>
    <n v="9771227.5"/>
    <n v="25"/>
    <n v="22.389041095890413"/>
    <n v="12486.8285"/>
    <n v="23.389041095890413"/>
    <n v="724568.19951779966"/>
    <n v="737055.0280177996"/>
    <n v="20200567.5"/>
  </r>
  <r>
    <n v="535"/>
    <s v="Vapour Cell 2500 Sq. Mtr.&amp; Semi Kestner"/>
    <s v="Sugar Division"/>
    <x v="2"/>
    <m/>
    <s v="Juice Costing"/>
    <d v="2006-11-12T00:00:00"/>
    <n v="48235788.069999993"/>
    <n v="0"/>
    <n v="27219779.882457901"/>
    <n v="21016008.187542092"/>
    <n v="2411789.4034999995"/>
    <n v="25"/>
    <n v="13.397260273972602"/>
    <n v="207653.85"/>
    <n v="14.397260273972602"/>
    <n v="744168.75136168383"/>
    <n v="951822.6013616838"/>
    <n v="12841129.4035"/>
  </r>
  <r>
    <n v="536"/>
    <s v="New Boiler       "/>
    <s v="Sugar Division"/>
    <x v="2"/>
    <m/>
    <s v="30% in Juice Costing and 35% in DS and 35% in RS"/>
    <d v="1997-11-17T00:00:00"/>
    <n v="72732252"/>
    <n v="0"/>
    <n v="60816529.974071197"/>
    <n v="11915722.025928803"/>
    <n v="3636612.6"/>
    <n v="25"/>
    <n v="22.389041095890413"/>
    <n v="21342.7"/>
    <n v="23.389041095890413"/>
    <n v="331164.37703715212"/>
    <n v="352507.07703715214"/>
    <n v="3636612.6"/>
  </r>
  <r>
    <n v="537"/>
    <s v="Weighbridge "/>
    <s v="Sugar Division"/>
    <x v="2"/>
    <m/>
    <s v="Upto gate"/>
    <d v="1999-12-15T00:00:00"/>
    <n v="559354"/>
    <n v="0"/>
    <n v="531386.30000000005"/>
    <n v="27967.699999999953"/>
    <n v="27967.7"/>
    <n v="15"/>
    <n v="20.312328767123287"/>
    <n v="46067.4"/>
    <n v="21.312328767123287"/>
    <n v="-3.1529149661461513E-12"/>
    <n v="46067.4"/>
    <n v="27967.7"/>
  </r>
  <r>
    <n v="538"/>
    <s v="Weighbridge 50 Ton"/>
    <s v="Sugar Division"/>
    <x v="2"/>
    <m/>
    <s v="Upto gate"/>
    <d v="2000-11-26T00:00:00"/>
    <n v="758471"/>
    <n v="0"/>
    <n v="720547.45"/>
    <n v="37923.550000000047"/>
    <n v="37923.550000000003"/>
    <n v="15"/>
    <n v="19.361643835616437"/>
    <n v="255396.1"/>
    <n v="20.361643835616437"/>
    <n v="2.9103830456733705E-12"/>
    <n v="255396.1"/>
    <n v="37923.550000000003"/>
  </r>
  <r>
    <n v="539"/>
    <s v="100 Ton Pan 2 Nos."/>
    <s v="Sugar Division"/>
    <x v="2"/>
    <m/>
    <s v="50% each in RS and 50% in DS"/>
    <d v="2006-11-21T00:00:00"/>
    <n v="20914310.669999998"/>
    <n v="0"/>
    <n v="9946640.5881457496"/>
    <n v="10967670.081854248"/>
    <n v="1045715.5334999999"/>
    <n v="25"/>
    <n v="13.372602739726027"/>
    <n v="15063.2"/>
    <n v="14.372602739726027"/>
    <n v="396878.18193416996"/>
    <n v="411941.38193416997"/>
    <n v="1045715.5334999999"/>
  </r>
  <r>
    <n v="540"/>
    <s v="Condensing System"/>
    <s v="Sugar Division"/>
    <x v="2"/>
    <m/>
    <s v="50% each in RS and 50% in DS"/>
    <d v="2006-11-12T00:00:00"/>
    <n v="18552179.670000002"/>
    <n v="0"/>
    <n v="9122975.6585214809"/>
    <n v="9429204.0114785209"/>
    <n v="927608.98350000009"/>
    <n v="25"/>
    <n v="13.397260273972602"/>
    <n v="221927.6"/>
    <n v="14.397260273972602"/>
    <n v="340063.80111914081"/>
    <n v="561991.40111914079"/>
    <n v="927608.98350000009"/>
  </r>
  <r>
    <n v="541"/>
    <s v="Juice Heaters - 3 Nos."/>
    <s v="Sugar Division"/>
    <x v="2"/>
    <m/>
    <s v="50% each in RS and 50% in DS"/>
    <d v="2006-11-12T00:00:00"/>
    <n v="11118401.189999999"/>
    <n v="0"/>
    <n v="8969177.8407106306"/>
    <n v="2149223.3492893688"/>
    <n v="555920.05949999997"/>
    <n v="25"/>
    <n v="13.397260273972602"/>
    <n v="61384.25"/>
    <n v="14.397260273972602"/>
    <n v="63732.131591574755"/>
    <n v="125116.38159157475"/>
    <n v="555920.05949999997"/>
  </r>
  <r>
    <n v="542"/>
    <s v="Weighbridge 10 Ton"/>
    <s v="Sugar Division"/>
    <x v="2"/>
    <m/>
    <s v="Upto gate"/>
    <d v="2000-11-26T00:00:00"/>
    <n v="218024"/>
    <n v="0"/>
    <n v="207122.8"/>
    <n v="10901.200000000012"/>
    <n v="10901.2"/>
    <n v="15"/>
    <n v="19.361643835616437"/>
    <n v="92450.2"/>
    <n v="20.361643835616437"/>
    <n v="7.2759576141834263E-13"/>
    <n v="92450.2"/>
    <n v="10901.2"/>
  </r>
  <r>
    <n v="543"/>
    <s v="Weighbridge "/>
    <s v="Sugar Division"/>
    <x v="2"/>
    <m/>
    <s v="Upto gate"/>
    <d v="1994-06-30T00:00:00"/>
    <n v="25039"/>
    <n v="0"/>
    <n v="23787.05"/>
    <n v="1251.9500000000007"/>
    <n v="1251.95"/>
    <n v="15"/>
    <n v="25.775342465753425"/>
    <n v="10660.9"/>
    <n v="26.775342465753425"/>
    <n v="4.5474735088646414E-14"/>
    <n v="10660.9"/>
    <n v="1251.95"/>
  </r>
  <r>
    <n v="544"/>
    <s v="100 Ton Pan"/>
    <s v="Sugar Division"/>
    <x v="2"/>
    <m/>
    <s v="50% each in RS and 50% in DS"/>
    <d v="2004-11-06T00:00:00"/>
    <n v="8992410.9900000002"/>
    <n v="0"/>
    <n v="4399257.2257186305"/>
    <n v="4593153.7642813697"/>
    <n v="449620.54950000002"/>
    <n v="25"/>
    <n v="15.413698630136986"/>
    <n v="17340.349999999999"/>
    <n v="16.413698630136988"/>
    <n v="165741.32859125506"/>
    <n v="183081.67859125507"/>
    <n v="449620.54950000002"/>
  </r>
  <r>
    <n v="545"/>
    <s v="Pumps,Motors &amp; Valves"/>
    <s v="Sugar Division"/>
    <x v="2"/>
    <m/>
    <s v="Juice Costing"/>
    <d v="2006-11-12T00:00:00"/>
    <n v="7794978.8399999999"/>
    <n v="0"/>
    <n v="3282743.3775607701"/>
    <n v="4512235.4624392297"/>
    <n v="389748.94200000004"/>
    <n v="25"/>
    <n v="13.397260273972602"/>
    <n v="15774.75"/>
    <n v="14.397260273972602"/>
    <n v="164899.4608175692"/>
    <n v="180674.2108175692"/>
    <n v="389748.94200000004"/>
  </r>
  <r>
    <n v="546"/>
    <s v="3 Mw New Turbine "/>
    <s v="Sugar Division"/>
    <x v="2"/>
    <m/>
    <s v="Power"/>
    <d v="1997-11-17T00:00:00"/>
    <n v="26932164.32"/>
    <n v="0"/>
    <n v="21316949.809747301"/>
    <n v="5615214.5102526993"/>
    <n v="1346608.216"/>
    <n v="25"/>
    <n v="22.389041095890413"/>
    <n v="147383.95000000001"/>
    <n v="23.389041095890413"/>
    <n v="170744.25177010798"/>
    <n v="318128.20177010796"/>
    <n v="1346608.216"/>
  </r>
  <r>
    <n v="547"/>
    <s v="Bagasse Belt Conveyor"/>
    <s v="Sugar Division"/>
    <x v="2"/>
    <m/>
    <s v="Steam"/>
    <d v="2010-12-31T00:00:00"/>
    <n v="4707463"/>
    <n v="0"/>
    <n v="940486.62160547927"/>
    <n v="3766976.3783945208"/>
    <n v="235373.15000000002"/>
    <n v="25"/>
    <n v="9.2602739726027394"/>
    <n v="15156.3"/>
    <n v="10.260273972602739"/>
    <n v="141264.12913578085"/>
    <n v="156420.42913578084"/>
    <n v="235373.15000000002"/>
  </r>
  <r>
    <n v="548"/>
    <s v="Nk- 1750 C/F M/C"/>
    <s v="Sugar Division"/>
    <x v="2"/>
    <m/>
    <s v="50% each in RS and 50% in DS"/>
    <d v="2006-12-20T00:00:00"/>
    <n v="5208477.62"/>
    <n v="0"/>
    <n v="2838778.1072820798"/>
    <n v="2369699.5127179204"/>
    <n v="260423.88100000002"/>
    <n v="25"/>
    <n v="13.293150684931506"/>
    <n v="137066.95000000001"/>
    <n v="14.293150684931506"/>
    <n v="84371.02526871681"/>
    <n v="221437.97526871681"/>
    <n v="260423.88100000002"/>
  </r>
  <r>
    <n v="549"/>
    <s v="Soil Testing Lab Machine"/>
    <s v="Sugar Division"/>
    <x v="2"/>
    <m/>
    <s v="Upto gate"/>
    <d v="2013-09-15T00:00:00"/>
    <n v="2293819.96"/>
    <n v="0"/>
    <n v="1370153.4127232879"/>
    <n v="923666.54727671202"/>
    <n v="114690.99800000001"/>
    <n v="15"/>
    <n v="6.5506849315068489"/>
    <n v="5871.95"/>
    <n v="7.5506849315068489"/>
    <n v="53931.703285114134"/>
    <n v="59803.653285114131"/>
    <n v="114690.99800000001"/>
  </r>
  <r>
    <n v="550"/>
    <s v="Wet Scrubber"/>
    <s v="Sugar Division"/>
    <x v="2"/>
    <m/>
    <s v="Juice Costing"/>
    <d v="2008-11-27T00:00:00"/>
    <n v="4212593.1399999997"/>
    <n v="0"/>
    <n v="1676686.90683715"/>
    <n v="2535906.2331628497"/>
    <n v="210629.65700000001"/>
    <n v="25"/>
    <n v="11.353424657534246"/>
    <n v="13967.85"/>
    <n v="12.353424657534246"/>
    <n v="93011.063046513984"/>
    <n v="106978.91304651399"/>
    <n v="210629.65700000001"/>
  </r>
  <r>
    <n v="551"/>
    <s v="Cont. Pc-1103 Centrifugal M/C "/>
    <s v="Sugar Division"/>
    <x v="2"/>
    <m/>
    <s v="50% each in RS and 50% in DS"/>
    <d v="2006-11-12T00:00:00"/>
    <n v="3925689.44"/>
    <n v="0"/>
    <n v="1401438.8641393972"/>
    <n v="2524250.5758606028"/>
    <n v="196284.47200000001"/>
    <n v="25"/>
    <n v="13.397260273972602"/>
    <n v="4699.6499999999996"/>
    <n v="14.397260273972602"/>
    <n v="93118.64415442411"/>
    <n v="97818.294154424104"/>
    <n v="196284.47200000001"/>
  </r>
  <r>
    <n v="552"/>
    <s v="Continuous Pan 40 Ton "/>
    <s v="Sugar Division"/>
    <x v="2"/>
    <m/>
    <s v="50% each in RS and 50% in DS"/>
    <d v="1998-01-04T00:00:00"/>
    <n v="11735162"/>
    <n v="0"/>
    <n v="8640472.8970630206"/>
    <n v="3094689.1029369794"/>
    <n v="586758.1"/>
    <n v="25"/>
    <n v="22.257534246575343"/>
    <n v="90536.9"/>
    <n v="23.257534246575343"/>
    <n v="100317.24011747917"/>
    <n v="190854.14011747917"/>
    <n v="586758.1"/>
  </r>
  <r>
    <n v="553"/>
    <s v="New Weighbridge Foundation "/>
    <s v="Sugar Division"/>
    <x v="2"/>
    <m/>
    <s v="Upto gate"/>
    <d v="1968-01-01T00:00:00"/>
    <n v="102"/>
    <n v="0"/>
    <n v="96.9"/>
    <n v="5.0999999999999943"/>
    <n v="5.1000000000000005"/>
    <n v="15"/>
    <n v="52.287671232876711"/>
    <n v="63183.55"/>
    <n v="53.287671232876711"/>
    <n v="-4.1448326252672511E-16"/>
    <n v="63183.55"/>
    <n v="5.1000000000000005"/>
  </r>
  <r>
    <n v="554"/>
    <s v="Raw Sugar Melting"/>
    <s v="Sugar Division"/>
    <x v="2"/>
    <m/>
    <s v="50% each in RS and 50% in DS"/>
    <d v="2010-11-27T00:00:00"/>
    <n v="3441680"/>
    <n v="0"/>
    <n v="699783.12197260279"/>
    <n v="2741896.8780273972"/>
    <n v="172084"/>
    <n v="25"/>
    <n v="9.3534246575342461"/>
    <n v="466327.45"/>
    <n v="10.353424657534246"/>
    <n v="102792.51512109589"/>
    <n v="569119.96512109588"/>
    <n v="172084"/>
  </r>
  <r>
    <n v="555"/>
    <s v="110 Ton A.C. Crystallizer 2 Nos."/>
    <s v="Sugar Division"/>
    <x v="2"/>
    <m/>
    <s v="50% each in RS and 50% in DS"/>
    <d v="2006-11-12T00:00:00"/>
    <n v="3644284.14"/>
    <n v="0"/>
    <n v="1300979.4849596713"/>
    <n v="2343304.6550403289"/>
    <n v="182214.20700000002"/>
    <n v="25"/>
    <n v="13.397260273972602"/>
    <n v="189423.35"/>
    <n v="14.397260273972602"/>
    <n v="86443.617921613157"/>
    <n v="275866.96792161313"/>
    <n v="182214.20700000002"/>
  </r>
  <r>
    <n v="556"/>
    <s v="1 No. Falling Film Evaporator "/>
    <s v="Sugar Division"/>
    <x v="2"/>
    <m/>
    <s v="50% each in RS and 50% in DS"/>
    <d v="1998-02-07T00:00:00"/>
    <n v="9560107"/>
    <n v="0"/>
    <n v="7097835.8178465702"/>
    <n v="2462271.1821534298"/>
    <n v="478005.35000000003"/>
    <n v="25"/>
    <n v="22.164383561643834"/>
    <n v="11286.95"/>
    <n v="23.164383561643834"/>
    <n v="79370.633286137192"/>
    <n v="90657.583286137189"/>
    <n v="478005.35000000003"/>
  </r>
  <r>
    <n v="557"/>
    <s v="Wet Scrubber"/>
    <s v="Sugar Division"/>
    <x v="2"/>
    <m/>
    <s v="50% each in RS and 50% in DS"/>
    <d v="2004-11-06T00:00:00"/>
    <n v="3489028.02"/>
    <n v="0"/>
    <n v="1512899.9033572604"/>
    <n v="1976128.1166427396"/>
    <n v="174451.40100000001"/>
    <n v="25"/>
    <n v="15.413698630136986"/>
    <n v="103259.3"/>
    <n v="16.413698630136988"/>
    <n v="72067.068625709711"/>
    <n v="175326.36862570973"/>
    <n v="174451.40100000001"/>
  </r>
  <r>
    <n v="558"/>
    <s v="Spray Pond Of Bigger Capacity "/>
    <s v="Sugar Division"/>
    <x v="2"/>
    <m/>
    <s v="Common"/>
    <d v="1997-11-17T00:00:00"/>
    <n v="10206607"/>
    <n v="0"/>
    <n v="7631146.58609863"/>
    <n v="2575460.41390137"/>
    <n v="510330.35000000003"/>
    <n v="25"/>
    <n v="22.389041095890413"/>
    <n v="19448.400000000001"/>
    <n v="23.389041095890413"/>
    <n v="82605.202556054792"/>
    <n v="102053.6025560548"/>
    <n v="510330.35000000003"/>
  </r>
  <r>
    <n v="559"/>
    <s v="Nk1503 C.F. Machine "/>
    <s v="Sugar Division"/>
    <x v="2"/>
    <m/>
    <s v="50% each in RS and 50% in DS"/>
    <d v="1997-11-17T00:00:00"/>
    <n v="9088045"/>
    <n v="0"/>
    <n v="6849630.3008493101"/>
    <n v="2238414.6991506899"/>
    <n v="454402.25"/>
    <n v="25"/>
    <n v="22.389041095890413"/>
    <n v="1911133.05"/>
    <n v="23.389041095890413"/>
    <n v="71360.4979660276"/>
    <n v="1982493.5479660276"/>
    <n v="454402.25"/>
  </r>
  <r>
    <n v="560"/>
    <s v="Honda Crane"/>
    <s v="Sugar Division"/>
    <x v="2"/>
    <m/>
    <s v="Juice Costing"/>
    <d v="2014-02-15T00:00:00"/>
    <n v="1411387"/>
    <n v="0"/>
    <n v="190285.90210958899"/>
    <n v="1221101.097890411"/>
    <n v="70569.350000000006"/>
    <n v="15"/>
    <n v="6.1315068493150688"/>
    <n v="1433232.7"/>
    <n v="7.1315068493150688"/>
    <n v="76702.116526027399"/>
    <n v="1509934.8165260274"/>
    <n v="70569.350000000006"/>
  </r>
  <r>
    <n v="561"/>
    <s v="Stem Economy"/>
    <s v="Sugar Division"/>
    <x v="2"/>
    <m/>
    <s v="Juice Costing"/>
    <d v="2014-03-25T00:00:00"/>
    <n v="2282895"/>
    <n v="0"/>
    <n v="175639.06134246575"/>
    <n v="2107255.9386575343"/>
    <n v="114144.75"/>
    <n v="25"/>
    <n v="6.0273972602739727"/>
    <n v="813388.1"/>
    <n v="7.0273972602739727"/>
    <n v="79724.44754630138"/>
    <n v="893112.54754630139"/>
    <n v="114144.75"/>
  </r>
  <r>
    <n v="562"/>
    <s v="Crystillizers (2 Nos)"/>
    <s v="Sugar Division"/>
    <x v="2"/>
    <m/>
    <s v="50% each in RS and 50% in DS"/>
    <d v="2008-11-27T00:00:00"/>
    <n v="2501755.5699999998"/>
    <n v="0"/>
    <n v="698805.44488706847"/>
    <n v="1802950.1251129312"/>
    <n v="125087.7785"/>
    <n v="25"/>
    <n v="11.353424657534246"/>
    <n v="760"/>
    <n v="12.353424657534246"/>
    <n v="67114.493864517251"/>
    <n v="67874.493864517251"/>
    <n v="125087.7785"/>
  </r>
  <r>
    <n v="563"/>
    <s v="1 Mw Turboset - One No."/>
    <s v="Sugar Division"/>
    <x v="2"/>
    <m/>
    <s v="Juice Costing"/>
    <d v="2007-02-21T00:00:00"/>
    <n v="2444950.39"/>
    <n v="0"/>
    <n v="847118.37293413701"/>
    <n v="1597832.0170658631"/>
    <n v="122247.51950000001"/>
    <n v="25"/>
    <n v="13.12054794520548"/>
    <n v="559266.9"/>
    <n v="14.12054794520548"/>
    <n v="59023.37990263453"/>
    <n v="618290.27990263456"/>
    <n v="122247.51950000001"/>
  </r>
  <r>
    <n v="564"/>
    <s v="Twin Vertical Crystallizer "/>
    <s v="Sugar Division"/>
    <x v="2"/>
    <m/>
    <s v="50% each in RS and 50% in DS"/>
    <d v="1997-11-17T00:00:00"/>
    <n v="7868514"/>
    <n v="0"/>
    <n v="6497569.0500054797"/>
    <n v="1370944.9499945203"/>
    <n v="393425.7"/>
    <n v="25"/>
    <n v="22.389041095890413"/>
    <n v="40956.400000000001"/>
    <n v="23.389041095890413"/>
    <n v="39100.769999780816"/>
    <n v="80057.169999780817"/>
    <n v="393425.7"/>
  </r>
  <r>
    <n v="565"/>
    <s v="Nk-1503 C/F M/C - One No. B Side"/>
    <s v="Sugar Division"/>
    <x v="2"/>
    <m/>
    <s v="50% each in RS and 50% in DS"/>
    <d v="2006-12-20T00:00:00"/>
    <n v="2401095.5099999998"/>
    <n v="0"/>
    <n v="847672.23350021918"/>
    <n v="1553423.2764997806"/>
    <n v="120054.77549999999"/>
    <n v="25"/>
    <n v="13.293150684931506"/>
    <n v="57586.15"/>
    <n v="14.293150684931506"/>
    <n v="57334.740039991222"/>
    <n v="114920.89003999122"/>
    <n v="120054.77549999999"/>
  </r>
  <r>
    <n v="566"/>
    <s v="1 No. Vacuum Pan 100 Ton "/>
    <s v="Sugar Division"/>
    <x v="2"/>
    <m/>
    <s v="50% each in RS and 50% in DS"/>
    <d v="1998-01-25T00:00:00"/>
    <n v="12247821"/>
    <n v="0"/>
    <n v="5346178.8399561597"/>
    <n v="6901642.1600438403"/>
    <n v="612391.05000000005"/>
    <n v="25"/>
    <n v="22.2"/>
    <n v="703007.6"/>
    <n v="23.2"/>
    <n v="251570.04440175364"/>
    <n v="954577.64440175355"/>
    <n v="612391.05000000005"/>
  </r>
  <r>
    <n v="567"/>
    <s v="Cost  Of Beam Scale"/>
    <s v="Sugar Division"/>
    <x v="2"/>
    <m/>
    <s v="Juice Costing"/>
    <d v="1968-01-01T00:00:00"/>
    <n v="204"/>
    <n v="0"/>
    <n v="193.8"/>
    <n v="10.199999999999989"/>
    <n v="10.200000000000001"/>
    <n v="15"/>
    <n v="52.287671232876711"/>
    <n v="182733.45"/>
    <n v="53.287671232876711"/>
    <n v="-8.2896652505345023E-16"/>
    <n v="182733.45"/>
    <n v="10.200000000000001"/>
  </r>
  <r>
    <n v="568"/>
    <s v="New 3 Ton Weighbridge 2"/>
    <s v="Sugar Division"/>
    <x v="2"/>
    <m/>
    <s v="Upto gate"/>
    <d v="1969-01-01T00:00:00"/>
    <n v="5444"/>
    <n v="0"/>
    <n v="5171.8"/>
    <n v="272.19999999999982"/>
    <n v="272.2"/>
    <n v="15"/>
    <n v="51.284931506849318"/>
    <n v="1633895.5"/>
    <n v="52.284931506849318"/>
    <n v="-1.1368683772161604E-14"/>
    <n v="1633895.5"/>
    <n v="272.2"/>
  </r>
  <r>
    <n v="569"/>
    <s v="Xenium Technology"/>
    <s v="Sugar Division"/>
    <x v="2"/>
    <m/>
    <s v="Common"/>
    <d v="2002-01-01T00:00:00"/>
    <n v="3122263"/>
    <n v="0"/>
    <n v="1691924.3801917809"/>
    <n v="1430338.6198082191"/>
    <n v="156113.15"/>
    <n v="25"/>
    <n v="18.263013698630136"/>
    <n v="6450.5"/>
    <n v="19.263013698630136"/>
    <n v="50969.018792328774"/>
    <n v="57419.518792328774"/>
    <n v="156113.15"/>
  </r>
  <r>
    <n v="570"/>
    <s v="75 Ton Vacc. Crystallizer One No."/>
    <s v="Sugar Division"/>
    <x v="2"/>
    <m/>
    <s v="50% each in RS and 50% in DS"/>
    <d v="2007-02-11T00:00:00"/>
    <n v="2215648.48"/>
    <n v="0"/>
    <n v="769977.30355375353"/>
    <n v="1445671.1764462464"/>
    <n v="110782.424"/>
    <n v="25"/>
    <n v="13.147945205479452"/>
    <n v="64644.65"/>
    <n v="14.147945205479452"/>
    <n v="53395.550097849853"/>
    <n v="118040.20009784985"/>
    <n v="110782.424"/>
  </r>
  <r>
    <n v="571"/>
    <s v="Wet Scrubber"/>
    <s v="Sugar Division"/>
    <x v="2"/>
    <m/>
    <s v="50% each in RS and 50% in DS"/>
    <d v="2010-03-07T00:00:00"/>
    <n v="1976986.14"/>
    <n v="0"/>
    <n v="456515.88992810954"/>
    <n v="1520470.2500718904"/>
    <n v="98849.307000000001"/>
    <n v="25"/>
    <n v="10.079452054794521"/>
    <n v="882442.65"/>
    <n v="11.079452054794521"/>
    <n v="56864.837722875614"/>
    <n v="939307.48772287567"/>
    <n v="98849.307000000001"/>
  </r>
  <r>
    <n v="572"/>
    <s v="8' X 16' Vac. Filter - 2 No."/>
    <s v="Sugar Division"/>
    <x v="2"/>
    <m/>
    <s v="50% each in RS and 50% in DS"/>
    <d v="2006-11-12T00:00:00"/>
    <n v="2016283.19"/>
    <n v="0"/>
    <n v="719796.52663939726"/>
    <n v="1296486.6633606027"/>
    <n v="100814.15950000001"/>
    <n v="25"/>
    <n v="13.397260273972602"/>
    <n v="2894.65"/>
    <n v="14.397260273972602"/>
    <n v="47826.900154424104"/>
    <n v="50721.550154424105"/>
    <n v="100814.15950000001"/>
  </r>
  <r>
    <n v="573"/>
    <s v="Water Recycling"/>
    <s v="Sugar Division"/>
    <x v="2"/>
    <m/>
    <s v="Juice Costing"/>
    <d v="2007-01-31T00:00:00"/>
    <n v="1848903.98"/>
    <n v="0"/>
    <n v="644644.43370619172"/>
    <n v="1204259.5462938081"/>
    <n v="92445.199000000008"/>
    <n v="25"/>
    <n v="13.178082191780822"/>
    <n v="1403914.75"/>
    <n v="14.178082191780822"/>
    <n v="44472.573891752327"/>
    <n v="1448387.3238917524"/>
    <n v="92445.199000000008"/>
  </r>
  <r>
    <n v="574"/>
    <s v="Vmf-600 Injection Pump With Motor"/>
    <s v="Sugar Division"/>
    <x v="2"/>
    <m/>
    <s v="Juice Costing"/>
    <d v="2007-11-29T00:00:00"/>
    <n v="1793244.25"/>
    <n v="0"/>
    <n v="568856.38008356153"/>
    <n v="1224387.8699164386"/>
    <n v="89662.212500000009"/>
    <n v="25"/>
    <n v="12.35068493150685"/>
    <n v="901668.75"/>
    <n v="13.35068493150685"/>
    <n v="45389.026296657546"/>
    <n v="947057.77629665751"/>
    <n v="89662.212500000009"/>
  </r>
  <r>
    <n v="575"/>
    <s v="Prds"/>
    <s v="Sugar Division"/>
    <x v="2"/>
    <m/>
    <s v="50% each in RS and 50% in DS"/>
    <d v="2001-11-15T00:00:00"/>
    <n v="2506787"/>
    <n v="0"/>
    <n v="1370669.9241424657"/>
    <n v="1136117.0758575343"/>
    <n v="125339.35"/>
    <n v="25"/>
    <n v="18.391780821917809"/>
    <n v="34177.199999999997"/>
    <n v="19.391780821917809"/>
    <n v="40431.109034301371"/>
    <n v="74608.309034301376"/>
    <n v="125339.35"/>
  </r>
  <r>
    <n v="576"/>
    <s v="250 Ton Condensate Storage Tank"/>
    <s v="Sugar Division"/>
    <x v="2"/>
    <m/>
    <s v="50% each in RS and 50% in DS"/>
    <d v="2011-11-16T00:00:00"/>
    <n v="1486715.89"/>
    <n v="0"/>
    <n v="247495.4271456986"/>
    <n v="1239220.4628543013"/>
    <n v="74335.794500000004"/>
    <n v="25"/>
    <n v="8.3835616438356162"/>
    <n v="10288.5"/>
    <n v="9.3835616438356162"/>
    <n v="46595.386734172054"/>
    <n v="56883.886734172054"/>
    <n v="74335.794500000004"/>
  </r>
  <r>
    <n v="577"/>
    <s v="5 Tons Weighbridge One"/>
    <s v="Sugar Division"/>
    <x v="2"/>
    <m/>
    <s v="Upto gate"/>
    <d v="1965-01-01T00:00:00"/>
    <n v="6036"/>
    <n v="0"/>
    <n v="5734.2"/>
    <n v="301.80000000000018"/>
    <n v="301.8"/>
    <n v="15"/>
    <n v="55.287671232876711"/>
    <n v="413713.6"/>
    <n v="56.287671232876711"/>
    <n v="1.1368683772161604E-14"/>
    <n v="413713.6"/>
    <n v="301.8"/>
  </r>
  <r>
    <n v="578"/>
    <s v="Vibro Screen, Belt Conveyor,Magma Mixer"/>
    <s v="Sugar Division"/>
    <x v="2"/>
    <m/>
    <s v="50% each in RS and 50% in DS"/>
    <d v="2006-11-12T00:00:00"/>
    <n v="1677046.22"/>
    <n v="0"/>
    <n v="598691.71659846581"/>
    <n v="1078354.5034015342"/>
    <n v="83852.311000000002"/>
    <n v="25"/>
    <n v="13.397260273972602"/>
    <n v="69442.149999999994"/>
    <n v="14.397260273972602"/>
    <n v="39780.087696061368"/>
    <n v="109222.23769606136"/>
    <n v="83852.311000000002"/>
  </r>
  <r>
    <n v="579"/>
    <s v="120 Ton Crystalliser"/>
    <s v="Sugar Division"/>
    <x v="2"/>
    <m/>
    <s v="50% each in RS and 50% in DS"/>
    <d v="2004-11-06T00:00:00"/>
    <n v="1801872.22"/>
    <n v="0"/>
    <n v="781321.41440931498"/>
    <n v="1020550.805590685"/>
    <n v="90093.611000000004"/>
    <n v="25"/>
    <n v="15.413698630136986"/>
    <n v="18352.099999999999"/>
    <n v="16.413698630136988"/>
    <n v="37218.287783627464"/>
    <n v="55570.387783627462"/>
    <n v="90093.611000000004"/>
  </r>
  <r>
    <n v="580"/>
    <s v="Juice/Exhaust/Vapour Pipe Lines &amp; Lagging "/>
    <s v="Sugar Division"/>
    <x v="2"/>
    <m/>
    <s v="50% each in RS and 50% in DS"/>
    <d v="1997-11-17T00:00:00"/>
    <n v="5278667"/>
    <n v="0"/>
    <n v="4188096.16713973"/>
    <n v="1090570.83286027"/>
    <n v="263933.35000000003"/>
    <n v="25"/>
    <n v="22.389041095890413"/>
    <n v="69160"/>
    <n v="23.389041095890413"/>
    <n v="33065.499314410801"/>
    <n v="102225.4993144108"/>
    <n v="263933.35000000003"/>
  </r>
  <r>
    <n v="581"/>
    <s v="Sulpher Burner"/>
    <s v="Sugar Division"/>
    <x v="2"/>
    <m/>
    <s v="DS Costing"/>
    <d v="2006-11-12T00:00:00"/>
    <n v="1636160.24"/>
    <n v="0"/>
    <n v="584095.75778761646"/>
    <n v="1052064.4822123835"/>
    <n v="81808.012000000002"/>
    <n v="25"/>
    <n v="13.397260273972602"/>
    <n v="24776"/>
    <n v="14.397260273972602"/>
    <n v="38810.258808495346"/>
    <n v="63586.258808495346"/>
    <n v="81808.012000000002"/>
  </r>
  <r>
    <n v="582"/>
    <s v="Head On Cutter"/>
    <s v="Sugar Division"/>
    <x v="2"/>
    <m/>
    <s v="Juice Costing"/>
    <d v="2000-11-26T00:00:00"/>
    <n v="2141200.0099999998"/>
    <n v="0"/>
    <n v="1249686.4540555615"/>
    <n v="891513.55594443833"/>
    <n v="107060.00049999999"/>
    <n v="25"/>
    <n v="19.361643835616437"/>
    <n v="2849.05"/>
    <n v="20.361643835616437"/>
    <n v="31378.142217777535"/>
    <n v="34227.192217777534"/>
    <n v="107060.00049999999"/>
  </r>
  <r>
    <n v="583"/>
    <s v="Extension Of Mud Belt Conv."/>
    <s v="Sugar Division"/>
    <x v="2"/>
    <m/>
    <s v="Common"/>
    <d v="2006-01-05T00:00:00"/>
    <n v="1390790.49"/>
    <n v="0"/>
    <n v="541531.90257205477"/>
    <n v="849258.58742794523"/>
    <n v="69539.5245"/>
    <n v="25"/>
    <n v="14.24931506849315"/>
    <n v="17190.25"/>
    <n v="15.24931506849315"/>
    <n v="31188.762517117812"/>
    <n v="48379.012517117808"/>
    <n v="69539.5245"/>
  </r>
  <r>
    <n v="584"/>
    <s v="Bailing Machine"/>
    <s v="Sugar Division"/>
    <x v="2"/>
    <m/>
    <s v="50% each in RS and 50% in DS"/>
    <d v="2000-11-26T00:00:00"/>
    <n v="1917806"/>
    <n v="0"/>
    <n v="1119305.1412821917"/>
    <n v="798500.85871780827"/>
    <n v="95890.3"/>
    <n v="25"/>
    <n v="19.361643835616437"/>
    <n v="65729.55"/>
    <n v="20.361643835616437"/>
    <n v="28104.422348712331"/>
    <n v="93833.972348712326"/>
    <n v="95890.3"/>
  </r>
  <r>
    <n v="585"/>
    <s v="Effluent Treatment Plant   -1"/>
    <s v="Sugar Division"/>
    <x v="2"/>
    <m/>
    <s v="Utilities - ETP"/>
    <d v="1998-11-30T00:00:00"/>
    <n v="2678309"/>
    <n v="0"/>
    <n v="1765878.8331123285"/>
    <n v="912430.16688767145"/>
    <n v="133915.45000000001"/>
    <n v="25"/>
    <n v="21.353424657534248"/>
    <n v="5435961.0500000007"/>
    <n v="22.353424657534248"/>
    <n v="31140.58867550686"/>
    <n v="5467101.6386755072"/>
    <n v="133915.45000000001"/>
  </r>
  <r>
    <n v="586"/>
    <s v="Mill Roller"/>
    <s v="Sugar Division"/>
    <x v="2"/>
    <m/>
    <s v="Juice Costing"/>
    <d v="2013-12-10T00:00:00"/>
    <n v="1508892.98"/>
    <n v="0"/>
    <n v="132584.15247824657"/>
    <n v="1376308.8275217535"/>
    <n v="75444.649000000005"/>
    <n v="25"/>
    <n v="6.3150684931506849"/>
    <n v="1067913.05"/>
    <n v="7.3150684931506849"/>
    <n v="52034.567140870146"/>
    <n v="1119947.6171408701"/>
    <n v="75444.649000000005"/>
  </r>
  <r>
    <n v="587"/>
    <s v="E.F.S.:-S.S. Vacuum Filter (O.C. Filter)"/>
    <s v="Sugar Division"/>
    <x v="2"/>
    <m/>
    <s v="50% each in RS and 50% in DS"/>
    <d v="1997-03-15T00:00:00"/>
    <n v="5966365"/>
    <n v="0"/>
    <n v="4822002.11358904"/>
    <n v="1144362.88641096"/>
    <n v="298318.25"/>
    <n v="25"/>
    <n v="23.065753424657533"/>
    <n v="216505"/>
    <n v="24.065753424657533"/>
    <n v="33841.785456438403"/>
    <n v="250346.7854564384"/>
    <n v="298318.25"/>
  </r>
  <r>
    <n v="588"/>
    <s v="24-0' Clarifier"/>
    <s v="Sugar Division"/>
    <x v="2"/>
    <m/>
    <s v="50% each in RS and 50% in DS"/>
    <d v="2000-12-25T00:00:00"/>
    <n v="1765662"/>
    <n v="0"/>
    <n v="1025177.2192109589"/>
    <n v="740484.78078904108"/>
    <n v="88283.1"/>
    <n v="25"/>
    <n v="19.282191780821918"/>
    <n v="1566.55"/>
    <n v="20.282191780821918"/>
    <n v="26088.067231561643"/>
    <n v="27654.617231561642"/>
    <n v="88283.1"/>
  </r>
  <r>
    <n v="589"/>
    <s v="Mass Flow Meter"/>
    <s v="Sugar Division"/>
    <x v="2"/>
    <m/>
    <s v="50% each in RS and 50% in DS"/>
    <d v="2005-01-31T00:00:00"/>
    <n v="1198468.1000000001"/>
    <n v="0"/>
    <n v="508945.07516767125"/>
    <n v="689523.02483232878"/>
    <n v="59923.405000000006"/>
    <n v="25"/>
    <n v="15.178082191780822"/>
    <n v="57177.65"/>
    <n v="16.17808219178082"/>
    <n v="25183.984793293108"/>
    <n v="82361.634793293109"/>
    <n v="59923.405000000006"/>
  </r>
  <r>
    <n v="590"/>
    <s v="One Cart Weighbridge Of 5 Tons Capacity"/>
    <s v="Sugar Division"/>
    <x v="2"/>
    <m/>
    <s v="Upto gate"/>
    <d v="1967-01-01T00:00:00"/>
    <n v="6760"/>
    <n v="0"/>
    <n v="6422"/>
    <n v="338"/>
    <n v="338"/>
    <n v="15"/>
    <n v="53.287671232876711"/>
    <n v="2614.4"/>
    <n v="54.287671232876711"/>
    <n v="0"/>
    <n v="2614.4"/>
    <n v="338"/>
  </r>
  <r>
    <n v="591"/>
    <s v="Rotary Feeder S. A. Fan"/>
    <s v="Sugar Division"/>
    <x v="2"/>
    <m/>
    <s v="50% each in RS and 50% in DS"/>
    <d v="2004-11-06T00:00:00"/>
    <n v="1033041.85"/>
    <n v="0"/>
    <n v="447943.92766986298"/>
    <n v="585097.92233013699"/>
    <n v="51652.092499999999"/>
    <n v="25"/>
    <n v="15.413698630136986"/>
    <n v="163512.1"/>
    <n v="16.413698630136988"/>
    <n v="21337.833193205515"/>
    <n v="184849.93319320551"/>
    <n v="51652.092499999999"/>
  </r>
  <r>
    <n v="592"/>
    <s v="Bagasse Carrier "/>
    <s v="Sugar Division"/>
    <x v="2"/>
    <m/>
    <s v="Steam"/>
    <d v="1997-11-17T00:00:00"/>
    <n v="2937164"/>
    <n v="0"/>
    <n v="2052136.1341150682"/>
    <n v="885027.86588493176"/>
    <n v="146858.20000000001"/>
    <n v="25"/>
    <n v="22.389041095890413"/>
    <n v="2616376.9500000002"/>
    <n v="23.389041095890413"/>
    <n v="29526.786635397271"/>
    <n v="2645903.7366353977"/>
    <n v="146858.20000000001"/>
  </r>
  <r>
    <n v="593"/>
    <s v="Auto Feed Control For B&amp; C Pans "/>
    <s v="Sugar Division"/>
    <x v="2"/>
    <m/>
    <s v="50% each in RS and 50% in DS"/>
    <d v="2000-11-26T00:00:00"/>
    <n v="1360413"/>
    <n v="0"/>
    <n v="793989.20702465752"/>
    <n v="566423.79297534248"/>
    <n v="68020.650000000009"/>
    <n v="25"/>
    <n v="19.361643835616437"/>
    <n v="1684863"/>
    <n v="20.361643835616437"/>
    <n v="19936.1257190137"/>
    <n v="1704799.1257190136"/>
    <n v="68020.650000000009"/>
  </r>
  <r>
    <n v="594"/>
    <s v="Sugar Dust Collector"/>
    <s v="Sugar Division"/>
    <x v="2"/>
    <m/>
    <s v="50% each in RS and 50% in DS"/>
    <d v="2001-11-15T00:00:00"/>
    <n v="1209979"/>
    <n v="0"/>
    <n v="661596.62713424664"/>
    <n v="548382.37286575336"/>
    <n v="60498.950000000004"/>
    <n v="25"/>
    <n v="18.391780821917809"/>
    <n v="435601.6"/>
    <n v="19.391780821917809"/>
    <n v="19515.336914630134"/>
    <n v="455116.93691463012"/>
    <n v="60498.950000000004"/>
  </r>
  <r>
    <n v="595"/>
    <s v="Save All In Pans "/>
    <s v="Sugar Division"/>
    <x v="2"/>
    <m/>
    <s v="50% each in RS and 50% in DS"/>
    <d v="2002-11-27T00:00:00"/>
    <n v="1089205"/>
    <n v="0"/>
    <n v="552808.83904109593"/>
    <n v="536396.16095890407"/>
    <n v="54460.25"/>
    <n v="25"/>
    <n v="17.358904109589041"/>
    <n v="60987.15"/>
    <n v="18.358904109589041"/>
    <n v="19277.436438356162"/>
    <n v="80264.586438356171"/>
    <n v="54460.25"/>
  </r>
  <r>
    <n v="596"/>
    <s v="Hopper "/>
    <s v="Sugar Division"/>
    <x v="2"/>
    <m/>
    <s v="Juice Costing"/>
    <d v="1997-11-17T00:00:00"/>
    <n v="2646679"/>
    <n v="0"/>
    <n v="1849180.2334849313"/>
    <n v="797498.76651506871"/>
    <n v="132333.95000000001"/>
    <n v="25"/>
    <n v="22.389041095890413"/>
    <n v="4142.95"/>
    <n v="23.389041095890413"/>
    <n v="26606.59266060275"/>
    <n v="30749.54266060275"/>
    <n v="132333.95000000001"/>
  </r>
  <r>
    <n v="597"/>
    <s v="Extension Of Spray Pond"/>
    <s v="Sugar Division"/>
    <x v="2"/>
    <m/>
    <s v="Common"/>
    <d v="2006-01-03T00:00:00"/>
    <n v="842116.4"/>
    <n v="0"/>
    <n v="328070.09209424665"/>
    <n v="514046.30790575338"/>
    <n v="42105.820000000007"/>
    <n v="25"/>
    <n v="14.254794520547945"/>
    <n v="723915.2"/>
    <n v="15.254794520547945"/>
    <n v="18877.619516230134"/>
    <n v="742792.81951623014"/>
    <n v="42105.820000000007"/>
  </r>
  <r>
    <n v="598"/>
    <s v="Juice Heater  -1"/>
    <s v="Sugar Division"/>
    <x v="2"/>
    <m/>
    <s v="50% each in RS and 50% in DS"/>
    <d v="1998-11-30T00:00:00"/>
    <n v="1764396"/>
    <n v="0"/>
    <n v="1163312.2054356162"/>
    <n v="601083.7945643838"/>
    <n v="88219.8"/>
    <n v="25"/>
    <n v="21.353424657534248"/>
    <n v="32286.7"/>
    <n v="22.353424657534248"/>
    <n v="20514.559782575354"/>
    <n v="52801.259782575355"/>
    <n v="88219.8"/>
  </r>
  <r>
    <n v="599"/>
    <s v="Juice Sulphiter  -1"/>
    <s v="Sugar Division"/>
    <x v="2"/>
    <m/>
    <s v="DS Costing"/>
    <d v="1998-11-30T00:00:00"/>
    <n v="1759073"/>
    <n v="0"/>
    <n v="1159802.6129917807"/>
    <n v="599270.38700821926"/>
    <n v="87953.650000000009"/>
    <n v="25"/>
    <n v="21.353424657534248"/>
    <n v="206393.2"/>
    <n v="22.353424657534248"/>
    <n v="20452.669480328768"/>
    <n v="226845.86948032878"/>
    <n v="87953.650000000009"/>
  </r>
  <r>
    <n v="600"/>
    <s v="Vibro Screen For Wet Scrubber"/>
    <s v="Sugar Division"/>
    <x v="2"/>
    <m/>
    <s v="50% each in RS and 50% in DS"/>
    <d v="2005-11-01T00:00:00"/>
    <n v="812495.98"/>
    <n v="0"/>
    <n v="321859.70889917808"/>
    <n v="490636.2711008219"/>
    <n v="40624.798999999999"/>
    <n v="25"/>
    <n v="14.427397260273972"/>
    <n v="388699.15"/>
    <n v="15.427397260273972"/>
    <n v="18000.458884032876"/>
    <n v="406699.60888403287"/>
    <n v="40624.798999999999"/>
  </r>
  <r>
    <n v="601"/>
    <s v="Molasses Cooling System"/>
    <s v="Sugar Division"/>
    <x v="2"/>
    <m/>
    <s v="Distillery division"/>
    <d v="2003-12-31T00:00:00"/>
    <n v="886570.9"/>
    <n v="0"/>
    <n v="413137.18147726025"/>
    <n v="473433.71852273977"/>
    <n v="44328.545000000006"/>
    <n v="25"/>
    <n v="16.265753424657536"/>
    <n v="1491175.1"/>
    <n v="17.265753424657536"/>
    <n v="17164.206940909593"/>
    <n v="1508339.3069409097"/>
    <n v="44328.545000000006"/>
  </r>
  <r>
    <n v="602"/>
    <s v="Polari Meter"/>
    <s v="Sugar Division"/>
    <x v="2"/>
    <m/>
    <s v="50% each in RS and 50% in DS"/>
    <d v="2007-12-15T00:00:00"/>
    <n v="145024"/>
    <n v="0"/>
    <n v="137772.79999999999"/>
    <n v="7251.2000000000116"/>
    <n v="7251.2000000000007"/>
    <n v="10"/>
    <n v="12.306849315068494"/>
    <n v="1022866.9"/>
    <n v="13.306849315068494"/>
    <n v="1.091393642127514E-12"/>
    <n v="1022866.9"/>
    <n v="7251.2000000000007"/>
  </r>
  <r>
    <n v="603"/>
    <s v="Stabilisation Of Unsulphured Syrup"/>
    <s v="Sugar Division"/>
    <x v="2"/>
    <m/>
    <s v="DS Costing"/>
    <d v="2005-11-07T00:00:00"/>
    <n v="776859.73"/>
    <n v="0"/>
    <n v="307257.60093769862"/>
    <n v="469602.12906230136"/>
    <n v="38842.986499999999"/>
    <n v="25"/>
    <n v="14.41095890410959"/>
    <n v="73401.75"/>
    <n v="15.41095890410959"/>
    <n v="17230.365702492054"/>
    <n v="90632.115702492054"/>
    <n v="38842.986499999999"/>
  </r>
  <r>
    <n v="604"/>
    <s v="Armec Cooling Tower "/>
    <s v="Sugar Division"/>
    <x v="2"/>
    <m/>
    <s v="Utilities - Cooling Tower"/>
    <d v="1999-12-01T00:00:00"/>
    <n v="1281198"/>
    <n v="0"/>
    <n v="795908.27865205484"/>
    <n v="485289.72134794516"/>
    <n v="64059.9"/>
    <n v="25"/>
    <n v="20.350684931506848"/>
    <n v="697363.65"/>
    <n v="21.350684931506848"/>
    <n v="16849.192853917804"/>
    <n v="714212.84285391786"/>
    <n v="64059.9"/>
  </r>
  <r>
    <n v="605"/>
    <s v="Main Injection Head"/>
    <s v="Sugar Division"/>
    <x v="2"/>
    <m/>
    <s v="50% each in RS and 50% in DS"/>
    <d v="2013-12-10T00:00:00"/>
    <n v="620945.67000000004"/>
    <n v="0"/>
    <n v="54561.560351342465"/>
    <n v="566384.10964865761"/>
    <n v="31047.283500000005"/>
    <n v="25"/>
    <n v="6.3150684931506849"/>
    <n v="17858.099999999999"/>
    <n v="7.3150684931506849"/>
    <n v="21413.473045946303"/>
    <n v="39271.573045946301"/>
    <n v="31047.283500000005"/>
  </r>
  <r>
    <n v="606"/>
    <s v="Sugar Weighing &amp; Bagging Machine"/>
    <s v="Sugar Division"/>
    <x v="2"/>
    <m/>
    <s v="Upto gate"/>
    <d v="2013-03-15T00:00:00"/>
    <n v="604082.24"/>
    <n v="0"/>
    <n v="70060.299681315068"/>
    <n v="534021.94031868491"/>
    <n v="30204.112000000001"/>
    <n v="25"/>
    <n v="7.0547945205479454"/>
    <n v="4820.3"/>
    <n v="8.0547945205479454"/>
    <n v="20152.713132747394"/>
    <n v="24973.013132747394"/>
    <n v="30204.112000000001"/>
  </r>
  <r>
    <n v="607"/>
    <s v="Crystlizers Shell"/>
    <s v="Sugar Division"/>
    <x v="2"/>
    <m/>
    <s v="50% each in RS and 50% in DS"/>
    <d v="2013-12-10T00:00:00"/>
    <n v="613323.85"/>
    <n v="0"/>
    <n v="53891.842512876712"/>
    <n v="559432.00748712325"/>
    <n v="30666.192500000001"/>
    <n v="25"/>
    <n v="6.3150684931506849"/>
    <n v="381539.95"/>
    <n v="7.3150684931506849"/>
    <n v="21150.632599484929"/>
    <n v="402690.58259948494"/>
    <n v="30666.192500000001"/>
  </r>
  <r>
    <n v="608"/>
    <s v="Drinking Water Filteration System "/>
    <s v="Sugar Division"/>
    <x v="2"/>
    <m/>
    <s v="Common"/>
    <d v="1998-08-02T00:00:00"/>
    <n v="1650219"/>
    <n v="0"/>
    <n v="1108648.7722356163"/>
    <n v="541570.22776438366"/>
    <n v="82510.950000000012"/>
    <n v="25"/>
    <n v="21.682191780821917"/>
    <n v="118846.9"/>
    <n v="22.682191780821917"/>
    <n v="18362.371110575346"/>
    <n v="137209.27111057536"/>
    <n v="82510.950000000012"/>
  </r>
  <r>
    <n v="609"/>
    <s v="Dual Line Lubrication System"/>
    <s v="Sugar Division"/>
    <x v="2"/>
    <m/>
    <s v="Common"/>
    <d v="2012-11-15T00:00:00"/>
    <n v="543908.28"/>
    <n v="0"/>
    <n v="69876.567303452059"/>
    <n v="474031.71269654797"/>
    <n v="27195.414000000004"/>
    <n v="25"/>
    <n v="7.3835616438356162"/>
    <n v="7622.8"/>
    <n v="8.3835616438356162"/>
    <n v="17873.451947861919"/>
    <n v="25496.251947861918"/>
    <n v="27195.414000000004"/>
  </r>
  <r>
    <n v="610"/>
    <s v="Lime Slacker "/>
    <s v="Sugar Division"/>
    <x v="2"/>
    <m/>
    <s v="50% each in RS and 50% in DS"/>
    <d v="1997-11-17T00:00:00"/>
    <n v="1870423"/>
    <n v="0"/>
    <n v="1306826.116750685"/>
    <n v="563596.88324931497"/>
    <n v="93521.150000000009"/>
    <n v="25"/>
    <n v="22.389041095890413"/>
    <n v="111696.25"/>
    <n v="23.389041095890413"/>
    <n v="18803.0293299726"/>
    <n v="130499.2793299726"/>
    <n v="93521.150000000009"/>
  </r>
  <r>
    <n v="611"/>
    <s v="Trasient Heater"/>
    <s v="Sugar Division"/>
    <x v="2"/>
    <m/>
    <s v="50% each in RS and 50% in DS"/>
    <d v="2005-12-15T00:00:00"/>
    <n v="589968.1"/>
    <n v="0"/>
    <n v="231005.64634465749"/>
    <n v="358962.45365534246"/>
    <n v="29498.404999999999"/>
    <n v="25"/>
    <n v="14.306849315068494"/>
    <n v="40720.800000000003"/>
    <n v="15.306849315068494"/>
    <n v="13178.561946213697"/>
    <n v="53899.361946213699"/>
    <n v="29498.404999999999"/>
  </r>
  <r>
    <n v="612"/>
    <s v="One 200 K.G. Platform W/W"/>
    <s v="Sugar Division"/>
    <x v="2"/>
    <m/>
    <s v="Common"/>
    <d v="1974-01-01T00:00:00"/>
    <n v="7720"/>
    <n v="0"/>
    <n v="7334"/>
    <n v="386"/>
    <n v="386"/>
    <n v="15"/>
    <n v="46.282191780821918"/>
    <n v="43058.75"/>
    <n v="47.282191780821918"/>
    <n v="0"/>
    <n v="43058.75"/>
    <n v="386"/>
  </r>
  <r>
    <n v="613"/>
    <s v="Sulphur Burner 200 Kg."/>
    <s v="Sugar Division"/>
    <x v="2"/>
    <m/>
    <s v="DS Costing"/>
    <d v="1997-11-17T00:00:00"/>
    <n v="1748735"/>
    <n v="0"/>
    <n v="1221805.2115890409"/>
    <n v="526929.78841095907"/>
    <n v="87436.75"/>
    <n v="25"/>
    <n v="22.389041095890413"/>
    <n v="11985.2"/>
    <n v="23.389041095890413"/>
    <n v="17579.721536438363"/>
    <n v="29564.921536438364"/>
    <n v="87436.75"/>
  </r>
  <r>
    <n v="614"/>
    <s v="Vibro Screen For Filtrate Juice"/>
    <s v="Sugar Division"/>
    <x v="2"/>
    <m/>
    <s v="50% each in RS and 50% in DS"/>
    <d v="2006-11-12T00:00:00"/>
    <n v="503133.1"/>
    <n v="0"/>
    <n v="179614.38135945203"/>
    <n v="323518.71864054794"/>
    <n v="25156.654999999999"/>
    <n v="25"/>
    <n v="13.397260273972602"/>
    <n v="68757.2"/>
    <n v="14.397260273972602"/>
    <n v="11934.482545621917"/>
    <n v="80691.682545621909"/>
    <n v="25156.654999999999"/>
  </r>
  <r>
    <n v="615"/>
    <s v="E.F.S.-Vacuum Pan 080 Ton "/>
    <s v="Sugar Division"/>
    <x v="2"/>
    <m/>
    <s v="50% each in RS and 50% in DS"/>
    <d v="1996-11-28T00:00:00"/>
    <n v="3457779"/>
    <n v="0"/>
    <n v="2543314.8715890408"/>
    <n v="914464.12841095915"/>
    <n v="172888.95"/>
    <n v="25"/>
    <n v="23.358904109589041"/>
    <n v="653263.69999999995"/>
    <n v="24.358904109589041"/>
    <n v="29663.007136438369"/>
    <n v="682926.70713643834"/>
    <n v="172888.95"/>
  </r>
  <r>
    <n v="616"/>
    <s v="Drive Pannel For C.F.Machine"/>
    <s v="Sugar Division"/>
    <x v="2"/>
    <m/>
    <s v="50% each in RS and 50% in DS"/>
    <d v="2013-03-15T00:00:00"/>
    <n v="410204"/>
    <n v="0"/>
    <n v="47574.673227397267"/>
    <n v="362629.32677260274"/>
    <n v="20510.2"/>
    <n v="25"/>
    <n v="7.0547945205479454"/>
    <n v="19539.599999999999"/>
    <n v="8.0547945205479454"/>
    <n v="13684.76507090411"/>
    <n v="33224.36507090411"/>
    <n v="20510.2"/>
  </r>
  <r>
    <n v="617"/>
    <s v="Juice Heater "/>
    <s v="Sugar Division"/>
    <x v="2"/>
    <m/>
    <s v="50% each in RS and 50% in DS"/>
    <d v="1997-11-17T00:00:00"/>
    <n v="1509564"/>
    <n v="0"/>
    <n v="1054701.3483616437"/>
    <n v="454862.65163835627"/>
    <n v="75478.2"/>
    <n v="25"/>
    <n v="22.389041095890413"/>
    <n v="74335.600000000006"/>
    <n v="23.389041095890413"/>
    <n v="15175.378065534251"/>
    <n v="89510.978065534262"/>
    <n v="75478.2"/>
  </r>
  <r>
    <n v="618"/>
    <s v="Sulphur Burner 200 Kg."/>
    <s v="Sugar Division"/>
    <x v="2"/>
    <m/>
    <s v="DS Costing"/>
    <d v="1997-11-17T00:00:00"/>
    <n v="1491757"/>
    <n v="0"/>
    <n v="1042259.963358904"/>
    <n v="449497.036641096"/>
    <n v="74587.850000000006"/>
    <n v="25"/>
    <n v="22.389041095890413"/>
    <n v="23898.2"/>
    <n v="23.389041095890413"/>
    <n v="14996.367465643842"/>
    <n v="38894.567465643842"/>
    <n v="74587.850000000006"/>
  </r>
  <r>
    <n v="619"/>
    <s v="Syrup Tank "/>
    <s v="Sugar Division"/>
    <x v="2"/>
    <m/>
    <s v="50% each in RS and 50% in DS"/>
    <d v="1997-11-17T00:00:00"/>
    <n v="1462563"/>
    <n v="0"/>
    <n v="1021862.7154356164"/>
    <n v="440700.28456438356"/>
    <n v="73128.150000000009"/>
    <n v="25"/>
    <n v="22.389041095890413"/>
    <n v="2370410.5499999998"/>
    <n v="23.389041095890413"/>
    <n v="14702.885382575341"/>
    <n v="2385113.4353825753"/>
    <n v="73128.150000000009"/>
  </r>
  <r>
    <n v="620"/>
    <s v="Juice Flow Stabilisation System  -1"/>
    <s v="Sugar Division"/>
    <x v="2"/>
    <m/>
    <s v="50% each in RS and 50% in DS"/>
    <d v="1998-12-31T00:00:00"/>
    <n v="971587"/>
    <n v="0"/>
    <n v="637456.89975890424"/>
    <n v="334130.10024109576"/>
    <n v="48579.350000000006"/>
    <n v="25"/>
    <n v="21.268493150684932"/>
    <n v="1319238.3999999999"/>
    <n v="22.268493150684932"/>
    <n v="11422.030009643831"/>
    <n v="1330660.4300096438"/>
    <n v="48579.350000000006"/>
  </r>
  <r>
    <n v="621"/>
    <s v="Cooling Tower"/>
    <s v="Sugar Division"/>
    <x v="2"/>
    <m/>
    <s v="Utilities - Cooling Tower"/>
    <d v="2010-11-27T00:00:00"/>
    <n v="401306.35"/>
    <n v="0"/>
    <n v="81596.025914794518"/>
    <n v="319710.32408520544"/>
    <n v="20065.317500000001"/>
    <n v="25"/>
    <n v="9.3534246575342461"/>
    <n v="1446.85"/>
    <n v="10.353424657534246"/>
    <n v="11985.800263408219"/>
    <n v="13432.650263408219"/>
    <n v="20065.317500000001"/>
  </r>
  <r>
    <n v="622"/>
    <s v="E.F.S.-S.S. Vacuum Filter (O.C. Filter )"/>
    <s v="Sugar Division"/>
    <x v="2"/>
    <m/>
    <s v="50% each in RS and 50% in DS"/>
    <d v="1997-03-15T00:00:00"/>
    <n v="2202724"/>
    <n v="0"/>
    <n v="1595641.1958794522"/>
    <n v="607082.80412054784"/>
    <n v="110136.20000000001"/>
    <n v="25"/>
    <n v="23.065753424657533"/>
    <n v="965.2"/>
    <n v="24.065753424657533"/>
    <n v="19877.864164821913"/>
    <n v="20843.064164821913"/>
    <n v="110136.20000000001"/>
  </r>
  <r>
    <n v="623"/>
    <s v="Sulphur Furnance"/>
    <s v="Sugar Division"/>
    <x v="2"/>
    <m/>
    <s v="DS Costing"/>
    <d v="2003-12-31T00:00:00"/>
    <n v="495661.8"/>
    <n v="0"/>
    <n v="230975.68284493149"/>
    <n v="264686.1171550685"/>
    <n v="24783.09"/>
    <n v="25"/>
    <n v="16.265753424657536"/>
    <n v="12309.15"/>
    <n v="17.265753424657536"/>
    <n v="9596.1210862027401"/>
    <n v="21905.271086202738"/>
    <n v="24783.09"/>
  </r>
  <r>
    <n v="624"/>
    <s v="Re-Cycling Of Furnance Cooling Water"/>
    <s v="Sugar Division"/>
    <x v="2"/>
    <m/>
    <s v="Utilities - Cooling Tower"/>
    <d v="2003-11-30T00:00:00"/>
    <n v="491991.89"/>
    <n v="0"/>
    <n v="230853.37817189039"/>
    <n v="261138.51182810962"/>
    <n v="24599.594500000003"/>
    <n v="25"/>
    <n v="16.350684931506848"/>
    <n v="77369.899999999994"/>
    <n v="17.350684931506848"/>
    <n v="9461.5566931243848"/>
    <n v="86831.456693124375"/>
    <n v="24599.594500000003"/>
  </r>
  <r>
    <n v="625"/>
    <s v="A.C. Plant (Birla Building )"/>
    <s v="Sugar Division"/>
    <x v="2"/>
    <m/>
    <s v="Common"/>
    <d v="2003-03-13T00:00:00"/>
    <n v="75541"/>
    <n v="0"/>
    <n v="71763.95"/>
    <n v="3777.0500000000029"/>
    <n v="3777.05"/>
    <n v="15"/>
    <n v="17.068493150684933"/>
    <n v="5864.35"/>
    <n v="18.068493150684933"/>
    <n v="1.8189894035458566E-13"/>
    <n v="5864.35"/>
    <n v="3777.05"/>
  </r>
  <r>
    <n v="626"/>
    <s v="Lift (Birla Building )"/>
    <s v="Sugar Division"/>
    <x v="2"/>
    <m/>
    <s v="Common"/>
    <d v="2003-03-13T00:00:00"/>
    <n v="59127"/>
    <n v="0"/>
    <n v="56170.65"/>
    <n v="2956.3499999999985"/>
    <n v="2956.3500000000004"/>
    <n v="15"/>
    <n v="17.068493150684933"/>
    <n v="77369.899999999994"/>
    <n v="18.068493150684933"/>
    <n v="-1.2126596023639043E-13"/>
    <n v="77369.899999999994"/>
    <n v="2956.3500000000004"/>
  </r>
  <r>
    <n v="627"/>
    <s v="Mill Roller 42X84"/>
    <s v="Sugar Division"/>
    <x v="2"/>
    <m/>
    <s v="Juice Costing"/>
    <d v="2010-11-27T00:00:00"/>
    <n v="1364604.3"/>
    <n v="0"/>
    <n v="277459.57128821919"/>
    <n v="1087144.7287117809"/>
    <n v="68230.215000000011"/>
    <n v="25"/>
    <n v="9.3534246575342461"/>
    <n v="209636.5"/>
    <n v="10.353424657534246"/>
    <n v="40756.58054847124"/>
    <n v="250393.08054847125"/>
    <n v="68230.215000000011"/>
  </r>
  <r>
    <n v="628"/>
    <s v="Ugr Cold &amp; Hot Water Tank "/>
    <s v="Sugar Division"/>
    <x v="2"/>
    <m/>
    <s v="50% each in RS and 50% in DS"/>
    <d v="2001-11-15T00:00:00"/>
    <n v="553905"/>
    <n v="0"/>
    <n v="302866.14871232875"/>
    <n v="251038.85128767125"/>
    <n v="27695.25"/>
    <n v="25"/>
    <n v="18.391780821917809"/>
    <n v="914753.1"/>
    <n v="19.391780821917809"/>
    <n v="8933.7440515068502"/>
    <n v="923686.84405150684"/>
    <n v="27695.25"/>
  </r>
  <r>
    <n v="629"/>
    <s v="Juice Stabilisation System"/>
    <s v="Sugar Division"/>
    <x v="2"/>
    <m/>
    <s v="50% each in RS and 50% in DS"/>
    <d v="2005-11-07T00:00:00"/>
    <n v="424925.65"/>
    <n v="0"/>
    <n v="168063.33338438359"/>
    <n v="256862.31661561644"/>
    <n v="21246.282500000001"/>
    <n v="25"/>
    <n v="14.41095890410959"/>
    <n v="878265.5"/>
    <n v="15.41095890410959"/>
    <n v="9424.6413646246583"/>
    <n v="887690.14136462461"/>
    <n v="21246.282500000001"/>
  </r>
  <r>
    <n v="630"/>
    <s v="Cooling Tower"/>
    <s v="Sugar Division"/>
    <x v="2"/>
    <m/>
    <s v="Utilities - Cooling Tower"/>
    <d v="2013-12-10T00:00:00"/>
    <n v="339279.63"/>
    <n v="0"/>
    <n v="29811.989844821914"/>
    <n v="309467.64015517809"/>
    <n v="16963.981500000002"/>
    <n v="25"/>
    <n v="6.3150684931506849"/>
    <n v="376170.55"/>
    <n v="7.3150684931506849"/>
    <n v="11700.146346207124"/>
    <n v="387870.69634620711"/>
    <n v="16963.981500000002"/>
  </r>
  <r>
    <n v="631"/>
    <s v="Lift (Birla Building )"/>
    <s v="Sugar Division"/>
    <x v="2"/>
    <m/>
    <s v="Common"/>
    <d v="2003-06-12T00:00:00"/>
    <n v="58194"/>
    <n v="0"/>
    <n v="55284.3"/>
    <n v="2909.6999999999971"/>
    <n v="2909.7000000000003"/>
    <n v="15"/>
    <n v="16.81917808219178"/>
    <n v="246829"/>
    <n v="17.81917808219178"/>
    <n v="-2.1221543041368326E-13"/>
    <n v="246829"/>
    <n v="2909.7000000000003"/>
  </r>
  <r>
    <n v="632"/>
    <s v="D G Set ( Birla House)"/>
    <s v="Sugar Division"/>
    <x v="2"/>
    <m/>
    <s v="Common"/>
    <d v="2003-10-31T00:00:00"/>
    <n v="3607"/>
    <n v="0"/>
    <n v="3426.65"/>
    <n v="180.34999999999991"/>
    <n v="180.35000000000002"/>
    <n v="15"/>
    <n v="16.432876712328767"/>
    <n v="217575.65"/>
    <n v="17.432876712328767"/>
    <n v="-7.5791225147744019E-15"/>
    <n v="217575.65"/>
    <n v="180.35000000000002"/>
  </r>
  <r>
    <n v="633"/>
    <s v="Conversion Of Quad In Evaporator "/>
    <s v="Sugar Division"/>
    <x v="2"/>
    <m/>
    <s v="50% each in RS and 50% in DS"/>
    <d v="1997-02-15T00:00:00"/>
    <n v="2099901"/>
    <n v="0"/>
    <n v="1527278.1333369862"/>
    <n v="572622.86666301382"/>
    <n v="104995.05"/>
    <n v="25"/>
    <n v="23.142465753424659"/>
    <n v="1152268.3"/>
    <n v="24.142465753424659"/>
    <n v="18705.112666520552"/>
    <n v="1170973.4126665206"/>
    <n v="104995.05"/>
  </r>
  <r>
    <n v="634"/>
    <s v="Stracker For Sugar Handlling"/>
    <s v="Sugar Division"/>
    <x v="2"/>
    <m/>
    <s v="DS Costing"/>
    <d v="2005-12-21T00:00:00"/>
    <n v="364087"/>
    <n v="0"/>
    <n v="142333.07953424659"/>
    <n v="221753.92046575341"/>
    <n v="18204.350000000002"/>
    <n v="25"/>
    <n v="14.29041095890411"/>
    <n v="471989.45"/>
    <n v="15.29041095890411"/>
    <n v="8141.9828186301365"/>
    <n v="480131.43281863013"/>
    <n v="18204.350000000002"/>
  </r>
  <r>
    <n v="635"/>
    <s v="Roof Extractor 3 Nos."/>
    <s v="Sugar Division"/>
    <x v="2"/>
    <m/>
    <s v="DS Costing"/>
    <d v="2004-11-06T00:00:00"/>
    <n v="378097.09"/>
    <n v="0"/>
    <n v="163949.11351863015"/>
    <n v="214147.97648136987"/>
    <n v="18904.854500000001"/>
    <n v="25"/>
    <n v="15.413698630136986"/>
    <n v="84721"/>
    <n v="16.413698630136988"/>
    <n v="7809.724879254808"/>
    <n v="92530.724879254805"/>
    <n v="18904.854500000001"/>
  </r>
  <r>
    <n v="636"/>
    <s v="Weighing &amp; Bagging (50Kg)"/>
    <s v="Sugar Division"/>
    <x v="2"/>
    <m/>
    <s v="Upto gate"/>
    <d v="2002-11-27T00:00:00"/>
    <n v="401425"/>
    <n v="0"/>
    <n v="203736.93493150684"/>
    <n v="197688.06506849316"/>
    <n v="20071.25"/>
    <n v="25"/>
    <n v="17.358904109589041"/>
    <n v="346665.45"/>
    <n v="18.358904109589041"/>
    <n v="7104.6726027397262"/>
    <n v="353770.12260273972"/>
    <n v="20071.25"/>
  </r>
  <r>
    <n v="637"/>
    <s v="Overhead Water Tank "/>
    <s v="Sugar Division"/>
    <x v="2"/>
    <m/>
    <s v="Common"/>
    <d v="1997-11-17T00:00:00"/>
    <n v="1038465"/>
    <n v="0"/>
    <n v="725554.15717808215"/>
    <n v="312910.84282191785"/>
    <n v="51923.25"/>
    <n v="25"/>
    <n v="22.389041095890413"/>
    <n v="855526.3"/>
    <n v="23.389041095890413"/>
    <n v="10439.503712876714"/>
    <n v="865965.80371287675"/>
    <n v="51923.25"/>
  </r>
  <r>
    <n v="638"/>
    <s v="1500 M3/Hr. Air Compressor So2 One No. With Motor"/>
    <s v="Sugar Division"/>
    <x v="2"/>
    <m/>
    <s v="50% each in RS and 50% in DS"/>
    <d v="2006-11-12T00:00:00"/>
    <n v="301526.13"/>
    <n v="0"/>
    <n v="107642.3501130411"/>
    <n v="193883.77988695889"/>
    <n v="15076.306500000001"/>
    <n v="25"/>
    <n v="13.397260273972602"/>
    <n v="4738.6000000000004"/>
    <n v="14.397260273972602"/>
    <n v="7152.2989354783558"/>
    <n v="11890.898935478355"/>
    <n v="15076.306500000001"/>
  </r>
  <r>
    <n v="639"/>
    <s v="Penn Walt Vibro Screen"/>
    <s v="Sugar Division"/>
    <x v="2"/>
    <m/>
    <s v="50% each in RS and 50% in DS"/>
    <d v="2005-11-07T00:00:00"/>
    <n v="308460.27"/>
    <n v="0"/>
    <n v="121999.83971983563"/>
    <n v="186460.43028016441"/>
    <n v="15423.013500000001"/>
    <n v="25"/>
    <n v="14.41095890410959"/>
    <n v="21522.25"/>
    <n v="15.41095890410959"/>
    <n v="6841.4966712065761"/>
    <n v="28363.746671206576"/>
    <n v="15423.013500000001"/>
  </r>
  <r>
    <n v="640"/>
    <s v="W.C. - 1012 Labo Type Air Compressor"/>
    <s v="Sugar Division"/>
    <x v="2"/>
    <m/>
    <s v="50% each in RS and 50% in DS"/>
    <d v="2007-11-29T00:00:00"/>
    <n v="275592.46999999997"/>
    <n v="0"/>
    <n v="87423.971866904089"/>
    <n v="188168.49813309588"/>
    <n v="13779.6235"/>
    <n v="25"/>
    <n v="12.35068493150685"/>
    <n v="9204.5499999999993"/>
    <n v="13.35068493150685"/>
    <n v="6975.5549853238363"/>
    <n v="16180.104985323836"/>
    <n v="13779.6235"/>
  </r>
  <r>
    <n v="641"/>
    <s v="E.F.S.:-Syrup  Sulphitor "/>
    <s v="Sugar Division"/>
    <x v="2"/>
    <m/>
    <s v="DS Costing"/>
    <d v="1997-03-15T00:00:00"/>
    <n v="1418207"/>
    <n v="0"/>
    <n v="1027341.3798027396"/>
    <n v="390865.6201972604"/>
    <n v="70910.350000000006"/>
    <n v="25"/>
    <n v="23.065753424657533"/>
    <n v="181329.35"/>
    <n v="24.065753424657533"/>
    <n v="12798.210807890417"/>
    <n v="194127.56080789043"/>
    <n v="70910.350000000006"/>
  </r>
  <r>
    <n v="642"/>
    <s v="65 Ton Vacuum Cryst.With Stagging "/>
    <s v="Sugar Division"/>
    <x v="2"/>
    <m/>
    <s v="50% each in RS and 50% in DS"/>
    <d v="1997-11-17T00:00:00"/>
    <n v="876330"/>
    <n v="0"/>
    <n v="612273.76421917812"/>
    <n v="264056.23578082188"/>
    <n v="43816.5"/>
    <n v="25"/>
    <n v="22.389041095890413"/>
    <n v="63463.8"/>
    <n v="23.389041095890413"/>
    <n v="8809.5894312328746"/>
    <n v="72273.389431232878"/>
    <n v="43816.5"/>
  </r>
  <r>
    <n v="643"/>
    <s v="Water Recycling Systems"/>
    <s v="Sugar Division"/>
    <x v="2"/>
    <m/>
    <s v="Common"/>
    <d v="2006-01-10T00:00:00"/>
    <n v="275395.34999999998"/>
    <n v="0"/>
    <n v="107087.29322054794"/>
    <n v="168308.05677945202"/>
    <n v="13769.7675"/>
    <n v="25"/>
    <n v="14.235616438356164"/>
    <n v="550360.65"/>
    <n v="15.235616438356164"/>
    <n v="6181.5315711780813"/>
    <n v="556542.18157117814"/>
    <n v="13769.7675"/>
  </r>
  <r>
    <n v="644"/>
    <s v="Taxmaco Boiler"/>
    <s v="Sugar Division"/>
    <x v="2"/>
    <m/>
    <s v="30% in Juice Costing and 35% in DS and 35% in RS"/>
    <d v="1997-11-17T00:00:00"/>
    <n v="807011"/>
    <n v="0"/>
    <n v="563842.0032821917"/>
    <n v="243168.9967178083"/>
    <n v="40350.550000000003"/>
    <n v="25"/>
    <n v="22.389041095890413"/>
    <n v="54079.7"/>
    <n v="23.389041095890413"/>
    <n v="8112.7378687123328"/>
    <n v="62192.437868712332"/>
    <n v="40350.550000000003"/>
  </r>
  <r>
    <n v="645"/>
    <s v="E.F.S.:-Vacuum Pan 80 Ton With Two Nos. Vacuum Pump"/>
    <s v="Sugar Division"/>
    <x v="2"/>
    <m/>
    <s v="50% each in RS and 50% in DS"/>
    <d v="1996-11-28T00:00:00"/>
    <n v="1780725"/>
    <n v="0"/>
    <n v="1309784.2212328769"/>
    <n v="470940.77876712312"/>
    <n v="89036.25"/>
    <n v="25"/>
    <n v="23.358904109589041"/>
    <n v="3764798.7"/>
    <n v="24.358904109589041"/>
    <n v="15276.181150684924"/>
    <n v="3780074.8811506853"/>
    <n v="89036.25"/>
  </r>
  <r>
    <n v="646"/>
    <s v="Auto Embibition System "/>
    <s v="Sugar Division"/>
    <x v="2"/>
    <m/>
    <s v="50% each in RS and 50% in DS"/>
    <d v="2001-11-15T00:00:00"/>
    <n v="328957"/>
    <n v="0"/>
    <n v="179868.28008767127"/>
    <n v="149088.71991232873"/>
    <n v="16447.850000000002"/>
    <n v="25"/>
    <n v="18.391780821917809"/>
    <n v="2582336.5499999998"/>
    <n v="19.391780821917809"/>
    <n v="5305.6347964931492"/>
    <n v="2587642.184796493"/>
    <n v="16447.850000000002"/>
  </r>
  <r>
    <n v="647"/>
    <s v="One New 23 Teeth Pinion"/>
    <s v="Sugar Division"/>
    <x v="2"/>
    <m/>
    <s v="50% each in RS and 50% in DS"/>
    <d v="2005-11-07T00:00:00"/>
    <n v="252901.95"/>
    <n v="0"/>
    <n v="100025.83919424658"/>
    <n v="152876.11080575344"/>
    <n v="12645.097500000002"/>
    <n v="25"/>
    <n v="14.41095890410959"/>
    <n v="9204.5499999999993"/>
    <n v="15.41095890410959"/>
    <n v="5609.2405322301374"/>
    <n v="14813.790532230138"/>
    <n v="12645.097500000002"/>
  </r>
  <r>
    <n v="648"/>
    <s v="Juice Flow System "/>
    <s v="Sugar Division"/>
    <x v="2"/>
    <m/>
    <s v="50% each in RS and 50% in DS"/>
    <d v="2000-12-25T00:00:00"/>
    <n v="349020"/>
    <n v="0"/>
    <n v="202647.70553424658"/>
    <n v="146372.29446575342"/>
    <n v="17451"/>
    <n v="25"/>
    <n v="19.282191780821918"/>
    <n v="1963448.6"/>
    <n v="20.282191780821918"/>
    <n v="5156.8517786301372"/>
    <n v="1968605.4517786303"/>
    <n v="17451"/>
  </r>
  <r>
    <n v="649"/>
    <s v="Vmf 600 Injection Pump -1"/>
    <s v="Sugar Division"/>
    <x v="2"/>
    <m/>
    <s v="50% each in RS and 50% in DS"/>
    <d v="1999-03-31T00:00:00"/>
    <n v="437192"/>
    <n v="0"/>
    <n v="282744.64315616444"/>
    <n v="154447.35684383556"/>
    <n v="21859.600000000002"/>
    <n v="25"/>
    <n v="21.021917808219179"/>
    <n v="440119.8"/>
    <n v="22.021917808219179"/>
    <n v="5303.5102737534226"/>
    <n v="445423.31027375342"/>
    <n v="21859.600000000002"/>
  </r>
  <r>
    <n v="650"/>
    <s v="Syrup Buffer Tank "/>
    <s v="Sugar Division"/>
    <x v="2"/>
    <m/>
    <s v="50% each in RS and 50% in DS"/>
    <d v="1999-12-31T00:00:00"/>
    <n v="372698"/>
    <n v="0"/>
    <n v="230364.12325479454"/>
    <n v="142333.87674520546"/>
    <n v="18634.900000000001"/>
    <n v="25"/>
    <n v="20.268493150684932"/>
    <n v="67946.850000000006"/>
    <n v="21.268493150684932"/>
    <n v="4947.9590698082184"/>
    <n v="72894.809069808223"/>
    <n v="18634.900000000001"/>
  </r>
  <r>
    <n v="651"/>
    <s v="Molasses Conditioners"/>
    <s v="Sugar Division"/>
    <x v="2"/>
    <m/>
    <s v="Distillery division"/>
    <d v="2005-11-07T00:00:00"/>
    <n v="218300.96"/>
    <n v="0"/>
    <n v="86340.721061698612"/>
    <n v="131960.23893830139"/>
    <n v="10915.048000000001"/>
    <n v="25"/>
    <n v="14.41095890410959"/>
    <n v="5641482.8499999996"/>
    <n v="15.41095890410959"/>
    <n v="4841.8076375320561"/>
    <n v="5646324.6576375319"/>
    <n v="10915.048000000001"/>
  </r>
  <r>
    <n v="652"/>
    <s v="Sugar Belt Conveyor "/>
    <s v="Sugar Division"/>
    <x v="2"/>
    <m/>
    <s v="Sugar Godown - Distribution"/>
    <d v="2001-11-15T00:00:00"/>
    <n v="282840"/>
    <n v="0"/>
    <n v="154652.26257534247"/>
    <n v="128187.73742465753"/>
    <n v="14142"/>
    <n v="25"/>
    <n v="18.391780821917809"/>
    <n v="193442.8"/>
    <n v="19.391780821917809"/>
    <n v="4561.8294969863018"/>
    <n v="198004.62949698628"/>
    <n v="14142"/>
  </r>
  <r>
    <n v="653"/>
    <s v="Air Compressor"/>
    <s v="Sugar Division"/>
    <x v="2"/>
    <m/>
    <s v="Common"/>
    <d v="2008-11-27T00:00:00"/>
    <n v="191486.36"/>
    <n v="0"/>
    <n v="53487.124239561643"/>
    <n v="137999.23576043834"/>
    <n v="9574.3179999999993"/>
    <n v="25"/>
    <n v="11.353424657534246"/>
    <n v="46840.7"/>
    <n v="12.353424657534246"/>
    <n v="5136.9967104175339"/>
    <n v="51977.696710417527"/>
    <n v="9574.3179999999993"/>
  </r>
  <r>
    <n v="654"/>
    <s v="Two Stackers  -2"/>
    <s v="Sugar Division"/>
    <x v="2"/>
    <m/>
    <s v="Common"/>
    <d v="1998-01-31T00:00:00"/>
    <n v="586619"/>
    <n v="0"/>
    <n v="405278.19175890414"/>
    <n v="181340.80824109586"/>
    <n v="29330.95"/>
    <n v="25"/>
    <n v="22.183561643835617"/>
    <n v="670658.19999999995"/>
    <n v="23.183561643835617"/>
    <n v="6080.3943296438338"/>
    <n v="676738.59432964376"/>
    <n v="29330.95"/>
  </r>
  <r>
    <n v="655"/>
    <s v="Auto Feed Control For C Pan -3 Nos."/>
    <s v="Sugar Division"/>
    <x v="2"/>
    <m/>
    <s v="50% each in RS and 50% in DS"/>
    <d v="2000-03-31T00:00:00"/>
    <n v="332521"/>
    <n v="0"/>
    <n v="202380.47974794521"/>
    <n v="130140.52025205479"/>
    <n v="16626.05"/>
    <n v="25"/>
    <n v="20.019178082191782"/>
    <n v="5407.4"/>
    <n v="21.019178082191782"/>
    <n v="4540.5788100821919"/>
    <n v="9947.9788100821916"/>
    <n v="16626.05"/>
  </r>
  <r>
    <n v="656"/>
    <s v="Transient Heaters  -3"/>
    <s v="Sugar Division"/>
    <x v="2"/>
    <m/>
    <s v="50% each in RS and 50% in DS"/>
    <d v="1998-11-30T00:00:00"/>
    <n v="433041"/>
    <n v="0"/>
    <n v="285515.20223013696"/>
    <n v="147525.79776986304"/>
    <n v="21652.050000000003"/>
    <n v="25"/>
    <n v="21.353424657534248"/>
    <n v="1596434.15"/>
    <n v="22.353424657534248"/>
    <n v="5034.9499107945221"/>
    <n v="1601469.0999107945"/>
    <n v="21652.050000000003"/>
  </r>
  <r>
    <n v="657"/>
    <s v="Bagasse Bailing Machine "/>
    <s v="Sugar Division"/>
    <x v="2"/>
    <m/>
    <s v="Common"/>
    <d v="1997-11-17T00:00:00"/>
    <n v="627832"/>
    <n v="0"/>
    <n v="438653.31774246576"/>
    <n v="189178.68225753424"/>
    <n v="31391.600000000002"/>
    <n v="25"/>
    <n v="22.389041095890413"/>
    <n v="812794.35"/>
    <n v="23.389041095890413"/>
    <n v="6311.4832903013694"/>
    <n v="819105.83329030138"/>
    <n v="31391.600000000002"/>
  </r>
  <r>
    <n v="658"/>
    <s v="Welding Machine"/>
    <s v="Sugar Division"/>
    <x v="2"/>
    <m/>
    <s v="Common"/>
    <d v="2005-06-30T00:00:00"/>
    <n v="79065"/>
    <n v="0"/>
    <n v="53902.112465753424"/>
    <n v="25162.887534246576"/>
    <n v="3953.25"/>
    <n v="15"/>
    <n v="14.767123287671232"/>
    <n v="785462.85"/>
    <n v="15.767123287671232"/>
    <n v="1413.9758356164384"/>
    <n v="786876.82583561644"/>
    <n v="3953.25"/>
  </r>
  <r>
    <n v="659"/>
    <s v="Belt Conveyer For Sugar Hopper"/>
    <s v="Sugar Division"/>
    <x v="2"/>
    <m/>
    <s v="Juice Costing"/>
    <d v="2005-11-07T00:00:00"/>
    <n v="200143.46"/>
    <n v="0"/>
    <n v="79159.20595210958"/>
    <n v="120984.25404789041"/>
    <n v="10007.173000000001"/>
    <n v="25"/>
    <n v="14.41095890410959"/>
    <n v="471831.75"/>
    <n v="15.41095890410959"/>
    <n v="4439.0832419156168"/>
    <n v="476270.83324191562"/>
    <n v="10007.173000000001"/>
  </r>
  <r>
    <n v="660"/>
    <s v="Mill Crane Extended Upto Leveller"/>
    <s v="Sugar Division"/>
    <x v="2"/>
    <m/>
    <s v="Juice Costing"/>
    <d v="1998-12-31T00:00:00"/>
    <n v="386763"/>
    <n v="0"/>
    <n v="253754.67448767123"/>
    <n v="133008.32551232877"/>
    <n v="19338.150000000001"/>
    <n v="25"/>
    <n v="21.268493150684932"/>
    <n v="399730.55"/>
    <n v="22.268493150684932"/>
    <n v="4546.807020493151"/>
    <n v="404277.35702049313"/>
    <n v="19338.150000000001"/>
  </r>
  <r>
    <n v="661"/>
    <s v="Water Softner"/>
    <s v="Sugar Division"/>
    <x v="2"/>
    <m/>
    <s v="Juice Costing"/>
    <d v="2003-12-31T00:00:00"/>
    <n v="203351.37"/>
    <n v="0"/>
    <n v="94760.624165917819"/>
    <n v="108590.74583408218"/>
    <n v="10167.568500000001"/>
    <n v="25"/>
    <n v="16.265753424657536"/>
    <n v="318328.84999999998"/>
    <n v="17.265753424657536"/>
    <n v="3936.927093363287"/>
    <n v="322265.77709336329"/>
    <n v="10167.568500000001"/>
  </r>
  <r>
    <n v="662"/>
    <s v="Intermediater Transmission Saft"/>
    <s v="Sugar Division"/>
    <x v="2"/>
    <m/>
    <s v="Common"/>
    <d v="2005-11-07T00:00:00"/>
    <n v="180606.28"/>
    <n v="0"/>
    <n v="71432.010392767115"/>
    <n v="109174.26960723288"/>
    <n v="9030.3140000000003"/>
    <n v="25"/>
    <n v="14.41095890410959"/>
    <n v="287057.7"/>
    <n v="15.41095890410959"/>
    <n v="4005.7582242893154"/>
    <n v="291063.45822428935"/>
    <n v="9030.3140000000003"/>
  </r>
  <r>
    <n v="663"/>
    <s v="Ash Handling System"/>
    <s v="Sugar Division"/>
    <x v="2"/>
    <m/>
    <s v="Common"/>
    <d v="2013-12-10T00:00:00"/>
    <n v="150010.17000000001"/>
    <n v="0"/>
    <n v="13181.167595178084"/>
    <n v="136829.00240482192"/>
    <n v="7500.5085000000008"/>
    <n v="25"/>
    <n v="6.3150684931506849"/>
    <n v="244860.6"/>
    <n v="7.3150684931506849"/>
    <n v="5173.139756192877"/>
    <n v="250033.7397561929"/>
    <n v="7500.5085000000008"/>
  </r>
  <r>
    <n v="664"/>
    <s v="E.F.S.- 1 No. Automatic Juice Weighing Scale "/>
    <s v="Sugar Division"/>
    <x v="2"/>
    <m/>
    <s v="Upto gate"/>
    <d v="1997-01-15T00:00:00"/>
    <n v="1033732"/>
    <n v="0"/>
    <n v="755179.45992328762"/>
    <n v="278552.54007671238"/>
    <n v="51686.600000000006"/>
    <n v="25"/>
    <n v="23.227397260273971"/>
    <n v="5190.8"/>
    <n v="24.227397260273971"/>
    <n v="9074.6376030684951"/>
    <n v="14265.437603068494"/>
    <n v="51686.600000000006"/>
  </r>
  <r>
    <n v="665"/>
    <s v="Mass Flow Meter In Filterate Line"/>
    <s v="Sugar Division"/>
    <x v="2"/>
    <m/>
    <s v="50% each in RS and 50% in DS"/>
    <d v="2005-04-30T00:00:00"/>
    <n v="182111.23"/>
    <n v="0"/>
    <n v="75648.506007123287"/>
    <n v="106462.72399287672"/>
    <n v="9105.5615000000016"/>
    <n v="25"/>
    <n v="14.934246575342465"/>
    <n v="222001.7"/>
    <n v="15.934246575342465"/>
    <n v="3894.2864997150691"/>
    <n v="225895.98649971507"/>
    <n v="9105.5615000000016"/>
  </r>
  <r>
    <n v="666"/>
    <s v="Flow Meter For Condensate For Checkup Evaporate"/>
    <s v="Sugar Division"/>
    <x v="2"/>
    <m/>
    <s v="50% each in RS and 50% in DS"/>
    <d v="2006-01-10T00:00:00"/>
    <n v="156981.54"/>
    <n v="0"/>
    <n v="61042.164307397266"/>
    <n v="95939.375692602742"/>
    <n v="7849.0770000000011"/>
    <n v="25"/>
    <n v="14.235616438356164"/>
    <n v="475"/>
    <n v="15.235616438356164"/>
    <n v="3523.6119477041098"/>
    <n v="3998.6119477041098"/>
    <n v="7849.0770000000011"/>
  </r>
  <r>
    <n v="667"/>
    <s v="0.5 Tons Weighbridge"/>
    <s v="Sugar Division"/>
    <x v="2"/>
    <m/>
    <s v="Upto gate"/>
    <d v="1991-07-01T00:00:00"/>
    <n v="10711"/>
    <n v="0"/>
    <n v="10175.450000000001"/>
    <n v="535.54999999999927"/>
    <n v="535.55000000000007"/>
    <n v="15"/>
    <n v="28.775342465753425"/>
    <n v="217087.35"/>
    <n v="29.775342465753425"/>
    <n v="-5.3053857603420815E-14"/>
    <n v="217087.35"/>
    <n v="535.55000000000007"/>
  </r>
  <r>
    <n v="668"/>
    <s v="E.F.S.:-1 No. Automatic Juice Weiging Scale"/>
    <s v="Sugar Division"/>
    <x v="2"/>
    <m/>
    <s v="Upto gate"/>
    <d v="1997-01-15T00:00:00"/>
    <n v="854979"/>
    <n v="0"/>
    <n v="624593.78201095888"/>
    <n v="230385.21798904112"/>
    <n v="42748.950000000004"/>
    <n v="25"/>
    <n v="23.227397260273971"/>
    <n v="162474.70000000001"/>
    <n v="24.227397260273971"/>
    <n v="7505.4507195616443"/>
    <n v="169980.15071956164"/>
    <n v="42748.950000000004"/>
  </r>
  <r>
    <n v="669"/>
    <s v="Welding Machine"/>
    <s v="Sugar Division"/>
    <x v="2"/>
    <m/>
    <s v="Common"/>
    <d v="2002-12-12T00:00:00"/>
    <n v="47324"/>
    <n v="0"/>
    <n v="44957.8"/>
    <n v="2366.1999999999971"/>
    <n v="2366.2000000000003"/>
    <n v="15"/>
    <n v="17.317808219178083"/>
    <n v="45840.35"/>
    <n v="18.317808219178083"/>
    <n v="-2.1221543041368326E-13"/>
    <n v="45840.35"/>
    <n v="2366.2000000000003"/>
  </r>
  <r>
    <n v="670"/>
    <s v="Juice Transfer Pump (Kakati)  -1"/>
    <s v="Sugar Division"/>
    <x v="2"/>
    <m/>
    <s v="50% each in RS and 50% in DS"/>
    <d v="1999-03-31T00:00:00"/>
    <n v="265648"/>
    <n v="0"/>
    <n v="171802.20352876713"/>
    <n v="93845.796471232868"/>
    <n v="13282.400000000001"/>
    <n v="25"/>
    <n v="21.021917808219179"/>
    <n v="150712.75"/>
    <n v="22.021917808219179"/>
    <n v="3222.535858849315"/>
    <n v="153935.28585884933"/>
    <n v="13282.400000000001"/>
  </r>
  <r>
    <n v="671"/>
    <s v="Bagasse Bailing Machine "/>
    <s v="Sugar Division"/>
    <x v="2"/>
    <m/>
    <s v="Common"/>
    <d v="2000-03-15T00:00:00"/>
    <n v="190154"/>
    <n v="0"/>
    <n v="116049.16280547946"/>
    <n v="74104.837194520544"/>
    <n v="9507.7000000000007"/>
    <n v="25"/>
    <n v="20.063013698630137"/>
    <n v="16814.05"/>
    <n v="21.063013698630137"/>
    <n v="2583.8854877808221"/>
    <n v="19397.935487780822"/>
    <n v="9507.7000000000007"/>
  </r>
  <r>
    <n v="672"/>
    <s v="Soot Blower In 70 Tph Boiler"/>
    <s v="Sugar Division"/>
    <x v="2"/>
    <m/>
    <s v="30% in Juice Costing and 35% in DS and 35% in RS"/>
    <d v="2000-11-26T00:00:00"/>
    <n v="167029"/>
    <n v="0"/>
    <n v="97484.530991780819"/>
    <n v="69544.469008219181"/>
    <n v="8351.4500000000007"/>
    <n v="25"/>
    <n v="19.361643835616437"/>
    <n v="124069.05"/>
    <n v="20.361643835616437"/>
    <n v="2447.7207603287675"/>
    <n v="126516.77076032877"/>
    <n v="8351.4500000000007"/>
  </r>
  <r>
    <n v="673"/>
    <s v="New Air Blower"/>
    <s v="Sugar Division"/>
    <x v="2"/>
    <m/>
    <s v="Common"/>
    <d v="2003-11-30T00:00:00"/>
    <n v="125664.54"/>
    <n v="0"/>
    <n v="58964.556459287669"/>
    <n v="66699.983540712332"/>
    <n v="6283.2269999999999"/>
    <n v="25"/>
    <n v="16.350684931506848"/>
    <n v="96019.35"/>
    <n v="17.350684931506848"/>
    <n v="2416.6702616284933"/>
    <n v="98436.020261628495"/>
    <n v="6283.2269999999999"/>
  </r>
  <r>
    <n v="674"/>
    <s v="Installation Of New Transient Heater "/>
    <s v="Sugar Division"/>
    <x v="2"/>
    <m/>
    <s v="Common"/>
    <d v="1996-11-28T00:00:00"/>
    <n v="741813"/>
    <n v="0"/>
    <n v="545628.86605479452"/>
    <n v="196184.13394520548"/>
    <n v="37090.65"/>
    <n v="25"/>
    <n v="23.358904109589041"/>
    <n v="319108.8"/>
    <n v="24.358904109589041"/>
    <n v="6363.7393578082192"/>
    <n v="325472.53935780819"/>
    <n v="37090.65"/>
  </r>
  <r>
    <n v="675"/>
    <s v="New Tank For Soda Boiling "/>
    <s v="Sugar Division"/>
    <x v="2"/>
    <m/>
    <s v="50% each in RS and 50% in DS"/>
    <d v="2000-02-29T00:00:00"/>
    <n v="162130"/>
    <n v="0"/>
    <n v="99199.573643835611"/>
    <n v="62930.426356164389"/>
    <n v="8106.5"/>
    <n v="25"/>
    <n v="20.104109589041094"/>
    <n v="92314.35"/>
    <n v="21.104109589041094"/>
    <n v="2192.9570542465758"/>
    <n v="94507.307054246587"/>
    <n v="8106.5"/>
  </r>
  <r>
    <n v="676"/>
    <s v="Small Gross Bagasse Carrier "/>
    <s v="Sugar Division"/>
    <x v="2"/>
    <m/>
    <s v="Steam"/>
    <d v="1996-11-28T00:00:00"/>
    <n v="272245"/>
    <n v="0"/>
    <n v="200245.52095890412"/>
    <n v="71999.479041095881"/>
    <n v="13612.25"/>
    <n v="25"/>
    <n v="23.358904109589041"/>
    <n v="72972.350000000006"/>
    <n v="24.358904109589041"/>
    <n v="2335.4891616438354"/>
    <n v="75307.839161643846"/>
    <n v="13612.25"/>
  </r>
  <r>
    <n v="677"/>
    <s v="Oil Skimmer"/>
    <s v="Sugar Division"/>
    <x v="2"/>
    <m/>
    <s v="Common"/>
    <d v="2001-01-31T00:00:00"/>
    <n v="131711"/>
    <n v="0"/>
    <n v="75966.574575342471"/>
    <n v="55744.425424657529"/>
    <n v="6585.55"/>
    <n v="25"/>
    <n v="19.18082191780822"/>
    <n v="145903.85"/>
    <n v="20.18082191780822"/>
    <n v="1966.3550169863011"/>
    <n v="147870.20501698629"/>
    <n v="6585.55"/>
  </r>
  <r>
    <n v="678"/>
    <s v="Belt Conveyer For Mud "/>
    <s v="Sugar Division"/>
    <x v="2"/>
    <m/>
    <s v="Common"/>
    <d v="1997-11-17T00:00:00"/>
    <n v="271779"/>
    <n v="0"/>
    <n v="189886.40279999998"/>
    <n v="81892.597200000018"/>
    <n v="13588.95"/>
    <n v="25"/>
    <n v="22.389041095890413"/>
    <n v="716973.55"/>
    <n v="23.389041095890413"/>
    <n v="2732.1458880000009"/>
    <n v="719705.69588800007"/>
    <n v="13588.95"/>
  </r>
  <r>
    <n v="679"/>
    <s v="New Mill             Modvat  Reversal "/>
    <s v="Sugar Division"/>
    <x v="2"/>
    <m/>
    <s v="Juice Costing"/>
    <d v="1997-11-17T00:00:00"/>
    <n v="270883"/>
    <n v="0"/>
    <n v="189260.3860109589"/>
    <n v="81622.6139890411"/>
    <n v="13544.150000000001"/>
    <n v="25"/>
    <n v="22.389041095890413"/>
    <n v="620287.30000000005"/>
    <n v="23.389041095890413"/>
    <n v="2723.1385595616443"/>
    <n v="623010.43855956174"/>
    <n v="13544.150000000001"/>
  </r>
  <r>
    <n v="680"/>
    <s v="Distribution  Panel For 250 H.P. Cane Cutter "/>
    <s v="Sugar Division"/>
    <x v="2"/>
    <m/>
    <s v="Juice Costing"/>
    <d v="1996-11-28T00:00:00"/>
    <n v="558592"/>
    <n v="0"/>
    <n v="410863.54586301371"/>
    <n v="147728.45413698629"/>
    <n v="27929.600000000002"/>
    <n v="25"/>
    <n v="23.358904109589041"/>
    <n v="14675.6"/>
    <n v="24.358904109589041"/>
    <n v="4791.9541654794511"/>
    <n v="19467.554165479451"/>
    <n v="27929.600000000002"/>
  </r>
  <r>
    <n v="681"/>
    <s v="Mhat Machine (After Subsidy Of Rs. 2 Lac)"/>
    <s v="Sugar Division"/>
    <x v="2"/>
    <m/>
    <s v="Juice Costing"/>
    <d v="2003-03-06T00:00:00"/>
    <n v="92585"/>
    <n v="0"/>
    <n v="46035.798575342465"/>
    <n v="46549.201424657535"/>
    <n v="4629.25"/>
    <n v="25"/>
    <n v="17.087671232876712"/>
    <n v="11833.2"/>
    <n v="18.087671232876712"/>
    <n v="1676.7980569863014"/>
    <n v="13509.998056986302"/>
    <n v="4629.25"/>
  </r>
  <r>
    <n v="682"/>
    <s v="E.F.S.-Air Cooled Cristallizer"/>
    <s v="Sugar Division"/>
    <x v="2"/>
    <m/>
    <s v="50% each in RS and 50% in DS"/>
    <d v="1996-07-31T00:00:00"/>
    <n v="938473"/>
    <n v="0"/>
    <n v="702003.51558904105"/>
    <n v="236469.48441095895"/>
    <n v="46923.65"/>
    <n v="25"/>
    <n v="23.687671232876713"/>
    <n v="454460.05"/>
    <n v="24.687671232876713"/>
    <n v="7581.8333764383578"/>
    <n v="462041.88337643835"/>
    <n v="46923.65"/>
  </r>
  <r>
    <n v="683"/>
    <s v="Multi Tray Hopper With Blower "/>
    <s v="Sugar Division"/>
    <x v="2"/>
    <m/>
    <s v="50% each in RS and 50% in DS"/>
    <d v="2000-11-26T00:00:00"/>
    <n v="103250"/>
    <n v="0"/>
    <n v="60260.6602739726"/>
    <n v="42989.3397260274"/>
    <n v="5162.5"/>
    <n v="25"/>
    <n v="19.361643835616437"/>
    <n v="9626.35"/>
    <n v="20.361643835616437"/>
    <n v="1513.0735890410961"/>
    <n v="11139.423589041096"/>
    <n v="5162.5"/>
  </r>
  <r>
    <n v="684"/>
    <s v="One A.V.R. For 2.5 M.W. Turbo Alternator"/>
    <s v="Sugar Division"/>
    <x v="2"/>
    <m/>
    <s v="Juice Costing"/>
    <d v="1996-11-28T00:00:00"/>
    <n v="440654"/>
    <n v="0"/>
    <n v="324116.10789041093"/>
    <n v="116537.89210958907"/>
    <n v="22032.7"/>
    <n v="25"/>
    <n v="23.358904109589041"/>
    <n v="4493.5"/>
    <n v="24.358904109589041"/>
    <n v="3780.207684383563"/>
    <n v="8273.7076843835639"/>
    <n v="22032.7"/>
  </r>
  <r>
    <n v="685"/>
    <s v="Portable Fire Pump   -2Nos."/>
    <s v="Sugar Division"/>
    <x v="2"/>
    <m/>
    <s v="Common"/>
    <d v="2000-06-30T00:00:00"/>
    <n v="86420"/>
    <n v="0"/>
    <n v="51778.602191780818"/>
    <n v="34641.397808219182"/>
    <n v="4321"/>
    <n v="25"/>
    <n v="19.769863013698629"/>
    <n v="6549.3"/>
    <n v="20.769863013698629"/>
    <n v="1212.8159123287674"/>
    <n v="7762.1159123287671"/>
    <n v="4321"/>
  </r>
  <r>
    <n v="686"/>
    <s v="New Capacitors"/>
    <s v="Sugar Division"/>
    <x v="2"/>
    <m/>
    <s v="Common"/>
    <d v="2003-11-30T00:00:00"/>
    <n v="59841.279999999999"/>
    <n v="0"/>
    <n v="28078.840165698628"/>
    <n v="31762.439834301371"/>
    <n v="2992.0640000000003"/>
    <n v="25"/>
    <n v="16.350684931506848"/>
    <n v="5893.8"/>
    <n v="17.350684931506848"/>
    <n v="1150.8150333720548"/>
    <n v="7044.6150333720552"/>
    <n v="2992.0640000000003"/>
  </r>
  <r>
    <n v="687"/>
    <s v="Bigger Capacity Of I.D. Fan With Drivearrangement"/>
    <s v="Sugar Division"/>
    <x v="2"/>
    <m/>
    <s v="Common"/>
    <d v="1996-11-28T00:00:00"/>
    <n v="146292"/>
    <n v="0"/>
    <n v="107602.776"/>
    <n v="38689.224000000002"/>
    <n v="7314.6"/>
    <n v="25"/>
    <n v="23.358904109589041"/>
    <n v="1451.6"/>
    <n v="24.358904109589041"/>
    <n v="1254.9849600000002"/>
    <n v="2706.5849600000001"/>
    <n v="7314.6"/>
  </r>
  <r>
    <n v="688"/>
    <s v="Vepur Venting Blower"/>
    <s v="Sugar Division"/>
    <x v="2"/>
    <m/>
    <s v="Common"/>
    <d v="2004-01-30T00:00:00"/>
    <n v="54826.2"/>
    <n v="0"/>
    <n v="25377.470787945203"/>
    <n v="29448.729212054794"/>
    <n v="2741.31"/>
    <n v="25"/>
    <n v="16.183561643835617"/>
    <n v="102881.2"/>
    <n v="17.183561643835617"/>
    <n v="1068.2967684821917"/>
    <n v="103949.49676848219"/>
    <n v="2741.31"/>
  </r>
  <r>
    <n v="689"/>
    <s v="1No. Air Compressor "/>
    <s v="Sugar Division"/>
    <x v="2"/>
    <m/>
    <s v="Common"/>
    <d v="1997-01-15T00:00:00"/>
    <n v="263832"/>
    <n v="0"/>
    <n v="192739.03416986301"/>
    <n v="71092.965830136993"/>
    <n v="13191.6"/>
    <n v="25"/>
    <n v="23.227397260273971"/>
    <n v="42923.85"/>
    <n v="24.227397260273971"/>
    <n v="2316.0546332054796"/>
    <n v="45239.904633205479"/>
    <n v="13191.6"/>
  </r>
  <r>
    <n v="690"/>
    <s v="Cooling Arrangement Of Power House"/>
    <s v="Sugar Division"/>
    <x v="2"/>
    <m/>
    <s v="Power"/>
    <d v="2003-11-30T00:00:00"/>
    <n v="47009.84"/>
    <n v="0"/>
    <n v="22058.047280657534"/>
    <n v="24951.792719342462"/>
    <n v="2350.4919999999997"/>
    <n v="25"/>
    <n v="16.350684931506848"/>
    <n v="71311.75"/>
    <n v="17.350684931506848"/>
    <n v="904.05202877369857"/>
    <n v="72215.802028773702"/>
    <n v="2350.4919999999997"/>
  </r>
  <r>
    <n v="691"/>
    <s v="Two Weighbridges 5000 Kg. Capacity"/>
    <s v="Sugar Division"/>
    <x v="2"/>
    <m/>
    <s v="Upto gate"/>
    <d v="1966-01-01T00:00:00"/>
    <n v="13144.03"/>
    <n v="0"/>
    <n v="12486.8285"/>
    <n v="657.20150000000103"/>
    <n v="657.20150000000012"/>
    <n v="15"/>
    <n v="54.287671232876711"/>
    <n v="61266.45"/>
    <n v="55.287671232876711"/>
    <n v="6.0632980118195215E-14"/>
    <n v="61266.45"/>
    <n v="657.20150000000012"/>
  </r>
  <r>
    <n v="692"/>
    <s v="E.F.S.- Syrup Sulphitor "/>
    <s v="Sugar Division"/>
    <x v="2"/>
    <m/>
    <s v="DS Costing"/>
    <d v="1997-03-15T00:00:00"/>
    <n v="185957"/>
    <n v="0"/>
    <n v="134706.23185753424"/>
    <n v="51250.768142465764"/>
    <n v="9297.85"/>
    <n v="25"/>
    <n v="23.065753424657533"/>
    <n v="38600.400000000001"/>
    <n v="24.065753424657533"/>
    <n v="1678.1167256986307"/>
    <n v="40278.516725698631"/>
    <n v="9297.85"/>
  </r>
  <r>
    <n v="693"/>
    <s v="Clear Juice Tank "/>
    <s v="Sugar Division"/>
    <x v="2"/>
    <m/>
    <s v="50% each in RS and 50% in DS"/>
    <d v="1997-11-17T00:00:00"/>
    <n v="107839"/>
    <n v="0"/>
    <n v="75344.893430136988"/>
    <n v="32494.106569863012"/>
    <n v="5391.9500000000007"/>
    <n v="25"/>
    <n v="22.389041095890413"/>
    <n v="34536.300000000003"/>
    <n v="23.389041095890413"/>
    <n v="1084.0862627945205"/>
    <n v="35620.38626279452"/>
    <n v="5391.9500000000007"/>
  </r>
  <r>
    <n v="694"/>
    <s v="Vibrating Screen    -1"/>
    <s v="Sugar Division"/>
    <x v="2"/>
    <m/>
    <s v="50% each in RS and 50% in DS"/>
    <d v="1999-04-01T00:00:00"/>
    <n v="61511"/>
    <n v="0"/>
    <n v="39774.52930958903"/>
    <n v="21736.47069041097"/>
    <n v="3075.55"/>
    <n v="25"/>
    <n v="21.019178082191782"/>
    <n v="33354.5"/>
    <n v="22.019178082191782"/>
    <n v="746.43682761643879"/>
    <n v="34100.936827616439"/>
    <n v="3075.55"/>
  </r>
  <r>
    <n v="695"/>
    <s v="70 Ton Boiler          &quot;           &quot;"/>
    <s v="Sugar Division"/>
    <x v="2"/>
    <m/>
    <s v="30% in Juice Costing and 35% in DS and 35% in RS"/>
    <d v="1997-11-17T00:00:00"/>
    <n v="90775"/>
    <n v="0"/>
    <n v="63422.627260273963"/>
    <n v="27352.372739726037"/>
    <n v="4538.75"/>
    <n v="25"/>
    <n v="22.389041095890413"/>
    <n v="32335.15"/>
    <n v="23.389041095890413"/>
    <n v="912.54490958904148"/>
    <n v="33247.694909589045"/>
    <n v="4538.75"/>
  </r>
  <r>
    <n v="696"/>
    <s v="Lime Degrating Seperator -1"/>
    <s v="Sugar Division"/>
    <x v="2"/>
    <m/>
    <s v="50% each in RS and 50% in DS"/>
    <d v="1998-11-30T00:00:00"/>
    <n v="40132"/>
    <n v="0"/>
    <n v="26460.072131506848"/>
    <n v="13671.927868493152"/>
    <n v="2006.6000000000001"/>
    <n v="25"/>
    <n v="21.353424657534248"/>
    <n v="24539.45"/>
    <n v="22.353424657534248"/>
    <n v="466.61311473972609"/>
    <n v="25006.063114739725"/>
    <n v="2006.6000000000001"/>
  </r>
  <r>
    <n v="697"/>
    <s v="Chemical Dosing Pump"/>
    <s v="Sugar Division"/>
    <x v="2"/>
    <m/>
    <s v="50% each in RS and 50% in DS"/>
    <d v="2002-03-31T00:00:00"/>
    <n v="23855"/>
    <n v="0"/>
    <n v="12705.761205479454"/>
    <n v="11149.238794520546"/>
    <n v="1192.75"/>
    <n v="25"/>
    <n v="18.019178082191782"/>
    <n v="220715.4"/>
    <n v="19.019178082191782"/>
    <n v="398.25955178082188"/>
    <n v="221113.65955178082"/>
    <n v="1192.75"/>
  </r>
  <r>
    <n v="698"/>
    <s v="Sugar Weighing &amp; Bagging Machine"/>
    <s v="Sugar Division"/>
    <x v="2"/>
    <m/>
    <s v="Upto gate"/>
    <d v="2013-03-15T00:00:00"/>
    <n v="15000"/>
    <n v="0"/>
    <n v="1739.6712328767123"/>
    <n v="13260.328767123288"/>
    <n v="750"/>
    <n v="25"/>
    <n v="7.0547945205479454"/>
    <n v="12407.95"/>
    <n v="8.0547945205479454"/>
    <n v="500.41315068493157"/>
    <n v="12908.363150684932"/>
    <n v="750"/>
  </r>
  <r>
    <n v="699"/>
    <s v="Driving Saft Of Cane Carriers"/>
    <s v="Sugar Division"/>
    <x v="2"/>
    <m/>
    <s v="Juice Costing"/>
    <d v="2005-11-07T00:00:00"/>
    <n v="17629.740000000002"/>
    <n v="0"/>
    <n v="6972.7795229589037"/>
    <n v="10656.960477041099"/>
    <n v="881.48700000000008"/>
    <n v="25"/>
    <n v="14.41095890410959"/>
    <n v="55831.5"/>
    <n v="15.41095890410959"/>
    <n v="391.01893908164391"/>
    <n v="56222.518939081645"/>
    <n v="881.48700000000008"/>
  </r>
  <r>
    <n v="700"/>
    <s v="Weighbridge 10 Ton "/>
    <s v="Sugar Division"/>
    <x v="2"/>
    <m/>
    <s v="Upto gate"/>
    <d v="2000-12-31T00:00:00"/>
    <n v="218583"/>
    <n v="0"/>
    <n v="207653.85"/>
    <n v="10929.149999999994"/>
    <n v="10929.150000000001"/>
    <n v="15"/>
    <n v="19.265753424657536"/>
    <n v="64698.8"/>
    <n v="20.265753424657536"/>
    <n v="-4.8506384094556172E-13"/>
    <n v="64698.8"/>
    <n v="10929.150000000001"/>
  </r>
  <r>
    <n v="701"/>
    <s v="Spray Pond           &quot;           &quot;"/>
    <s v="Sugar Division"/>
    <x v="2"/>
    <m/>
    <s v="Common"/>
    <d v="1997-11-17T00:00:00"/>
    <n v="54000"/>
    <n v="0"/>
    <n v="37728.690410958901"/>
    <n v="16271.309589041099"/>
    <n v="2700"/>
    <n v="25"/>
    <n v="22.389041095890413"/>
    <n v="23073.599999999999"/>
    <n v="23.389041095890413"/>
    <n v="542.85238356164393"/>
    <n v="23616.452383561642"/>
    <n v="2700"/>
  </r>
  <r>
    <n v="702"/>
    <s v="Out Door Fountain (H.O)"/>
    <s v="Sugar Division"/>
    <x v="2"/>
    <m/>
    <s v="Common"/>
    <d v="2005-07-15T00:00:00"/>
    <n v="37518"/>
    <n v="0"/>
    <n v="25480.032767123284"/>
    <n v="12037.967232876716"/>
    <n v="1875.9"/>
    <n v="15"/>
    <n v="14.726027397260275"/>
    <n v="19408.5"/>
    <n v="15.726027397260275"/>
    <n v="677.47114885844769"/>
    <n v="20085.971148858447"/>
    <n v="1875.9"/>
  </r>
  <r>
    <n v="703"/>
    <s v="1 No. 5 Ton Weighbridge (Cart)"/>
    <s v="Sugar Division"/>
    <x v="2"/>
    <m/>
    <s v="Upto gate"/>
    <d v="1993-02-12T00:00:00"/>
    <n v="22466"/>
    <n v="0"/>
    <n v="21342.7"/>
    <n v="1123.2999999999993"/>
    <n v="1123.3"/>
    <n v="15"/>
    <n v="27.153424657534245"/>
    <n v="7366.3"/>
    <n v="28.153424657534245"/>
    <n v="-4.5474735088646414E-14"/>
    <n v="7366.3"/>
    <n v="1123.3"/>
  </r>
  <r>
    <n v="704"/>
    <s v="Elactrical Panel In Turbine House For 2 Tier System "/>
    <s v="Sugar Division"/>
    <x v="2"/>
    <m/>
    <s v="Power"/>
    <d v="1996-11-28T00:00:00"/>
    <n v="72824"/>
    <n v="0"/>
    <n v="53564.54597260274"/>
    <n v="19259.45402739726"/>
    <n v="3641.2000000000003"/>
    <n v="25"/>
    <n v="23.358904109589041"/>
    <n v="2812"/>
    <n v="24.358904109589041"/>
    <n v="624.73016109589037"/>
    <n v="3436.7301610958903"/>
    <n v="3641.2000000000003"/>
  </r>
  <r>
    <n v="705"/>
    <s v="Mhat (Cane)"/>
    <s v="Sugar Division"/>
    <x v="2"/>
    <m/>
    <s v="Upto gate"/>
    <d v="1998-01-01T00:00:00"/>
    <n v="20000"/>
    <n v="0"/>
    <n v="13879.890410958904"/>
    <n v="6120.1095890410961"/>
    <n v="1000"/>
    <n v="25"/>
    <n v="22.265753424657536"/>
    <n v="1216.95"/>
    <n v="23.265753424657536"/>
    <n v="204.80438356164385"/>
    <n v="1421.7543835616439"/>
    <n v="1000"/>
  </r>
  <r>
    <n v="706"/>
    <s v="1 No.Weighbridge Lorry"/>
    <s v="Sugar Division"/>
    <x v="2"/>
    <m/>
    <s v="Upto gate"/>
    <d v="1996-03-15T00:00:00"/>
    <n v="48492"/>
    <n v="0"/>
    <n v="46067.4"/>
    <n v="2424.5999999999985"/>
    <n v="2424.6"/>
    <n v="15"/>
    <n v="24.065753424657533"/>
    <n v="364.8"/>
    <n v="25.065753424657533"/>
    <n v="-9.0949470177292829E-14"/>
    <n v="364.7999999999999"/>
    <n v="2424.6"/>
  </r>
  <r>
    <n v="707"/>
    <s v="E.F.S.:-Sugar Grader"/>
    <s v="Sugar Division"/>
    <x v="2"/>
    <m/>
    <s v="Juice Costing"/>
    <d v="1996-11-28T00:00:00"/>
    <n v="46382"/>
    <n v="0"/>
    <n v="34115.54942465754"/>
    <n v="12266.45057534246"/>
    <n v="2319.1"/>
    <n v="25"/>
    <n v="23.358904109589041"/>
    <n v="7790"/>
    <n v="24.358904109589041"/>
    <n v="397.89402301369842"/>
    <n v="8187.8940230136986"/>
    <n v="2319.1"/>
  </r>
  <r>
    <n v="708"/>
    <s v="Sugar Bag Weighing Machine "/>
    <s v="Sugar Division"/>
    <x v="2"/>
    <m/>
    <s v="Upto gate"/>
    <d v="1997-03-15T00:00:00"/>
    <n v="15750"/>
    <n v="0"/>
    <n v="11409.213698630138"/>
    <n v="4340.7863013698625"/>
    <n v="787.5"/>
    <n v="25"/>
    <n v="23.065753424657533"/>
    <n v="7473.65"/>
    <n v="24.065753424657533"/>
    <n v="142.13145205479449"/>
    <n v="7615.7814520547945"/>
    <n v="787.5"/>
  </r>
  <r>
    <n v="709"/>
    <s v="One Vacuum Filter Drum 8'X16'"/>
    <s v="Sugar Division"/>
    <x v="2"/>
    <m/>
    <s v="50% each in RS and 50% in DS"/>
    <d v="1990-11-09T00:00:00"/>
    <n v="268838"/>
    <n v="0"/>
    <n v="255396.1"/>
    <n v="13441.899999999994"/>
    <n v="13441.900000000001"/>
    <n v="25"/>
    <n v="29.416438356164385"/>
    <n v="42801.3"/>
    <n v="30.416438356164385"/>
    <n v="-2.9103830456733704E-13"/>
    <n v="42801.3"/>
    <n v="13441.900000000001"/>
  </r>
  <r>
    <n v="710"/>
    <s v="One Massecuite Pump 10&quot; Size"/>
    <s v="Sugar Division"/>
    <x v="2"/>
    <m/>
    <s v="50% each in RS and 50% in DS"/>
    <d v="1990-11-27T00:00:00"/>
    <n v="15856"/>
    <n v="0"/>
    <n v="15063.2"/>
    <n v="792.79999999999927"/>
    <n v="792.80000000000007"/>
    <n v="25"/>
    <n v="29.367123287671234"/>
    <n v="8732.4"/>
    <n v="30.367123287671234"/>
    <n v="-3.1832314562052491E-14"/>
    <n v="8732.4"/>
    <n v="792.80000000000007"/>
  </r>
  <r>
    <n v="711"/>
    <s v="Effluent Treatment Plant For 1500 Tcd Capacity"/>
    <s v="Sugar Division"/>
    <x v="2"/>
    <m/>
    <s v="Utilities - ETP"/>
    <d v="1990-11-30T00:00:00"/>
    <n v="233608"/>
    <n v="0"/>
    <n v="221927.6"/>
    <n v="11680.399999999994"/>
    <n v="11680.400000000001"/>
    <n v="25"/>
    <n v="29.358904109589041"/>
    <n v="2693.25"/>
    <n v="30.358904109589041"/>
    <n v="-2.9103830456733704E-13"/>
    <n v="2693.2499999999995"/>
    <n v="11680.400000000001"/>
  </r>
  <r>
    <n v="712"/>
    <s v="5 Tons Weighbridge One"/>
    <s v="Sugar Division"/>
    <x v="2"/>
    <m/>
    <s v="Upto gate"/>
    <d v="1991-12-13T00:00:00"/>
    <n v="64615"/>
    <n v="0"/>
    <n v="61384.25"/>
    <n v="3230.75"/>
    <n v="3230.75"/>
    <n v="15"/>
    <n v="28.323287671232876"/>
    <n v="8060.75"/>
    <n v="29.323287671232876"/>
    <n v="0"/>
    <n v="8060.75"/>
    <n v="3230.75"/>
  </r>
  <r>
    <n v="713"/>
    <s v="Three Molasses Conditioners For Pans "/>
    <s v="Sugar Division"/>
    <x v="2"/>
    <m/>
    <s v="50% each in RS and 50% in DS"/>
    <d v="1990-12-01T00:00:00"/>
    <n v="97316"/>
    <n v="0"/>
    <n v="92450.2"/>
    <n v="4865.8000000000029"/>
    <n v="4865.8"/>
    <n v="25"/>
    <n v="29.356164383561644"/>
    <n v="240613.15"/>
    <n v="30.356164383561644"/>
    <n v="1.0913936421275138E-13"/>
    <n v="240613.15"/>
    <n v="4865.8"/>
  </r>
  <r>
    <n v="714"/>
    <s v="Soot Blower Element For 3 Ahmadabad Boilers "/>
    <s v="Sugar Division"/>
    <x v="2"/>
    <m/>
    <s v="30% in Juice Costing and 35% in DS and 35% in RS"/>
    <d v="1990-12-01T00:00:00"/>
    <n v="11222"/>
    <n v="0"/>
    <n v="10660.9"/>
    <n v="561.10000000000036"/>
    <n v="561.1"/>
    <n v="25"/>
    <n v="29.356164383561644"/>
    <n v="2835.75"/>
    <n v="30.356164383561644"/>
    <n v="1.3642420526593923E-14"/>
    <n v="2835.75"/>
    <n v="561.1"/>
  </r>
  <r>
    <n v="715"/>
    <s v="One Gear Pump 6&quot;X6&quot; Size"/>
    <s v="Sugar Division"/>
    <x v="2"/>
    <m/>
    <s v="Juice Costing"/>
    <d v="1990-12-02T00:00:00"/>
    <n v="18253"/>
    <n v="0"/>
    <n v="17340.349999999999"/>
    <n v="912.65000000000146"/>
    <n v="912.65000000000009"/>
    <n v="25"/>
    <n v="29.353424657534248"/>
    <n v="2456.6999999999998"/>
    <n v="30.353424657534248"/>
    <n v="5.4569682106375692E-14"/>
    <n v="2456.6999999999998"/>
    <n v="912.65000000000009"/>
  </r>
  <r>
    <n v="716"/>
    <s v="D-Super Heater "/>
    <s v="Sugar Division"/>
    <x v="2"/>
    <m/>
    <s v="Juice Costing"/>
    <d v="1991-02-25T00:00:00"/>
    <n v="16605"/>
    <n v="0"/>
    <n v="15774.75"/>
    <n v="830.25"/>
    <n v="830.25"/>
    <n v="25"/>
    <n v="29.12054794520548"/>
    <n v="27228.9"/>
    <n v="30.12054794520548"/>
    <n v="0"/>
    <n v="27228.9"/>
    <n v="830.25"/>
  </r>
  <r>
    <n v="717"/>
    <s v="One Bronze Body Mixed Juice Pump"/>
    <s v="Sugar Division"/>
    <x v="2"/>
    <m/>
    <s v="50% each in RS and 50% in DS"/>
    <d v="1991-03-11T00:00:00"/>
    <n v="155141"/>
    <n v="0"/>
    <n v="147383.95000000001"/>
    <n v="7757.0499999999884"/>
    <n v="7757.05"/>
    <n v="25"/>
    <n v="29.082191780821919"/>
    <n v="26322.6"/>
    <n v="30.082191780821919"/>
    <n v="-4.729372449219227E-13"/>
    <n v="26322.6"/>
    <n v="7757.05"/>
  </r>
  <r>
    <n v="718"/>
    <s v="Molasses Pump 4&quot;X4&quot; "/>
    <s v="Sugar Division"/>
    <x v="2"/>
    <m/>
    <s v="50% each in RS and 50% in DS"/>
    <d v="1991-03-31T00:00:00"/>
    <n v="15954"/>
    <n v="0"/>
    <n v="15156.3"/>
    <n v="797.70000000000073"/>
    <n v="797.7"/>
    <n v="25"/>
    <n v="29.027397260273972"/>
    <n v="22055.200000000001"/>
    <n v="30.027397260273972"/>
    <n v="2.7284841053187846E-14"/>
    <n v="22055.200000000001"/>
    <n v="797.7"/>
  </r>
  <r>
    <n v="719"/>
    <s v="Hydel Line"/>
    <s v="Sugar Division"/>
    <x v="2"/>
    <m/>
    <s v="50% each in RS and 50% in DS"/>
    <d v="1991-04-24T00:00:00"/>
    <n v="144281"/>
    <n v="0"/>
    <n v="137066.95000000001"/>
    <n v="7214.0499999999884"/>
    <n v="7214.05"/>
    <n v="25"/>
    <n v="28.961643835616439"/>
    <n v="6726"/>
    <n v="29.961643835616439"/>
    <n v="-4.729372449219227E-13"/>
    <n v="6725.9999999999991"/>
    <n v="7214.05"/>
  </r>
  <r>
    <n v="720"/>
    <s v="Electric Motors 7"/>
    <s v="Sugar Division"/>
    <x v="2"/>
    <m/>
    <s v="Juice Costing"/>
    <d v="1954-01-01T00:00:00"/>
    <n v="6181"/>
    <n v="0"/>
    <n v="5871.95"/>
    <n v="309.05000000000018"/>
    <n v="309.05"/>
    <n v="10"/>
    <n v="66.295890410958904"/>
    <n v="390.45"/>
    <n v="67.295890410958904"/>
    <n v="1.7053025658242407E-14"/>
    <n v="390.45"/>
    <n v="309.05"/>
  </r>
  <r>
    <n v="721"/>
    <s v="One Mossecuite Pump With Motor &amp; Pipe Line   "/>
    <s v="Sugar Division"/>
    <x v="2"/>
    <m/>
    <s v="50% each in RS and 50% in DS"/>
    <d v="1991-05-01T00:00:00"/>
    <n v="14703"/>
    <n v="0"/>
    <n v="13967.85"/>
    <n v="735.14999999999964"/>
    <n v="735.15000000000009"/>
    <n v="25"/>
    <n v="28.942465753424656"/>
    <n v="5491"/>
    <n v="29.942465753424656"/>
    <n v="-1.8189894035458565E-14"/>
    <n v="5491"/>
    <n v="735.15000000000009"/>
  </r>
  <r>
    <n v="722"/>
    <s v="Lift (Birla Building -H.O)"/>
    <s v="Sugar Division"/>
    <x v="2"/>
    <m/>
    <s v="Common"/>
    <d v="2006-01-11T00:00:00"/>
    <n v="44806"/>
    <n v="0"/>
    <n v="29030.196127853877"/>
    <n v="15775.803872146123"/>
    <n v="2240.3000000000002"/>
    <n v="15"/>
    <n v="14.232876712328768"/>
    <n v="209734.35"/>
    <n v="15.232876712328768"/>
    <n v="902.36692480974159"/>
    <n v="210636.71692480973"/>
    <n v="2240.3000000000002"/>
  </r>
  <r>
    <n v="723"/>
    <s v="20 H.P. Motors [Four]"/>
    <s v="Sugar Division"/>
    <x v="2"/>
    <m/>
    <s v="Juice Costing"/>
    <d v="1956-01-01T00:00:00"/>
    <n v="4947"/>
    <n v="0"/>
    <n v="4699.6499999999996"/>
    <n v="247.35000000000036"/>
    <n v="247.35000000000002"/>
    <n v="10"/>
    <n v="64.295890410958904"/>
    <n v="70134.7"/>
    <n v="65.295890410958904"/>
    <n v="3.4106051316484814E-14"/>
    <n v="70134.7"/>
    <n v="247.35000000000002"/>
  </r>
  <r>
    <n v="724"/>
    <s v="Extension Of Spray Pipe Line"/>
    <s v="Sugar Division"/>
    <x v="2"/>
    <m/>
    <s v="Juice Costing"/>
    <d v="1991-11-17T00:00:00"/>
    <n v="95302"/>
    <n v="0"/>
    <n v="90536.9"/>
    <n v="4765.1000000000058"/>
    <n v="4765.1000000000004"/>
    <n v="25"/>
    <n v="28.394520547945206"/>
    <n v="40755"/>
    <n v="29.394520547945206"/>
    <n v="2.1827872842550277E-13"/>
    <n v="40755"/>
    <n v="4765.1000000000004"/>
  </r>
  <r>
    <n v="725"/>
    <s v="2 Cart Weighbridges"/>
    <s v="Sugar Division"/>
    <x v="2"/>
    <m/>
    <s v="Upto gate"/>
    <d v="1983-01-01T00:00:00"/>
    <n v="66509"/>
    <n v="0"/>
    <n v="63183.55"/>
    <n v="3325.4499999999971"/>
    <n v="3325.4500000000003"/>
    <n v="15"/>
    <n v="37.276712328767125"/>
    <n v="2793"/>
    <n v="38.276712328767125"/>
    <n v="-2.1221543041368326E-13"/>
    <n v="2793"/>
    <n v="3325.4500000000003"/>
  </r>
  <r>
    <n v="726"/>
    <s v="D-Super Heating Station Unit "/>
    <s v="Sugar Division"/>
    <x v="2"/>
    <m/>
    <s v="DS Costing"/>
    <d v="1991-11-18T00:00:00"/>
    <n v="490871"/>
    <n v="0"/>
    <n v="466327.45"/>
    <n v="24543.549999999988"/>
    <n v="24543.550000000003"/>
    <n v="25"/>
    <n v="28.391780821917809"/>
    <n v="2660.95"/>
    <n v="29.391780821917809"/>
    <n v="-5.8207660913467408E-13"/>
    <n v="2660.9499999999994"/>
    <n v="24543.550000000003"/>
  </r>
  <r>
    <n v="727"/>
    <s v="Triveni Cane Carrier "/>
    <s v="Sugar Division"/>
    <x v="2"/>
    <m/>
    <s v="Juice Costing"/>
    <d v="1991-11-18T00:00:00"/>
    <n v="199393"/>
    <n v="0"/>
    <n v="189423.35"/>
    <n v="9969.6499999999942"/>
    <n v="9969.6500000000015"/>
    <n v="25"/>
    <n v="28.391780821917809"/>
    <n v="2467.15"/>
    <n v="29.391780821917809"/>
    <n v="-2.9103830456733704E-13"/>
    <n v="2467.1499999999996"/>
    <n v="9969.6500000000015"/>
  </r>
  <r>
    <n v="728"/>
    <s v="Lathe 2 With Motor"/>
    <s v="Sugar Division"/>
    <x v="2"/>
    <m/>
    <s v="Common"/>
    <d v="1953-01-01T00:00:00"/>
    <n v="11881"/>
    <n v="0"/>
    <n v="11286.95"/>
    <n v="594.04999999999927"/>
    <n v="594.05000000000007"/>
    <n v="15"/>
    <n v="67.295890410958904"/>
    <n v="2342.6999999999998"/>
    <n v="68.295890410958904"/>
    <n v="-5.3053857603420815E-14"/>
    <n v="2342.6999999999998"/>
    <n v="594.05000000000007"/>
  </r>
  <r>
    <n v="729"/>
    <s v="Suphur Furnace Scrubber"/>
    <s v="Sugar Division"/>
    <x v="2"/>
    <m/>
    <s v="DS Costing"/>
    <d v="1991-11-18T00:00:00"/>
    <n v="108694"/>
    <n v="0"/>
    <n v="103259.3"/>
    <n v="5434.6999999999971"/>
    <n v="5434.7000000000007"/>
    <n v="25"/>
    <n v="28.391780821917809"/>
    <n v="345866.5"/>
    <n v="29.391780821917809"/>
    <n v="-1.4551915228366852E-13"/>
    <n v="345866.5"/>
    <n v="5434.7000000000007"/>
  </r>
  <r>
    <n v="730"/>
    <s v="Trpf For 4 Triveni Mills"/>
    <s v="Sugar Division"/>
    <x v="2"/>
    <m/>
    <s v="Juice Costing"/>
    <d v="1991-11-18T00:00:00"/>
    <n v="20472"/>
    <n v="0"/>
    <n v="19448.400000000001"/>
    <n v="1023.5999999999985"/>
    <n v="1023.6"/>
    <n v="25"/>
    <n v="28.391780821917809"/>
    <n v="38000"/>
    <n v="29.391780821917809"/>
    <n v="-5.9117155615240337E-14"/>
    <n v="38000"/>
    <n v="1023.6"/>
  </r>
  <r>
    <n v="731"/>
    <s v="One Vapour Cell Of 10000 Sq.Ft. H.S."/>
    <s v="Sugar Division"/>
    <x v="2"/>
    <m/>
    <s v="50% each in RS and 50% in DS"/>
    <d v="1991-12-15T00:00:00"/>
    <n v="2011719"/>
    <n v="0"/>
    <n v="1911133.05"/>
    <n v="100585.94999999995"/>
    <n v="100585.95000000001"/>
    <n v="25"/>
    <n v="28.317808219178083"/>
    <n v="3426.65"/>
    <n v="29.317808219178083"/>
    <n v="-2.3283064365386963E-12"/>
    <n v="3426.6499999999978"/>
    <n v="100585.95000000001"/>
  </r>
  <r>
    <n v="732"/>
    <s v="Effluent Treatment Plant Suitable For 4000 Tons Capacity"/>
    <s v="Sugar Division"/>
    <x v="2"/>
    <m/>
    <s v="Utilities - ETP"/>
    <d v="1991-12-15T00:00:00"/>
    <n v="1508666"/>
    <n v="0"/>
    <n v="1433232.7"/>
    <n v="75433.300000000047"/>
    <n v="75433.3"/>
    <n v="25"/>
    <n v="28.317808219178083"/>
    <n v="1141.9000000000001"/>
    <n v="29.317808219178083"/>
    <n v="1.7462298274040222E-12"/>
    <n v="1141.9000000000019"/>
    <n v="75433.3"/>
  </r>
  <r>
    <n v="733"/>
    <s v="Effluent Treatment Plant "/>
    <s v="Sugar Division"/>
    <x v="2"/>
    <m/>
    <s v="Utilities - ETP"/>
    <d v="1991-12-15T00:00:00"/>
    <n v="856198"/>
    <n v="0"/>
    <n v="813388.1"/>
    <n v="42809.900000000023"/>
    <n v="42809.9"/>
    <n v="25"/>
    <n v="28.317808219178083"/>
    <n v="278.35000000000002"/>
    <n v="29.317808219178083"/>
    <n v="8.7311491370201108E-13"/>
    <n v="278.35000000000088"/>
    <n v="42809.9"/>
  </r>
  <r>
    <n v="734"/>
    <s v="Band Saw Machine"/>
    <s v="Sugar Division"/>
    <x v="2"/>
    <m/>
    <s v="Common"/>
    <d v="1953-01-01T00:00:00"/>
    <n v="800"/>
    <n v="0"/>
    <n v="760"/>
    <n v="40"/>
    <n v="40"/>
    <n v="15"/>
    <n v="67.295890410958904"/>
    <n v="24868.15"/>
    <n v="68.295890410958904"/>
    <n v="0"/>
    <n v="24868.15"/>
    <n v="40"/>
  </r>
  <r>
    <n v="735"/>
    <s v="Vapour Cell 10000 Sq.Ft. H.S. "/>
    <s v="Sugar Division"/>
    <x v="2"/>
    <m/>
    <s v="50% each in RS and 50% in DS"/>
    <d v="1991-12-15T00:00:00"/>
    <n v="588702"/>
    <n v="0"/>
    <n v="559266.9"/>
    <n v="29435.099999999977"/>
    <n v="29435.100000000002"/>
    <n v="25"/>
    <n v="28.317808219178083"/>
    <n v="51265.8"/>
    <n v="29.317808219178083"/>
    <n v="-1.0186340659856797E-12"/>
    <n v="51265.8"/>
    <n v="29435.100000000002"/>
  </r>
  <r>
    <n v="736"/>
    <s v="Kakati Vacuum Pump For Vacuum Filter "/>
    <s v="Sugar Division"/>
    <x v="2"/>
    <m/>
    <s v="50% each in RS and 50% in DS"/>
    <d v="1991-12-15T00:00:00"/>
    <n v="43112"/>
    <n v="0"/>
    <n v="40956.400000000001"/>
    <n v="2155.5999999999985"/>
    <n v="2155.6"/>
    <n v="25"/>
    <n v="28.317808219178083"/>
    <n v="20044.05"/>
    <n v="29.317808219178083"/>
    <n v="-5.4569682106375692E-14"/>
    <n v="20044.05"/>
    <n v="2155.6"/>
  </r>
  <r>
    <n v="737"/>
    <s v="Soot Blower Element For  Ahemdabad Boiler "/>
    <s v="Sugar Division"/>
    <x v="2"/>
    <m/>
    <s v="50% each in RS and 50% in DS"/>
    <d v="1991-12-18T00:00:00"/>
    <n v="60617"/>
    <n v="0"/>
    <n v="57586.15"/>
    <n v="3030.8499999999985"/>
    <n v="3030.8500000000004"/>
    <n v="25"/>
    <n v="28.30958904109589"/>
    <n v="8178.55"/>
    <n v="29.30958904109589"/>
    <n v="-7.2759576141834261E-14"/>
    <n v="8178.55"/>
    <n v="3030.8500000000004"/>
  </r>
  <r>
    <n v="738"/>
    <s v="One Centrifugal Machine For 'C' Curing Bma Make Nk-1100"/>
    <s v="Sugar Division"/>
    <x v="2"/>
    <m/>
    <s v="50% each in RS and 50% in DS"/>
    <d v="1991-12-26T00:00:00"/>
    <n v="740008"/>
    <n v="0"/>
    <n v="703007.6"/>
    <n v="37000.400000000023"/>
    <n v="37000.400000000001"/>
    <n v="25"/>
    <n v="28.287671232876711"/>
    <n v="6874.2"/>
    <n v="29.287671232876711"/>
    <n v="8.7311491370201108E-13"/>
    <n v="6874.2000000000007"/>
    <n v="37000.400000000001"/>
  </r>
  <r>
    <n v="739"/>
    <s v="Nk-1100 Centrifugal Machine For 'C' Curing "/>
    <s v="Sugar Division"/>
    <x v="2"/>
    <m/>
    <s v="50% each in RS and 50% in DS"/>
    <d v="1991-12-26T00:00:00"/>
    <n v="192351"/>
    <n v="0"/>
    <n v="182733.45"/>
    <n v="9617.5499999999884"/>
    <n v="9617.5500000000011"/>
    <n v="25"/>
    <n v="28.287671232876711"/>
    <n v="5843.45"/>
    <n v="29.287671232876711"/>
    <n v="-5.0931703299283986E-13"/>
    <n v="5843.4499999999989"/>
    <n v="9617.5500000000011"/>
  </r>
  <r>
    <n v="740"/>
    <s v="Twin Cell Vertical Cooling Crystallizer Of 300 Tons Capacity "/>
    <s v="Sugar Division"/>
    <x v="2"/>
    <m/>
    <s v="50% each in RS and 50% in DS"/>
    <d v="1992-03-04T00:00:00"/>
    <n v="1719890"/>
    <n v="0"/>
    <n v="1633895.5"/>
    <n v="85994.5"/>
    <n v="85994.5"/>
    <n v="25"/>
    <n v="28.098630136986301"/>
    <n v="5256.35"/>
    <n v="29.098630136986301"/>
    <n v="0"/>
    <n v="5256.35"/>
    <n v="85994.5"/>
  </r>
  <r>
    <n v="741"/>
    <s v="Shaping Machine"/>
    <s v="Sugar Division"/>
    <x v="2"/>
    <m/>
    <s v="50% each in RS and 50% in DS"/>
    <d v="1954-01-01T00:00:00"/>
    <n v="6790"/>
    <n v="0"/>
    <n v="6450.5"/>
    <n v="339.5"/>
    <n v="339.5"/>
    <n v="15"/>
    <n v="66.295890410958904"/>
    <n v="2400.65"/>
    <n v="67.295890410958904"/>
    <n v="0"/>
    <n v="2400.65"/>
    <n v="339.5"/>
  </r>
  <r>
    <n v="742"/>
    <s v="5Ton Capacity "/>
    <s v="Sugar Division"/>
    <x v="2"/>
    <m/>
    <s v="50% each in RS and 50% in DS"/>
    <d v="1991-12-13T00:00:00"/>
    <n v="68047"/>
    <n v="0"/>
    <n v="64644.65"/>
    <n v="3402.3499999999985"/>
    <n v="3402.3500000000004"/>
    <n v="15"/>
    <n v="28.323287671232876"/>
    <n v="2075.75"/>
    <n v="29.323287671232876"/>
    <n v="-1.2126596023639043E-13"/>
    <n v="2075.75"/>
    <n v="3402.3500000000004"/>
  </r>
  <r>
    <n v="743"/>
    <s v="Weighing Scale 10 K.G."/>
    <s v="Sugar Division"/>
    <x v="2"/>
    <m/>
    <s v="Upto gate"/>
    <d v="2009-02-15T00:00:00"/>
    <n v="5062.5"/>
    <n v="0"/>
    <n v="2286.5393835616442"/>
    <n v="2775.9606164383558"/>
    <n v="253.125"/>
    <n v="15"/>
    <n v="11.134246575342466"/>
    <n v="891.1"/>
    <n v="12.134246575342466"/>
    <n v="168.18904109589039"/>
    <n v="1059.2890410958903"/>
    <n v="253.125"/>
  </r>
  <r>
    <n v="744"/>
    <s v="Twin Cell Vertical Cooling Crystallizer Of 300 Ton Capacity"/>
    <s v="Sugar Division"/>
    <x v="2"/>
    <m/>
    <s v="50% each in RS and 50% in DS"/>
    <d v="1992-03-04T00:00:00"/>
    <n v="928887"/>
    <n v="0"/>
    <n v="882442.65"/>
    <n v="46444.349999999977"/>
    <n v="46444.350000000006"/>
    <n v="25"/>
    <n v="28.098630136986301"/>
    <n v="370.5"/>
    <n v="29.098630136986301"/>
    <n v="-1.1641532182693482E-12"/>
    <n v="370.49999999999886"/>
    <n v="46444.350000000006"/>
  </r>
  <r>
    <n v="745"/>
    <s v="Planning Machine"/>
    <s v="Sugar Division"/>
    <x v="2"/>
    <m/>
    <s v="50% each in RS and 50% in DS"/>
    <d v="1954-01-01T00:00:00"/>
    <n v="3047"/>
    <n v="0"/>
    <n v="2894.65"/>
    <n v="152.34999999999991"/>
    <n v="152.35"/>
    <n v="15"/>
    <n v="66.295890410958904"/>
    <n v="28544.65"/>
    <n v="67.295890410958904"/>
    <n v="-5.6843418860808018E-15"/>
    <n v="28544.65"/>
    <n v="152.35"/>
  </r>
  <r>
    <n v="746"/>
    <s v="60 Ton Vacuum Pan Complete "/>
    <s v="Sugar Division"/>
    <x v="2"/>
    <m/>
    <s v="50% each in RS and 50% in DS"/>
    <d v="1992-03-06T00:00:00"/>
    <n v="1477805"/>
    <n v="0"/>
    <n v="1403914.75"/>
    <n v="73890.25"/>
    <n v="73890.25"/>
    <n v="25"/>
    <n v="28.093150684931508"/>
    <n v="15938.15"/>
    <n v="29.093150684931508"/>
    <n v="0"/>
    <n v="15938.15"/>
    <n v="73890.25"/>
  </r>
  <r>
    <n v="747"/>
    <s v="One Pan Of 60 Tons With Aluminium Tubes"/>
    <s v="Sugar Division"/>
    <x v="2"/>
    <m/>
    <s v="50% each in RS and 50% in DS"/>
    <d v="1992-03-06T00:00:00"/>
    <n v="949125"/>
    <n v="0"/>
    <n v="901668.75"/>
    <n v="47456.25"/>
    <n v="47456.25"/>
    <n v="25"/>
    <n v="28.093150684931508"/>
    <n v="7219.05"/>
    <n v="29.093150684931508"/>
    <n v="0"/>
    <n v="7219.05"/>
    <n v="47456.25"/>
  </r>
  <r>
    <n v="748"/>
    <s v="Condensate Pump "/>
    <s v="Sugar Division"/>
    <x v="2"/>
    <m/>
    <s v="50% each in RS and 50% in DS"/>
    <d v="1992-03-31T00:00:00"/>
    <n v="35976"/>
    <n v="0"/>
    <n v="34177.199999999997"/>
    <n v="1798.8000000000029"/>
    <n v="1798.8000000000002"/>
    <n v="25"/>
    <n v="28.024657534246575"/>
    <n v="6950.2"/>
    <n v="29.024657534246575"/>
    <n v="1.0913936421275138E-13"/>
    <n v="6950.2"/>
    <n v="1798.8000000000002"/>
  </r>
  <r>
    <n v="749"/>
    <s v="Gear Pump 4&quot;X4&quot; Slurry Mill For Lab "/>
    <s v="Sugar Division"/>
    <x v="2"/>
    <m/>
    <s v="Juice Costing"/>
    <d v="1992-03-31T00:00:00"/>
    <n v="10830"/>
    <n v="0"/>
    <n v="10288.5"/>
    <n v="541.5"/>
    <n v="541.5"/>
    <n v="25"/>
    <n v="28.024657534246575"/>
    <n v="6650.95"/>
    <n v="29.024657534246575"/>
    <n v="0"/>
    <n v="6650.95"/>
    <n v="541.5"/>
  </r>
  <r>
    <n v="750"/>
    <s v="One Juice Heater Of 2500 Sq.Ft. H.S. "/>
    <s v="Sugar Division"/>
    <x v="2"/>
    <m/>
    <s v="50% each in RS and 50% in DS"/>
    <d v="1992-04-30T00:00:00"/>
    <n v="435488"/>
    <n v="0"/>
    <n v="413713.6"/>
    <n v="21774.400000000023"/>
    <n v="21774.400000000001"/>
    <n v="25"/>
    <n v="27.942465753424656"/>
    <n v="4939.05"/>
    <n v="28.942465753424656"/>
    <n v="8.7311491370201108E-13"/>
    <n v="4939.0500000000011"/>
    <n v="21774.400000000001"/>
  </r>
  <r>
    <n v="751"/>
    <s v="Juice Heater Of 2500 Sq.Ft. H.S."/>
    <s v="Sugar Division"/>
    <x v="2"/>
    <m/>
    <s v="50% each in RS and 50% in DS"/>
    <d v="1992-04-30T00:00:00"/>
    <n v="73097"/>
    <n v="0"/>
    <n v="69442.149999999994"/>
    <n v="3654.8500000000058"/>
    <n v="3654.8500000000004"/>
    <n v="25"/>
    <n v="27.942465753424656"/>
    <n v="3984.3"/>
    <n v="28.942465753424656"/>
    <n v="2.1827872842550277E-13"/>
    <n v="3984.3"/>
    <n v="3654.8500000000004"/>
  </r>
  <r>
    <n v="752"/>
    <s v="Syrup Pump 5&quot;X3&quot;"/>
    <s v="Sugar Division"/>
    <x v="2"/>
    <m/>
    <s v="50% each in RS and 50% in DS"/>
    <d v="1992-05-01T00:00:00"/>
    <n v="19318"/>
    <n v="0"/>
    <n v="18352.099999999999"/>
    <n v="965.90000000000146"/>
    <n v="965.90000000000009"/>
    <n v="25"/>
    <n v="27.93972602739726"/>
    <n v="3473.2"/>
    <n v="28.93972602739726"/>
    <n v="5.4569682106375692E-14"/>
    <n v="3473.2"/>
    <n v="965.90000000000009"/>
  </r>
  <r>
    <n v="753"/>
    <s v="Cart Weighbridges 2"/>
    <s v="Sugar Division"/>
    <x v="2"/>
    <m/>
    <s v="Upto gate"/>
    <d v="1987-01-01T00:00:00"/>
    <n v="72800"/>
    <n v="0"/>
    <n v="69160"/>
    <n v="3640"/>
    <n v="3640"/>
    <n v="15"/>
    <n v="33.273972602739725"/>
    <n v="1560.85"/>
    <n v="34.273972602739725"/>
    <n v="0"/>
    <n v="1560.85"/>
    <n v="3640"/>
  </r>
  <r>
    <n v="754"/>
    <s v="Insulation Work Of Pan No. 12"/>
    <s v="Sugar Division"/>
    <x v="2"/>
    <m/>
    <s v="50% each in RS and 50% in DS"/>
    <d v="1992-06-15T00:00:00"/>
    <n v="26080"/>
    <n v="0"/>
    <n v="24776"/>
    <n v="1304"/>
    <n v="1304"/>
    <n v="25"/>
    <n v="27.816438356164383"/>
    <n v="553.85"/>
    <n v="28.816438356164383"/>
    <n v="0"/>
    <n v="553.85"/>
    <n v="1304"/>
  </r>
  <r>
    <n v="755"/>
    <s v="Welding Generator Transformer Set "/>
    <s v="Sugar Division"/>
    <x v="2"/>
    <m/>
    <s v="Common"/>
    <d v="1954-01-01T00:00:00"/>
    <n v="2999"/>
    <n v="0"/>
    <n v="2849.05"/>
    <n v="149.94999999999982"/>
    <n v="149.95000000000002"/>
    <n v="15"/>
    <n v="66.295890410958904"/>
    <n v="22.8"/>
    <n v="67.295890410958904"/>
    <n v="-1.3263464400855204E-14"/>
    <n v="22.799999999999986"/>
    <n v="149.95000000000002"/>
  </r>
  <r>
    <n v="756"/>
    <s v="Insulation Of Juice Heater"/>
    <s v="Sugar Division"/>
    <x v="2"/>
    <m/>
    <s v="50% each in RS and 50% in DS"/>
    <d v="1992-06-15T00:00:00"/>
    <n v="18095"/>
    <n v="0"/>
    <n v="17190.25"/>
    <n v="904.75"/>
    <n v="904.75"/>
    <n v="25"/>
    <n v="27.816438356164383"/>
    <n v="12132.45"/>
    <n v="28.816438356164383"/>
    <n v="0"/>
    <n v="12132.45"/>
    <n v="904.75"/>
  </r>
  <r>
    <n v="757"/>
    <s v="Teramate Electro  Feeder Kit "/>
    <s v="Sugar Division"/>
    <x v="2"/>
    <m/>
    <s v="Juice Costing"/>
    <d v="1992-10-01T00:00:00"/>
    <n v="69189"/>
    <n v="0"/>
    <n v="65729.55"/>
    <n v="3459.4499999999971"/>
    <n v="3459.4500000000003"/>
    <n v="25"/>
    <n v="27.520547945205479"/>
    <n v="138655.35"/>
    <n v="28.520547945205479"/>
    <n v="-1.2732925824820997E-13"/>
    <n v="138655.35"/>
    <n v="3459.4500000000003"/>
  </r>
  <r>
    <n v="758"/>
    <s v="Evaporator Set Of 32000 Sq.Ft. H.S. "/>
    <s v="Sugar Division"/>
    <x v="2"/>
    <m/>
    <s v="50% each in RS and 50% in DS"/>
    <d v="1992-11-27T00:00:00"/>
    <n v="8879959"/>
    <n v="0"/>
    <n v="8435961.0500000007"/>
    <n v="443997.94999999925"/>
    <n v="443997.95"/>
    <n v="25"/>
    <n v="27.364383561643837"/>
    <n v="126355.7"/>
    <n v="28.364383561643837"/>
    <n v="-3.0267983675003053E-11"/>
    <n v="126355.69999999997"/>
    <n v="443997.95"/>
  </r>
  <r>
    <n v="759"/>
    <s v="One New Evaporator Set 32000 Sq.Ft. H.S."/>
    <s v="Sugar Division"/>
    <x v="2"/>
    <m/>
    <s v="50% each in RS and 50% in DS"/>
    <d v="1992-11-27T00:00:00"/>
    <n v="1124119"/>
    <n v="0"/>
    <n v="1067913.05"/>
    <n v="56205.949999999953"/>
    <n v="56205.950000000004"/>
    <n v="25"/>
    <n v="27.364383561643837"/>
    <n v="39078.25"/>
    <n v="28.364383561643837"/>
    <n v="-2.0372681319713594E-12"/>
    <n v="39078.25"/>
    <n v="56205.950000000004"/>
  </r>
  <r>
    <n v="760"/>
    <s v="Vapour Line Juice Heater Of 4000 Sq.Ft. H.S."/>
    <s v="Sugar Division"/>
    <x v="2"/>
    <m/>
    <s v="50% each in RS and 50% in DS"/>
    <d v="1992-11-27T00:00:00"/>
    <n v="227900"/>
    <n v="0"/>
    <n v="216505"/>
    <n v="11395"/>
    <n v="11395"/>
    <n v="25"/>
    <n v="27.364383561643837"/>
    <n v="9860.0499999999993"/>
    <n v="28.364383561643837"/>
    <n v="0"/>
    <n v="9860.0499999999993"/>
    <n v="11395"/>
  </r>
  <r>
    <n v="761"/>
    <s v="Six Centrifugal Machines 42&quot;X20&quot;"/>
    <s v="Sugar Division"/>
    <x v="2"/>
    <m/>
    <s v="50% each in RS and 50% in DS"/>
    <d v="1964-01-01T00:00:00"/>
    <n v="1649"/>
    <n v="0"/>
    <n v="1566.55"/>
    <n v="82.450000000000045"/>
    <n v="82.45"/>
    <n v="10"/>
    <n v="56.290410958904111"/>
    <n v="6581.6"/>
    <n v="57.290410958904111"/>
    <n v="4.2632564145606017E-15"/>
    <n v="6581.6"/>
    <n v="82.45"/>
  </r>
  <r>
    <n v="762"/>
    <s v="4&quot; Gear Pump For Molasses"/>
    <s v="Sugar Division"/>
    <x v="2"/>
    <m/>
    <s v="Common"/>
    <d v="1992-12-01T00:00:00"/>
    <n v="60187"/>
    <n v="0"/>
    <n v="57177.65"/>
    <n v="3009.3499999999985"/>
    <n v="3009.3500000000004"/>
    <n v="25"/>
    <n v="27.353424657534248"/>
    <n v="6402.05"/>
    <n v="28.353424657534248"/>
    <n v="-7.2759576141834261E-14"/>
    <n v="6402.05"/>
    <n v="3009.3500000000004"/>
  </r>
  <r>
    <n v="763"/>
    <s v="One Welding Set "/>
    <s v="Sugar Division"/>
    <x v="2"/>
    <m/>
    <s v="Common"/>
    <d v="1961-01-01T00:00:00"/>
    <n v="2752"/>
    <n v="0"/>
    <n v="2614.4"/>
    <n v="137.59999999999991"/>
    <n v="137.6"/>
    <n v="15"/>
    <n v="59.290410958904111"/>
    <n v="6079.05"/>
    <n v="60.290410958904111"/>
    <n v="-5.6843418860808018E-15"/>
    <n v="6079.05"/>
    <n v="137.6"/>
  </r>
  <r>
    <n v="764"/>
    <s v="Multivoritex Dust Collector"/>
    <s v="Sugar Division"/>
    <x v="2"/>
    <m/>
    <s v="Common"/>
    <d v="1992-12-14T00:00:00"/>
    <n v="172118"/>
    <n v="0"/>
    <n v="163512.1"/>
    <n v="8605.8999999999942"/>
    <n v="8605.9"/>
    <n v="25"/>
    <n v="27.317808219178083"/>
    <n v="2712.25"/>
    <n v="28.317808219178083"/>
    <n v="-2.1827872842550277E-13"/>
    <n v="2712.25"/>
    <n v="8605.9"/>
  </r>
  <r>
    <n v="765"/>
    <s v="60 Ton Pan No.12 With All Accensaries"/>
    <s v="Sugar Division"/>
    <x v="2"/>
    <m/>
    <s v="50% each in RS and 50% in DS"/>
    <d v="1992-12-20T00:00:00"/>
    <n v="2754081"/>
    <n v="0"/>
    <n v="2616376.9500000002"/>
    <n v="137704.04999999981"/>
    <n v="137704.05000000002"/>
    <n v="25"/>
    <n v="27.301369863013697"/>
    <n v="1626.4"/>
    <n v="28.301369863013697"/>
    <n v="-8.1490725278854378E-12"/>
    <n v="1626.3999999999919"/>
    <n v="137704.05000000002"/>
  </r>
  <r>
    <n v="766"/>
    <s v="One 60 Ton Vacuum Pan (Uttam)"/>
    <s v="Sugar Division"/>
    <x v="2"/>
    <m/>
    <s v="50% each in RS and 50% in DS"/>
    <d v="1992-12-20T00:00:00"/>
    <n v="1773540"/>
    <n v="0"/>
    <n v="1684863"/>
    <n v="88677"/>
    <n v="88677"/>
    <n v="25"/>
    <n v="27.301369863013697"/>
    <n v="1170.4000000000001"/>
    <n v="28.301369863013697"/>
    <n v="0"/>
    <n v="1170.4000000000001"/>
    <n v="88677"/>
  </r>
  <r>
    <n v="767"/>
    <s v="One Oliver Vacuum Filter 8'X16' Long "/>
    <s v="Sugar Division"/>
    <x v="2"/>
    <m/>
    <s v="50% each in RS and 50% in DS"/>
    <d v="1992-12-31T00:00:00"/>
    <n v="458528"/>
    <n v="0"/>
    <n v="435601.6"/>
    <n v="22926.400000000023"/>
    <n v="22926.400000000001"/>
    <n v="25"/>
    <n v="27.271232876712329"/>
    <n v="211.85"/>
    <n v="28.271232876712329"/>
    <n v="8.7311491370201108E-13"/>
    <n v="211.85000000000088"/>
    <n v="22926.400000000001"/>
  </r>
  <r>
    <n v="768"/>
    <s v="One Kakati Vacuum Pump "/>
    <s v="Sugar Division"/>
    <x v="2"/>
    <m/>
    <s v="50% each in RS and 50% in DS"/>
    <d v="1992-12-31T00:00:00"/>
    <n v="64197"/>
    <n v="0"/>
    <n v="60987.15"/>
    <n v="3209.8499999999985"/>
    <n v="3209.8500000000004"/>
    <n v="25"/>
    <n v="27.271232876712329"/>
    <n v="42428.9"/>
    <n v="28.271232876712329"/>
    <n v="-7.2759576141834261E-14"/>
    <n v="42428.9"/>
    <n v="3209.8500000000004"/>
  </r>
  <r>
    <n v="769"/>
    <s v="Vacuum Pump Water Ring "/>
    <s v="Sugar Division"/>
    <x v="2"/>
    <m/>
    <s v="50% each in RS and 50% in DS"/>
    <d v="1992-12-31T00:00:00"/>
    <n v="4361"/>
    <n v="0"/>
    <n v="4142.95"/>
    <n v="218.05000000000018"/>
    <n v="218.05"/>
    <n v="25"/>
    <n v="27.271232876712329"/>
    <n v="34891.599999999999"/>
    <n v="28.271232876712329"/>
    <n v="6.8212102632969615E-15"/>
    <n v="34891.599999999999"/>
    <n v="218.05"/>
  </r>
  <r>
    <n v="770"/>
    <s v="Vapour Line Juice Heater Of 4000 Sq.Ft. H.S."/>
    <s v="Sugar Division"/>
    <x v="2"/>
    <m/>
    <s v="50% each in RS and 50% in DS"/>
    <d v="1993-01-15T00:00:00"/>
    <n v="762016"/>
    <n v="0"/>
    <n v="723915.2"/>
    <n v="38100.800000000047"/>
    <n v="38100.800000000003"/>
    <n v="25"/>
    <n v="27.230136986301371"/>
    <n v="28687.15"/>
    <n v="28.230136986301371"/>
    <n v="1.7462298274040222E-12"/>
    <n v="28687.15"/>
    <n v="38100.800000000003"/>
  </r>
  <r>
    <n v="771"/>
    <s v="D-Super Heater "/>
    <s v="Sugar Division"/>
    <x v="2"/>
    <m/>
    <s v="DS Costing"/>
    <d v="1993-01-15T00:00:00"/>
    <n v="33986"/>
    <n v="0"/>
    <n v="32286.7"/>
    <n v="1699.2999999999993"/>
    <n v="1699.3000000000002"/>
    <n v="25"/>
    <n v="27.230136986301371"/>
    <n v="11681.2"/>
    <n v="28.230136986301371"/>
    <n v="-3.637978807091713E-14"/>
    <n v="11681.2"/>
    <n v="1699.3000000000002"/>
  </r>
  <r>
    <n v="772"/>
    <s v="One Fully Automatic C.F. Machine Steep Con For A-Fore Worker "/>
    <s v="Sugar Division"/>
    <x v="2"/>
    <m/>
    <s v="50% each in RS and 50% in DS"/>
    <d v="1993-02-01T00:00:00"/>
    <n v="217256"/>
    <n v="0"/>
    <n v="206393.2"/>
    <n v="10862.799999999988"/>
    <n v="10862.800000000001"/>
    <n v="25"/>
    <n v="27.183561643835617"/>
    <n v="10819.55"/>
    <n v="28.183561643835617"/>
    <n v="-5.0931703299283986E-13"/>
    <n v="10819.55"/>
    <n v="10862.800000000001"/>
  </r>
  <r>
    <n v="773"/>
    <s v="Continuous Syrup Sulphiter"/>
    <s v="Sugar Division"/>
    <x v="2"/>
    <m/>
    <s v="DS Costing"/>
    <d v="1993-02-05T00:00:00"/>
    <n v="409157"/>
    <n v="0"/>
    <n v="388699.15"/>
    <n v="20457.849999999977"/>
    <n v="20457.850000000002"/>
    <n v="25"/>
    <n v="27.172602739726027"/>
    <n v="3023.85"/>
    <n v="28.172602739726027"/>
    <n v="-1.0186340659856797E-12"/>
    <n v="3023.849999999999"/>
    <n v="20457.850000000002"/>
  </r>
  <r>
    <n v="774"/>
    <s v="One A.F. W.Centrifugal Machine Fully Automatic"/>
    <s v="Sugar Division"/>
    <x v="2"/>
    <m/>
    <s v="50% each in RS and 50% in DS"/>
    <d v="1993-02-06T00:00:00"/>
    <n v="1569658"/>
    <n v="0"/>
    <n v="1491175.1"/>
    <n v="78482.899999999907"/>
    <n v="78482.900000000009"/>
    <n v="25"/>
    <n v="27.169863013698631"/>
    <n v="1028.8499999999999"/>
    <n v="28.169863013698631"/>
    <n v="-4.0745362639427189E-12"/>
    <n v="1028.8499999999958"/>
    <n v="78482.900000000009"/>
  </r>
  <r>
    <n v="775"/>
    <s v="One A.Afterworker Continuous C.F. Machine "/>
    <s v="Sugar Division"/>
    <x v="2"/>
    <m/>
    <s v="50% each in RS and 50% in DS"/>
    <d v="1993-02-06T00:00:00"/>
    <n v="1076702"/>
    <n v="0"/>
    <n v="1022866.9"/>
    <n v="53835.099999999977"/>
    <n v="53835.100000000006"/>
    <n v="25"/>
    <n v="27.169863013698631"/>
    <n v="406.6"/>
    <n v="28.169863013698631"/>
    <n v="-1.1641532182693482E-12"/>
    <n v="406.59999999999889"/>
    <n v="53835.100000000006"/>
  </r>
  <r>
    <n v="776"/>
    <s v="1 No. Weighbridge Of 5 Ton Capacity "/>
    <s v="Sugar Division"/>
    <x v="2"/>
    <m/>
    <s v="Upto gate"/>
    <d v="1998-04-01T00:00:00"/>
    <n v="77265"/>
    <n v="0"/>
    <n v="73401.75"/>
    <n v="3863.25"/>
    <n v="3863.25"/>
    <n v="15"/>
    <n v="22.019178082191782"/>
    <n v="53054.65"/>
    <n v="23.019178082191782"/>
    <n v="0"/>
    <n v="53054.65"/>
    <n v="3863.25"/>
  </r>
  <r>
    <n v="777"/>
    <s v="One Fully Automatic C.F. Machine Flat Bottom  For A-After Worker"/>
    <s v="Sugar Division"/>
    <x v="2"/>
    <m/>
    <s v="50% each in RS and 50% in DS"/>
    <d v="1993-02-06T00:00:00"/>
    <n v="734067"/>
    <n v="0"/>
    <n v="697363.65"/>
    <n v="36703.349999999977"/>
    <n v="36703.35"/>
    <n v="25"/>
    <n v="27.169863013698631"/>
    <n v="16047.4"/>
    <n v="28.169863013698631"/>
    <n v="-8.7311491370201108E-13"/>
    <n v="16047.4"/>
    <n v="36703.35"/>
  </r>
  <r>
    <n v="778"/>
    <s v="300 K.W. Generator Set "/>
    <s v="Sugar Division"/>
    <x v="2"/>
    <m/>
    <s v="Juice Costing"/>
    <d v="1967-01-01T00:00:00"/>
    <n v="18798"/>
    <n v="0"/>
    <n v="17858.099999999999"/>
    <n v="939.90000000000146"/>
    <n v="939.90000000000009"/>
    <n v="10"/>
    <n v="53.287671232876711"/>
    <n v="14465.65"/>
    <n v="54.287671232876711"/>
    <n v="1.3642420526593926E-13"/>
    <n v="14465.65"/>
    <n v="939.90000000000009"/>
  </r>
  <r>
    <n v="779"/>
    <s v="Ring Cane Juice Machine "/>
    <s v="Sugar Division"/>
    <x v="2"/>
    <m/>
    <s v="Juice Costing"/>
    <d v="1993-02-27T00:00:00"/>
    <n v="5074"/>
    <n v="0"/>
    <n v="4820.3"/>
    <n v="253.69999999999982"/>
    <n v="253.70000000000002"/>
    <n v="25"/>
    <n v="27.112328767123287"/>
    <n v="6096.15"/>
    <n v="28.112328767123287"/>
    <n v="-7.9580786405131228E-15"/>
    <n v="6096.15"/>
    <n v="253.70000000000002"/>
  </r>
  <r>
    <n v="780"/>
    <s v="Sulphur Burner"/>
    <s v="Sugar Division"/>
    <x v="2"/>
    <m/>
    <s v="DS Costing"/>
    <d v="1993-03-01T00:00:00"/>
    <n v="401621"/>
    <n v="0"/>
    <n v="381539.95"/>
    <n v="20081.049999999988"/>
    <n v="20081.050000000003"/>
    <n v="25"/>
    <n v="27.106849315068494"/>
    <n v="5163.25"/>
    <n v="28.106849315068494"/>
    <n v="-5.8207660913467408E-13"/>
    <n v="5163.2499999999991"/>
    <n v="20081.050000000003"/>
  </r>
  <r>
    <n v="781"/>
    <s v="Additional Centrifugal Water Pump No. Sdc 150/200"/>
    <s v="Sugar Division"/>
    <x v="2"/>
    <m/>
    <s v="50% each in RS and 50% in DS"/>
    <d v="1993-03-01T00:00:00"/>
    <n v="125102"/>
    <n v="0"/>
    <n v="118846.9"/>
    <n v="6255.1000000000058"/>
    <n v="6255.1"/>
    <n v="25"/>
    <n v="27.106849315068494"/>
    <n v="433482.15"/>
    <n v="28.106849315068494"/>
    <n v="2.1827872842550277E-13"/>
    <n v="433482.15"/>
    <n v="6255.1"/>
  </r>
  <r>
    <n v="782"/>
    <s v="Boiler Feed Pump"/>
    <s v="Sugar Division"/>
    <x v="2"/>
    <m/>
    <s v="Steam"/>
    <d v="1953-01-01T00:00:00"/>
    <n v="8024"/>
    <n v="0"/>
    <n v="7622.8"/>
    <n v="401.19999999999982"/>
    <n v="401.20000000000005"/>
    <n v="25"/>
    <n v="67.295890410958904"/>
    <n v="37385.35"/>
    <n v="68.295890410958904"/>
    <n v="-9.0949470177292826E-15"/>
    <n v="37385.35"/>
    <n v="401.20000000000005"/>
  </r>
  <r>
    <n v="783"/>
    <s v="Additional Vertical Mixed Flow Water Pump V Hf-500 (1616)"/>
    <s v="Sugar Division"/>
    <x v="2"/>
    <m/>
    <s v="Juice Costing"/>
    <d v="1993-03-01T00:00:00"/>
    <n v="117575"/>
    <n v="0"/>
    <n v="111696.25"/>
    <n v="5878.75"/>
    <n v="5878.75"/>
    <n v="25"/>
    <n v="27.106849315068494"/>
    <n v="16339.05"/>
    <n v="28.106849315068494"/>
    <n v="0"/>
    <n v="16339.05"/>
    <n v="5878.75"/>
  </r>
  <r>
    <n v="784"/>
    <s v="Additional 2Nos. Centrifugal Pumps Dsm -2 Type "/>
    <s v="Sugar Division"/>
    <x v="2"/>
    <m/>
    <s v="50% each in RS and 50% in DS"/>
    <d v="1993-03-01T00:00:00"/>
    <n v="42864"/>
    <n v="0"/>
    <n v="40720.800000000003"/>
    <n v="2143.1999999999971"/>
    <n v="2143.2000000000003"/>
    <n v="25"/>
    <n v="27.106849315068494"/>
    <n v="5936.55"/>
    <n v="28.106849315068494"/>
    <n v="-1.2732925824820997E-13"/>
    <n v="5936.55"/>
    <n v="2143.2000000000003"/>
  </r>
  <r>
    <n v="785"/>
    <s v="Centrifugal Water Pump 150X300 "/>
    <s v="Sugar Division"/>
    <x v="2"/>
    <m/>
    <s v="50% each in RS and 50% in DS"/>
    <d v="1993-04-10T00:00:00"/>
    <n v="45325"/>
    <n v="0"/>
    <n v="43058.75"/>
    <n v="2266.25"/>
    <n v="2266.25"/>
    <n v="25"/>
    <n v="26.997260273972604"/>
    <n v="13688.55"/>
    <n v="27.997260273972604"/>
    <n v="0"/>
    <n v="13688.55"/>
    <n v="2266.25"/>
  </r>
  <r>
    <n v="786"/>
    <s v="Spray Pump "/>
    <s v="Sugar Division"/>
    <x v="2"/>
    <m/>
    <s v="Common"/>
    <d v="1993-04-10T00:00:00"/>
    <n v="12616"/>
    <n v="0"/>
    <n v="11985.2"/>
    <n v="630.79999999999927"/>
    <n v="630.80000000000007"/>
    <n v="25"/>
    <n v="26.997260273972604"/>
    <n v="13426.35"/>
    <n v="27.997260273972604"/>
    <n v="-3.1832314562052491E-14"/>
    <n v="13426.35"/>
    <n v="630.80000000000007"/>
  </r>
  <r>
    <n v="787"/>
    <s v="Motor For Sulphur Juice Pump "/>
    <s v="Sugar Division"/>
    <x v="2"/>
    <m/>
    <s v="DS Costing"/>
    <d v="1993-04-20T00:00:00"/>
    <n v="72376"/>
    <n v="0"/>
    <n v="68757.2"/>
    <n v="3618.8000000000029"/>
    <n v="3618.8"/>
    <n v="25"/>
    <n v="26.969863013698632"/>
    <n v="13289.55"/>
    <n v="27.969863013698632"/>
    <n v="1.0913936421275138E-13"/>
    <n v="13289.55"/>
    <n v="3618.8"/>
  </r>
  <r>
    <n v="788"/>
    <s v="Vacuum Filter  Drum Of 8'X16' Size "/>
    <s v="Sugar Division"/>
    <x v="2"/>
    <m/>
    <s v="50% each in RS and 50% in DS"/>
    <d v="1993-11-11T00:00:00"/>
    <n v="687646"/>
    <n v="0"/>
    <n v="653263.69999999995"/>
    <n v="34382.300000000047"/>
    <n v="34382.300000000003"/>
    <n v="25"/>
    <n v="26.408219178082192"/>
    <n v="11742.95"/>
    <n v="27.408219178082192"/>
    <n v="1.7462298274040222E-12"/>
    <n v="11742.950000000003"/>
    <n v="34382.300000000003"/>
  </r>
  <r>
    <n v="789"/>
    <s v="Rotary Gear Pump "/>
    <s v="Sugar Division"/>
    <x v="2"/>
    <m/>
    <s v="50% each in RS and 50% in DS"/>
    <d v="1993-11-20T00:00:00"/>
    <n v="20568"/>
    <n v="0"/>
    <n v="19539.599999999999"/>
    <n v="1028.4000000000015"/>
    <n v="1028.4000000000001"/>
    <n v="25"/>
    <n v="26.383561643835616"/>
    <n v="11470.3"/>
    <n v="27.383561643835616"/>
    <n v="5.4569682106375692E-14"/>
    <n v="11470.3"/>
    <n v="1028.4000000000001"/>
  </r>
  <r>
    <n v="790"/>
    <s v="1 No.5  Ton Weighbridge For Amethi Centre"/>
    <s v="Sugar Division"/>
    <x v="2"/>
    <m/>
    <s v="Upto gate"/>
    <d v="1993-11-21T00:00:00"/>
    <n v="78248"/>
    <n v="0"/>
    <n v="74335.600000000006"/>
    <n v="3912.3999999999942"/>
    <n v="3912.4"/>
    <n v="15"/>
    <n v="26.38082191780822"/>
    <n v="9555.1"/>
    <n v="27.38082191780822"/>
    <n v="-3.9411437076826892E-13"/>
    <n v="9555.1"/>
    <n v="3912.4"/>
  </r>
  <r>
    <n v="791"/>
    <s v="Sulphur Burner"/>
    <s v="Sugar Division"/>
    <x v="2"/>
    <m/>
    <s v="DS Costing"/>
    <d v="1993-11-21T00:00:00"/>
    <n v="25156"/>
    <n v="0"/>
    <n v="23898.2"/>
    <n v="1257.7999999999993"/>
    <n v="1257.8000000000002"/>
    <n v="25"/>
    <n v="26.38082191780822"/>
    <n v="8813.15"/>
    <n v="27.38082191780822"/>
    <n v="-3.637978807091713E-14"/>
    <n v="8813.15"/>
    <n v="1257.8000000000002"/>
  </r>
  <r>
    <n v="792"/>
    <s v="Juice Heaters Of 270 M2 H.S. "/>
    <s v="Sugar Division"/>
    <x v="2"/>
    <m/>
    <s v="50% each in RS and 50% in DS"/>
    <d v="1993-11-22T00:00:00"/>
    <n v="2495169"/>
    <n v="0"/>
    <n v="2370410.5499999998"/>
    <n v="124758.45000000019"/>
    <n v="124758.45000000001"/>
    <n v="25"/>
    <n v="26.378082191780823"/>
    <n v="7399.55"/>
    <n v="27.378082191780823"/>
    <n v="6.9849193096160886E-12"/>
    <n v="7399.5500000000075"/>
    <n v="124758.45000000001"/>
  </r>
  <r>
    <n v="793"/>
    <s v="Cane Unloader Crane Bridge Spun "/>
    <s v="Sugar Division"/>
    <x v="2"/>
    <m/>
    <s v="Juice Costing"/>
    <d v="1993-11-22T00:00:00"/>
    <n v="1388672"/>
    <n v="0"/>
    <n v="1319238.3999999999"/>
    <n v="69433.600000000093"/>
    <n v="69433.600000000006"/>
    <n v="25"/>
    <n v="26.378082191780823"/>
    <n v="5072.05"/>
    <n v="27.378082191780823"/>
    <n v="3.4924596548080443E-12"/>
    <n v="5072.0500000000038"/>
    <n v="69433.600000000006"/>
  </r>
  <r>
    <n v="794"/>
    <s v="Sulphur Oven 2 "/>
    <s v="Sugar Division"/>
    <x v="2"/>
    <m/>
    <s v="DS Costing"/>
    <d v="1953-01-01T00:00:00"/>
    <n v="1523"/>
    <n v="0"/>
    <n v="1446.85"/>
    <n v="76.150000000000091"/>
    <n v="76.150000000000006"/>
    <n v="25"/>
    <n v="67.295890410958904"/>
    <n v="220715.4"/>
    <n v="68.295890410958904"/>
    <n v="3.4106051316484808E-15"/>
    <n v="220715.4"/>
    <n v="76.150000000000006"/>
  </r>
  <r>
    <n v="795"/>
    <s v="Mixer"/>
    <s v="Sugar Division"/>
    <x v="2"/>
    <m/>
    <s v="Common"/>
    <d v="1953-01-01T00:00:00"/>
    <n v="1016"/>
    <n v="0"/>
    <n v="965.2"/>
    <n v="50.799999999999955"/>
    <n v="50.800000000000004"/>
    <n v="25"/>
    <n v="67.295890410958904"/>
    <n v="543.4"/>
    <n v="68.295890410958904"/>
    <n v="-1.9895196601282807E-15"/>
    <n v="543.4"/>
    <n v="50.800000000000004"/>
  </r>
  <r>
    <n v="796"/>
    <s v="New Lathe Machine"/>
    <s v="Sugar Division"/>
    <x v="2"/>
    <m/>
    <s v="Common"/>
    <d v="1963-01-01T00:00:00"/>
    <n v="12957"/>
    <n v="0"/>
    <n v="12309.15"/>
    <n v="647.85000000000036"/>
    <n v="647.85"/>
    <n v="15"/>
    <n v="57.290410958904111"/>
    <n v="48845.2"/>
    <n v="58.290410958904111"/>
    <n v="2.2737367544323207E-14"/>
    <n v="48845.2"/>
    <n v="647.85"/>
  </r>
  <r>
    <n v="797"/>
    <s v="1 No.Bharat Cart Weighbridge "/>
    <s v="Sugar Division"/>
    <x v="2"/>
    <m/>
    <s v="Upto gate"/>
    <d v="1994-11-06T00:00:00"/>
    <n v="81442"/>
    <n v="0"/>
    <n v="77369.899999999994"/>
    <n v="4072.1000000000058"/>
    <n v="4072.1000000000004"/>
    <n v="15"/>
    <n v="25.421917808219177"/>
    <n v="33820.949999999997"/>
    <n v="26.421917808219177"/>
    <n v="3.6379788070917132E-13"/>
    <n v="33820.949999999997"/>
    <n v="4072.1000000000004"/>
  </r>
  <r>
    <n v="798"/>
    <s v="Slotting Machine"/>
    <s v="Sugar Division"/>
    <x v="2"/>
    <m/>
    <s v="Common"/>
    <d v="1963-01-01T00:00:00"/>
    <n v="6173"/>
    <n v="0"/>
    <n v="5864.35"/>
    <n v="308.64999999999964"/>
    <n v="308.65000000000003"/>
    <n v="15"/>
    <n v="57.290410958904111"/>
    <n v="3289.85"/>
    <n v="58.290410958904111"/>
    <n v="-2.6526928801710407E-14"/>
    <n v="3289.85"/>
    <n v="308.65000000000003"/>
  </r>
  <r>
    <n v="799"/>
    <s v="1 No. Bharat Cart Weighbridge"/>
    <s v="Sugar Division"/>
    <x v="2"/>
    <m/>
    <s v="Upto gate"/>
    <d v="1994-11-25T00:00:00"/>
    <n v="81442"/>
    <n v="0"/>
    <n v="77369.899999999994"/>
    <n v="4072.1000000000058"/>
    <n v="4072.1000000000004"/>
    <n v="15"/>
    <n v="25.36986301369863"/>
    <n v="1729.95"/>
    <n v="26.36986301369863"/>
    <n v="3.6379788070917132E-13"/>
    <n v="1729.9500000000005"/>
    <n v="4072.1000000000004"/>
  </r>
  <r>
    <n v="800"/>
    <s v="Weighbridge 10 Ton "/>
    <s v="Sugar Division"/>
    <x v="2"/>
    <m/>
    <s v="Upto gate"/>
    <d v="2001-01-31T00:00:00"/>
    <n v="220670"/>
    <n v="0"/>
    <n v="209636.5"/>
    <n v="11033.5"/>
    <n v="11033.5"/>
    <n v="15"/>
    <n v="19.18082191780822"/>
    <n v="354.35"/>
    <n v="20.18082191780822"/>
    <n v="0"/>
    <n v="354.35"/>
    <n v="11033.5"/>
  </r>
  <r>
    <n v="801"/>
    <s v="8 Tons Bolougne Scale For Weighment "/>
    <s v="Sugar Division"/>
    <x v="2"/>
    <m/>
    <s v="Upto gate"/>
    <d v="1993-11-22T00:00:00"/>
    <n v="962898"/>
    <n v="0"/>
    <n v="914753.1"/>
    <n v="48144.900000000023"/>
    <n v="48144.9"/>
    <n v="25"/>
    <n v="26.378082191780823"/>
    <n v="27760.9"/>
    <n v="27.378082191780823"/>
    <n v="8.7311491370201108E-13"/>
    <n v="27760.9"/>
    <n v="48144.9"/>
  </r>
  <r>
    <n v="802"/>
    <s v="2 Nos. Boiler Feed Pump"/>
    <s v="Sugar Division"/>
    <x v="2"/>
    <m/>
    <s v="Steam"/>
    <d v="1993-11-22T00:00:00"/>
    <n v="924490"/>
    <n v="0"/>
    <n v="878265.5"/>
    <n v="46224.5"/>
    <n v="46224.5"/>
    <n v="25"/>
    <n v="26.378082191780823"/>
    <n v="2612.5"/>
    <n v="27.378082191780823"/>
    <n v="0"/>
    <n v="2612.5"/>
    <n v="46224.5"/>
  </r>
  <r>
    <n v="803"/>
    <s v="Air Compressor Of 600 M3 Per Hr."/>
    <s v="Sugar Division"/>
    <x v="2"/>
    <m/>
    <s v="Juice Costing"/>
    <d v="1993-11-22T00:00:00"/>
    <n v="395969"/>
    <n v="0"/>
    <n v="376170.55"/>
    <n v="19798.450000000012"/>
    <n v="19798.45"/>
    <n v="25"/>
    <n v="26.378082191780823"/>
    <n v="2299"/>
    <n v="27.378082191780823"/>
    <n v="4.3655745685100554E-13"/>
    <n v="2299.0000000000005"/>
    <n v="19798.45"/>
  </r>
  <r>
    <n v="804"/>
    <s v="7 Nos. Filterate Pumps For Vacuum Filter "/>
    <s v="Sugar Division"/>
    <x v="2"/>
    <m/>
    <s v="50% each in RS and 50% in DS"/>
    <d v="1993-11-22T00:00:00"/>
    <n v="259820"/>
    <n v="0"/>
    <n v="246829"/>
    <n v="12991"/>
    <n v="12991"/>
    <n v="25"/>
    <n v="26.378082191780823"/>
    <n v="1747.05"/>
    <n v="27.378082191780823"/>
    <n v="0"/>
    <n v="1747.05"/>
    <n v="12991"/>
  </r>
  <r>
    <n v="805"/>
    <s v="Dynodrive Of 75Kw For Trpf "/>
    <s v="Sugar Division"/>
    <x v="2"/>
    <m/>
    <s v="Juice Costing"/>
    <d v="1993-11-22T00:00:00"/>
    <n v="229027"/>
    <n v="0"/>
    <n v="217575.65"/>
    <n v="11451.350000000006"/>
    <n v="11451.35"/>
    <n v="25"/>
    <n v="26.378082191780823"/>
    <n v="805.6"/>
    <n v="27.378082191780823"/>
    <n v="2.1827872842550277E-13"/>
    <n v="805.60000000000025"/>
    <n v="11451.35"/>
  </r>
  <r>
    <n v="806"/>
    <s v="Disc Type Cooling Element For 5 Nos. 50 Ton Crystallizers "/>
    <s v="Sugar Division"/>
    <x v="2"/>
    <m/>
    <s v="50% each in RS and 50% in DS"/>
    <d v="1993-11-23T00:00:00"/>
    <n v="1212914"/>
    <n v="0"/>
    <n v="1152268.3"/>
    <n v="60645.699999999953"/>
    <n v="60645.700000000004"/>
    <n v="25"/>
    <n v="26.375342465753423"/>
    <n v="494"/>
    <n v="27.375342465753423"/>
    <n v="-2.0372681319713594E-12"/>
    <n v="493.99999999999795"/>
    <n v="60645.700000000004"/>
  </r>
  <r>
    <n v="807"/>
    <s v="Installation Of Old Chopper Of 40 Knives"/>
    <s v="Sugar Division"/>
    <x v="2"/>
    <m/>
    <s v="Juice Costing"/>
    <d v="1993-11-23T00:00:00"/>
    <n v="496831"/>
    <n v="0"/>
    <n v="471989.45"/>
    <n v="24841.549999999988"/>
    <n v="24841.550000000003"/>
    <n v="25"/>
    <n v="26.375342465753423"/>
    <n v="381.9"/>
    <n v="27.375342465753423"/>
    <n v="-5.8207660913467408E-13"/>
    <n v="381.89999999999941"/>
    <n v="24841.550000000003"/>
  </r>
  <r>
    <n v="808"/>
    <s v="1 No. Weighbridge 5 Ton Cap."/>
    <s v="Sugar Division"/>
    <x v="2"/>
    <m/>
    <s v="Upto gate"/>
    <d v="1995-11-17T00:00:00"/>
    <n v="89180"/>
    <n v="0"/>
    <n v="84721"/>
    <n v="4459"/>
    <n v="4459"/>
    <n v="15"/>
    <n v="24.391780821917809"/>
    <n v="27634.55"/>
    <n v="25.391780821917809"/>
    <n v="0"/>
    <n v="27634.55"/>
    <n v="4459"/>
  </r>
  <r>
    <n v="809"/>
    <s v="One Nos. Vertical Motor Of 150 H.P. With Pumps"/>
    <s v="Sugar Division"/>
    <x v="2"/>
    <m/>
    <s v="Juice Costing"/>
    <d v="1993-11-23T00:00:00"/>
    <n v="364911"/>
    <n v="0"/>
    <n v="346665.45"/>
    <n v="18245.549999999988"/>
    <n v="18245.55"/>
    <n v="25"/>
    <n v="26.375342465753423"/>
    <n v="17051.55"/>
    <n v="27.375342465753423"/>
    <n v="-4.3655745685100554E-13"/>
    <n v="17051.55"/>
    <n v="18245.55"/>
  </r>
  <r>
    <n v="810"/>
    <s v="Elactrical Cables, Busbar,Switches,Starter Etc."/>
    <s v="Sugar Division"/>
    <x v="2"/>
    <m/>
    <s v="Common"/>
    <d v="1993-11-25T00:00:00"/>
    <n v="900554"/>
    <n v="0"/>
    <n v="855526.3"/>
    <n v="45027.699999999953"/>
    <n v="45027.700000000004"/>
    <n v="25"/>
    <n v="26.36986301369863"/>
    <n v="5180.3500000000004"/>
    <n v="27.36986301369863"/>
    <n v="-2.0372681319713594E-12"/>
    <n v="5180.3499999999985"/>
    <n v="45027.700000000004"/>
  </r>
  <r>
    <n v="811"/>
    <s v="Vacuum Pump D-5"/>
    <s v="Sugar Division"/>
    <x v="2"/>
    <m/>
    <s v="Common"/>
    <d v="1993-11-28T00:00:00"/>
    <n v="4988"/>
    <n v="0"/>
    <n v="4738.6000000000004"/>
    <n v="249.39999999999964"/>
    <n v="249.4"/>
    <n v="25"/>
    <n v="26.361643835616437"/>
    <n v="1927.55"/>
    <n v="27.361643835616437"/>
    <n v="-1.4779288903810084E-14"/>
    <n v="1927.55"/>
    <n v="249.4"/>
  </r>
  <r>
    <n v="812"/>
    <s v="Cane Leveller Engine With Shaft C.S. Holders &amp; Knives"/>
    <s v="Sugar Division"/>
    <x v="2"/>
    <m/>
    <s v="Juice Costing"/>
    <d v="1954-01-01T00:00:00"/>
    <n v="22655"/>
    <n v="0"/>
    <n v="21522.25"/>
    <n v="1132.75"/>
    <n v="1132.75"/>
    <n v="25"/>
    <n v="66.295890410958904"/>
    <n v="1082.05"/>
    <n v="67.295890410958904"/>
    <n v="0"/>
    <n v="1082.05"/>
    <n v="1132.75"/>
  </r>
  <r>
    <n v="813"/>
    <s v="Weighing Scale 100 K.G."/>
    <s v="Sugar Division"/>
    <x v="2"/>
    <m/>
    <s v="Upto gate"/>
    <d v="2009-02-15T00:00:00"/>
    <n v="8437.5"/>
    <n v="0"/>
    <n v="3810.8989726027398"/>
    <n v="4626.6010273972606"/>
    <n v="421.875"/>
    <n v="15"/>
    <n v="11.134246575342466"/>
    <n v="193.8"/>
    <n v="12.134246575342466"/>
    <n v="280.3150684931507"/>
    <n v="474.11506849315072"/>
    <n v="421.875"/>
  </r>
  <r>
    <n v="814"/>
    <s v="Feed Pump"/>
    <s v="Sugar Division"/>
    <x v="2"/>
    <m/>
    <s v="Juice Costing"/>
    <d v="1954-01-01T00:00:00"/>
    <n v="9689"/>
    <n v="0"/>
    <n v="9204.5499999999993"/>
    <n v="484.45000000000073"/>
    <n v="484.45000000000005"/>
    <n v="25"/>
    <n v="66.295890410958904"/>
    <n v="56022.45"/>
    <n v="67.295890410958904"/>
    <n v="2.7284841053187846E-14"/>
    <n v="56022.45"/>
    <n v="484.45000000000005"/>
  </r>
  <r>
    <n v="815"/>
    <s v="Weighbridge 10 Ton"/>
    <s v="Sugar Division"/>
    <x v="2"/>
    <m/>
    <s v="Upto gate"/>
    <d v="2014-03-15T00:00:00"/>
    <n v="9561.7099999999991"/>
    <n v="0"/>
    <n v="1242.6730137899544"/>
    <n v="8319.0369862100451"/>
    <n v="478.08549999999997"/>
    <n v="15"/>
    <n v="6.0547945205479454"/>
    <n v="23808.9"/>
    <n v="7.0547945205479454"/>
    <n v="522.73009908066967"/>
    <n v="24331.63009908067"/>
    <n v="478.08549999999997"/>
  </r>
  <r>
    <n v="816"/>
    <s v="Computer Weighbridge-2"/>
    <s v="Sugar Division"/>
    <x v="2"/>
    <m/>
    <s v="Upto gate"/>
    <d v="1998-12-31T00:00:00"/>
    <n v="190873"/>
    <n v="0"/>
    <n v="181329.35"/>
    <n v="9543.6499999999942"/>
    <n v="9543.65"/>
    <n v="15"/>
    <n v="21.268493150684932"/>
    <n v="3239.5"/>
    <n v="22.268493150684932"/>
    <n v="-3.6379788070917132E-13"/>
    <n v="3239.4999999999995"/>
    <n v="9543.65"/>
  </r>
  <r>
    <n v="817"/>
    <s v="Beam Scale      "/>
    <s v="Sugar Division"/>
    <x v="2"/>
    <m/>
    <s v="50% each in RS and 50% in DS"/>
    <d v="2002-03-31T00:00:00"/>
    <n v="66804"/>
    <n v="0"/>
    <n v="63463.8"/>
    <n v="3340.1999999999971"/>
    <n v="3340.2000000000003"/>
    <n v="15"/>
    <n v="18.019178082191782"/>
    <n v="1939.9"/>
    <n v="19.019178082191782"/>
    <n v="-2.1221543041368326E-13"/>
    <n v="1939.8999999999999"/>
    <n v="3340.2000000000003"/>
  </r>
  <r>
    <n v="818"/>
    <s v="Sugar Grader "/>
    <s v="Sugar Division"/>
    <x v="2"/>
    <m/>
    <s v="50% each in RS and 50% in DS"/>
    <d v="1993-11-30T00:00:00"/>
    <n v="579327"/>
    <n v="0"/>
    <n v="550360.65"/>
    <n v="28966.349999999977"/>
    <n v="28966.350000000002"/>
    <n v="25"/>
    <n v="26.356164383561644"/>
    <n v="254625.65"/>
    <n v="27.356164383561644"/>
    <n v="-1.0186340659856797E-12"/>
    <n v="254625.65"/>
    <n v="28966.350000000002"/>
  </r>
  <r>
    <n v="819"/>
    <s v="Bag Closing  Machine"/>
    <s v="Sugar Division"/>
    <x v="2"/>
    <m/>
    <s v="50% each in RS and 50% in DS"/>
    <d v="1993-11-30T00:00:00"/>
    <n v="56926"/>
    <n v="0"/>
    <n v="54079.7"/>
    <n v="2846.3000000000029"/>
    <n v="2846.3"/>
    <n v="25"/>
    <n v="26.356164383561644"/>
    <n v="26429"/>
    <n v="27.356164383561644"/>
    <n v="1.0913936421275138E-13"/>
    <n v="26429"/>
    <n v="2846.3"/>
  </r>
  <r>
    <n v="820"/>
    <s v="Pan 60 Tons Capacity With Condenser "/>
    <s v="Sugar Division"/>
    <x v="2"/>
    <m/>
    <s v="50% each in RS and 50% in DS"/>
    <d v="1993-12-01T00:00:00"/>
    <n v="3962946"/>
    <n v="0"/>
    <n v="3764798.7"/>
    <n v="198147.29999999981"/>
    <n v="198147.30000000002"/>
    <n v="25"/>
    <n v="26.353424657534248"/>
    <n v="1501"/>
    <n v="27.353424657534248"/>
    <n v="-8.1490725278854378E-12"/>
    <n v="1500.9999999999918"/>
    <n v="198147.30000000002"/>
  </r>
  <r>
    <n v="821"/>
    <s v="Nk1100 Continuous C.F. Machine For &quot;B&quot; Curing"/>
    <s v="Sugar Division"/>
    <x v="2"/>
    <m/>
    <s v="50% each in RS and 50% in DS"/>
    <d v="1993-12-01T00:00:00"/>
    <n v="2718249"/>
    <n v="0"/>
    <n v="2582336.5499999998"/>
    <n v="135912.45000000019"/>
    <n v="135912.45000000001"/>
    <n v="25"/>
    <n v="26.353424657534248"/>
    <n v="209444.6"/>
    <n v="27.353424657534248"/>
    <n v="6.9849193096160886E-12"/>
    <n v="209444.6"/>
    <n v="135912.45000000001"/>
  </r>
  <r>
    <n v="822"/>
    <s v="Ten Tone Crane 2"/>
    <s v="Sugar Division"/>
    <x v="2"/>
    <m/>
    <s v="Juice Costing"/>
    <d v="1954-01-01T00:00:00"/>
    <n v="9689"/>
    <n v="0"/>
    <n v="9204.5499999999993"/>
    <n v="484.45000000000073"/>
    <n v="484.45000000000005"/>
    <n v="25"/>
    <n v="66.295890410958904"/>
    <n v="36314.699999999997"/>
    <n v="67.295890410958904"/>
    <n v="2.7284841053187846E-14"/>
    <n v="36314.699999999997"/>
    <n v="484.45000000000005"/>
  </r>
  <r>
    <n v="823"/>
    <s v="Two Crystallizers Of 90 Tons Capacity "/>
    <s v="Sugar Division"/>
    <x v="2"/>
    <m/>
    <s v="50% each in RS and 50% in DS"/>
    <d v="1993-12-01T00:00:00"/>
    <n v="2066788"/>
    <n v="0"/>
    <n v="1963448.6"/>
    <n v="103339.39999999991"/>
    <n v="103339.40000000001"/>
    <n v="25"/>
    <n v="26.353424657534248"/>
    <n v="24318.1"/>
    <n v="27.353424657534248"/>
    <n v="-4.0745362639427189E-12"/>
    <n v="24318.099999999995"/>
    <n v="103339.40000000001"/>
  </r>
  <r>
    <n v="824"/>
    <s v="Rain &amp;Shower Condenser "/>
    <s v="Sugar Division"/>
    <x v="2"/>
    <m/>
    <s v="Common"/>
    <d v="1993-12-01T00:00:00"/>
    <n v="463284"/>
    <n v="0"/>
    <n v="440119.8"/>
    <n v="23164.200000000012"/>
    <n v="23164.2"/>
    <n v="25"/>
    <n v="26.353424657534248"/>
    <n v="440082.75"/>
    <n v="27.353424657534248"/>
    <n v="4.3655745685100554E-13"/>
    <n v="440082.75"/>
    <n v="23164.2"/>
  </r>
  <r>
    <n v="825"/>
    <s v="Weighbridge"/>
    <s v="Sugar Division"/>
    <x v="2"/>
    <m/>
    <s v="Upto gate"/>
    <d v="2008-02-15T00:00:00"/>
    <n v="19062.5"/>
    <n v="0"/>
    <n v="9820.4081050228324"/>
    <n v="9242.0918949771676"/>
    <n v="953.125"/>
    <n v="15"/>
    <n v="12.136986301369863"/>
    <n v="71402.95"/>
    <n v="13.136986301369863"/>
    <n v="552.59779299847787"/>
    <n v="71955.547792998477"/>
    <n v="953.125"/>
  </r>
  <r>
    <n v="826"/>
    <s v="10 Tons Weighbridge For Imbibition Water"/>
    <s v="Sugar Division"/>
    <x v="2"/>
    <m/>
    <s v="Upto gate"/>
    <d v="1993-12-20T00:00:00"/>
    <n v="71523"/>
    <n v="0"/>
    <n v="67946.850000000006"/>
    <n v="3576.1499999999942"/>
    <n v="3576.15"/>
    <n v="25"/>
    <n v="26.301369863013697"/>
    <n v="22626.15"/>
    <n v="27.301369863013697"/>
    <n v="-2.3646862246096135E-13"/>
    <n v="22626.15"/>
    <n v="3576.15"/>
  </r>
  <r>
    <n v="827"/>
    <s v="3 Nos. B/W Fully Automatic C.F. Machines"/>
    <s v="Sugar Division"/>
    <x v="2"/>
    <m/>
    <s v="50% each in RS and 50% in DS"/>
    <d v="1993-12-25T00:00:00"/>
    <n v="5938403"/>
    <n v="0"/>
    <n v="5641482.8499999996"/>
    <n v="296920.15000000037"/>
    <n v="296920.15000000002"/>
    <n v="25"/>
    <n v="26.287671232876711"/>
    <n v="3495.05"/>
    <n v="27.287671232876711"/>
    <n v="1.3969838619232177E-11"/>
    <n v="3495.0500000000143"/>
    <n v="296920.15000000002"/>
  </r>
  <r>
    <n v="828"/>
    <s v="Boiler Feed Tank "/>
    <s v="Sugar Division"/>
    <x v="2"/>
    <m/>
    <s v="Power"/>
    <d v="1993-12-28T00:00:00"/>
    <n v="203624"/>
    <n v="0"/>
    <n v="193442.8"/>
    <n v="10181.200000000012"/>
    <n v="10181.200000000001"/>
    <n v="25"/>
    <n v="26.279452054794522"/>
    <n v="5415"/>
    <n v="27.279452054794522"/>
    <n v="4.3655745685100554E-13"/>
    <n v="5415"/>
    <n v="10181.200000000001"/>
  </r>
  <r>
    <n v="829"/>
    <s v="Oil Cooler For Turbine (Fibrizer) "/>
    <s v="Sugar Division"/>
    <x v="2"/>
    <m/>
    <s v="50% each in RS and 50% in DS"/>
    <d v="1994-01-15T00:00:00"/>
    <n v="49306"/>
    <n v="0"/>
    <n v="46840.7"/>
    <n v="2465.3000000000029"/>
    <n v="2465.3000000000002"/>
    <n v="25"/>
    <n v="26.230136986301371"/>
    <n v="88.35"/>
    <n v="27.230136986301371"/>
    <n v="1.0913936421275138E-13"/>
    <n v="88.350000000000108"/>
    <n v="2465.3000000000002"/>
  </r>
  <r>
    <n v="830"/>
    <s v="Kvh 600 Kakati Vacuum Pump "/>
    <s v="Sugar Division"/>
    <x v="2"/>
    <m/>
    <s v="50% each in RS and 50% in DS"/>
    <d v="1994-03-31T00:00:00"/>
    <n v="705956"/>
    <n v="0"/>
    <n v="670658.19999999995"/>
    <n v="35297.800000000047"/>
    <n v="35297.800000000003"/>
    <n v="25"/>
    <n v="26.024657534246575"/>
    <n v="17340.349999999999"/>
    <n v="27.024657534246575"/>
    <n v="1.7462298274040222E-12"/>
    <n v="17340.349999999999"/>
    <n v="35297.800000000003"/>
  </r>
  <r>
    <n v="831"/>
    <s v="Trolley Line"/>
    <s v="Sugar Division"/>
    <x v="2"/>
    <m/>
    <s v="Common"/>
    <d v="1954-01-01T00:00:00"/>
    <n v="5692"/>
    <n v="0"/>
    <n v="5407.4"/>
    <n v="284.60000000000036"/>
    <n v="284.60000000000002"/>
    <n v="25"/>
    <n v="66.295890410958904"/>
    <n v="103907.2"/>
    <n v="67.295890410958904"/>
    <n v="1.3642420526593923E-14"/>
    <n v="103907.2"/>
    <n v="284.60000000000002"/>
  </r>
  <r>
    <n v="832"/>
    <s v="One Dynamic Juice Heater 3000 Sq.Ft. "/>
    <s v="Sugar Division"/>
    <x v="2"/>
    <m/>
    <s v="50% each in RS and 50% in DS"/>
    <d v="1994-11-06T00:00:00"/>
    <n v="1680457"/>
    <n v="0"/>
    <n v="1596434.15"/>
    <n v="84022.850000000093"/>
    <n v="84022.85"/>
    <n v="25"/>
    <n v="25.421917808219177"/>
    <n v="91215.2"/>
    <n v="26.421917808219177"/>
    <n v="3.4924596548080443E-12"/>
    <n v="91215.2"/>
    <n v="84022.85"/>
  </r>
  <r>
    <n v="833"/>
    <s v="Ist Motion Gear &amp; Pinion For 4Th Mill To Reduce Speed "/>
    <s v="Sugar Division"/>
    <x v="2"/>
    <m/>
    <s v="Juice Costing"/>
    <d v="1994-11-06T00:00:00"/>
    <n v="855573"/>
    <n v="0"/>
    <n v="812794.35"/>
    <n v="42778.650000000023"/>
    <n v="42778.65"/>
    <n v="25"/>
    <n v="25.421917808219177"/>
    <n v="47140.9"/>
    <n v="26.421917808219177"/>
    <n v="8.7311491370201108E-13"/>
    <n v="47140.9"/>
    <n v="42778.65"/>
  </r>
  <r>
    <n v="834"/>
    <s v="Bigger Capacity Of I.D. Fan"/>
    <s v="Sugar Division"/>
    <x v="2"/>
    <m/>
    <s v="50% each in RS and 50% in DS"/>
    <d v="1994-11-06T00:00:00"/>
    <n v="826803"/>
    <n v="0"/>
    <n v="785462.85"/>
    <n v="41340.150000000023"/>
    <n v="41340.15"/>
    <n v="25"/>
    <n v="25.421917808219177"/>
    <n v="5939.4"/>
    <n v="26.421917808219177"/>
    <n v="8.7311491370201108E-13"/>
    <n v="5939.4000000000005"/>
    <n v="41340.15"/>
  </r>
  <r>
    <n v="835"/>
    <s v="1 No. Plate Type Clear Juice Heater "/>
    <s v="Sugar Division"/>
    <x v="2"/>
    <m/>
    <s v="50% each in RS and 50% in DS"/>
    <d v="1994-11-06T00:00:00"/>
    <n v="496665"/>
    <n v="0"/>
    <n v="471831.75"/>
    <n v="24833.25"/>
    <n v="24833.25"/>
    <n v="25"/>
    <n v="25.421917808219177"/>
    <n v="685013.65"/>
    <n v="26.421917808219177"/>
    <n v="0"/>
    <n v="685013.65"/>
    <n v="24833.25"/>
  </r>
  <r>
    <n v="836"/>
    <s v="Modification Of Vapour Pipe For  Quintiple System  With Vapour Valve 24&quot;X30&quot;"/>
    <s v="Sugar Division"/>
    <x v="2"/>
    <m/>
    <s v="50% each in RS and 50% in DS"/>
    <d v="1994-11-06T00:00:00"/>
    <n v="420769"/>
    <n v="0"/>
    <n v="399730.55"/>
    <n v="21038.450000000012"/>
    <n v="21038.45"/>
    <n v="25"/>
    <n v="25.421917808219177"/>
    <n v="19308.75"/>
    <n v="26.421917808219177"/>
    <n v="4.3655745685100554E-13"/>
    <n v="19308.75"/>
    <n v="21038.45"/>
  </r>
  <r>
    <n v="837"/>
    <s v="2 Nos. M.S. Syrup Tanks "/>
    <s v="Sugar Division"/>
    <x v="2"/>
    <m/>
    <s v="50% each in RS and 50% in DS"/>
    <d v="1994-11-06T00:00:00"/>
    <n v="335083"/>
    <n v="0"/>
    <n v="318328.84999999998"/>
    <n v="16754.150000000023"/>
    <n v="16754.150000000001"/>
    <n v="25"/>
    <n v="25.421917808219177"/>
    <n v="755314.6"/>
    <n v="26.421917808219177"/>
    <n v="8.7311491370201108E-13"/>
    <n v="755314.6"/>
    <n v="16754.150000000001"/>
  </r>
  <r>
    <n v="838"/>
    <s v="1 No. Lime Slacker"/>
    <s v="Sugar Division"/>
    <x v="2"/>
    <m/>
    <s v="50% each in RS and 50% in DS"/>
    <d v="1994-11-06T00:00:00"/>
    <n v="302166"/>
    <n v="0"/>
    <n v="287057.7"/>
    <n v="15108.299999999988"/>
    <n v="15108.300000000001"/>
    <n v="25"/>
    <n v="25.421917808219177"/>
    <n v="13418.75"/>
    <n v="26.421917808219177"/>
    <n v="-5.0931703299283986E-13"/>
    <n v="13418.75"/>
    <n v="15108.300000000001"/>
  </r>
  <r>
    <n v="839"/>
    <s v="New Roller Shaft For Triveni"/>
    <s v="Sugar Division"/>
    <x v="2"/>
    <m/>
    <s v="Juice Costing"/>
    <d v="1994-11-06T00:00:00"/>
    <n v="257748"/>
    <n v="0"/>
    <n v="244860.6"/>
    <n v="12887.399999999994"/>
    <n v="12887.400000000001"/>
    <n v="25"/>
    <n v="25.421917808219177"/>
    <n v="2280926.25"/>
    <n v="26.421917808219177"/>
    <n v="-2.9103830456733704E-13"/>
    <n v="2280926.25"/>
    <n v="12887.400000000001"/>
  </r>
  <r>
    <n v="840"/>
    <s v="Grass Hopper"/>
    <s v="Sugar Division"/>
    <x v="2"/>
    <m/>
    <s v="Common"/>
    <d v="1954-01-01T00:00:00"/>
    <n v="5464"/>
    <n v="0"/>
    <n v="5190.8"/>
    <n v="273.19999999999982"/>
    <n v="273.2"/>
    <n v="25"/>
    <n v="66.295890410958904"/>
    <n v="772032.7"/>
    <n v="67.295890410958904"/>
    <n v="-6.8212102632969615E-15"/>
    <n v="772032.7"/>
    <n v="273.2"/>
  </r>
  <r>
    <n v="841"/>
    <s v="Weighing Scale 500 K.G."/>
    <s v="Sugar Division"/>
    <x v="2"/>
    <m/>
    <s v="Upto gate"/>
    <d v="2009-01-15T00:00:00"/>
    <n v="18562.5"/>
    <n v="0"/>
    <n v="8483.8253424657541"/>
    <n v="10078.674657534246"/>
    <n v="928.125"/>
    <n v="15"/>
    <n v="11.219178082191782"/>
    <n v="514304.35"/>
    <n v="12.219178082191782"/>
    <n v="610.03664383561636"/>
    <n v="514914.38664383558"/>
    <n v="928.125"/>
  </r>
  <r>
    <n v="842"/>
    <s v="Trpfdrive Arrangement By Chain System"/>
    <s v="Sugar Division"/>
    <x v="2"/>
    <m/>
    <s v="Common"/>
    <d v="1994-11-06T00:00:00"/>
    <n v="233686"/>
    <n v="0"/>
    <n v="222001.7"/>
    <n v="11684.299999999988"/>
    <n v="11684.300000000001"/>
    <n v="25"/>
    <n v="25.421917808219177"/>
    <n v="446139"/>
    <n v="26.421917808219177"/>
    <n v="-5.0931703299283986E-13"/>
    <n v="446139"/>
    <n v="11684.300000000001"/>
  </r>
  <r>
    <n v="843"/>
    <s v="Boulogne Scale Foundation"/>
    <s v="Sugar Division"/>
    <x v="2"/>
    <m/>
    <s v="Common"/>
    <d v="1954-01-01T00:00:00"/>
    <n v="500"/>
    <n v="0"/>
    <n v="475"/>
    <n v="25"/>
    <n v="25"/>
    <n v="25"/>
    <n v="66.295890410958904"/>
    <n v="378357.45"/>
    <n v="67.295890410958904"/>
    <n v="0"/>
    <n v="378357.45"/>
    <n v="25"/>
  </r>
  <r>
    <n v="844"/>
    <s v="Electrical Panel In Turbine House "/>
    <s v="Sugar Division"/>
    <x v="2"/>
    <m/>
    <s v="Power"/>
    <d v="1994-11-06T00:00:00"/>
    <n v="228513"/>
    <n v="0"/>
    <n v="217087.35"/>
    <n v="11425.649999999994"/>
    <n v="11425.650000000001"/>
    <n v="25"/>
    <n v="25.421917808219177"/>
    <n v="299935.90000000002"/>
    <n v="26.421917808219177"/>
    <n v="-2.9103830456733704E-13"/>
    <n v="299935.90000000002"/>
    <n v="11425.650000000001"/>
  </r>
  <r>
    <n v="845"/>
    <s v="1 No. Kvh 600 Kakati Vacuum Pump "/>
    <s v="Sugar Division"/>
    <x v="2"/>
    <m/>
    <s v="Juice Costing"/>
    <d v="1994-11-06T00:00:00"/>
    <n v="171026"/>
    <n v="0"/>
    <n v="162474.70000000001"/>
    <n v="8551.2999999999884"/>
    <n v="8551.3000000000011"/>
    <n v="25"/>
    <n v="25.421917808219177"/>
    <n v="289036.55"/>
    <n v="26.421917808219177"/>
    <n v="-5.0931703299283986E-13"/>
    <n v="289036.55"/>
    <n v="8551.3000000000011"/>
  </r>
  <r>
    <n v="846"/>
    <s v="Hydraulic Accumulators"/>
    <s v="Sugar Division"/>
    <x v="2"/>
    <m/>
    <s v="Juice Costing"/>
    <d v="1955-01-01T00:00:00"/>
    <n v="48253"/>
    <n v="0"/>
    <n v="45840.35"/>
    <n v="2412.6500000000015"/>
    <n v="2412.65"/>
    <n v="25"/>
    <n v="65.295890410958904"/>
    <n v="96093.45"/>
    <n v="66.295890410958904"/>
    <n v="5.4569682106375692E-14"/>
    <n v="96093.45"/>
    <n v="2412.65"/>
  </r>
  <r>
    <n v="847"/>
    <s v="Heat Exchanger"/>
    <s v="Sugar Division"/>
    <x v="2"/>
    <m/>
    <s v="Common"/>
    <d v="1994-11-06T00:00:00"/>
    <n v="158645"/>
    <n v="0"/>
    <n v="150712.75"/>
    <n v="7932.25"/>
    <n v="7932.25"/>
    <n v="25"/>
    <n v="25.421917808219177"/>
    <n v="92200.35"/>
    <n v="26.421917808219177"/>
    <n v="0"/>
    <n v="92200.35"/>
    <n v="7932.25"/>
  </r>
  <r>
    <n v="848"/>
    <s v="Poulogne Scale 40 Pumps"/>
    <s v="Sugar Division"/>
    <x v="2"/>
    <m/>
    <s v="Common"/>
    <d v="1955-01-01T00:00:00"/>
    <n v="17699"/>
    <n v="0"/>
    <n v="16814.05"/>
    <n v="884.95000000000073"/>
    <n v="884.95"/>
    <n v="25"/>
    <n v="65.295890410958904"/>
    <n v="77608.350000000006"/>
    <n v="66.295890410958904"/>
    <n v="2.7284841053187846E-14"/>
    <n v="77608.350000000006"/>
    <n v="884.95"/>
  </r>
  <r>
    <n v="849"/>
    <s v="To Reduce Speed Of 4Th Mill "/>
    <s v="Sugar Division"/>
    <x v="2"/>
    <m/>
    <s v="Juice Costing"/>
    <d v="1994-11-06T00:00:00"/>
    <n v="130599"/>
    <n v="0"/>
    <n v="124069.05"/>
    <n v="6529.9499999999971"/>
    <n v="6529.9500000000007"/>
    <n v="25"/>
    <n v="25.421917808219177"/>
    <n v="72230.399999999994"/>
    <n v="26.421917808219177"/>
    <n v="-1.4551915228366852E-13"/>
    <n v="72230.399999999994"/>
    <n v="6529.9500000000007"/>
  </r>
  <r>
    <n v="850"/>
    <s v="Turbine Heat Exchanger "/>
    <s v="Sugar Division"/>
    <x v="2"/>
    <m/>
    <s v="Power"/>
    <d v="1994-11-06T00:00:00"/>
    <n v="101073"/>
    <n v="0"/>
    <n v="96019.35"/>
    <n v="5053.6499999999942"/>
    <n v="5053.6500000000005"/>
    <n v="25"/>
    <n v="25.421917808219177"/>
    <n v="60451.35"/>
    <n v="26.421917808219177"/>
    <n v="-2.5465851649641993E-13"/>
    <n v="60451.35"/>
    <n v="5053.6500000000005"/>
  </r>
  <r>
    <n v="851"/>
    <s v="2 Nos. Weighbridges - 20 Ton"/>
    <s v="Sugar Division"/>
    <x v="2"/>
    <m/>
    <s v="Upto gate"/>
    <d v="1996-11-28T00:00:00"/>
    <n v="335904"/>
    <n v="0"/>
    <n v="319108.8"/>
    <n v="16795.200000000012"/>
    <n v="16795.2"/>
    <n v="15"/>
    <n v="23.358904109589041"/>
    <n v="59873.75"/>
    <n v="24.358904109589041"/>
    <n v="7.2759576141834263E-13"/>
    <n v="59873.75"/>
    <n v="16795.2"/>
  </r>
  <r>
    <n v="852"/>
    <s v="Supply Of Super Heater Wash Water "/>
    <s v="Sugar Division"/>
    <x v="2"/>
    <m/>
    <s v="Common"/>
    <d v="1994-11-06T00:00:00"/>
    <n v="97173"/>
    <n v="0"/>
    <n v="92314.35"/>
    <n v="4858.6499999999942"/>
    <n v="4858.6500000000005"/>
    <n v="25"/>
    <n v="25.421917808219177"/>
    <n v="34209.5"/>
    <n v="26.421917808219177"/>
    <n v="-2.5465851649641993E-13"/>
    <n v="34209.5"/>
    <n v="4858.6500000000005"/>
  </r>
  <r>
    <n v="853"/>
    <s v="Lime Slacker "/>
    <s v="Sugar Division"/>
    <x v="2"/>
    <m/>
    <s v="50% each in RS and 50% in DS"/>
    <d v="1994-11-06T00:00:00"/>
    <n v="76813"/>
    <n v="0"/>
    <n v="72972.350000000006"/>
    <n v="3840.6499999999942"/>
    <n v="3840.65"/>
    <n v="25"/>
    <n v="25.421917808219177"/>
    <n v="29564"/>
    <n v="26.421917808219177"/>
    <n v="-2.3646862246096135E-13"/>
    <n v="29564"/>
    <n v="3840.65"/>
  </r>
  <r>
    <n v="854"/>
    <s v="Automation By Pneumatic Operation Of Sulphur Burners"/>
    <s v="Sugar Division"/>
    <x v="2"/>
    <m/>
    <s v="DS Costing"/>
    <d v="1994-11-10T00:00:00"/>
    <n v="153583"/>
    <n v="0"/>
    <n v="145903.85"/>
    <n v="7679.1499999999942"/>
    <n v="7679.1500000000005"/>
    <n v="25"/>
    <n v="25.410958904109588"/>
    <n v="24086.3"/>
    <n v="26.410958904109588"/>
    <n v="-2.5465851649641993E-13"/>
    <n v="24086.3"/>
    <n v="7679.1500000000005"/>
  </r>
  <r>
    <n v="855"/>
    <s v="Modification Of Spray Pipe Line And Nozzle "/>
    <s v="Sugar Division"/>
    <x v="2"/>
    <m/>
    <s v="50% each in RS and 50% in DS"/>
    <d v="1994-11-15T00:00:00"/>
    <n v="754709"/>
    <n v="0"/>
    <n v="716973.55"/>
    <n v="37735.449999999953"/>
    <n v="37735.450000000004"/>
    <n v="25"/>
    <n v="25.397260273972602"/>
    <n v="17955"/>
    <n v="26.397260273972602"/>
    <n v="-2.0372681319713594E-12"/>
    <n v="17954.999999999996"/>
    <n v="37735.450000000004"/>
  </r>
  <r>
    <n v="856"/>
    <s v="1 No. Vacuum Crystallizers Of 45 Tons"/>
    <s v="Sugar Division"/>
    <x v="2"/>
    <m/>
    <s v="50% each in RS and 50% in DS"/>
    <d v="1994-12-07T00:00:00"/>
    <n v="652934"/>
    <n v="0"/>
    <n v="620287.30000000005"/>
    <n v="32646.699999999953"/>
    <n v="32646.7"/>
    <n v="25"/>
    <n v="25.336986301369862"/>
    <n v="15856.45"/>
    <n v="26.336986301369862"/>
    <n v="-1.8917489796876908E-12"/>
    <n v="15856.449999999999"/>
    <n v="32646.7"/>
  </r>
  <r>
    <n v="857"/>
    <s v="Injeet Pump 2.5 Lac Capacity "/>
    <s v="Sugar Division"/>
    <x v="2"/>
    <m/>
    <s v="50% each in RS and 50% in DS"/>
    <d v="1955-01-01T00:00:00"/>
    <n v="15448"/>
    <n v="0"/>
    <n v="14675.6"/>
    <n v="772.39999999999964"/>
    <n v="772.40000000000009"/>
    <n v="25"/>
    <n v="65.295890410958904"/>
    <n v="12211.3"/>
    <n v="66.295890410958904"/>
    <n v="-1.8189894035458565E-14"/>
    <n v="12211.3"/>
    <n v="772.40000000000009"/>
  </r>
  <r>
    <n v="858"/>
    <s v="Juice Heater"/>
    <s v="Sugar Division"/>
    <x v="2"/>
    <m/>
    <s v="50% each in RS and 50% in DS"/>
    <d v="1955-01-01T00:00:00"/>
    <n v="12456"/>
    <n v="0"/>
    <n v="11833.2"/>
    <n v="622.79999999999927"/>
    <n v="622.80000000000007"/>
    <n v="25"/>
    <n v="65.295890410958904"/>
    <n v="11984.25"/>
    <n v="66.295890410958904"/>
    <n v="-3.1832314562052491E-14"/>
    <n v="11984.25"/>
    <n v="622.80000000000007"/>
  </r>
  <r>
    <n v="859"/>
    <s v="Belt Conveyor "/>
    <s v="Sugar Division"/>
    <x v="2"/>
    <m/>
    <s v="50% each in RS and 50% in DS"/>
    <d v="1994-12-15T00:00:00"/>
    <n v="478379"/>
    <n v="0"/>
    <n v="454460.05"/>
    <n v="23918.950000000012"/>
    <n v="23918.95"/>
    <n v="25"/>
    <n v="25.315068493150687"/>
    <n v="174174.9"/>
    <n v="26.315068493150687"/>
    <n v="4.3655745685100554E-13"/>
    <n v="174174.9"/>
    <n v="23918.95"/>
  </r>
  <r>
    <n v="860"/>
    <s v="Fire Fighting Pump"/>
    <s v="Sugar Division"/>
    <x v="2"/>
    <m/>
    <s v="Common"/>
    <d v="1955-01-01T00:00:00"/>
    <n v="10133"/>
    <n v="0"/>
    <n v="9626.35"/>
    <n v="506.64999999999964"/>
    <n v="506.65000000000003"/>
    <n v="25"/>
    <n v="65.295890410958904"/>
    <n v="20487.7"/>
    <n v="66.295890410958904"/>
    <n v="-1.5916157281026246E-14"/>
    <n v="20487.7"/>
    <n v="506.65000000000003"/>
  </r>
  <r>
    <n v="861"/>
    <s v="Reverse Osmassis Plant For Treatment Of Drinking Water"/>
    <s v="Sugar Division"/>
    <x v="2"/>
    <m/>
    <s v="Common"/>
    <d v="1995-03-31T00:00:00"/>
    <n v="4730"/>
    <n v="0"/>
    <n v="4493.5"/>
    <n v="236.5"/>
    <n v="236.5"/>
    <n v="25"/>
    <n v="25.024657534246575"/>
    <n v="184986.85"/>
    <n v="26.024657534246575"/>
    <n v="0"/>
    <n v="184986.85"/>
    <n v="236.5"/>
  </r>
  <r>
    <n v="862"/>
    <s v="Evaporator Set"/>
    <s v="Sugar Division"/>
    <x v="2"/>
    <m/>
    <s v="50% each in RS and 50% in DS"/>
    <d v="1955-01-01T00:00:00"/>
    <n v="6894"/>
    <n v="0"/>
    <n v="6549.3"/>
    <n v="344.69999999999982"/>
    <n v="344.70000000000005"/>
    <n v="25"/>
    <n v="65.295890410958904"/>
    <n v="55838.15"/>
    <n v="66.295890410958904"/>
    <n v="-9.0949470177292826E-15"/>
    <n v="55838.15"/>
    <n v="344.70000000000005"/>
  </r>
  <r>
    <n v="863"/>
    <s v="Super Heater For Boiler"/>
    <s v="Sugar Division"/>
    <x v="2"/>
    <m/>
    <s v="50% each in RS and 50% in DS"/>
    <d v="1955-01-01T00:00:00"/>
    <n v="6204"/>
    <n v="0"/>
    <n v="5893.8"/>
    <n v="310.19999999999982"/>
    <n v="310.20000000000005"/>
    <n v="25"/>
    <n v="65.295890410958904"/>
    <n v="33690.800000000003"/>
    <n v="66.295890410958904"/>
    <n v="-9.0949470177292826E-15"/>
    <n v="33690.800000000003"/>
    <n v="310.20000000000005"/>
  </r>
  <r>
    <n v="864"/>
    <s v="Vacuum Pan 25 Tons"/>
    <s v="Sugar Division"/>
    <x v="2"/>
    <m/>
    <s v="50% each in RS and 50% in DS"/>
    <d v="1955-01-01T00:00:00"/>
    <n v="1528"/>
    <n v="0"/>
    <n v="1451.6"/>
    <n v="76.400000000000091"/>
    <n v="76.400000000000006"/>
    <n v="25"/>
    <n v="65.295890410958904"/>
    <n v="19676.400000000001"/>
    <n v="66.295890410958904"/>
    <n v="3.4106051316484808E-15"/>
    <n v="19676.400000000001"/>
    <n v="76.400000000000006"/>
  </r>
  <r>
    <n v="865"/>
    <s v="Machinery Unloading Point "/>
    <s v="Sugar Division"/>
    <x v="2"/>
    <m/>
    <s v="50% each in RS and 50% in DS"/>
    <d v="1995-11-08T00:00:00"/>
    <n v="48425"/>
    <n v="0"/>
    <n v="37564.267534246581"/>
    <n v="10860.732465753419"/>
    <n v="2421.25"/>
    <n v="25"/>
    <n v="24.416438356164385"/>
    <n v="13653.4"/>
    <n v="25.416438356164385"/>
    <n v="337.57929863013675"/>
    <n v="13990.979298630136"/>
    <n v="2421.25"/>
  </r>
  <r>
    <n v="866"/>
    <s v="2Nos. N.K.1100 C.F. Machine  - Pfs"/>
    <s v="Sugar Division"/>
    <x v="2"/>
    <m/>
    <s v="50% each in RS and 50% in DS"/>
    <d v="1995-11-11T00:00:00"/>
    <n v="2260675"/>
    <n v="0"/>
    <n v="1752945.9758904108"/>
    <n v="507729.02410958917"/>
    <n v="113033.75"/>
    <n v="25"/>
    <n v="24.408219178082192"/>
    <n v="11971.9"/>
    <n v="25.408219178082192"/>
    <n v="15787.810964383567"/>
    <n v="27759.710964383565"/>
    <n v="113033.75"/>
  </r>
  <r>
    <n v="867"/>
    <s v="Belt Conveyer For Mud "/>
    <s v="Sugar Division"/>
    <x v="2"/>
    <m/>
    <s v="50% each in RS and 50% in DS"/>
    <d v="1995-11-11T00:00:00"/>
    <n v="1084540"/>
    <n v="0"/>
    <n v="840961.23002739716"/>
    <n v="243578.76997260284"/>
    <n v="54227"/>
    <n v="25"/>
    <n v="24.408219178082192"/>
    <n v="3731.6"/>
    <n v="25.408219178082192"/>
    <n v="7574.0707989041139"/>
    <n v="11305.670798904113"/>
    <n v="54227"/>
  </r>
  <r>
    <n v="868"/>
    <s v="One No. Fibrizer Rotar With Hub Anvil Plate Of Pocket Type"/>
    <s v="Sugar Division"/>
    <x v="2"/>
    <m/>
    <s v="50% each in RS and 50% in DS"/>
    <d v="1995-11-11T00:00:00"/>
    <n v="971471"/>
    <n v="0"/>
    <n v="753286.59809315077"/>
    <n v="218184.40190684923"/>
    <n v="48573.55"/>
    <n v="25"/>
    <n v="24.408219178082192"/>
    <n v="98097.95"/>
    <n v="25.408219178082192"/>
    <n v="6784.4340762739703"/>
    <n v="104882.38407627397"/>
    <n v="48573.55"/>
  </r>
  <r>
    <n v="869"/>
    <s v="Bagasse Carrier "/>
    <s v="Sugar Division"/>
    <x v="2"/>
    <m/>
    <s v="Steam"/>
    <d v="1995-11-11T00:00:00"/>
    <n v="757275"/>
    <n v="0"/>
    <n v="587197.25917808223"/>
    <n v="170077.74082191777"/>
    <n v="37863.75"/>
    <n v="25"/>
    <n v="24.408219178082192"/>
    <n v="331072.15000000002"/>
    <n v="25.408219178082192"/>
    <n v="5288.5596328767115"/>
    <n v="336360.70963287674"/>
    <n v="37863.75"/>
  </r>
  <r>
    <n v="870"/>
    <s v="Roller Shaftor 2 Nos. "/>
    <s v="Sugar Division"/>
    <x v="2"/>
    <m/>
    <s v="Juice Costing"/>
    <d v="1995-11-11T00:00:00"/>
    <n v="450436"/>
    <n v="0"/>
    <n v="349271.77661369863"/>
    <n v="101164.22338630137"/>
    <n v="22521.800000000003"/>
    <n v="25"/>
    <n v="24.408219178082192"/>
    <n v="178771"/>
    <n v="25.408219178082192"/>
    <n v="3145.6969354520547"/>
    <n v="181916.69693545206"/>
    <n v="22521.800000000003"/>
  </r>
  <r>
    <n v="871"/>
    <s v="Weighbridge 10 Ton 1 Nos."/>
    <s v="Sugar Division"/>
    <x v="2"/>
    <m/>
    <s v="Upto gate"/>
    <d v="2002-11-27T00:00:00"/>
    <n v="108296"/>
    <n v="0"/>
    <n v="102881.2"/>
    <n v="5414.8000000000029"/>
    <n v="5414.8"/>
    <n v="15"/>
    <n v="17.358904109589041"/>
    <n v="17874.25"/>
    <n v="18.358904109589041"/>
    <n v="1.8189894035458566E-13"/>
    <n v="17874.25"/>
    <n v="5414.8"/>
  </r>
  <r>
    <n v="872"/>
    <s v="2 Nos. 2Nd Motion Transmission Shaft Of 3Rd &amp;4Th Triveni Mill "/>
    <s v="Sugar Division"/>
    <x v="2"/>
    <m/>
    <s v="Juice Costing"/>
    <d v="1995-11-11T00:00:00"/>
    <n v="257498"/>
    <n v="0"/>
    <n v="199666.06562191783"/>
    <n v="57831.934378082165"/>
    <n v="12874.900000000001"/>
    <n v="25"/>
    <n v="24.408219178082192"/>
    <n v="1224878.7"/>
    <n v="25.408219178082192"/>
    <n v="1798.2813751232866"/>
    <n v="1226676.9813751231"/>
    <n v="12874.900000000001"/>
  </r>
  <r>
    <n v="873"/>
    <s v="250 Hp  Motor One Cane Cutter Shaft"/>
    <s v="Sugar Division"/>
    <x v="2"/>
    <m/>
    <s v="Juice Costing"/>
    <d v="1995-11-11T00:00:00"/>
    <n v="249458"/>
    <n v="0"/>
    <n v="193431.78353972605"/>
    <n v="56026.21646027395"/>
    <n v="12472.900000000001"/>
    <n v="25"/>
    <n v="24.408219178082192"/>
    <n v="20181.8"/>
    <n v="25.408219178082192"/>
    <n v="1742.1326584109579"/>
    <n v="21923.932658410959"/>
    <n v="12472.900000000001"/>
  </r>
  <r>
    <n v="874"/>
    <s v="New Electric Motors"/>
    <s v="Sugar Division"/>
    <x v="2"/>
    <m/>
    <s v="Juice Costing"/>
    <d v="1970-01-01T00:00:00"/>
    <n v="45183"/>
    <n v="0"/>
    <n v="42923.85"/>
    <n v="2259.1500000000015"/>
    <n v="2259.15"/>
    <n v="10"/>
    <n v="50.284931506849318"/>
    <n v="16302"/>
    <n v="51.284931506849318"/>
    <n v="1.3642420526593926E-13"/>
    <n v="16302"/>
    <n v="2259.15"/>
  </r>
  <r>
    <n v="875"/>
    <s v="Lime Slacker "/>
    <s v="Sugar Division"/>
    <x v="2"/>
    <m/>
    <s v="50% each in RS and 50% in DS"/>
    <d v="1995-11-11T00:00:00"/>
    <n v="218827"/>
    <n v="0"/>
    <n v="169680.25437808217"/>
    <n v="49146.745621917828"/>
    <n v="10941.35"/>
    <n v="25"/>
    <n v="24.408219178082192"/>
    <n v="63097.1"/>
    <n v="25.408219178082192"/>
    <n v="1528.2158248767132"/>
    <n v="64625.315824876714"/>
    <n v="10941.35"/>
  </r>
  <r>
    <n v="876"/>
    <s v="Elactrical Panel In Turbine House "/>
    <s v="Sugar Division"/>
    <x v="2"/>
    <m/>
    <s v="Power"/>
    <d v="1995-11-11T00:00:00"/>
    <n v="172420"/>
    <n v="0"/>
    <n v="133695.88515068495"/>
    <n v="38724.114849315054"/>
    <n v="8621"/>
    <n v="25"/>
    <n v="24.408219178082192"/>
    <n v="13982.1"/>
    <n v="25.408219178082192"/>
    <n v="1204.1245939726023"/>
    <n v="15186.224593972602"/>
    <n v="8621"/>
  </r>
  <r>
    <n v="877"/>
    <s v="Sulphur Gas Tromphone Type Cooling System "/>
    <s v="Sugar Division"/>
    <x v="2"/>
    <m/>
    <s v="DS Costing"/>
    <d v="1995-11-11T00:00:00"/>
    <n v="169232"/>
    <n v="0"/>
    <n v="131223.88374794522"/>
    <n v="38008.11625205478"/>
    <n v="8461.6"/>
    <n v="25"/>
    <n v="24.408219178082192"/>
    <n v="135780.62150000001"/>
    <n v="25.408219178082192"/>
    <n v="1181.8606500821913"/>
    <n v="136962.48215008219"/>
    <n v="8461.6"/>
  </r>
  <r>
    <n v="878"/>
    <s v="Head Stock With Caps "/>
    <s v="Sugar Division"/>
    <x v="2"/>
    <m/>
    <s v="Common"/>
    <d v="1956-01-01T00:00:00"/>
    <n v="75065"/>
    <n v="0"/>
    <n v="71311.75"/>
    <n v="3753.25"/>
    <n v="3753.25"/>
    <n v="25"/>
    <n v="64.295890410958904"/>
    <n v="23904.85"/>
    <n v="65.295890410958904"/>
    <n v="0"/>
    <n v="23904.85"/>
    <n v="3753.25"/>
  </r>
  <r>
    <n v="879"/>
    <s v="E.F.S.-2Nos. Raw Juice Heater "/>
    <s v="Sugar Division"/>
    <x v="2"/>
    <m/>
    <s v="50% each in RS and 50% in DS"/>
    <d v="1995-12-10T00:00:00"/>
    <n v="2511871"/>
    <n v="0"/>
    <n v="1940141.6330465754"/>
    <n v="571729.36695342464"/>
    <n v="125593.55"/>
    <n v="25"/>
    <n v="24.328767123287673"/>
    <n v="1656318.35"/>
    <n v="25.328767123287673"/>
    <n v="17845.432678136985"/>
    <n v="1674163.7826781371"/>
    <n v="125593.55"/>
  </r>
  <r>
    <n v="880"/>
    <s v="E.F.S.- 2 Nos. Air Compressor "/>
    <s v="Sugar Division"/>
    <x v="2"/>
    <m/>
    <s v="50% each in RS and 50% in DS"/>
    <d v="1996-01-18T00:00:00"/>
    <n v="448069"/>
    <n v="0"/>
    <n v="344264.30235616438"/>
    <n v="103804.69764383562"/>
    <n v="22403.45"/>
    <n v="25"/>
    <n v="24.221917808219178"/>
    <n v="4041.3"/>
    <n v="25.221917808219178"/>
    <n v="3256.0499057534253"/>
    <n v="7297.3499057534254"/>
    <n v="22403.45"/>
  </r>
  <r>
    <n v="881"/>
    <s v="1 No. M.J. Concensor - Pfs"/>
    <s v="Sugar Division"/>
    <x v="2"/>
    <m/>
    <s v="50% each in RS and 50% in DS"/>
    <d v="1996-01-18T00:00:00"/>
    <n v="202518"/>
    <n v="0"/>
    <n v="155600.40526027398"/>
    <n v="46917.594739726017"/>
    <n v="10125.900000000001"/>
    <n v="25"/>
    <n v="24.221917808219178"/>
    <n v="4465.95"/>
    <n v="25.221917808219178"/>
    <n v="1471.6677895890407"/>
    <n v="5937.6177895890405"/>
    <n v="10125.900000000001"/>
  </r>
  <r>
    <n v="882"/>
    <s v="One Evaporter Set [Hargaon]"/>
    <s v="Sugar Division"/>
    <x v="2"/>
    <m/>
    <s v="50% each in RS and 50% in DS"/>
    <d v="1956-01-01T00:00:00"/>
    <n v="64491"/>
    <n v="0"/>
    <n v="61266.45"/>
    <n v="3224.5500000000029"/>
    <n v="3224.55"/>
    <n v="25"/>
    <n v="64.295890410958904"/>
    <n v="1081294.75"/>
    <n v="65.295890410958904"/>
    <n v="1.0913936421275138E-13"/>
    <n v="1081294.75"/>
    <n v="3224.55"/>
  </r>
  <r>
    <n v="883"/>
    <s v="E.F.S.-Clarifier 36' Dia"/>
    <s v="Sugar Division"/>
    <x v="2"/>
    <m/>
    <s v="50% each in RS and 50% in DS"/>
    <d v="1996-01-31T00:00:00"/>
    <n v="4365950"/>
    <n v="0"/>
    <n v="3348575.9964383566"/>
    <n v="1017374.0035616434"/>
    <n v="218297.5"/>
    <n v="25"/>
    <n v="24.186301369863013"/>
    <n v="1515.25"/>
    <n v="25.186301369863013"/>
    <n v="31963.060142465736"/>
    <n v="33478.310142465736"/>
    <n v="218297.5"/>
  </r>
  <r>
    <n v="884"/>
    <s v="E.F.S.-Continuous Juice Sulphiter "/>
    <s v="Sugar Division"/>
    <x v="2"/>
    <m/>
    <s v="50% each in RS and 50% in DS"/>
    <d v="1996-02-10T00:00:00"/>
    <n v="2339565"/>
    <n v="0"/>
    <n v="1791952.9555890411"/>
    <n v="547612.04441095889"/>
    <n v="116978.25"/>
    <n v="25"/>
    <n v="24.158904109589042"/>
    <n v="22628.05"/>
    <n v="25.158904109589042"/>
    <n v="17225.351776438354"/>
    <n v="39853.401776438353"/>
    <n v="116978.25"/>
  </r>
  <r>
    <n v="885"/>
    <s v="25 Tones Vacuum Pan"/>
    <s v="Sugar Division"/>
    <x v="2"/>
    <m/>
    <s v="50% each in RS and 50% in DS"/>
    <d v="1956-01-01T00:00:00"/>
    <n v="40632"/>
    <n v="0"/>
    <n v="38600.400000000001"/>
    <n v="2031.5999999999985"/>
    <n v="2031.6000000000001"/>
    <n v="25"/>
    <n v="64.295890410958904"/>
    <n v="16684.849999999999"/>
    <n v="65.295890410958904"/>
    <n v="-6.3664629124104983E-14"/>
    <n v="16684.849999999999"/>
    <n v="2031.6000000000001"/>
  </r>
  <r>
    <n v="886"/>
    <s v="Diamond Soot Blower"/>
    <s v="Sugar Division"/>
    <x v="2"/>
    <m/>
    <s v="50% each in RS and 50% in DS"/>
    <d v="1956-01-01T00:00:00"/>
    <n v="36354"/>
    <n v="0"/>
    <n v="34536.300000000003"/>
    <n v="1817.6999999999971"/>
    <n v="1817.7"/>
    <n v="25"/>
    <n v="64.295890410958904"/>
    <n v="1610658.5"/>
    <n v="65.295890410958904"/>
    <n v="-1.1823431123048067E-13"/>
    <n v="1610658.5"/>
    <n v="1817.7"/>
  </r>
  <r>
    <n v="887"/>
    <s v="Semikestners 2Nos. (Thin Film Evaporator)  - Pfs"/>
    <s v="Sugar Division"/>
    <x v="2"/>
    <m/>
    <s v="50% each in RS and 50% in DS"/>
    <d v="1996-02-15T00:00:00"/>
    <n v="9966948"/>
    <n v="0"/>
    <n v="7628838.5327342469"/>
    <n v="2338109.4672657531"/>
    <n v="498347.4"/>
    <n v="25"/>
    <n v="24.145205479452056"/>
    <n v="117898.8"/>
    <n v="25.145205479452056"/>
    <n v="73590.482690630131"/>
    <n v="191489.28269063012"/>
    <n v="498347.4"/>
  </r>
  <r>
    <n v="888"/>
    <s v="Spray &amp; Injection Pumping Set"/>
    <s v="Sugar Division"/>
    <x v="2"/>
    <m/>
    <s v="50% each in RS and 50% in DS"/>
    <d v="1956-01-01T00:00:00"/>
    <n v="35110"/>
    <n v="0"/>
    <n v="33354.5"/>
    <n v="1755.5"/>
    <n v="1755.5"/>
    <n v="25"/>
    <n v="64.295890410958904"/>
    <n v="17300.45"/>
    <n v="65.295890410958904"/>
    <n v="0"/>
    <n v="17300.45"/>
    <n v="1755.5"/>
  </r>
  <r>
    <n v="889"/>
    <s v="E.F.S.-Sugar Storage Bin System With Auto Weighing Arrangement"/>
    <s v="Sugar Division"/>
    <x v="2"/>
    <m/>
    <s v="Upto gate"/>
    <d v="1996-02-15T00:00:00"/>
    <n v="5329677"/>
    <n v="0"/>
    <n v="4079407.7850739732"/>
    <n v="1250269.2149260268"/>
    <n v="266483.85000000003"/>
    <n v="25"/>
    <n v="24.145205479452056"/>
    <n v="9500"/>
    <n v="25.145205479452056"/>
    <n v="39351.414597041068"/>
    <n v="48851.414597041068"/>
    <n v="266483.85000000003"/>
  </r>
  <r>
    <n v="890"/>
    <s v="Headers For Three Juice Headers"/>
    <s v="Sugar Division"/>
    <x v="2"/>
    <m/>
    <s v="50% each in RS and 50% in DS"/>
    <d v="1956-01-01T00:00:00"/>
    <n v="34037"/>
    <n v="0"/>
    <n v="32335.15"/>
    <n v="1701.8499999999985"/>
    <n v="1701.8500000000001"/>
    <n v="25"/>
    <n v="64.295890410958904"/>
    <n v="17575"/>
    <n v="65.295890410958904"/>
    <n v="-6.3664629124104983E-14"/>
    <n v="17575"/>
    <n v="1701.8500000000001"/>
  </r>
  <r>
    <n v="891"/>
    <s v="Frist Motion Gears &amp; Pinions"/>
    <s v="Sugar Division"/>
    <x v="2"/>
    <m/>
    <s v="50% each in RS and 50% in DS"/>
    <d v="1956-01-01T00:00:00"/>
    <n v="25831"/>
    <n v="0"/>
    <n v="24539.45"/>
    <n v="1291.5499999999993"/>
    <n v="1291.5500000000002"/>
    <n v="25"/>
    <n v="64.295890410958904"/>
    <n v="9500"/>
    <n v="65.295890410958904"/>
    <n v="-3.637978807091713E-14"/>
    <n v="9500"/>
    <n v="1291.5500000000002"/>
  </r>
  <r>
    <n v="892"/>
    <s v="E.F.S.-Clear Juice Pump 5 Nos. With Motor "/>
    <s v="Sugar Division"/>
    <x v="2"/>
    <m/>
    <s v="50% each in RS and 50% in DS"/>
    <d v="1996-02-15T00:00:00"/>
    <n v="953775"/>
    <n v="0"/>
    <n v="730032.45041095896"/>
    <n v="223742.54958904104"/>
    <n v="47688.75"/>
    <n v="25"/>
    <n v="24.145205479452056"/>
    <n v="535626.15"/>
    <n v="25.145205479452056"/>
    <n v="7042.1519835616418"/>
    <n v="542668.30198356172"/>
    <n v="47688.75"/>
  </r>
  <r>
    <n v="893"/>
    <s v="P.F.S.:-2 No. Nk-1100 C.F. Machine "/>
    <s v="Sugar Division"/>
    <x v="2"/>
    <m/>
    <s v="50% each in RS and 50% in DS"/>
    <d v="1996-02-15T00:00:00"/>
    <n v="15661"/>
    <n v="0"/>
    <n v="11987.143934246576"/>
    <n v="3673.8560657534235"/>
    <n v="783.05000000000007"/>
    <n v="25"/>
    <n v="24.145205479452056"/>
    <n v="434619.3"/>
    <n v="25.145205479452056"/>
    <n v="115.63224263013694"/>
    <n v="434734.93224263011"/>
    <n v="783.05000000000007"/>
  </r>
  <r>
    <n v="894"/>
    <s v="E.F.S.-Sugar Graders 2 Nos."/>
    <s v="Sugar Division"/>
    <x v="2"/>
    <m/>
    <s v="50% each in RS and 50% in DS"/>
    <d v="1996-02-18T00:00:00"/>
    <n v="1942092"/>
    <n v="0"/>
    <n v="1485897.2496"/>
    <n v="456194.75040000002"/>
    <n v="97104.6"/>
    <n v="25"/>
    <n v="24.136986301369863"/>
    <n v="183868.7"/>
    <n v="25.136986301369863"/>
    <n v="14363.606016000002"/>
    <n v="198232.30601600002"/>
    <n v="97104.6"/>
  </r>
  <r>
    <n v="895"/>
    <s v="Weighbridge 10 Ton  2 Nos."/>
    <s v="Sugar Division"/>
    <x v="2"/>
    <m/>
    <s v="Upto gate"/>
    <d v="2001-11-15T00:00:00"/>
    <n v="232332"/>
    <n v="0"/>
    <n v="220715.4"/>
    <n v="11616.600000000006"/>
    <n v="11616.6"/>
    <n v="15"/>
    <n v="18.391780821917809"/>
    <n v="11757.2"/>
    <n v="19.391780821917809"/>
    <n v="3.6379788070917132E-13"/>
    <n v="11757.2"/>
    <n v="11616.6"/>
  </r>
  <r>
    <n v="896"/>
    <s v="E.F.S.- Power Cable, Switches,Starter Etc."/>
    <s v="Sugar Division"/>
    <x v="2"/>
    <m/>
    <s v="50% each in RS and 50% in DS"/>
    <d v="1996-02-20T00:00:00"/>
    <n v="1114054"/>
    <n v="0"/>
    <n v="852132.27409315074"/>
    <n v="261921.72590684926"/>
    <n v="55702.700000000004"/>
    <n v="25"/>
    <n v="24.13150684931507"/>
    <n v="10792"/>
    <n v="25.13150684931507"/>
    <n v="8248.7610362739706"/>
    <n v="19040.761036273972"/>
    <n v="55702.700000000004"/>
  </r>
  <r>
    <n v="897"/>
    <s v="One No. Fully Automatic C.F. Machine 1000Kg Capacity  - Pfs"/>
    <s v="Sugar Division"/>
    <x v="2"/>
    <m/>
    <s v="50% each in RS and 50% in DS"/>
    <d v="1996-02-21T00:00:00"/>
    <n v="2778028"/>
    <n v="0"/>
    <n v="2124605.3702575341"/>
    <n v="653422.62974246591"/>
    <n v="138901.4"/>
    <n v="25"/>
    <n v="24.12876712328767"/>
    <n v="22990"/>
    <n v="25.12876712328767"/>
    <n v="20580.849189698634"/>
    <n v="43570.849189698638"/>
    <n v="138901.4"/>
  </r>
  <r>
    <n v="898"/>
    <s v="2 Nos. New Ist Motion Transmission Shaft Of  Ii &amp; Iii Triveni Mill "/>
    <s v="Sugar Division"/>
    <x v="2"/>
    <m/>
    <s v="50% each in RS and 50% in DS"/>
    <d v="1996-03-15T00:00:00"/>
    <n v="148901"/>
    <n v="0"/>
    <n v="113521.3065041096"/>
    <n v="35379.693495890402"/>
    <n v="7445.05"/>
    <n v="25"/>
    <n v="24.065753424657533"/>
    <n v="584598.65"/>
    <n v="25.065753424657533"/>
    <n v="1117.3857398356161"/>
    <n v="585716.03573983558"/>
    <n v="7445.05"/>
  </r>
  <r>
    <n v="899"/>
    <s v="Partition Railing In Parking Yard"/>
    <s v="Sugar Division"/>
    <x v="2"/>
    <m/>
    <s v="50% each in RS and 50% in DS"/>
    <d v="1956-01-01T00:00:00"/>
    <n v="13061"/>
    <n v="0"/>
    <n v="12407.95"/>
    <n v="653.04999999999927"/>
    <n v="653.05000000000007"/>
    <n v="25"/>
    <n v="64.295890410958904"/>
    <n v="195086.3"/>
    <n v="65.295890410958904"/>
    <n v="-3.1832314562052491E-14"/>
    <n v="195086.3"/>
    <n v="653.05000000000007"/>
  </r>
  <r>
    <n v="900"/>
    <s v="New Molasses Tank 40000 Mds. Capacity"/>
    <s v="Sugar Division"/>
    <x v="2"/>
    <m/>
    <s v="50% each in RS and 50% in DS"/>
    <d v="1966-01-01T00:00:00"/>
    <n v="58770"/>
    <n v="0"/>
    <n v="55831.5"/>
    <n v="2938.5"/>
    <n v="2938.5"/>
    <n v="15"/>
    <n v="54.287671232876711"/>
    <n v="94506.95"/>
    <n v="55.287671232876711"/>
    <n v="0"/>
    <n v="94506.95"/>
    <n v="2938.5"/>
  </r>
  <r>
    <n v="901"/>
    <s v="Generating Set  250 K . W."/>
    <s v="Sugar Division"/>
    <x v="2"/>
    <m/>
    <s v="50% each in RS and 50% in DS"/>
    <d v="1957-01-01T00:00:00"/>
    <n v="68104"/>
    <n v="0"/>
    <n v="64698.8"/>
    <n v="3405.1999999999971"/>
    <n v="3405.2000000000003"/>
    <n v="25"/>
    <n v="63.293150684931504"/>
    <n v="58609.3"/>
    <n v="64.293150684931504"/>
    <n v="-1.2732925824820997E-13"/>
    <n v="58609.3"/>
    <n v="3405.2000000000003"/>
  </r>
  <r>
    <n v="902"/>
    <s v="Save-All For Pan Evaporator"/>
    <s v="Sugar Division"/>
    <x v="2"/>
    <m/>
    <s v="50% each in RS and 50% in DS"/>
    <d v="1957-01-01T00:00:00"/>
    <n v="24288"/>
    <n v="0"/>
    <n v="23073.599999999999"/>
    <n v="1214.4000000000015"/>
    <n v="1214.4000000000001"/>
    <n v="25"/>
    <n v="63.293150684931504"/>
    <n v="386099"/>
    <n v="64.293150684931504"/>
    <n v="5.4569682106375692E-14"/>
    <n v="386099"/>
    <n v="1214.4000000000001"/>
  </r>
  <r>
    <n v="903"/>
    <s v="C.I. Fly Wheel"/>
    <s v="Sugar Division"/>
    <x v="2"/>
    <m/>
    <s v="50% each in RS and 50% in DS"/>
    <d v="1957-01-01T00:00:00"/>
    <n v="20430"/>
    <n v="0"/>
    <n v="19408.5"/>
    <n v="1021.5"/>
    <n v="1021.5"/>
    <n v="25"/>
    <n v="63.293150684931504"/>
    <n v="19652.650000000001"/>
    <n v="64.293150684931504"/>
    <n v="0"/>
    <n v="19652.650000000001"/>
    <n v="1021.5"/>
  </r>
  <r>
    <n v="904"/>
    <s v="Manless Weighbridge Machine"/>
    <s v="Sugar Division"/>
    <x v="2"/>
    <m/>
    <s v="Upto gate"/>
    <d v="2005-05-01T00:00:00"/>
    <n v="80300"/>
    <n v="0"/>
    <n v="55580.066666666666"/>
    <n v="24719.933333333334"/>
    <n v="4015"/>
    <n v="15"/>
    <n v="14.931506849315069"/>
    <n v="197271.3"/>
    <n v="15.931506849315069"/>
    <n v="1380.328888888889"/>
    <n v="198651.62888888887"/>
    <n v="4015"/>
  </r>
  <r>
    <n v="905"/>
    <s v="Kachcha Pit For Molasses"/>
    <s v="Sugar Division"/>
    <x v="2"/>
    <m/>
    <s v="50% each in RS and 50% in DS"/>
    <d v="1997-03-15T00:00:00"/>
    <n v="94351"/>
    <n v="0"/>
    <n v="68347.347408219168"/>
    <n v="26003.652591780832"/>
    <n v="4717.55"/>
    <n v="25"/>
    <n v="23.065753424657533"/>
    <n v="185104.65"/>
    <n v="24.065753424657533"/>
    <n v="851.44410367123328"/>
    <n v="185956.09410367123"/>
    <n v="4717.55"/>
  </r>
  <r>
    <n v="906"/>
    <s v="Railing In Can Parking Yard"/>
    <s v="Sugar Division"/>
    <x v="2"/>
    <m/>
    <s v="50% each in RS and 50% in DS"/>
    <d v="1957-01-01T00:00:00"/>
    <n v="7754"/>
    <n v="0"/>
    <n v="7366.3"/>
    <n v="387.69999999999982"/>
    <n v="387.70000000000005"/>
    <n v="25"/>
    <n v="63.293150684931504"/>
    <n v="3152.1"/>
    <n v="64.293150684931504"/>
    <n v="-9.0949470177292826E-15"/>
    <n v="3152.1"/>
    <n v="387.70000000000005"/>
  </r>
  <r>
    <n v="907"/>
    <s v="Staging For Pan "/>
    <s v="Sugar Division"/>
    <x v="2"/>
    <m/>
    <s v="50% each in RS and 50% in DS"/>
    <d v="1957-01-01T00:00:00"/>
    <n v="2960"/>
    <n v="0"/>
    <n v="2812"/>
    <n v="148"/>
    <n v="148"/>
    <n v="25"/>
    <n v="63.293150684931504"/>
    <n v="2850"/>
    <n v="64.293150684931504"/>
    <n v="0"/>
    <n v="2850"/>
    <n v="148"/>
  </r>
  <r>
    <n v="908"/>
    <s v="Drier Seed Machine"/>
    <s v="Sugar Division"/>
    <x v="2"/>
    <m/>
    <s v="Upto gate"/>
    <d v="1957-01-01T00:00:00"/>
    <n v="1281"/>
    <n v="0"/>
    <n v="1216.95"/>
    <n v="64.049999999999955"/>
    <n v="64.05"/>
    <n v="25"/>
    <n v="63.293150684931504"/>
    <n v="273220"/>
    <n v="64.293150684931504"/>
    <n v="-1.7053025658242404E-15"/>
    <n v="273220"/>
    <n v="64.05"/>
  </r>
  <r>
    <n v="909"/>
    <s v="Mill House Crane"/>
    <s v="Sugar Division"/>
    <x v="2"/>
    <m/>
    <s v="Juice Costing"/>
    <d v="1957-01-01T00:00:00"/>
    <n v="384"/>
    <n v="0"/>
    <n v="364.8"/>
    <n v="19.199999999999989"/>
    <n v="19.200000000000003"/>
    <n v="25"/>
    <n v="63.293150684931504"/>
    <n v="3263630.95"/>
    <n v="64.293150684931504"/>
    <n v="-5.6843418860808016E-16"/>
    <n v="3263630.95"/>
    <n v="19.200000000000003"/>
  </r>
  <r>
    <n v="910"/>
    <s v="Welding Set"/>
    <s v="Sugar Division"/>
    <x v="2"/>
    <m/>
    <s v="Common"/>
    <d v="1967-01-01T00:00:00"/>
    <n v="8200"/>
    <n v="0"/>
    <n v="7790"/>
    <n v="410"/>
    <n v="410"/>
    <n v="15"/>
    <n v="53.287671232876711"/>
    <n v="653902.1"/>
    <n v="54.287671232876711"/>
    <n v="0"/>
    <n v="653902.1"/>
    <n v="410"/>
  </r>
  <r>
    <n v="911"/>
    <s v="Molesses Tank 40000 Mds. Capacity"/>
    <s v="Sugar Division"/>
    <x v="2"/>
    <m/>
    <s v="Distillery division"/>
    <d v="1967-01-01T00:00:00"/>
    <n v="7867"/>
    <n v="0"/>
    <n v="7473.65"/>
    <n v="393.35000000000036"/>
    <n v="393.35"/>
    <n v="15"/>
    <n v="53.287671232876711"/>
    <n v="103823.6"/>
    <n v="54.287671232876711"/>
    <n v="2.2737367544323207E-14"/>
    <n v="103823.6"/>
    <n v="393.35"/>
  </r>
  <r>
    <n v="912"/>
    <s v="Addition Of C.I.Belt &amp; Domes For Evaporators"/>
    <s v="Sugar Division"/>
    <x v="2"/>
    <m/>
    <s v="50% each in RS and 50% in DS"/>
    <d v="1958-01-01T00:00:00"/>
    <n v="45054"/>
    <n v="0"/>
    <n v="42801.3"/>
    <n v="2252.6999999999971"/>
    <n v="2252.7000000000003"/>
    <n v="25"/>
    <n v="62.293150684931504"/>
    <n v="24945.1"/>
    <n v="63.293150684931504"/>
    <n v="-1.2732925824820997E-13"/>
    <n v="24945.1"/>
    <n v="2252.7000000000003"/>
  </r>
  <r>
    <n v="913"/>
    <s v="Bagasse Carrier"/>
    <s v="Sugar Division"/>
    <x v="2"/>
    <m/>
    <s v="Steam"/>
    <d v="1958-01-01T00:00:00"/>
    <n v="9192"/>
    <n v="0"/>
    <n v="8732.4"/>
    <n v="459.60000000000036"/>
    <n v="459.6"/>
    <n v="25"/>
    <n v="62.293150684931504"/>
    <n v="24551.8"/>
    <n v="63.293150684931504"/>
    <n v="1.3642420526593923E-14"/>
    <n v="24551.8"/>
    <n v="459.6"/>
  </r>
  <r>
    <n v="914"/>
    <s v="Bag Sewing Machine "/>
    <s v="Sugar Division"/>
    <x v="2"/>
    <m/>
    <s v="50% each in RS and 50% in DS"/>
    <d v="1997-11-17T00:00:00"/>
    <n v="3850"/>
    <n v="0"/>
    <n v="2689.915890410959"/>
    <n v="1160.084109589041"/>
    <n v="192.5"/>
    <n v="25"/>
    <n v="22.389041095890413"/>
    <n v="23679.7"/>
    <n v="23.389041095890413"/>
    <n v="38.703364383561642"/>
    <n v="23718.403364383561"/>
    <n v="192.5"/>
  </r>
  <r>
    <n v="915"/>
    <s v="Three Circuit Breakers"/>
    <s v="Sugar Division"/>
    <x v="2"/>
    <m/>
    <s v="Common"/>
    <d v="1958-01-01T00:00:00"/>
    <n v="2835"/>
    <n v="0"/>
    <n v="2693.25"/>
    <n v="141.75"/>
    <n v="141.75"/>
    <n v="25"/>
    <n v="62.293150684931504"/>
    <n v="13957.4"/>
    <n v="63.293150684931504"/>
    <n v="0"/>
    <n v="13957.4"/>
    <n v="141.75"/>
  </r>
  <r>
    <n v="916"/>
    <s v="Molasses Tank 40000 Mds. Capacity"/>
    <s v="Sugar Division"/>
    <x v="2"/>
    <m/>
    <s v="Distillery division"/>
    <d v="1968-01-01T00:00:00"/>
    <n v="8485"/>
    <n v="0"/>
    <n v="8060.75"/>
    <n v="424.25"/>
    <n v="424.25"/>
    <n v="15"/>
    <n v="52.287671232876711"/>
    <n v="467435.15"/>
    <n v="53.287671232876711"/>
    <n v="0"/>
    <n v="467435.15"/>
    <n v="424.25"/>
  </r>
  <r>
    <n v="917"/>
    <s v="Mill Engine"/>
    <s v="Sugar Division"/>
    <x v="2"/>
    <m/>
    <s v="Juice Costing"/>
    <d v="1959-01-01T00:00:00"/>
    <n v="253277"/>
    <n v="0"/>
    <n v="240613.15"/>
    <n v="12663.850000000006"/>
    <n v="12663.85"/>
    <n v="25"/>
    <n v="61.293150684931504"/>
    <n v="4192619.8"/>
    <n v="62.293150684931504"/>
    <n v="2.1827872842550277E-13"/>
    <n v="4192619.8"/>
    <n v="12663.85"/>
  </r>
  <r>
    <n v="918"/>
    <s v="Circuit Breakers"/>
    <s v="Sugar Division"/>
    <x v="2"/>
    <m/>
    <s v="Juice Costing"/>
    <d v="1959-01-01T00:00:00"/>
    <n v="2985"/>
    <n v="0"/>
    <n v="2835.75"/>
    <n v="149.25"/>
    <n v="149.25"/>
    <n v="25"/>
    <n v="61.293150684931504"/>
    <n v="2413887.2999999998"/>
    <n v="62.293150684931504"/>
    <n v="0"/>
    <n v="2413887.2999999998"/>
    <n v="149.25"/>
  </r>
  <r>
    <n v="919"/>
    <s v="Chain Block [New]"/>
    <s v="Sugar Division"/>
    <x v="2"/>
    <m/>
    <s v="Juice Costing"/>
    <d v="1969-01-01T00:00:00"/>
    <n v="2586"/>
    <n v="0"/>
    <n v="2456.6999999999998"/>
    <n v="129.30000000000018"/>
    <n v="129.30000000000001"/>
    <n v="15"/>
    <n v="51.284931506849318"/>
    <n v="1019730"/>
    <n v="52.284931506849318"/>
    <n v="1.1368683772161604E-14"/>
    <n v="1019730"/>
    <n v="129.30000000000001"/>
  </r>
  <r>
    <n v="920"/>
    <s v="Suger Grader"/>
    <s v="Sugar Division"/>
    <x v="2"/>
    <m/>
    <s v="50% each in RS and 50% in DS"/>
    <d v="1960-01-01T00:00:00"/>
    <n v="28662"/>
    <n v="0"/>
    <n v="27228.9"/>
    <n v="1433.0999999999985"/>
    <n v="1433.1000000000001"/>
    <n v="25"/>
    <n v="60.293150684931504"/>
    <n v="848714.8"/>
    <n v="61.293150684931504"/>
    <n v="-6.3664629124104983E-14"/>
    <n v="848714.8"/>
    <n v="1433.1000000000001"/>
  </r>
  <r>
    <n v="921"/>
    <s v="Water Tower"/>
    <s v="Sugar Division"/>
    <x v="2"/>
    <m/>
    <s v="Common"/>
    <d v="1960-01-01T00:00:00"/>
    <n v="27708"/>
    <n v="0"/>
    <n v="26322.6"/>
    <n v="1385.4000000000015"/>
    <n v="1385.4"/>
    <n v="25"/>
    <n v="60.293150684931504"/>
    <n v="732105.15"/>
    <n v="61.293150684931504"/>
    <n v="5.4569682106375692E-14"/>
    <n v="732105.15"/>
    <n v="1385.4"/>
  </r>
  <r>
    <n v="922"/>
    <s v="Bagasse Baling Machine"/>
    <s v="Sugar Division"/>
    <x v="2"/>
    <m/>
    <s v="Common"/>
    <d v="1960-01-01T00:00:00"/>
    <n v="23216"/>
    <n v="0"/>
    <n v="22055.200000000001"/>
    <n v="1160.7999999999993"/>
    <n v="1160.8"/>
    <n v="25"/>
    <n v="60.293150684931504"/>
    <n v="603037.77"/>
    <n v="61.293150684931504"/>
    <n v="-2.7284841053187846E-14"/>
    <n v="603037.77"/>
    <n v="1160.8"/>
  </r>
  <r>
    <n v="923"/>
    <s v="30 Tons Vacuum Pan Two"/>
    <s v="Sugar Division"/>
    <x v="2"/>
    <m/>
    <s v="50% each in RS and 50% in DS"/>
    <d v="1960-01-01T00:00:00"/>
    <n v="7080"/>
    <n v="0"/>
    <n v="6726"/>
    <n v="354"/>
    <n v="354"/>
    <n v="25"/>
    <n v="60.293150684931504"/>
    <n v="544413.65"/>
    <n v="61.293150684931504"/>
    <n v="0"/>
    <n v="544413.65"/>
    <n v="354"/>
  </r>
  <r>
    <n v="924"/>
    <s v="4 Sq.Ft Sulpher Burner"/>
    <s v="Sugar Division"/>
    <x v="2"/>
    <m/>
    <s v="DS Costing"/>
    <d v="1960-01-01T00:00:00"/>
    <n v="411"/>
    <n v="0"/>
    <n v="390.45"/>
    <n v="20.550000000000011"/>
    <n v="20.55"/>
    <n v="25"/>
    <n v="60.293150684931504"/>
    <n v="356503.65"/>
    <n v="61.293150684931504"/>
    <n v="4.263256414560601E-16"/>
    <n v="356503.65"/>
    <n v="20.55"/>
  </r>
  <r>
    <n v="925"/>
    <s v="New Generating Set 142 K.W."/>
    <s v="Sugar Division"/>
    <x v="2"/>
    <m/>
    <s v="Juice Costing"/>
    <d v="1975-01-01T00:00:00"/>
    <n v="5780"/>
    <n v="0"/>
    <n v="5491"/>
    <n v="289"/>
    <n v="289"/>
    <n v="10"/>
    <n v="45.282191780821918"/>
    <n v="140657"/>
    <n v="46.282191780821918"/>
    <n v="0"/>
    <n v="140657"/>
    <n v="289"/>
  </r>
  <r>
    <n v="926"/>
    <s v="30 Tons Vacuum Pan Two"/>
    <s v="Sugar Division"/>
    <x v="2"/>
    <m/>
    <s v="50% each in RS and 50% in DS"/>
    <d v="1961-01-01T00:00:00"/>
    <n v="220773"/>
    <n v="0"/>
    <n v="209734.35"/>
    <n v="11038.649999999994"/>
    <n v="11038.650000000001"/>
    <n v="25"/>
    <n v="59.290410958904111"/>
    <n v="110136.35"/>
    <n v="60.290410958904111"/>
    <n v="-2.9103830456733704E-13"/>
    <n v="110136.35"/>
    <n v="11038.650000000001"/>
  </r>
  <r>
    <n v="927"/>
    <s v="One Water Tube Boiler 7000 H.S."/>
    <s v="Sugar Division"/>
    <x v="2"/>
    <m/>
    <s v="Steam"/>
    <d v="1961-01-01T00:00:00"/>
    <n v="73826"/>
    <n v="0"/>
    <n v="70134.7"/>
    <n v="3691.3000000000029"/>
    <n v="3691.3"/>
    <n v="25"/>
    <n v="59.290410958904111"/>
    <n v="85984.5"/>
    <n v="60.290410958904111"/>
    <n v="1.0913936421275138E-13"/>
    <n v="85984.5"/>
    <n v="3691.3"/>
  </r>
  <r>
    <n v="928"/>
    <s v="3 Centrifugal Machine 18&quot;X36&quot;"/>
    <s v="Sugar Division"/>
    <x v="2"/>
    <m/>
    <s v="50% each in RS and 50% in DS"/>
    <d v="1961-01-01T00:00:00"/>
    <n v="42900"/>
    <n v="0"/>
    <n v="40755"/>
    <n v="2145"/>
    <n v="2145"/>
    <n v="25"/>
    <n v="59.290410958904111"/>
    <n v="73685.8"/>
    <n v="60.290410958904111"/>
    <n v="0"/>
    <n v="73685.8"/>
    <n v="2145"/>
  </r>
  <r>
    <n v="929"/>
    <s v="4 Sq.Ft Sulpher Burner"/>
    <s v="Sugar Division"/>
    <x v="2"/>
    <m/>
    <s v="DS Costing"/>
    <d v="1961-01-01T00:00:00"/>
    <n v="2940"/>
    <n v="0"/>
    <n v="2793"/>
    <n v="147"/>
    <n v="147"/>
    <n v="25"/>
    <n v="59.290410958904111"/>
    <n v="47534.2"/>
    <n v="60.290410958904111"/>
    <n v="0"/>
    <n v="47534.2"/>
    <n v="147"/>
  </r>
  <r>
    <n v="930"/>
    <s v="Six2&quot; Safety Valves On Super Heater  Line"/>
    <s v="Sugar Division"/>
    <x v="2"/>
    <m/>
    <s v="50% each in RS and 50% in DS"/>
    <d v="1961-01-01T00:00:00"/>
    <n v="2801"/>
    <n v="0"/>
    <n v="2660.95"/>
    <n v="140.05000000000018"/>
    <n v="140.05000000000001"/>
    <n v="25"/>
    <n v="59.290410958904111"/>
    <n v="35428.35"/>
    <n v="60.290410958904111"/>
    <n v="6.8212102632969615E-15"/>
    <n v="35428.35"/>
    <n v="140.05000000000001"/>
  </r>
  <r>
    <n v="931"/>
    <s v="Bale Press Machine"/>
    <s v="Sugar Division"/>
    <x v="2"/>
    <m/>
    <s v="Common"/>
    <d v="1961-01-01T00:00:00"/>
    <n v="2597"/>
    <n v="0"/>
    <n v="2467.15"/>
    <n v="129.84999999999991"/>
    <n v="129.85"/>
    <n v="25"/>
    <n v="59.290410958904111"/>
    <n v="32438.7"/>
    <n v="60.290410958904111"/>
    <n v="-3.4106051316484808E-15"/>
    <n v="32438.7"/>
    <n v="129.85"/>
  </r>
  <r>
    <n v="932"/>
    <s v="Three Exhaust Fans"/>
    <s v="Sugar Division"/>
    <x v="2"/>
    <m/>
    <s v="Common"/>
    <d v="1961-01-01T00:00:00"/>
    <n v="2466"/>
    <n v="0"/>
    <n v="2342.6999999999998"/>
    <n v="123.30000000000018"/>
    <n v="123.30000000000001"/>
    <n v="25"/>
    <n v="59.290410958904111"/>
    <n v="5649.65"/>
    <n v="60.290410958904111"/>
    <n v="6.8212102632969615E-15"/>
    <n v="5649.65"/>
    <n v="123.30000000000001"/>
  </r>
  <r>
    <n v="933"/>
    <s v="One Water Tube Boiler7000 Sq.Ft. H.S.[New]"/>
    <s v="Sugar Division"/>
    <x v="2"/>
    <m/>
    <s v="Steam"/>
    <d v="1962-01-01T00:00:00"/>
    <n v="364070"/>
    <n v="0"/>
    <n v="345866.5"/>
    <n v="18203.5"/>
    <n v="18203.5"/>
    <n v="25"/>
    <n v="58.290410958904111"/>
    <n v="3923.5"/>
    <n v="59.290410958904111"/>
    <n v="0"/>
    <n v="3923.5"/>
    <n v="18203.5"/>
  </r>
  <r>
    <n v="934"/>
    <s v="Old Quad [Old]"/>
    <s v="Sugar Division"/>
    <x v="2"/>
    <m/>
    <s v="Common"/>
    <d v="1962-01-01T00:00:00"/>
    <n v="40000"/>
    <n v="0"/>
    <n v="38000"/>
    <n v="2000"/>
    <n v="2000"/>
    <n v="25"/>
    <n v="58.290410958904111"/>
    <n v="351243.5"/>
    <n v="59.290410958904111"/>
    <n v="0"/>
    <n v="351243.5"/>
    <n v="2000"/>
  </r>
  <r>
    <n v="935"/>
    <s v="Hand Bag Sewing Machine "/>
    <s v="Sugar Division"/>
    <x v="2"/>
    <m/>
    <s v="50% each in RS and 50% in DS"/>
    <d v="2001-02-23T00:00:00"/>
    <n v="3905"/>
    <n v="0"/>
    <n v="2242.9250136986302"/>
    <n v="1662.0749863013698"/>
    <n v="195.25"/>
    <n v="25"/>
    <n v="19.117808219178084"/>
    <n v="199253.95"/>
    <n v="20.117808219178084"/>
    <n v="58.672999452054796"/>
    <n v="199312.62299945205"/>
    <n v="195.25"/>
  </r>
  <r>
    <n v="936"/>
    <s v="Thermometers And Recorders"/>
    <s v="Sugar Division"/>
    <x v="2"/>
    <m/>
    <s v="Common"/>
    <d v="1962-01-01T00:00:00"/>
    <n v="3607"/>
    <n v="0"/>
    <n v="3426.65"/>
    <n v="180.34999999999991"/>
    <n v="180.35000000000002"/>
    <n v="25"/>
    <n v="58.290410958904111"/>
    <n v="1012550.85"/>
    <n v="59.290410958904111"/>
    <n v="-4.5474735088646413E-15"/>
    <n v="1012550.85"/>
    <n v="180.35000000000002"/>
  </r>
  <r>
    <n v="937"/>
    <s v="Hot Water Cooling Arrangment[Old]"/>
    <s v="Sugar Division"/>
    <x v="2"/>
    <m/>
    <s v="50% each in RS and 50% in DS"/>
    <d v="1962-01-01T00:00:00"/>
    <n v="1202"/>
    <n v="0"/>
    <n v="1141.9000000000001"/>
    <n v="60.099999999999909"/>
    <n v="60.1"/>
    <n v="25"/>
    <n v="58.290410958904111"/>
    <n v="1271986.3500000001"/>
    <n v="59.290410958904111"/>
    <n v="-3.6948222259525211E-15"/>
    <n v="1271986.3500000001"/>
    <n v="60.1"/>
  </r>
  <r>
    <n v="938"/>
    <s v="Hydrant Connection [New]"/>
    <s v="Sugar Division"/>
    <x v="2"/>
    <m/>
    <s v="Common"/>
    <d v="1962-01-01T00:00:00"/>
    <n v="293"/>
    <n v="0"/>
    <n v="278.35000000000002"/>
    <n v="14.649999999999977"/>
    <n v="14.65"/>
    <n v="25"/>
    <n v="58.290410958904111"/>
    <n v="1229853.8500000001"/>
    <n v="59.290410958904111"/>
    <n v="-9.2370555648813027E-16"/>
    <n v="1229853.8500000001"/>
    <n v="14.65"/>
  </r>
  <r>
    <n v="939"/>
    <s v="New Lathe Machine"/>
    <s v="Sugar Division"/>
    <x v="2"/>
    <m/>
    <s v="Common"/>
    <d v="1972-01-01T00:00:00"/>
    <n v="26177"/>
    <n v="0"/>
    <n v="24868.15"/>
    <n v="1308.8499999999985"/>
    <n v="1308.8500000000001"/>
    <n v="15"/>
    <n v="48.284931506849318"/>
    <n v="156851.65"/>
    <n v="49.284931506849318"/>
    <n v="-1.0610771520684163E-13"/>
    <n v="156851.65"/>
    <n v="1308.8500000000001"/>
  </r>
  <r>
    <n v="940"/>
    <s v="Re-Eraction Of Gola Set "/>
    <s v="Sugar Division"/>
    <x v="2"/>
    <m/>
    <s v="Common"/>
    <d v="1963-01-01T00:00:00"/>
    <n v="53964"/>
    <n v="0"/>
    <n v="51265.8"/>
    <n v="2698.1999999999971"/>
    <n v="2698.2000000000003"/>
    <n v="25"/>
    <n v="57.290410958904111"/>
    <n v="153862"/>
    <n v="58.290410958904111"/>
    <n v="-1.2732925824820997E-13"/>
    <n v="153862"/>
    <n v="2698.2000000000003"/>
  </r>
  <r>
    <n v="941"/>
    <s v="Boiler Feed Tank"/>
    <s v="Sugar Division"/>
    <x v="2"/>
    <m/>
    <s v="Steam"/>
    <d v="1963-01-01T00:00:00"/>
    <n v="21099"/>
    <n v="0"/>
    <n v="20044.05"/>
    <n v="1054.9500000000007"/>
    <n v="1054.95"/>
    <n v="25"/>
    <n v="57.290410958904111"/>
    <n v="124515.55"/>
    <n v="58.290410958904111"/>
    <n v="2.7284841053187846E-14"/>
    <n v="124515.55"/>
    <n v="1054.95"/>
  </r>
  <r>
    <n v="942"/>
    <s v="Save-All"/>
    <s v="Sugar Division"/>
    <x v="2"/>
    <m/>
    <s v="Common"/>
    <d v="1963-01-01T00:00:00"/>
    <n v="8609"/>
    <n v="0"/>
    <n v="8178.55"/>
    <n v="430.44999999999982"/>
    <n v="430.45000000000005"/>
    <n v="25"/>
    <n v="57.290410958904111"/>
    <n v="107317.7"/>
    <n v="58.290410958904111"/>
    <n v="-9.0949470177292826E-15"/>
    <n v="107317.7"/>
    <n v="430.45000000000005"/>
  </r>
  <r>
    <n v="943"/>
    <s v="Capacitor"/>
    <s v="Sugar Division"/>
    <x v="2"/>
    <m/>
    <s v="Common"/>
    <d v="1963-01-01T00:00:00"/>
    <n v="7236"/>
    <n v="0"/>
    <n v="6874.2"/>
    <n v="361.80000000000018"/>
    <n v="361.8"/>
    <n v="25"/>
    <n v="57.290410958904111"/>
    <n v="103982.25"/>
    <n v="58.290410958904111"/>
    <n v="6.8212102632969615E-15"/>
    <n v="103982.25"/>
    <n v="361.8"/>
  </r>
  <r>
    <n v="944"/>
    <s v="Re-Eraction Iv Body Old Quad"/>
    <s v="Sugar Division"/>
    <x v="2"/>
    <m/>
    <s v="50% each in RS and 50% in DS"/>
    <d v="1963-01-01T00:00:00"/>
    <n v="6151"/>
    <n v="0"/>
    <n v="5843.45"/>
    <n v="307.55000000000018"/>
    <n v="307.55"/>
    <n v="25"/>
    <n v="57.290410958904111"/>
    <n v="92064.5"/>
    <n v="58.290410958904111"/>
    <n v="6.8212102632969615E-15"/>
    <n v="92064.5"/>
    <n v="307.55"/>
  </r>
  <r>
    <n v="945"/>
    <s v="Ist Body Calandria Shell"/>
    <s v="Sugar Division"/>
    <x v="2"/>
    <m/>
    <s v="50% each in RS and 50% in DS"/>
    <d v="1963-01-01T00:00:00"/>
    <n v="5533"/>
    <n v="0"/>
    <n v="5256.35"/>
    <n v="276.64999999999964"/>
    <n v="276.65000000000003"/>
    <n v="25"/>
    <n v="57.290410958904111"/>
    <n v="83391.95"/>
    <n v="58.290410958904111"/>
    <n v="-1.5916157281026246E-14"/>
    <n v="83391.95"/>
    <n v="276.65000000000003"/>
  </r>
  <r>
    <n v="946"/>
    <s v="Syrup Tank"/>
    <s v="Sugar Division"/>
    <x v="2"/>
    <m/>
    <s v="50% each in RS and 50% in DS"/>
    <d v="1963-01-01T00:00:00"/>
    <n v="2527"/>
    <n v="0"/>
    <n v="2400.65"/>
    <n v="126.34999999999991"/>
    <n v="126.35000000000001"/>
    <n v="25"/>
    <n v="57.290410958904111"/>
    <n v="80243.649999999994"/>
    <n v="58.290410958904111"/>
    <n v="-3.9790393202565614E-15"/>
    <n v="80243.649999999994"/>
    <n v="126.35000000000001"/>
  </r>
  <r>
    <n v="947"/>
    <s v="Skatoskalo Shaft With Motor"/>
    <s v="Sugar Division"/>
    <x v="2"/>
    <m/>
    <s v="50% each in RS and 50% in DS"/>
    <d v="1963-01-01T00:00:00"/>
    <n v="2185"/>
    <n v="0"/>
    <n v="2075.75"/>
    <n v="109.25"/>
    <n v="109.25"/>
    <n v="25"/>
    <n v="57.290410958904111"/>
    <n v="78156.5"/>
    <n v="58.290410958904111"/>
    <n v="0"/>
    <n v="78156.5"/>
    <n v="109.25"/>
  </r>
  <r>
    <n v="948"/>
    <s v="Thermometers And Recorders"/>
    <s v="Sugar Division"/>
    <x v="2"/>
    <m/>
    <s v="50% each in RS and 50% in DS"/>
    <d v="1963-01-01T00:00:00"/>
    <n v="938"/>
    <n v="0"/>
    <n v="891.1"/>
    <n v="46.899999999999977"/>
    <n v="46.900000000000006"/>
    <n v="25"/>
    <n v="57.290410958904111"/>
    <n v="78131.8"/>
    <n v="58.290410958904111"/>
    <n v="-1.1368683772161603E-15"/>
    <n v="78131.8"/>
    <n v="46.900000000000006"/>
  </r>
  <r>
    <n v="949"/>
    <s v="Fire Extinguishers 5"/>
    <s v="Sugar Division"/>
    <x v="2"/>
    <m/>
    <s v="50% each in RS and 50% in DS"/>
    <d v="1963-01-01T00:00:00"/>
    <n v="390"/>
    <n v="0"/>
    <n v="370.5"/>
    <n v="19.5"/>
    <n v="19.5"/>
    <n v="25"/>
    <n v="57.290410958904111"/>
    <n v="51511.85"/>
    <n v="58.290410958904111"/>
    <n v="0"/>
    <n v="51511.85"/>
    <n v="19.5"/>
  </r>
  <r>
    <n v="950"/>
    <s v="One Vapour Shell"/>
    <s v="Sugar Division"/>
    <x v="2"/>
    <m/>
    <s v="50% each in RS and 50% in DS"/>
    <d v="1964-01-01T00:00:00"/>
    <n v="30047"/>
    <n v="0"/>
    <n v="28544.65"/>
    <n v="1502.3499999999985"/>
    <n v="1502.3500000000001"/>
    <n v="25"/>
    <n v="56.290410958904111"/>
    <n v="34517.300000000003"/>
    <n v="57.290410958904111"/>
    <n v="-6.3664629124104983E-14"/>
    <n v="34517.300000000003"/>
    <n v="1502.3500000000001"/>
  </r>
  <r>
    <n v="951"/>
    <s v="Boiler Feed Pump"/>
    <s v="Sugar Division"/>
    <x v="2"/>
    <m/>
    <s v="Steam"/>
    <d v="1964-01-01T00:00:00"/>
    <n v="16777"/>
    <n v="0"/>
    <n v="15938.15"/>
    <n v="838.85000000000036"/>
    <n v="838.85"/>
    <n v="25"/>
    <n v="56.290410958904111"/>
    <n v="29757.8"/>
    <n v="57.290410958904111"/>
    <n v="1.3642420526593923E-14"/>
    <n v="29757.8"/>
    <n v="838.85"/>
  </r>
  <r>
    <n v="952"/>
    <s v="Fire Fitting Engine"/>
    <s v="Sugar Division"/>
    <x v="2"/>
    <m/>
    <s v="50% each in RS and 50% in DS"/>
    <d v="1964-01-01T00:00:00"/>
    <n v="7599"/>
    <n v="0"/>
    <n v="7219.05"/>
    <n v="379.94999999999982"/>
    <n v="379.95000000000005"/>
    <n v="25"/>
    <n v="56.290410958904111"/>
    <n v="19687.714500000002"/>
    <n v="57.290410958904111"/>
    <n v="-9.0949470177292826E-15"/>
    <n v="19687.714500000002"/>
    <n v="379.95000000000005"/>
  </r>
  <r>
    <n v="953"/>
    <s v="Vacuum Pan  37.5 Tons "/>
    <s v="Sugar Division"/>
    <x v="2"/>
    <m/>
    <s v="50% each in RS and 50% in DS"/>
    <d v="1964-01-01T00:00:00"/>
    <n v="7316"/>
    <n v="0"/>
    <n v="6950.2"/>
    <n v="365.80000000000018"/>
    <n v="365.8"/>
    <n v="25"/>
    <n v="56.290410958904111"/>
    <n v="13199.3"/>
    <n v="57.290410958904111"/>
    <n v="6.8212102632969615E-15"/>
    <n v="13199.3"/>
    <n v="365.8"/>
  </r>
  <r>
    <n v="954"/>
    <s v="Tanks For Syrup &amp; Molasses"/>
    <s v="Sugar Division"/>
    <x v="2"/>
    <m/>
    <s v="50% each in RS and 50% in DS"/>
    <d v="1964-01-01T00:00:00"/>
    <n v="7001"/>
    <n v="0"/>
    <n v="6650.95"/>
    <n v="350.05000000000018"/>
    <n v="350.05"/>
    <n v="25"/>
    <n v="56.290410958904111"/>
    <n v="8450.25"/>
    <n v="57.290410958904111"/>
    <n v="6.8212102632969615E-15"/>
    <n v="8450.25"/>
    <n v="350.05"/>
  </r>
  <r>
    <n v="955"/>
    <s v="Oil Circuit Breacker"/>
    <s v="Sugar Division"/>
    <x v="2"/>
    <m/>
    <s v="50% each in RS and 50% in DS"/>
    <d v="1964-01-01T00:00:00"/>
    <n v="5199"/>
    <n v="0"/>
    <n v="4939.05"/>
    <n v="259.94999999999982"/>
    <n v="259.95"/>
    <n v="25"/>
    <n v="56.290410958904111"/>
    <n v="4908.6499999999996"/>
    <n v="57.290410958904111"/>
    <n v="-6.8212102632969615E-15"/>
    <n v="4908.6499999999996"/>
    <n v="259.95"/>
  </r>
  <r>
    <n v="956"/>
    <s v="Boiler Feed Tank"/>
    <s v="Sugar Division"/>
    <x v="2"/>
    <m/>
    <s v="Steam"/>
    <d v="1964-01-01T00:00:00"/>
    <n v="4194"/>
    <n v="0"/>
    <n v="3984.3"/>
    <n v="209.69999999999982"/>
    <n v="209.70000000000002"/>
    <n v="25"/>
    <n v="56.290410958904111"/>
    <n v="2771.15"/>
    <n v="57.290410958904111"/>
    <n v="-7.9580786405131228E-15"/>
    <n v="2771.15"/>
    <n v="209.70000000000002"/>
  </r>
  <r>
    <n v="957"/>
    <s v="Bed Plate Of 1St &amp;2Nd Mill"/>
    <s v="Sugar Division"/>
    <x v="2"/>
    <m/>
    <s v="Juice Costing"/>
    <d v="1964-01-01T00:00:00"/>
    <n v="3656"/>
    <n v="0"/>
    <n v="3473.2"/>
    <n v="182.80000000000018"/>
    <n v="182.8"/>
    <n v="25"/>
    <n v="56.290410958904111"/>
    <n v="80905.8"/>
    <n v="57.290410958904111"/>
    <n v="6.8212102632969615E-15"/>
    <n v="80905.8"/>
    <n v="182.8"/>
  </r>
  <r>
    <n v="958"/>
    <s v="One Chemical Slurry Mill"/>
    <s v="Sugar Division"/>
    <x v="2"/>
    <m/>
    <s v="Juice Costing"/>
    <d v="1964-01-01T00:00:00"/>
    <n v="1643"/>
    <n v="0"/>
    <n v="1560.85"/>
    <n v="82.150000000000091"/>
    <n v="82.15"/>
    <n v="25"/>
    <n v="56.290410958904111"/>
    <n v="28959.8"/>
    <n v="57.290410958904111"/>
    <n v="3.4106051316484808E-15"/>
    <n v="28959.8"/>
    <n v="82.15"/>
  </r>
  <r>
    <n v="959"/>
    <s v="Thermometers And Recorders"/>
    <s v="Sugar Division"/>
    <x v="2"/>
    <m/>
    <s v="Common"/>
    <d v="1964-01-01T00:00:00"/>
    <n v="583"/>
    <n v="0"/>
    <n v="553.85"/>
    <n v="29.149999999999977"/>
    <n v="29.150000000000002"/>
    <n v="25"/>
    <n v="56.290410958904111"/>
    <n v="46815.05"/>
    <n v="57.290410958904111"/>
    <n v="-9.9475983006414035E-16"/>
    <n v="46815.05"/>
    <n v="29.150000000000002"/>
  </r>
  <r>
    <n v="960"/>
    <s v="Juice Heater"/>
    <s v="Sugar Division"/>
    <x v="2"/>
    <m/>
    <s v="50% each in RS and 50% in DS"/>
    <d v="1964-01-01T00:00:00"/>
    <n v="24"/>
    <n v="0"/>
    <n v="22.8"/>
    <n v="1.1999999999999993"/>
    <n v="1.2000000000000002"/>
    <n v="25"/>
    <n v="56.290410958904111"/>
    <n v="125144.45"/>
    <n v="57.290410958904111"/>
    <n v="-3.552713678800501E-17"/>
    <n v="125144.45"/>
    <n v="1.2000000000000002"/>
  </r>
  <r>
    <n v="961"/>
    <s v="Electic Motor 2"/>
    <s v="Sugar Division"/>
    <x v="2"/>
    <m/>
    <s v="50% each in RS and 50% in DS"/>
    <d v="1979-01-01T00:00:00"/>
    <n v="12771"/>
    <n v="0"/>
    <n v="12132.45"/>
    <n v="638.54999999999927"/>
    <n v="638.55000000000007"/>
    <n v="10"/>
    <n v="41.279452054794518"/>
    <n v="1581252.2"/>
    <n v="42.279452054794518"/>
    <n v="-7.9580786405131228E-14"/>
    <n v="1581252.2"/>
    <n v="638.55000000000007"/>
  </r>
  <r>
    <n v="962"/>
    <s v="One New Pan 37.5 Tons"/>
    <s v="Sugar Division"/>
    <x v="2"/>
    <m/>
    <s v="50% each in RS and 50% in DS"/>
    <d v="1965-01-01T00:00:00"/>
    <n v="145953"/>
    <n v="0"/>
    <n v="138655.35"/>
    <n v="7297.6499999999942"/>
    <n v="7297.6500000000005"/>
    <n v="25"/>
    <n v="55.287671232876711"/>
    <n v="937206.35"/>
    <n v="56.287671232876711"/>
    <n v="-2.5465851649641993E-13"/>
    <n v="937206.35"/>
    <n v="7297.6500000000005"/>
  </r>
  <r>
    <n v="963"/>
    <s v="Six Centrifugal Machines 20&quot;X42&quot;"/>
    <s v="Sugar Division"/>
    <x v="2"/>
    <m/>
    <s v="50% each in RS and 50% in DS"/>
    <d v="1965-01-01T00:00:00"/>
    <n v="133006"/>
    <n v="0"/>
    <n v="126355.7"/>
    <n v="6650.3000000000029"/>
    <n v="6650.3"/>
    <n v="25"/>
    <n v="55.287671232876711"/>
    <n v="771090.3"/>
    <n v="56.287671232876711"/>
    <n v="1.0913936421275138E-13"/>
    <n v="771090.3"/>
    <n v="6650.3"/>
  </r>
  <r>
    <n v="964"/>
    <s v="Juice Heater 1200 Sq. Ft. H.S."/>
    <s v="Sugar Division"/>
    <x v="2"/>
    <m/>
    <s v="50% each in RS and 50% in DS"/>
    <d v="1965-01-01T00:00:00"/>
    <n v="41135"/>
    <n v="0"/>
    <n v="39078.25"/>
    <n v="2056.75"/>
    <n v="2056.75"/>
    <n v="25"/>
    <n v="55.287671232876711"/>
    <n v="404383.65"/>
    <n v="56.287671232876711"/>
    <n v="0"/>
    <n v="404383.65"/>
    <n v="2056.75"/>
  </r>
  <r>
    <n v="965"/>
    <s v="Hydraulic Pump With 250 H.P.Motor"/>
    <s v="Sugar Division"/>
    <x v="2"/>
    <m/>
    <s v="50% each in RS and 50% in DS"/>
    <d v="1965-01-01T00:00:00"/>
    <n v="10379"/>
    <n v="0"/>
    <n v="9860.0499999999993"/>
    <n v="518.95000000000073"/>
    <n v="518.95000000000005"/>
    <n v="25"/>
    <n v="55.287671232876711"/>
    <n v="169177.9"/>
    <n v="56.287671232876711"/>
    <n v="2.7284841053187846E-14"/>
    <n v="169177.9"/>
    <n v="518.95000000000005"/>
  </r>
  <r>
    <n v="966"/>
    <s v="One A Heavy Pump"/>
    <s v="Sugar Division"/>
    <x v="2"/>
    <m/>
    <s v="50% each in RS and 50% in DS"/>
    <d v="1965-01-01T00:00:00"/>
    <n v="6928"/>
    <n v="0"/>
    <n v="6581.6"/>
    <n v="346.39999999999964"/>
    <n v="346.40000000000003"/>
    <n v="25"/>
    <n v="55.287671232876711"/>
    <n v="164992.20000000001"/>
    <n v="56.287671232876711"/>
    <n v="-1.5916157281026246E-14"/>
    <n v="164992.20000000001"/>
    <n v="346.40000000000003"/>
  </r>
  <r>
    <n v="967"/>
    <s v="Replacement Ist Body Calandria &amp; Tube Plates Of M. Quad"/>
    <s v="Sugar Division"/>
    <x v="2"/>
    <m/>
    <s v="50% each in RS and 50% in DS"/>
    <d v="1965-01-01T00:00:00"/>
    <n v="6739"/>
    <n v="0"/>
    <n v="6402.05"/>
    <n v="336.94999999999982"/>
    <n v="336.95000000000005"/>
    <n v="25"/>
    <n v="55.287671232876711"/>
    <n v="161418.29999999999"/>
    <n v="56.287671232876711"/>
    <n v="-9.0949470177292826E-15"/>
    <n v="161418.29999999999"/>
    <n v="336.95000000000005"/>
  </r>
  <r>
    <n v="968"/>
    <s v="One Booster For Pan"/>
    <s v="Sugar Division"/>
    <x v="2"/>
    <m/>
    <s v="50% each in RS and 50% in DS"/>
    <d v="1965-01-01T00:00:00"/>
    <n v="6399"/>
    <n v="0"/>
    <n v="6079.05"/>
    <n v="319.94999999999982"/>
    <n v="319.95000000000005"/>
    <n v="25"/>
    <n v="55.287671232876711"/>
    <n v="96261.6"/>
    <n v="56.287671232876711"/>
    <n v="-9.0949470177292826E-15"/>
    <n v="96261.6"/>
    <n v="319.95000000000005"/>
  </r>
  <r>
    <n v="969"/>
    <s v="Tanks For Syrup &amp; Molasses"/>
    <s v="Sugar Division"/>
    <x v="2"/>
    <m/>
    <s v="50% each in RS and 50% in DS"/>
    <d v="1965-01-01T00:00:00"/>
    <n v="2855"/>
    <n v="0"/>
    <n v="2712.25"/>
    <n v="142.75"/>
    <n v="142.75"/>
    <n v="25"/>
    <n v="55.287671232876711"/>
    <n v="94466.1"/>
    <n v="56.287671232876711"/>
    <n v="0"/>
    <n v="94466.1"/>
    <n v="142.75"/>
  </r>
  <r>
    <n v="970"/>
    <s v="Save-All One"/>
    <s v="Sugar Division"/>
    <x v="2"/>
    <m/>
    <s v="50% each in RS and 50% in DS"/>
    <d v="1965-01-01T00:00:00"/>
    <n v="1712"/>
    <n v="0"/>
    <n v="1626.4"/>
    <n v="85.599999999999909"/>
    <n v="85.600000000000009"/>
    <n v="25"/>
    <n v="55.287671232876711"/>
    <n v="87723"/>
    <n v="56.287671232876711"/>
    <n v="-3.9790393202565614E-15"/>
    <n v="87723"/>
    <n v="85.600000000000009"/>
  </r>
  <r>
    <n v="971"/>
    <s v="New Feed Line For 160 Lbs Steam Pressure"/>
    <s v="Sugar Division"/>
    <x v="2"/>
    <m/>
    <s v="Steam"/>
    <d v="1965-01-01T00:00:00"/>
    <n v="1232"/>
    <n v="0"/>
    <n v="1170.4000000000001"/>
    <n v="61.599999999999909"/>
    <n v="61.6"/>
    <n v="25"/>
    <n v="55.287671232876711"/>
    <n v="84040.8"/>
    <n v="56.287671232876711"/>
    <n v="-3.6948222259525211E-15"/>
    <n v="84040.8"/>
    <n v="61.6"/>
  </r>
  <r>
    <n v="972"/>
    <s v="One Messecuite Pump"/>
    <s v="Sugar Division"/>
    <x v="2"/>
    <m/>
    <s v="50% each in RS and 50% in DS"/>
    <d v="1965-01-01T00:00:00"/>
    <n v="223"/>
    <n v="0"/>
    <n v="211.85"/>
    <n v="11.150000000000006"/>
    <n v="11.15"/>
    <n v="25"/>
    <n v="55.287671232876711"/>
    <n v="71258.55"/>
    <n v="56.287671232876711"/>
    <n v="2.1316282072803005E-16"/>
    <n v="71258.55"/>
    <n v="11.15"/>
  </r>
  <r>
    <n v="973"/>
    <s v="New Juice Heater  1250 Sq. Ft. H.S."/>
    <s v="Sugar Division"/>
    <x v="2"/>
    <m/>
    <s v="50% each in RS and 50% in DS"/>
    <d v="1966-01-01T00:00:00"/>
    <n v="44662"/>
    <n v="0"/>
    <n v="42428.9"/>
    <n v="2233.0999999999985"/>
    <n v="2233.1"/>
    <n v="25"/>
    <n v="54.287671232876711"/>
    <n v="55948.35"/>
    <n v="55.287671232876711"/>
    <n v="-5.4569682106375692E-14"/>
    <n v="55948.35"/>
    <n v="2233.1"/>
  </r>
  <r>
    <n v="974"/>
    <s v="Hydraolic Pump With Motor"/>
    <s v="Sugar Division"/>
    <x v="2"/>
    <m/>
    <s v="50% each in RS and 50% in DS"/>
    <d v="1966-01-01T00:00:00"/>
    <n v="36728"/>
    <n v="0"/>
    <n v="34891.599999999999"/>
    <n v="1836.4000000000015"/>
    <n v="1836.4"/>
    <n v="25"/>
    <n v="54.287671232876711"/>
    <n v="51395"/>
    <n v="55.287671232876711"/>
    <n v="5.4569682106375692E-14"/>
    <n v="51395"/>
    <n v="1836.4"/>
  </r>
  <r>
    <n v="975"/>
    <s v="New Mill 30&quot; X60&quot;"/>
    <s v="Sugar Division"/>
    <x v="2"/>
    <m/>
    <s v="Juice Costing"/>
    <d v="1966-01-01T00:00:00"/>
    <n v="30197"/>
    <n v="0"/>
    <n v="28687.15"/>
    <n v="1509.8499999999985"/>
    <n v="1509.8500000000001"/>
    <n v="25"/>
    <n v="54.287671232876711"/>
    <n v="49874.05"/>
    <n v="55.287671232876711"/>
    <n v="-6.3664629124104983E-14"/>
    <n v="49874.05"/>
    <n v="1509.8500000000001"/>
  </r>
  <r>
    <n v="976"/>
    <s v="Magma Pump"/>
    <s v="Sugar Division"/>
    <x v="2"/>
    <m/>
    <s v="50% each in RS and 50% in DS"/>
    <d v="1966-01-01T00:00:00"/>
    <n v="12296"/>
    <n v="0"/>
    <n v="11681.2"/>
    <n v="614.79999999999927"/>
    <n v="614.80000000000007"/>
    <n v="25"/>
    <n v="54.287671232876711"/>
    <n v="41298.400000000001"/>
    <n v="55.287671232876711"/>
    <n v="-3.1832314562052491E-14"/>
    <n v="41298.400000000001"/>
    <n v="614.80000000000007"/>
  </r>
  <r>
    <n v="977"/>
    <s v="Spray Tank Extansion "/>
    <s v="Sugar Division"/>
    <x v="2"/>
    <m/>
    <s v="50% each in RS and 50% in DS"/>
    <d v="1966-01-01T00:00:00"/>
    <n v="11389"/>
    <n v="0"/>
    <n v="10819.55"/>
    <n v="569.45000000000073"/>
    <n v="569.45000000000005"/>
    <n v="25"/>
    <n v="54.287671232876711"/>
    <n v="40056.75"/>
    <n v="55.287671232876711"/>
    <n v="2.7284841053187846E-14"/>
    <n v="40056.75"/>
    <n v="569.45000000000005"/>
  </r>
  <r>
    <n v="978"/>
    <s v="Booster For Pan "/>
    <s v="Sugar Division"/>
    <x v="2"/>
    <m/>
    <s v="50% each in RS and 50% in DS"/>
    <d v="1966-01-01T00:00:00"/>
    <n v="3183"/>
    <n v="0"/>
    <n v="3023.85"/>
    <n v="159.15000000000009"/>
    <n v="159.15"/>
    <n v="25"/>
    <n v="54.287671232876711"/>
    <n v="34759.550000000003"/>
    <n v="55.287671232876711"/>
    <n v="3.4106051316484808E-15"/>
    <n v="34759.550000000003"/>
    <n v="159.15"/>
  </r>
  <r>
    <n v="979"/>
    <s v="Melting Pump With Motor"/>
    <s v="Sugar Division"/>
    <x v="2"/>
    <m/>
    <s v="50% each in RS and 50% in DS"/>
    <d v="1966-01-01T00:00:00"/>
    <n v="1083"/>
    <n v="0"/>
    <n v="1028.8499999999999"/>
    <n v="54.150000000000091"/>
    <n v="54.150000000000006"/>
    <n v="25"/>
    <n v="54.287671232876711"/>
    <n v="22554.9"/>
    <n v="55.287671232876711"/>
    <n v="3.4106051316484808E-15"/>
    <n v="22554.9"/>
    <n v="54.150000000000006"/>
  </r>
  <r>
    <n v="980"/>
    <s v="Vapour Cell 10000 Sq.Ft. H.S."/>
    <s v="Sugar Division"/>
    <x v="2"/>
    <m/>
    <s v="50% each in RS and 50% in DS"/>
    <d v="1966-01-01T00:00:00"/>
    <n v="428"/>
    <n v="0"/>
    <n v="406.6"/>
    <n v="21.399999999999977"/>
    <n v="21.400000000000002"/>
    <n v="25"/>
    <n v="54.287671232876711"/>
    <n v="20094.400000000001"/>
    <n v="55.287671232876711"/>
    <n v="-9.9475983006414035E-16"/>
    <n v="20094.400000000001"/>
    <n v="21.400000000000002"/>
  </r>
  <r>
    <n v="981"/>
    <s v="Plainer Machine"/>
    <s v="Sugar Division"/>
    <x v="2"/>
    <m/>
    <s v="50% each in RS and 50% in DS"/>
    <d v="1976-01-01T00:00:00"/>
    <n v="55847"/>
    <n v="0"/>
    <n v="53054.65"/>
    <n v="2792.3499999999985"/>
    <n v="2792.3500000000004"/>
    <n v="15"/>
    <n v="44.282191780821918"/>
    <n v="2480.4499999999998"/>
    <n v="45.282191780821918"/>
    <n v="-1.2126596023639043E-13"/>
    <n v="2480.4499999999998"/>
    <n v="2792.3500000000004"/>
  </r>
  <r>
    <n v="982"/>
    <s v="New Copula"/>
    <s v="Sugar Division"/>
    <x v="2"/>
    <m/>
    <s v="50% each in RS and 50% in DS"/>
    <d v="1976-01-01T00:00:00"/>
    <n v="16892"/>
    <n v="0"/>
    <n v="16047.4"/>
    <n v="844.60000000000036"/>
    <n v="844.6"/>
    <n v="15"/>
    <n v="44.282191780821918"/>
    <n v="77710"/>
    <n v="45.282191780821918"/>
    <n v="2.2737367544323207E-14"/>
    <n v="77710"/>
    <n v="844.6"/>
  </r>
  <r>
    <n v="983"/>
    <s v="New Copula"/>
    <s v="Sugar Division"/>
    <x v="2"/>
    <m/>
    <s v="50% each in RS and 50% in DS"/>
    <d v="1976-01-01T00:00:00"/>
    <n v="15227"/>
    <n v="0"/>
    <n v="14465.65"/>
    <n v="761.35000000000036"/>
    <n v="761.35"/>
    <n v="15"/>
    <n v="44.282191780821918"/>
    <n v="4752242.05"/>
    <n v="45.282191780821918"/>
    <n v="2.2737367544323207E-14"/>
    <n v="4752242.05"/>
    <n v="761.35"/>
  </r>
  <r>
    <n v="984"/>
    <s v="Bandsaw Machine 42&quot; "/>
    <s v="Sugar Division"/>
    <x v="2"/>
    <m/>
    <s v="50% each in RS and 50% in DS"/>
    <d v="1976-01-01T00:00:00"/>
    <n v="6417"/>
    <n v="0"/>
    <n v="6096.15"/>
    <n v="320.85000000000036"/>
    <n v="320.85000000000002"/>
    <n v="15"/>
    <n v="44.282191780821918"/>
    <n v="2930558.1"/>
    <n v="45.282191780821918"/>
    <n v="2.2737367544323207E-14"/>
    <n v="2930558.1"/>
    <n v="320.85000000000002"/>
  </r>
  <r>
    <n v="985"/>
    <s v="Bandsaw Machine 42&quot; "/>
    <s v="Sugar Division"/>
    <x v="2"/>
    <m/>
    <s v="50% each in RS and 50% in DS"/>
    <d v="1976-01-01T00:00:00"/>
    <n v="5435"/>
    <n v="0"/>
    <n v="5163.25"/>
    <n v="271.75"/>
    <n v="271.75"/>
    <n v="15"/>
    <n v="44.282191780821918"/>
    <n v="670870.05000000005"/>
    <n v="45.282191780821918"/>
    <n v="0"/>
    <n v="670870.05000000005"/>
    <n v="271.75"/>
  </r>
  <r>
    <n v="986"/>
    <s v="Vapour Cell10000 H.S."/>
    <s v="Sugar Division"/>
    <x v="2"/>
    <m/>
    <s v="50% each in RS and 50% in DS"/>
    <d v="1967-01-01T00:00:00"/>
    <n v="456297"/>
    <n v="0"/>
    <n v="433482.15"/>
    <n v="22814.849999999977"/>
    <n v="22814.850000000002"/>
    <n v="25"/>
    <n v="53.287671232876711"/>
    <n v="582964.65"/>
    <n v="54.287671232876711"/>
    <n v="-1.0186340659856797E-12"/>
    <n v="582964.65"/>
    <n v="22814.850000000002"/>
  </r>
  <r>
    <n v="987"/>
    <s v="Modification Of Bagasse Carrier"/>
    <s v="Sugar Division"/>
    <x v="2"/>
    <m/>
    <s v="50% each in RS and 50% in DS"/>
    <d v="1967-01-01T00:00:00"/>
    <n v="39353"/>
    <n v="0"/>
    <n v="37385.35"/>
    <n v="1967.6500000000015"/>
    <n v="1967.65"/>
    <n v="25"/>
    <n v="53.287671232876711"/>
    <n v="440272.75"/>
    <n v="54.287671232876711"/>
    <n v="5.4569682106375692E-14"/>
    <n v="440272.75"/>
    <n v="1967.65"/>
  </r>
  <r>
    <n v="988"/>
    <s v="Weighed Juice Pump  With Motor  "/>
    <s v="Sugar Division"/>
    <x v="2"/>
    <m/>
    <s v="Upto gate"/>
    <d v="1967-01-01T00:00:00"/>
    <n v="17199"/>
    <n v="0"/>
    <n v="16339.05"/>
    <n v="859.95000000000073"/>
    <n v="859.95"/>
    <n v="25"/>
    <n v="53.287671232876711"/>
    <n v="310118"/>
    <n v="54.287671232876711"/>
    <n v="2.7284841053187846E-14"/>
    <n v="310118"/>
    <n v="859.95"/>
  </r>
  <r>
    <n v="989"/>
    <s v="Lift (Birla Building )"/>
    <s v="Sugar Division"/>
    <x v="2"/>
    <m/>
    <s v="50% each in RS and 50% in DS"/>
    <d v="1981-01-01T00:00:00"/>
    <n v="6249"/>
    <n v="0"/>
    <n v="5936.55"/>
    <n v="312.44999999999982"/>
    <n v="312.45000000000005"/>
    <n v="15"/>
    <n v="39.276712328767125"/>
    <n v="302551.25"/>
    <n v="40.276712328767125"/>
    <n v="-1.5158245029548804E-14"/>
    <n v="302551.25"/>
    <n v="312.45000000000005"/>
  </r>
  <r>
    <n v="990"/>
    <s v="Spray Pond Extension"/>
    <s v="Sugar Division"/>
    <x v="2"/>
    <m/>
    <s v="50% each in RS and 50% in DS"/>
    <d v="1967-01-01T00:00:00"/>
    <n v="14409"/>
    <n v="0"/>
    <n v="13688.55"/>
    <n v="720.45000000000073"/>
    <n v="720.45"/>
    <n v="25"/>
    <n v="53.287671232876711"/>
    <n v="225927.1"/>
    <n v="54.287671232876711"/>
    <n v="2.7284841053187846E-14"/>
    <n v="225927.1"/>
    <n v="720.45"/>
  </r>
  <r>
    <n v="991"/>
    <s v="Condenset Tank At Boiler "/>
    <s v="Sugar Division"/>
    <x v="2"/>
    <m/>
    <s v="50% each in RS and 50% in DS"/>
    <d v="1967-01-01T00:00:00"/>
    <n v="14133"/>
    <n v="0"/>
    <n v="13426.35"/>
    <n v="706.64999999999964"/>
    <n v="706.65000000000009"/>
    <n v="25"/>
    <n v="53.287671232876711"/>
    <n v="199614"/>
    <n v="54.287671232876711"/>
    <n v="-1.8189894035458565E-14"/>
    <n v="199614"/>
    <n v="706.65000000000009"/>
  </r>
  <r>
    <n v="992"/>
    <s v="Clear Juice Pump With Motor"/>
    <s v="Sugar Division"/>
    <x v="2"/>
    <m/>
    <s v="50% each in RS and 50% in DS"/>
    <d v="1967-01-01T00:00:00"/>
    <n v="13989"/>
    <n v="0"/>
    <n v="13289.55"/>
    <n v="699.45000000000073"/>
    <n v="699.45"/>
    <n v="25"/>
    <n v="53.287671232876711"/>
    <n v="179822.65"/>
    <n v="54.287671232876711"/>
    <n v="2.7284841053187846E-14"/>
    <n v="179822.65"/>
    <n v="699.45"/>
  </r>
  <r>
    <n v="993"/>
    <s v="Capacitor"/>
    <s v="Sugar Division"/>
    <x v="2"/>
    <m/>
    <s v="50% each in RS and 50% in DS"/>
    <d v="1967-01-01T00:00:00"/>
    <n v="12361"/>
    <n v="0"/>
    <n v="11742.95"/>
    <n v="618.04999999999927"/>
    <n v="618.05000000000007"/>
    <n v="25"/>
    <n v="53.287671232876711"/>
    <n v="149874.85"/>
    <n v="54.287671232876711"/>
    <n v="-3.1832314562052491E-14"/>
    <n v="149874.85"/>
    <n v="618.05000000000007"/>
  </r>
  <r>
    <n v="994"/>
    <s v="Block At Main Office At Cal."/>
    <s v="Sugar Division"/>
    <x v="2"/>
    <m/>
    <s v="50% each in RS and 50% in DS"/>
    <d v="1982-01-01T00:00:00"/>
    <n v="12074"/>
    <n v="0"/>
    <n v="11470.3"/>
    <n v="603.70000000000073"/>
    <n v="603.70000000000005"/>
    <n v="15"/>
    <n v="38.276712328767125"/>
    <n v="75437.600000000006"/>
    <n v="39.276712328767125"/>
    <n v="4.5474735088646414E-14"/>
    <n v="75437.600000000006"/>
    <n v="603.70000000000005"/>
  </r>
  <r>
    <n v="995"/>
    <s v="Gear Mill Bed Plate"/>
    <s v="Sugar Division"/>
    <x v="2"/>
    <m/>
    <s v="Juice Costing"/>
    <d v="1967-01-01T00:00:00"/>
    <n v="10058"/>
    <n v="0"/>
    <n v="9555.1"/>
    <n v="502.89999999999964"/>
    <n v="502.90000000000003"/>
    <n v="25"/>
    <n v="53.287671232876711"/>
    <n v="55345.1"/>
    <n v="54.287671232876711"/>
    <n v="-1.5916157281026246E-14"/>
    <n v="55345.1"/>
    <n v="502.90000000000003"/>
  </r>
  <r>
    <n v="996"/>
    <s v="Feed Water Meters Two"/>
    <s v="Sugar Division"/>
    <x v="2"/>
    <m/>
    <s v="50% each in RS and 50% in DS"/>
    <d v="1967-01-01T00:00:00"/>
    <n v="9277"/>
    <n v="0"/>
    <n v="8813.15"/>
    <n v="463.85000000000036"/>
    <n v="463.85"/>
    <n v="25"/>
    <n v="53.287671232876711"/>
    <n v="48051"/>
    <n v="54.287671232876711"/>
    <n v="1.3642420526593923E-14"/>
    <n v="48051"/>
    <n v="463.85"/>
  </r>
  <r>
    <n v="997"/>
    <s v="Co2 Recorder"/>
    <s v="Sugar Division"/>
    <x v="2"/>
    <m/>
    <s v="50% each in RS and 50% in DS"/>
    <d v="1967-01-01T00:00:00"/>
    <n v="7789"/>
    <n v="0"/>
    <n v="7399.55"/>
    <n v="389.44999999999982"/>
    <n v="389.45000000000005"/>
    <n v="25"/>
    <n v="53.287671232876711"/>
    <n v="42199.95"/>
    <n v="54.287671232876711"/>
    <n v="-9.0949470177292826E-15"/>
    <n v="42199.95"/>
    <n v="389.45000000000005"/>
  </r>
  <r>
    <n v="998"/>
    <s v="New Juice Heater  1250 Sq. Ft. H.S."/>
    <s v="Sugar Division"/>
    <x v="2"/>
    <m/>
    <s v="50% each in RS and 50% in DS"/>
    <d v="1967-01-01T00:00:00"/>
    <n v="5339"/>
    <n v="0"/>
    <n v="5072.05"/>
    <n v="266.94999999999982"/>
    <n v="266.95"/>
    <n v="25"/>
    <n v="53.287671232876711"/>
    <n v="29068.1"/>
    <n v="54.287671232876711"/>
    <n v="-6.8212102632969615E-15"/>
    <n v="29068.1"/>
    <n v="266.95"/>
  </r>
  <r>
    <n v="999"/>
    <s v="Weighbridge 10 Ton 2 Nos."/>
    <s v="Sugar Division"/>
    <x v="2"/>
    <m/>
    <s v="Upto gate"/>
    <d v="2001-12-31T00:00:00"/>
    <n v="232332"/>
    <n v="0"/>
    <n v="220715.4"/>
    <n v="11616.600000000006"/>
    <n v="11616.6"/>
    <n v="15"/>
    <n v="18.265753424657536"/>
    <n v="23590.400000000001"/>
    <n v="19.265753424657536"/>
    <n v="3.6379788070917132E-13"/>
    <n v="23590.400000000001"/>
    <n v="11616.6"/>
  </r>
  <r>
    <n v="1000"/>
    <s v="Magma Pump"/>
    <s v="Sugar Division"/>
    <x v="2"/>
    <m/>
    <s v="50% each in RS and 50% in DS"/>
    <d v="1967-01-01T00:00:00"/>
    <n v="572"/>
    <n v="0"/>
    <n v="543.4"/>
    <n v="28.600000000000023"/>
    <n v="28.6"/>
    <n v="25"/>
    <n v="53.287671232876711"/>
    <n v="13967.85"/>
    <n v="54.287671232876711"/>
    <n v="8.5265128291212019E-16"/>
    <n v="13967.85"/>
    <n v="28.6"/>
  </r>
  <r>
    <n v="1001"/>
    <s v="Ruston Engine 114 H.P."/>
    <s v="Sugar Division"/>
    <x v="2"/>
    <m/>
    <s v="50% each in RS and 50% in DS"/>
    <d v="1968-01-01T00:00:00"/>
    <n v="51416"/>
    <n v="0"/>
    <n v="48845.2"/>
    <n v="2570.8000000000029"/>
    <n v="2570.8000000000002"/>
    <n v="25"/>
    <n v="52.287671232876711"/>
    <n v="16340"/>
    <n v="53.287671232876711"/>
    <n v="1.0913936421275138E-13"/>
    <n v="16340"/>
    <n v="2570.8000000000002"/>
  </r>
  <r>
    <n v="1002"/>
    <s v="Block At Main Office At Cal."/>
    <s v="Sugar Division"/>
    <x v="2"/>
    <m/>
    <s v="50% each in RS and 50% in DS"/>
    <d v="1984-01-01T00:00:00"/>
    <n v="35601"/>
    <n v="0"/>
    <n v="33820.949999999997"/>
    <n v="1780.0500000000029"/>
    <n v="1780.0500000000002"/>
    <n v="15"/>
    <n v="36.276712328767125"/>
    <n v="31580.536499999998"/>
    <n v="37.276712328767125"/>
    <n v="1.8189894035458566E-13"/>
    <n v="31580.536499999998"/>
    <n v="1780.0500000000002"/>
  </r>
  <r>
    <n v="1003"/>
    <s v="Condenset Tank At Boiler "/>
    <s v="Sugar Division"/>
    <x v="2"/>
    <m/>
    <s v="50% each in RS and 50% in DS"/>
    <d v="1968-01-01T00:00:00"/>
    <n v="3463"/>
    <n v="0"/>
    <n v="3289.85"/>
    <n v="173.15000000000009"/>
    <n v="173.15"/>
    <n v="25"/>
    <n v="52.287671232876711"/>
    <n v="49548.2"/>
    <n v="53.287671232876711"/>
    <n v="3.4106051316484808E-15"/>
    <n v="49548.2"/>
    <n v="173.15"/>
  </r>
  <r>
    <n v="1004"/>
    <s v="Automatic 10 Ton Crane [Mill House]"/>
    <s v="Sugar Division"/>
    <x v="2"/>
    <m/>
    <s v="50% each in RS and 50% in DS"/>
    <d v="1968-01-01T00:00:00"/>
    <n v="1821"/>
    <n v="0"/>
    <n v="1729.95"/>
    <n v="91.049999999999955"/>
    <n v="91.050000000000011"/>
    <n v="25"/>
    <n v="52.287671232876711"/>
    <n v="52840.9"/>
    <n v="53.287671232876711"/>
    <n v="-2.2737367544323206E-15"/>
    <n v="52840.9"/>
    <n v="91.050000000000011"/>
  </r>
  <r>
    <n v="1005"/>
    <s v="Magma Pump"/>
    <s v="Sugar Division"/>
    <x v="2"/>
    <m/>
    <s v="50% each in RS and 50% in DS"/>
    <d v="1968-01-01T00:00:00"/>
    <n v="373"/>
    <n v="0"/>
    <n v="354.35"/>
    <n v="18.649999999999977"/>
    <n v="18.650000000000002"/>
    <n v="25"/>
    <n v="52.287671232876711"/>
    <n v="42725.3"/>
    <n v="53.287671232876711"/>
    <n v="-9.9475983006414035E-16"/>
    <n v="42725.3"/>
    <n v="18.650000000000002"/>
  </r>
  <r>
    <n v="1006"/>
    <s v="New Filter Press "/>
    <s v="Sugar Division"/>
    <x v="2"/>
    <m/>
    <s v="50% each in RS and 50% in DS"/>
    <d v="1969-01-01T00:00:00"/>
    <n v="29222"/>
    <n v="0"/>
    <n v="27760.9"/>
    <n v="1461.0999999999985"/>
    <n v="1461.1000000000001"/>
    <n v="25"/>
    <n v="51.284931506849318"/>
    <n v="133097.85"/>
    <n v="52.284931506849318"/>
    <n v="-6.3664629124104983E-14"/>
    <n v="133097.85"/>
    <n v="1461.1000000000001"/>
  </r>
  <r>
    <n v="1007"/>
    <s v="New Pan 40 Tons [New]"/>
    <s v="Sugar Division"/>
    <x v="2"/>
    <m/>
    <s v="50% each in RS and 50% in DS"/>
    <d v="1969-01-01T00:00:00"/>
    <n v="2750"/>
    <n v="0"/>
    <n v="2612.5"/>
    <n v="137.5"/>
    <n v="137.5"/>
    <n v="25"/>
    <n v="51.284931506849318"/>
    <n v="35997.4"/>
    <n v="52.284931506849318"/>
    <n v="0"/>
    <n v="35997.4"/>
    <n v="137.5"/>
  </r>
  <r>
    <n v="1008"/>
    <s v="New Magma Pump [New]"/>
    <s v="Sugar Division"/>
    <x v="2"/>
    <m/>
    <s v="50% each in RS and 50% in DS"/>
    <d v="1969-01-01T00:00:00"/>
    <n v="2420"/>
    <n v="0"/>
    <n v="2299"/>
    <n v="121"/>
    <n v="121"/>
    <n v="25"/>
    <n v="51.284931506849318"/>
    <n v="30674.55"/>
    <n v="52.284931506849318"/>
    <n v="0"/>
    <n v="30674.55"/>
    <n v="121"/>
  </r>
  <r>
    <n v="1009"/>
    <s v="Automatic 10 Ton Crane [Mill House]"/>
    <s v="Sugar Division"/>
    <x v="2"/>
    <m/>
    <s v="50% each in RS and 50% in DS"/>
    <d v="1969-01-01T00:00:00"/>
    <n v="1839"/>
    <n v="0"/>
    <n v="1747.05"/>
    <n v="91.950000000000045"/>
    <n v="91.95"/>
    <n v="25"/>
    <n v="51.284931506849318"/>
    <n v="236852.1"/>
    <n v="52.284931506849318"/>
    <n v="1.7053025658242404E-15"/>
    <n v="236852.1"/>
    <n v="91.95"/>
  </r>
  <r>
    <n v="1010"/>
    <s v="Current Transformer [New]"/>
    <s v="Sugar Division"/>
    <x v="2"/>
    <m/>
    <s v="50% each in RS and 50% in DS"/>
    <d v="1969-01-01T00:00:00"/>
    <n v="848"/>
    <n v="0"/>
    <n v="805.6"/>
    <n v="42.399999999999977"/>
    <n v="42.400000000000006"/>
    <n v="25"/>
    <n v="51.284931506849318"/>
    <n v="239747.7"/>
    <n v="52.284931506849318"/>
    <n v="-1.1368683772161603E-15"/>
    <n v="239747.7"/>
    <n v="42.400000000000006"/>
  </r>
  <r>
    <n v="1011"/>
    <s v="Condenset  Tank At Boiler [Old]"/>
    <s v="Sugar Division"/>
    <x v="2"/>
    <m/>
    <s v="50% each in RS and 50% in DS"/>
    <d v="1969-01-01T00:00:00"/>
    <n v="520"/>
    <n v="0"/>
    <n v="494"/>
    <n v="26"/>
    <n v="26"/>
    <n v="25"/>
    <n v="51.284931506849318"/>
    <n v="34.200000000000003"/>
    <n v="52.284931506849318"/>
    <n v="0"/>
    <n v="34.200000000000003"/>
    <n v="26"/>
  </r>
  <r>
    <n v="1012"/>
    <s v="Voltage Ragulator"/>
    <s v="Sugar Division"/>
    <x v="2"/>
    <m/>
    <s v="50% each in RS and 50% in DS"/>
    <d v="1969-01-01T00:00:00"/>
    <n v="402"/>
    <n v="0"/>
    <n v="381.9"/>
    <n v="20.100000000000023"/>
    <n v="20.100000000000001"/>
    <n v="25"/>
    <n v="51.284931506849318"/>
    <n v="126.35"/>
    <n v="52.284931506849318"/>
    <n v="8.5265128291212019E-16"/>
    <n v="126.35"/>
    <n v="20.100000000000001"/>
  </r>
  <r>
    <n v="1013"/>
    <s v="Continuous Sulphitation Arrangement New"/>
    <s v="Sugar Division"/>
    <x v="2"/>
    <m/>
    <s v="50% each in RS and 50% in DS"/>
    <d v="1970-01-01T00:00:00"/>
    <n v="29089"/>
    <n v="0"/>
    <n v="27634.55"/>
    <n v="1454.4500000000007"/>
    <n v="1454.45"/>
    <n v="25"/>
    <n v="50.284931506849318"/>
    <n v="2198.3000000000002"/>
    <n v="51.284931506849318"/>
    <n v="2.7284841053187846E-14"/>
    <n v="2198.3000000000002"/>
    <n v="1454.45"/>
  </r>
  <r>
    <n v="1014"/>
    <s v="Voltage Ragulater New"/>
    <s v="Sugar Division"/>
    <x v="2"/>
    <m/>
    <s v="50% each in RS and 50% in DS"/>
    <d v="1970-01-01T00:00:00"/>
    <n v="17949"/>
    <n v="0"/>
    <n v="17051.55"/>
    <n v="897.45000000000073"/>
    <n v="897.45"/>
    <n v="25"/>
    <n v="50.284931506849318"/>
    <n v="731.5"/>
    <n v="51.284931506849318"/>
    <n v="2.7284841053187846E-14"/>
    <n v="731.5"/>
    <n v="897.45"/>
  </r>
  <r>
    <n v="1015"/>
    <s v="One Pan Of 50 Tons Capacity           [New]"/>
    <s v="Sugar Division"/>
    <x v="2"/>
    <m/>
    <s v="50% each in RS and 50% in DS"/>
    <d v="1970-01-01T00:00:00"/>
    <n v="5453"/>
    <n v="0"/>
    <n v="5180.3500000000004"/>
    <n v="272.64999999999964"/>
    <n v="272.65000000000003"/>
    <n v="25"/>
    <n v="50.284931506849318"/>
    <n v="299010.59999999998"/>
    <n v="51.284931506849318"/>
    <n v="-1.5916157281026246E-14"/>
    <n v="299010.59999999998"/>
    <n v="272.65000000000003"/>
  </r>
  <r>
    <n v="1016"/>
    <s v="Molasses Pump New"/>
    <s v="Sugar Division"/>
    <x v="2"/>
    <m/>
    <s v="50% each in RS and 50% in DS"/>
    <d v="1970-01-01T00:00:00"/>
    <n v="2029"/>
    <n v="0"/>
    <n v="1927.55"/>
    <n v="101.45000000000005"/>
    <n v="101.45"/>
    <n v="25"/>
    <n v="50.284931506849318"/>
    <n v="29018.7"/>
    <n v="51.284931506849318"/>
    <n v="1.7053025658242404E-15"/>
    <n v="29018.7"/>
    <n v="101.45"/>
  </r>
  <r>
    <n v="1017"/>
    <s v="Exhaust Fans 3 New"/>
    <s v="Sugar Division"/>
    <x v="2"/>
    <m/>
    <s v="50% each in RS and 50% in DS"/>
    <d v="1970-01-01T00:00:00"/>
    <n v="1139"/>
    <n v="0"/>
    <n v="1082.05"/>
    <n v="56.950000000000045"/>
    <n v="56.95"/>
    <n v="25"/>
    <n v="50.284931506849318"/>
    <n v="260551.75"/>
    <n v="51.284931506849318"/>
    <n v="1.7053025658242404E-15"/>
    <n v="260551.75"/>
    <n v="56.95"/>
  </r>
  <r>
    <n v="1018"/>
    <s v="New Pipe Line In Cane Yard [Old]"/>
    <s v="Sugar Division"/>
    <x v="2"/>
    <m/>
    <s v="Upto gate"/>
    <d v="1970-01-01T00:00:00"/>
    <n v="204"/>
    <n v="0"/>
    <n v="193.8"/>
    <n v="10.199999999999989"/>
    <n v="10.200000000000001"/>
    <n v="25"/>
    <n v="50.284931506849318"/>
    <n v="34731.050000000003"/>
    <n v="51.284931506849318"/>
    <n v="-4.9737991503207018E-16"/>
    <n v="34731.050000000003"/>
    <n v="10.200000000000001"/>
  </r>
  <r>
    <n v="1019"/>
    <s v="50 Tons Pan New"/>
    <s v="Sugar Division"/>
    <x v="2"/>
    <m/>
    <s v="50% each in RS and 50% in DS"/>
    <d v="1971-01-01T00:00:00"/>
    <n v="58971"/>
    <n v="0"/>
    <n v="56022.45"/>
    <n v="2948.5500000000029"/>
    <n v="2948.55"/>
    <n v="25"/>
    <n v="49.284931506849318"/>
    <n v="543180.55000000005"/>
    <n v="50.284931506849318"/>
    <n v="1.0913936421275138E-13"/>
    <n v="543180.55000000005"/>
    <n v="2948.55"/>
  </r>
  <r>
    <n v="1020"/>
    <s v="Continuation Of Suphitation New"/>
    <s v="Sugar Division"/>
    <x v="2"/>
    <m/>
    <s v="50% each in RS and 50% in DS"/>
    <d v="1971-01-01T00:00:00"/>
    <n v="25062"/>
    <n v="0"/>
    <n v="23808.9"/>
    <n v="1253.0999999999985"/>
    <n v="1253.1000000000001"/>
    <n v="25"/>
    <n v="49.284931506849318"/>
    <n v="483884.4"/>
    <n v="50.284931506849318"/>
    <n v="-6.3664629124104983E-14"/>
    <n v="483884.4"/>
    <n v="1253.1000000000001"/>
  </r>
  <r>
    <n v="1021"/>
    <s v="Exhaust Fans 5"/>
    <s v="Sugar Division"/>
    <x v="2"/>
    <m/>
    <s v="50% each in RS and 50% in DS"/>
    <d v="1971-01-01T00:00:00"/>
    <n v="3410"/>
    <n v="0"/>
    <n v="3239.5"/>
    <n v="170.5"/>
    <n v="170.5"/>
    <n v="25"/>
    <n v="49.284931506849318"/>
    <n v="39059.25"/>
    <n v="50.284931506849318"/>
    <n v="0"/>
    <n v="39059.25"/>
    <n v="170.5"/>
  </r>
  <r>
    <n v="1022"/>
    <s v="Vapour Cell"/>
    <s v="Sugar Division"/>
    <x v="2"/>
    <m/>
    <s v="50% each in RS and 50% in DS"/>
    <d v="1971-01-01T00:00:00"/>
    <n v="2042"/>
    <n v="0"/>
    <n v="1939.9"/>
    <n v="102.09999999999991"/>
    <n v="102.10000000000001"/>
    <n v="25"/>
    <n v="49.284931506849318"/>
    <n v="262154.40000000002"/>
    <n v="50.284931506849318"/>
    <n v="-3.9790393202565614E-15"/>
    <n v="262154.40000000002"/>
    <n v="102.10000000000001"/>
  </r>
  <r>
    <n v="1023"/>
    <s v="New 50 Tons Pan "/>
    <s v="Sugar Division"/>
    <x v="2"/>
    <m/>
    <s v="50% each in RS and 50% in DS"/>
    <d v="1972-01-01T00:00:00"/>
    <n v="268027"/>
    <n v="0"/>
    <n v="254625.65"/>
    <n v="13401.350000000006"/>
    <n v="13401.35"/>
    <n v="25"/>
    <n v="48.284931506849318"/>
    <n v="6809.4004999999997"/>
    <n v="49.284931506849318"/>
    <n v="2.1827872842550277E-13"/>
    <n v="6809.4004999999997"/>
    <n v="13401.35"/>
  </r>
  <r>
    <n v="1024"/>
    <s v="Continuous  Sulphitation New "/>
    <s v="Sugar Division"/>
    <x v="2"/>
    <m/>
    <s v="50% each in RS and 50% in DS"/>
    <d v="1972-01-01T00:00:00"/>
    <n v="27820"/>
    <n v="0"/>
    <n v="26429"/>
    <n v="1391"/>
    <n v="1391"/>
    <n v="25"/>
    <n v="48.284931506849318"/>
    <n v="2151.75"/>
    <n v="49.284931506849318"/>
    <n v="0"/>
    <n v="2151.75"/>
    <n v="1391"/>
  </r>
  <r>
    <n v="1025"/>
    <s v="New Filter Press "/>
    <s v="Sugar Division"/>
    <x v="2"/>
    <m/>
    <s v="50% each in RS and 50% in DS"/>
    <d v="1972-01-01T00:00:00"/>
    <n v="1580"/>
    <n v="0"/>
    <n v="1501"/>
    <n v="79"/>
    <n v="79"/>
    <n v="25"/>
    <n v="48.284931506849318"/>
    <n v="2786.35"/>
    <n v="49.284931506849318"/>
    <n v="0"/>
    <n v="2786.35"/>
    <n v="79"/>
  </r>
  <r>
    <n v="1026"/>
    <s v="Diesel Generation "/>
    <s v="Sugar Division"/>
    <x v="2"/>
    <m/>
    <s v="Common"/>
    <d v="1987-01-01T00:00:00"/>
    <n v="220468"/>
    <n v="0"/>
    <n v="209444.6"/>
    <n v="11023.399999999994"/>
    <n v="11023.400000000001"/>
    <n v="10"/>
    <n v="33.273972602739725"/>
    <n v="2771.15"/>
    <n v="34.273972602739725"/>
    <n v="-7.2759576141834263E-13"/>
    <n v="2771.1499999999992"/>
    <n v="11023.400000000001"/>
  </r>
  <r>
    <n v="1027"/>
    <s v="New 50 Ton Pan  Coming Into Contact With Corrosive Chemicals"/>
    <s v="Sugar Division"/>
    <x v="2"/>
    <m/>
    <s v="50% each in RS and 50% in DS"/>
    <d v="1973-01-01T00:00:00"/>
    <n v="38226"/>
    <n v="0"/>
    <n v="36314.699999999997"/>
    <n v="1911.3000000000029"/>
    <n v="1911.3000000000002"/>
    <n v="25"/>
    <n v="47.282191780821918"/>
    <n v="34166.293999999994"/>
    <n v="48.282191780821918"/>
    <n v="1.0913936421275138E-13"/>
    <n v="34166.293999999994"/>
    <n v="1911.3000000000002"/>
  </r>
  <r>
    <n v="1028"/>
    <s v="New Continuous Sulphitation  Arrangement [Coming Into Contact With Corrosive Chemical"/>
    <s v="Sugar Division"/>
    <x v="2"/>
    <m/>
    <s v="50% each in RS and 50% in DS"/>
    <d v="1973-01-01T00:00:00"/>
    <n v="25598"/>
    <n v="0"/>
    <n v="24318.1"/>
    <n v="1279.9000000000015"/>
    <n v="1279.9000000000001"/>
    <n v="25"/>
    <n v="47.282191780821918"/>
    <n v="476729"/>
    <n v="48.282191780821918"/>
    <n v="5.4569682106375692E-14"/>
    <n v="476729"/>
    <n v="1279.9000000000001"/>
  </r>
  <r>
    <n v="1029"/>
    <s v="New Molasses Tank "/>
    <s v="Sugar Division"/>
    <x v="2"/>
    <m/>
    <s v="Distillery division"/>
    <d v="1983-01-01T00:00:00"/>
    <n v="463245"/>
    <n v="0"/>
    <n v="440082.75"/>
    <n v="23162.25"/>
    <n v="23162.25"/>
    <n v="15"/>
    <n v="37.276712328767125"/>
    <n v="1080321"/>
    <n v="38.276712328767125"/>
    <n v="0"/>
    <n v="1080321"/>
    <n v="23162.25"/>
  </r>
  <r>
    <n v="1030"/>
    <s v="New Molasses Steel Tank "/>
    <s v="Sugar Division"/>
    <x v="2"/>
    <m/>
    <s v="Distillery division"/>
    <d v="1983-01-01T00:00:00"/>
    <n v="75161"/>
    <n v="0"/>
    <n v="71402.95"/>
    <n v="3758.0500000000029"/>
    <n v="3758.05"/>
    <n v="15"/>
    <n v="37.276712328767125"/>
    <n v="24509.05"/>
    <n v="38.276712328767125"/>
    <n v="1.8189894035458566E-13"/>
    <n v="24509.05"/>
    <n v="3758.05"/>
  </r>
  <r>
    <n v="1031"/>
    <s v="Rapipol Extractor"/>
    <s v="Sugar Division"/>
    <x v="2"/>
    <m/>
    <s v="50% each in RS and 50% in DS"/>
    <d v="1988-01-01T00:00:00"/>
    <n v="23817"/>
    <n v="0"/>
    <n v="22626.15"/>
    <n v="1190.8499999999985"/>
    <n v="1190.8500000000001"/>
    <n v="10"/>
    <n v="32.273972602739725"/>
    <n v="40470"/>
    <n v="33.273972602739725"/>
    <n v="-1.5916157281026246E-13"/>
    <n v="40470"/>
    <n v="1190.8500000000001"/>
  </r>
  <r>
    <n v="1032"/>
    <s v="Ph Meter"/>
    <s v="Sugar Division"/>
    <x v="2"/>
    <m/>
    <s v="50% each in RS and 50% in DS"/>
    <d v="1988-01-01T00:00:00"/>
    <n v="3679"/>
    <n v="0"/>
    <n v="3495.05"/>
    <n v="183.94999999999982"/>
    <n v="183.95000000000002"/>
    <n v="10"/>
    <n v="32.273972602739725"/>
    <n v="57000"/>
    <n v="33.273972602739725"/>
    <n v="-1.9895196601282807E-14"/>
    <n v="57000"/>
    <n v="183.95000000000002"/>
  </r>
  <r>
    <n v="1033"/>
    <s v="Hot Air Plant (After Subsidy Rs. 5000)"/>
    <s v="Sugar Division"/>
    <x v="2"/>
    <m/>
    <s v="50% each in RS and 50% in DS"/>
    <d v="1975-01-01T00:00:00"/>
    <n v="5700"/>
    <n v="0"/>
    <n v="5415"/>
    <n v="285"/>
    <n v="285"/>
    <n v="25"/>
    <n v="45.282191780821918"/>
    <n v="22800"/>
    <n v="46.282191780821918"/>
    <n v="0"/>
    <n v="22800"/>
    <n v="285"/>
  </r>
  <r>
    <n v="1034"/>
    <s v="Hot Air Plant"/>
    <s v="Sugar Division"/>
    <x v="2"/>
    <m/>
    <s v="50% each in RS and 50% in DS"/>
    <d v="1975-01-01T00:00:00"/>
    <n v="93"/>
    <n v="0"/>
    <n v="88.35"/>
    <n v="4.6500000000000057"/>
    <n v="4.6500000000000004"/>
    <n v="25"/>
    <n v="45.282191780821918"/>
    <n v="23655"/>
    <n v="46.282191780821918"/>
    <n v="2.1316282072803005E-16"/>
    <n v="23655"/>
    <n v="4.6500000000000004"/>
  </r>
  <r>
    <n v="1035"/>
    <s v="One Printed Board For Control Panel Of 110 Kva Set"/>
    <s v="Sugar Division"/>
    <x v="2"/>
    <m/>
    <s v="50% each in RS and 50% in DS"/>
    <d v="1990-08-30T00:00:00"/>
    <n v="18253"/>
    <n v="0"/>
    <n v="17340.349999999999"/>
    <n v="912.65000000000146"/>
    <n v="912.65000000000009"/>
    <n v="10"/>
    <n v="29.610958904109587"/>
    <n v="15105"/>
    <n v="30.610958904109587"/>
    <n v="1.3642420526593926E-13"/>
    <n v="15105"/>
    <n v="912.65000000000009"/>
  </r>
  <r>
    <n v="1036"/>
    <s v="Mill Crane &amp; Column"/>
    <s v="Sugar Division"/>
    <x v="2"/>
    <m/>
    <s v="Juice Costing"/>
    <d v="1976-01-01T00:00:00"/>
    <n v="109376"/>
    <n v="0"/>
    <n v="103907.2"/>
    <n v="5468.8000000000029"/>
    <n v="5468.8"/>
    <n v="25"/>
    <n v="44.282191780821918"/>
    <n v="130340"/>
    <n v="45.282191780821918"/>
    <n v="1.0913936421275138E-13"/>
    <n v="130340"/>
    <n v="5468.8"/>
  </r>
  <r>
    <n v="1037"/>
    <s v="Mill Crane &amp; Column"/>
    <s v="Sugar Division"/>
    <x v="2"/>
    <m/>
    <s v="Juice Costing"/>
    <d v="1976-01-01T00:00:00"/>
    <n v="96016"/>
    <n v="0"/>
    <n v="91215.2"/>
    <n v="4800.8000000000029"/>
    <n v="4800.8"/>
    <n v="25"/>
    <n v="44.282191780821918"/>
    <n v="9499.0499999999993"/>
    <n v="45.282191780821918"/>
    <n v="1.0913936421275138E-13"/>
    <n v="9499.0499999999993"/>
    <n v="4800.8"/>
  </r>
  <r>
    <n v="1038"/>
    <s v="New Hot Water Plant"/>
    <s v="Sugar Division"/>
    <x v="2"/>
    <m/>
    <s v="Juice Costing"/>
    <d v="1976-01-01T00:00:00"/>
    <n v="49622"/>
    <n v="0"/>
    <n v="47140.9"/>
    <n v="2481.0999999999985"/>
    <n v="2481.1000000000004"/>
    <n v="25"/>
    <n v="44.282191780821918"/>
    <n v="40754.050000000003"/>
    <n v="45.282191780821918"/>
    <n v="-7.2759576141834261E-14"/>
    <n v="40754.050000000003"/>
    <n v="2481.1000000000004"/>
  </r>
  <r>
    <n v="1039"/>
    <s v="Magnetic Separator"/>
    <s v="Sugar Division"/>
    <x v="2"/>
    <m/>
    <s v="Juice Costing"/>
    <d v="1976-01-01T00:00:00"/>
    <n v="6252"/>
    <n v="0"/>
    <n v="5939.4"/>
    <n v="312.60000000000036"/>
    <n v="312.60000000000002"/>
    <n v="25"/>
    <n v="44.282191780821918"/>
    <n v="54150"/>
    <n v="45.282191780821918"/>
    <n v="1.3642420526593923E-14"/>
    <n v="54150"/>
    <n v="312.60000000000002"/>
  </r>
  <r>
    <n v="1040"/>
    <s v="One Molasses Storage Tank Of 27000/30000 Qtls."/>
    <s v="Sugar Division"/>
    <x v="2"/>
    <m/>
    <s v="Distillery division"/>
    <d v="1986-01-01T00:00:00"/>
    <n v="721067"/>
    <n v="0"/>
    <n v="685013.65"/>
    <n v="36053.349999999977"/>
    <n v="36053.35"/>
    <n v="15"/>
    <n v="34.273972602739725"/>
    <n v="56050"/>
    <n v="35.273972602739725"/>
    <n v="-1.4551915228366853E-12"/>
    <n v="56050"/>
    <n v="36053.35"/>
  </r>
  <r>
    <n v="1041"/>
    <s v="One Welding Set "/>
    <s v="Sugar Division"/>
    <x v="2"/>
    <m/>
    <s v="Common"/>
    <d v="1986-01-01T00:00:00"/>
    <n v="20325"/>
    <n v="0"/>
    <n v="19308.75"/>
    <n v="1016.25"/>
    <n v="1016.25"/>
    <n v="15"/>
    <n v="34.273972602739725"/>
    <n v="5795"/>
    <n v="35.273972602739725"/>
    <n v="0"/>
    <n v="5795"/>
    <n v="1016.25"/>
  </r>
  <r>
    <n v="1042"/>
    <s v="Weighbridge 7 Nos."/>
    <s v="Sugar Division"/>
    <x v="2"/>
    <m/>
    <s v="Upto gate"/>
    <d v="1998-11-30T00:00:00"/>
    <n v="795068"/>
    <n v="0"/>
    <n v="755314.6"/>
    <n v="39753.400000000023"/>
    <n v="39753.4"/>
    <n v="15"/>
    <n v="21.353424657534248"/>
    <n v="9526.125"/>
    <n v="22.353424657534248"/>
    <n v="1.4551915228366853E-12"/>
    <n v="9526.1250000000018"/>
    <n v="39753.4"/>
  </r>
  <r>
    <n v="1043"/>
    <s v="Slurry Mill For Lab"/>
    <s v="Sugar Division"/>
    <x v="2"/>
    <m/>
    <s v="Juice Costing"/>
    <d v="1991-11-18T00:00:00"/>
    <n v="14125"/>
    <n v="0"/>
    <n v="13418.75"/>
    <n v="706.25"/>
    <n v="706.25"/>
    <n v="10"/>
    <n v="28.391780821917809"/>
    <n v="47500"/>
    <n v="29.391780821917809"/>
    <n v="0"/>
    <n v="47500"/>
    <n v="706.25"/>
  </r>
  <r>
    <n v="1044"/>
    <s v="New Mills"/>
    <s v="Sugar Division"/>
    <x v="2"/>
    <m/>
    <s v="Juice Costing"/>
    <d v="1977-01-01T00:00:00"/>
    <n v="2400975"/>
    <n v="0"/>
    <n v="2280926.25"/>
    <n v="120048.75"/>
    <n v="120048.75"/>
    <n v="25"/>
    <n v="43.279452054794518"/>
    <n v="2850"/>
    <n v="44.279452054794518"/>
    <n v="0"/>
    <n v="2850"/>
    <n v="120048.75"/>
  </r>
  <r>
    <n v="1045"/>
    <s v="60 Ton Pan "/>
    <s v="Sugar Division"/>
    <x v="2"/>
    <m/>
    <s v="50% each in RS and 50% in DS"/>
    <d v="1977-01-01T00:00:00"/>
    <n v="812666"/>
    <n v="0"/>
    <n v="772032.7"/>
    <n v="40633.300000000047"/>
    <n v="40633.300000000003"/>
    <n v="25"/>
    <n v="43.279452054794518"/>
    <n v="1520"/>
    <n v="44.279452054794518"/>
    <n v="1.7462298274040222E-12"/>
    <n v="1520.0000000000018"/>
    <n v="40633.300000000003"/>
  </r>
  <r>
    <n v="1046"/>
    <s v="New Mills "/>
    <s v="Sugar Division"/>
    <x v="2"/>
    <m/>
    <s v="Juice Costing"/>
    <d v="1977-01-01T00:00:00"/>
    <n v="541373"/>
    <n v="0"/>
    <n v="514304.35"/>
    <n v="27068.650000000023"/>
    <n v="27068.65"/>
    <n v="25"/>
    <n v="43.279452054794518"/>
    <n v="403.75"/>
    <n v="44.279452054794518"/>
    <n v="8.7311491370201108E-13"/>
    <n v="403.75000000000085"/>
    <n v="27068.65"/>
  </r>
  <r>
    <n v="1047"/>
    <s v="Six Centrifugal Machine"/>
    <s v="Sugar Division"/>
    <x v="2"/>
    <m/>
    <s v="50% each in RS and 50% in DS"/>
    <d v="1977-01-01T00:00:00"/>
    <n v="469620"/>
    <n v="0"/>
    <n v="446139"/>
    <n v="23481"/>
    <n v="23481"/>
    <n v="25"/>
    <n v="43.279452054794518"/>
    <n v="1615"/>
    <n v="44.279452054794518"/>
    <n v="0"/>
    <n v="1615"/>
    <n v="23481"/>
  </r>
  <r>
    <n v="1048"/>
    <s v="To Replace 3 Mills Head Stock"/>
    <s v="Sugar Division"/>
    <x v="2"/>
    <m/>
    <s v="50% each in RS and 50% in DS"/>
    <d v="1977-01-01T00:00:00"/>
    <n v="398271"/>
    <n v="0"/>
    <n v="378357.45"/>
    <n v="19913.549999999988"/>
    <n v="19913.550000000003"/>
    <n v="25"/>
    <n v="43.279452054794518"/>
    <n v="1472.5"/>
    <n v="44.279452054794518"/>
    <n v="-5.8207660913467408E-13"/>
    <n v="1472.4999999999993"/>
    <n v="19913.550000000003"/>
  </r>
  <r>
    <n v="1049"/>
    <s v="Knife'S Motor &amp; Engine"/>
    <s v="Sugar Division"/>
    <x v="2"/>
    <m/>
    <s v="50% each in RS and 50% in DS"/>
    <d v="1977-01-01T00:00:00"/>
    <n v="315722"/>
    <n v="0"/>
    <n v="299935.90000000002"/>
    <n v="15786.099999999977"/>
    <n v="15786.1"/>
    <n v="25"/>
    <n v="43.279452054794518"/>
    <n v="50255"/>
    <n v="44.279452054794518"/>
    <n v="-9.458744898438454E-13"/>
    <n v="50255"/>
    <n v="15786.1"/>
  </r>
  <r>
    <n v="1050"/>
    <s v="3 High Speed Centrifugal Machines"/>
    <s v="Sugar Division"/>
    <x v="2"/>
    <m/>
    <s v="50% each in RS and 50% in DS"/>
    <d v="1977-01-01T00:00:00"/>
    <n v="304249"/>
    <n v="0"/>
    <n v="289036.55"/>
    <n v="15212.450000000012"/>
    <n v="15212.45"/>
    <n v="25"/>
    <n v="43.279452054794518"/>
    <n v="56458.385999999999"/>
    <n v="44.279452054794518"/>
    <n v="4.3655745685100554E-13"/>
    <n v="56458.385999999999"/>
    <n v="15212.45"/>
  </r>
  <r>
    <n v="1051"/>
    <s v="New Cane Carrier"/>
    <s v="Sugar Division"/>
    <x v="2"/>
    <m/>
    <s v="Juice Costing"/>
    <d v="1977-01-01T00:00:00"/>
    <n v="101151"/>
    <n v="0"/>
    <n v="96093.45"/>
    <n v="5057.5500000000029"/>
    <n v="5057.55"/>
    <n v="25"/>
    <n v="43.279452054794518"/>
    <n v="2498.5"/>
    <n v="44.279452054794518"/>
    <n v="1.0913936421275138E-13"/>
    <n v="2498.5"/>
    <n v="5057.55"/>
  </r>
  <r>
    <n v="1052"/>
    <s v="Bagasse Carrier"/>
    <s v="Sugar Division"/>
    <x v="2"/>
    <m/>
    <s v="Steam"/>
    <d v="1977-01-01T00:00:00"/>
    <n v="97053"/>
    <n v="0"/>
    <n v="92200.35"/>
    <n v="4852.6499999999942"/>
    <n v="4852.6500000000005"/>
    <n v="25"/>
    <n v="43.279452054794518"/>
    <n v="5225"/>
    <n v="44.279452054794518"/>
    <n v="-2.5465851649641993E-13"/>
    <n v="5225"/>
    <n v="4852.6500000000005"/>
  </r>
  <r>
    <n v="1053"/>
    <s v="Vapour Line Juice Heater [Old]"/>
    <s v="Sugar Division"/>
    <x v="2"/>
    <m/>
    <s v="50% each in RS and 50% in DS"/>
    <d v="1977-01-01T00:00:00"/>
    <n v="81693"/>
    <n v="0"/>
    <n v="77608.350000000006"/>
    <n v="4084.6499999999942"/>
    <n v="4084.65"/>
    <n v="25"/>
    <n v="43.279452054794518"/>
    <n v="54340"/>
    <n v="44.279452054794518"/>
    <n v="-2.3646862246096135E-13"/>
    <n v="54340"/>
    <n v="4084.65"/>
  </r>
  <r>
    <n v="1054"/>
    <s v="6 Centrifugals"/>
    <s v="Sugar Division"/>
    <x v="2"/>
    <m/>
    <s v="50% each in RS and 50% in DS"/>
    <d v="1977-01-01T00:00:00"/>
    <n v="76032"/>
    <n v="0"/>
    <n v="72230.399999999994"/>
    <n v="3801.6000000000058"/>
    <n v="3801.6000000000004"/>
    <n v="25"/>
    <n v="43.279452054794518"/>
    <n v="163020"/>
    <n v="44.279452054794518"/>
    <n v="2.1827872842550277E-13"/>
    <n v="163020"/>
    <n v="3801.6000000000004"/>
  </r>
  <r>
    <n v="1055"/>
    <s v="New Magma Pump 2"/>
    <s v="Sugar Division"/>
    <x v="2"/>
    <m/>
    <s v="50% each in RS and 50% in DS"/>
    <d v="1977-01-01T00:00:00"/>
    <n v="63633"/>
    <n v="0"/>
    <n v="60451.35"/>
    <n v="3181.6500000000015"/>
    <n v="3181.65"/>
    <n v="25"/>
    <n v="43.279452054794518"/>
    <n v="23465"/>
    <n v="44.279452054794518"/>
    <n v="5.4569682106375692E-14"/>
    <n v="23465"/>
    <n v="3181.65"/>
  </r>
  <r>
    <n v="1056"/>
    <s v="New Grader &amp; Hopper"/>
    <s v="Sugar Division"/>
    <x v="2"/>
    <m/>
    <s v="50% each in RS and 50% in DS"/>
    <d v="1977-01-01T00:00:00"/>
    <n v="63025"/>
    <n v="0"/>
    <n v="59873.75"/>
    <n v="3151.25"/>
    <n v="3151.25"/>
    <n v="25"/>
    <n v="43.279452054794518"/>
    <n v="6555"/>
    <n v="44.279452054794518"/>
    <n v="0"/>
    <n v="6555"/>
    <n v="3151.25"/>
  </r>
  <r>
    <n v="1057"/>
    <s v="New 60 Tons Pan "/>
    <s v="Sugar Division"/>
    <x v="2"/>
    <m/>
    <s v="50% each in RS and 50% in DS"/>
    <d v="1977-01-01T00:00:00"/>
    <n v="36010"/>
    <n v="0"/>
    <n v="34209.5"/>
    <n v="1800.5"/>
    <n v="1800.5"/>
    <n v="25"/>
    <n v="43.279452054794518"/>
    <n v="7695"/>
    <n v="44.279452054794518"/>
    <n v="0"/>
    <n v="7695"/>
    <n v="1800.5"/>
  </r>
  <r>
    <n v="1058"/>
    <s v="Replacement Of Bigger Pipe Line"/>
    <s v="Sugar Division"/>
    <x v="2"/>
    <m/>
    <s v="50% each in RS and 50% in DS"/>
    <d v="1977-01-01T00:00:00"/>
    <n v="31120"/>
    <n v="0"/>
    <n v="29564"/>
    <n v="1556"/>
    <n v="1556"/>
    <n v="25"/>
    <n v="43.279452054794518"/>
    <n v="7600"/>
    <n v="44.279452054794518"/>
    <n v="0"/>
    <n v="7600"/>
    <n v="1556"/>
  </r>
  <r>
    <n v="1059"/>
    <s v="Spray Pond Pipe Line"/>
    <s v="Sugar Division"/>
    <x v="2"/>
    <m/>
    <s v="Common"/>
    <d v="1977-01-01T00:00:00"/>
    <n v="25354"/>
    <n v="0"/>
    <n v="24086.3"/>
    <n v="1267.7000000000007"/>
    <n v="1267.7"/>
    <n v="25"/>
    <n v="43.279452054794518"/>
    <n v="21185"/>
    <n v="44.279452054794518"/>
    <n v="2.7284841053187846E-14"/>
    <n v="21185"/>
    <n v="1267.7"/>
  </r>
  <r>
    <n v="1060"/>
    <s v="Sulphured Juice Pump"/>
    <s v="Sugar Division"/>
    <x v="2"/>
    <m/>
    <s v="DS Costing"/>
    <d v="1977-01-01T00:00:00"/>
    <n v="18900"/>
    <n v="0"/>
    <n v="17955"/>
    <n v="945"/>
    <n v="945"/>
    <n v="25"/>
    <n v="43.279452054794518"/>
    <n v="34713"/>
    <n v="44.279452054794518"/>
    <n v="0"/>
    <n v="34713"/>
    <n v="945"/>
  </r>
  <r>
    <n v="1061"/>
    <s v="New Steam Line"/>
    <s v="Sugar Division"/>
    <x v="2"/>
    <m/>
    <s v="Steam"/>
    <d v="1977-01-01T00:00:00"/>
    <n v="16691"/>
    <n v="0"/>
    <n v="15856.45"/>
    <n v="834.54999999999927"/>
    <n v="834.55000000000007"/>
    <n v="25"/>
    <n v="43.279452054794518"/>
    <n v="78849.05"/>
    <n v="44.279452054794518"/>
    <n v="-3.1832314562052491E-14"/>
    <n v="78849.05"/>
    <n v="834.55000000000007"/>
  </r>
  <r>
    <n v="1062"/>
    <s v="Bagasse Carrier"/>
    <s v="Sugar Division"/>
    <x v="2"/>
    <m/>
    <s v="Steam"/>
    <d v="1977-01-01T00:00:00"/>
    <n v="12854"/>
    <n v="0"/>
    <n v="12211.3"/>
    <n v="642.70000000000073"/>
    <n v="642.70000000000005"/>
    <n v="25"/>
    <n v="43.279452054794518"/>
    <n v="102742.5"/>
    <n v="44.279452054794518"/>
    <n v="2.7284841053187846E-14"/>
    <n v="102742.5"/>
    <n v="642.70000000000005"/>
  </r>
  <r>
    <n v="1063"/>
    <s v="Molasses Pump New"/>
    <s v="Sugar Division"/>
    <x v="2"/>
    <m/>
    <s v="50% each in RS and 50% in DS"/>
    <d v="1977-01-01T00:00:00"/>
    <n v="12615"/>
    <n v="0"/>
    <n v="11984.25"/>
    <n v="630.75"/>
    <n v="630.75"/>
    <n v="25"/>
    <n v="43.279452054794518"/>
    <n v="6555"/>
    <n v="44.279452054794518"/>
    <n v="0"/>
    <n v="6555"/>
    <n v="630.75"/>
  </r>
  <r>
    <n v="1064"/>
    <s v="Molasses Storage Tank Of 27000/30000 Qtls."/>
    <s v="Sugar Division"/>
    <x v="2"/>
    <m/>
    <s v="Distillery division"/>
    <d v="1987-01-01T00:00:00"/>
    <n v="183342"/>
    <n v="0"/>
    <n v="174174.9"/>
    <n v="9167.1000000000058"/>
    <n v="9167.1"/>
    <n v="15"/>
    <n v="33.273972602739725"/>
    <n v="18050.2945"/>
    <n v="34.273972602739725"/>
    <n v="3.6379788070917132E-13"/>
    <n v="18050.2945"/>
    <n v="9167.1"/>
  </r>
  <r>
    <n v="1065"/>
    <s v="Welding Sets"/>
    <s v="Sugar Division"/>
    <x v="2"/>
    <m/>
    <s v="Common"/>
    <d v="1987-01-01T00:00:00"/>
    <n v="21566"/>
    <n v="0"/>
    <n v="20487.7"/>
    <n v="1078.2999999999993"/>
    <n v="1078.3"/>
    <n v="15"/>
    <n v="33.273972602739725"/>
    <n v="50074.5"/>
    <n v="34.273972602739725"/>
    <n v="-4.5474735088646414E-14"/>
    <n v="50074.5"/>
    <n v="1078.3"/>
  </r>
  <r>
    <n v="1066"/>
    <s v="One Cetrifugal Machine (Ram Singh)"/>
    <s v="Sugar Division"/>
    <x v="2"/>
    <m/>
    <s v="50% each in RS and 50% in DS"/>
    <d v="1978-01-01T00:00:00"/>
    <n v="194723"/>
    <n v="0"/>
    <n v="184986.85"/>
    <n v="9736.1499999999942"/>
    <n v="9736.15"/>
    <n v="25"/>
    <n v="42.279452054794518"/>
    <n v="439128"/>
    <n v="43.279452054794518"/>
    <n v="-2.1827872842550277E-13"/>
    <n v="439128"/>
    <n v="9736.15"/>
  </r>
  <r>
    <n v="1067"/>
    <s v="New Filter Press 1 Set"/>
    <s v="Sugar Division"/>
    <x v="2"/>
    <m/>
    <s v="Common"/>
    <d v="1978-01-01T00:00:00"/>
    <n v="58777"/>
    <n v="0"/>
    <n v="55838.15"/>
    <n v="2938.8499999999985"/>
    <n v="2938.8500000000004"/>
    <n v="25"/>
    <n v="42.279452054794518"/>
    <n v="50074.5"/>
    <n v="43.279452054794518"/>
    <n v="-7.2759576141834261E-14"/>
    <n v="50074.5"/>
    <n v="2938.8500000000004"/>
  </r>
  <r>
    <n v="1068"/>
    <s v="Air Copressor"/>
    <s v="Sugar Division"/>
    <x v="2"/>
    <m/>
    <s v="50% each in RS and 50% in DS"/>
    <d v="1978-01-01T00:00:00"/>
    <n v="35464"/>
    <n v="0"/>
    <n v="33690.800000000003"/>
    <n v="1773.1999999999971"/>
    <n v="1773.2"/>
    <n v="25"/>
    <n v="42.279452054794518"/>
    <n v="35150"/>
    <n v="43.279452054794518"/>
    <n v="-1.1823431123048067E-13"/>
    <n v="35150"/>
    <n v="1773.2"/>
  </r>
  <r>
    <n v="1069"/>
    <s v="2000Kw Turbo Set New Cable Arrangement"/>
    <s v="Sugar Division"/>
    <x v="2"/>
    <m/>
    <s v="50% each in RS and 50% in DS"/>
    <d v="1978-01-01T00:00:00"/>
    <n v="20712"/>
    <n v="0"/>
    <n v="19676.400000000001"/>
    <n v="1035.5999999999985"/>
    <n v="1035.6000000000001"/>
    <n v="25"/>
    <n v="42.279452054794518"/>
    <n v="18525"/>
    <n v="43.279452054794518"/>
    <n v="-6.3664629124104983E-14"/>
    <n v="18525"/>
    <n v="1035.6000000000001"/>
  </r>
  <r>
    <n v="1070"/>
    <s v="Steam Flow Meter"/>
    <s v="Sugar Division"/>
    <x v="2"/>
    <m/>
    <s v="50% each in RS and 50% in DS"/>
    <d v="1978-01-01T00:00:00"/>
    <n v="14372"/>
    <n v="0"/>
    <n v="13653.4"/>
    <n v="718.60000000000036"/>
    <n v="718.6"/>
    <n v="25"/>
    <n v="42.279452054794518"/>
    <n v="47500"/>
    <n v="43.279452054794518"/>
    <n v="1.3642420526593923E-14"/>
    <n v="47500"/>
    <n v="718.6"/>
  </r>
  <r>
    <n v="1071"/>
    <s v="Magnetic Saparator For Sugar Grader"/>
    <s v="Sugar Division"/>
    <x v="2"/>
    <m/>
    <s v="50% each in RS and 50% in DS"/>
    <d v="1978-01-01T00:00:00"/>
    <n v="12602"/>
    <n v="0"/>
    <n v="11971.9"/>
    <n v="630.10000000000036"/>
    <n v="630.1"/>
    <n v="25"/>
    <n v="42.279452054794518"/>
    <n v="47025"/>
    <n v="43.279452054794518"/>
    <n v="1.3642420526593923E-14"/>
    <n v="47025"/>
    <n v="630.1"/>
  </r>
  <r>
    <n v="1072"/>
    <s v="60Tons Pan"/>
    <s v="Sugar Division"/>
    <x v="2"/>
    <m/>
    <s v="50% each in RS and 50% in DS"/>
    <d v="1978-01-01T00:00:00"/>
    <n v="3928"/>
    <n v="0"/>
    <n v="3731.6"/>
    <n v="196.40000000000009"/>
    <n v="196.4"/>
    <n v="25"/>
    <n v="42.279452054794518"/>
    <n v="18050.2945"/>
    <n v="43.279452054794518"/>
    <n v="3.4106051316484808E-15"/>
    <n v="18050.2945"/>
    <n v="196.4"/>
  </r>
  <r>
    <n v="1073"/>
    <s v="Molasses Tank Massonary"/>
    <s v="Sugar Division"/>
    <x v="2"/>
    <m/>
    <s v="Distillery division"/>
    <d v="1988-01-01T00:00:00"/>
    <n v="103261"/>
    <n v="0"/>
    <n v="98097.95"/>
    <n v="5163.0500000000029"/>
    <n v="5163.05"/>
    <n v="15"/>
    <n v="32.273972602739725"/>
    <n v="9797.2644999999993"/>
    <n v="33.273972602739725"/>
    <n v="1.8189894035458566E-13"/>
    <n v="9797.2644999999993"/>
    <n v="5163.05"/>
  </r>
  <r>
    <n v="1074"/>
    <s v="Weighbridge 10 Ton 3 Nos."/>
    <s v="Sugar Division"/>
    <x v="2"/>
    <m/>
    <s v="Upto gate"/>
    <d v="2002-01-31T00:00:00"/>
    <n v="348497"/>
    <n v="0"/>
    <n v="331072.15000000002"/>
    <n v="17424.849999999977"/>
    <n v="17424.850000000002"/>
    <n v="15"/>
    <n v="18.18082191780822"/>
    <n v="42275"/>
    <n v="19.18082191780822"/>
    <n v="-1.6977234433094661E-12"/>
    <n v="42275"/>
    <n v="17424.850000000002"/>
  </r>
  <r>
    <n v="1075"/>
    <s v="Weighbrige      2 Nos."/>
    <s v="Sugar Division"/>
    <x v="2"/>
    <m/>
    <s v="Upto gate"/>
    <d v="2004-01-15T00:00:00"/>
    <n v="188180"/>
    <n v="0"/>
    <n v="178771"/>
    <n v="9409"/>
    <n v="9409"/>
    <n v="15"/>
    <n v="16.224657534246575"/>
    <n v="13385.5"/>
    <n v="17.224657534246575"/>
    <n v="0"/>
    <n v="13385.5"/>
    <n v="9409"/>
  </r>
  <r>
    <n v="1076"/>
    <s v="Weighbridge"/>
    <s v="Sugar Division"/>
    <x v="2"/>
    <m/>
    <s v="Upto gate"/>
    <d v="2005-10-30T00:00:00"/>
    <n v="171162.67"/>
    <n v="0"/>
    <n v="113065.83935260275"/>
    <n v="58096.830647397263"/>
    <n v="8558.1335000000017"/>
    <n v="15"/>
    <n v="14.432876712328767"/>
    <n v="17456.25"/>
    <n v="15.432876712328767"/>
    <n v="3302.5798098264841"/>
    <n v="20758.829809826486"/>
    <n v="8558.1335000000017"/>
  </r>
  <r>
    <n v="1077"/>
    <s v="Welding Sets"/>
    <s v="Sugar Division"/>
    <x v="2"/>
    <m/>
    <s v="50% each in RS and 50% in DS"/>
    <d v="1988-01-01T00:00:00"/>
    <n v="18815"/>
    <n v="0"/>
    <n v="17874.25"/>
    <n v="940.75"/>
    <n v="940.75"/>
    <n v="15"/>
    <n v="32.273972602739725"/>
    <n v="93822.95"/>
    <n v="33.273972602739725"/>
    <n v="0"/>
    <n v="93822.95"/>
    <n v="940.75"/>
  </r>
  <r>
    <n v="1078"/>
    <s v="Generating Set Of 380 Kw"/>
    <s v="Sugar Division"/>
    <x v="2"/>
    <m/>
    <s v="50% each in RS and 50% in DS"/>
    <d v="1993-01-15T00:00:00"/>
    <n v="1289346"/>
    <n v="0"/>
    <n v="1224878.7"/>
    <n v="64467.300000000047"/>
    <n v="64467.3"/>
    <n v="10"/>
    <n v="27.230136986301371"/>
    <n v="125252.75"/>
    <n v="28.230136986301371"/>
    <n v="4.3655745685100562E-12"/>
    <n v="125252.75"/>
    <n v="64467.3"/>
  </r>
  <r>
    <n v="1079"/>
    <s v="New Diesel Generating Set 300Kw"/>
    <s v="Sugar Division"/>
    <x v="2"/>
    <m/>
    <s v="50% each in RS and 50% in DS"/>
    <d v="1993-01-15T00:00:00"/>
    <n v="21244"/>
    <n v="0"/>
    <n v="20181.8"/>
    <n v="1062.2000000000007"/>
    <n v="1062.2"/>
    <n v="10"/>
    <n v="27.230136986301371"/>
    <n v="32300"/>
    <n v="28.230136986301371"/>
    <n v="6.8212102632969628E-14"/>
    <n v="32300"/>
    <n v="1062.2"/>
  </r>
  <r>
    <n v="1080"/>
    <s v="New Hydraulic Cap Arrangement Accumulator Type For Mills"/>
    <s v="Sugar Division"/>
    <x v="2"/>
    <m/>
    <s v="50% each in RS and 50% in DS"/>
    <d v="1979-01-01T00:00:00"/>
    <n v="17160"/>
    <n v="0"/>
    <n v="16302"/>
    <n v="858"/>
    <n v="858"/>
    <n v="25"/>
    <n v="41.279452054794518"/>
    <n v="34247.5"/>
    <n v="42.279452054794518"/>
    <n v="0"/>
    <n v="34247.5"/>
    <n v="858"/>
  </r>
  <r>
    <n v="1081"/>
    <s v="Molasses Tank Massonary"/>
    <s v="Sugar Division"/>
    <x v="2"/>
    <m/>
    <s v="Distillery division"/>
    <d v="1989-01-01T00:00:00"/>
    <n v="66418"/>
    <n v="0"/>
    <n v="63097.1"/>
    <n v="3320.9000000000015"/>
    <n v="3320.9"/>
    <n v="15"/>
    <n v="31.271232876712329"/>
    <n v="15919.15"/>
    <n v="32.271232876712325"/>
    <n v="9.0949470177292501E-14"/>
    <n v="15919.15"/>
    <n v="3320.9"/>
  </r>
  <r>
    <n v="1082"/>
    <s v="Welding Transformer"/>
    <s v="Sugar Division"/>
    <x v="2"/>
    <m/>
    <s v="50% each in RS and 50% in DS"/>
    <d v="1989-01-01T00:00:00"/>
    <n v="14718"/>
    <n v="0"/>
    <n v="13982.1"/>
    <n v="735.89999999999964"/>
    <n v="735.90000000000009"/>
    <n v="15"/>
    <n v="31.271232876712329"/>
    <n v="3325"/>
    <n v="32.271232876712325"/>
    <n v="-3.03164900590975E-14"/>
    <n v="3325"/>
    <n v="735.90000000000009"/>
  </r>
  <r>
    <n v="1083"/>
    <s v="Installation Of Additional 250 H.P. Motor "/>
    <s v="Sugar Division"/>
    <x v="2"/>
    <m/>
    <s v="50% each in RS and 50% in DS"/>
    <d v="1994-11-06T00:00:00"/>
    <n v="142926.97"/>
    <n v="0"/>
    <n v="135780.62150000001"/>
    <n v="7146.3484999999928"/>
    <n v="7146.3485000000001"/>
    <n v="10"/>
    <n v="25.421917808219177"/>
    <n v="3890.25"/>
    <n v="26.421917808219177"/>
    <n v="-7.2759576141834263E-13"/>
    <n v="3890.2499999999991"/>
    <n v="7146.3485000000001"/>
  </r>
  <r>
    <n v="1084"/>
    <s v="Automatic Centrifugal Machine"/>
    <s v="Sugar Division"/>
    <x v="2"/>
    <m/>
    <s v="50% each in RS and 50% in DS"/>
    <d v="1980-01-01T00:00:00"/>
    <n v="25163"/>
    <n v="0"/>
    <n v="23904.85"/>
    <n v="1258.1500000000015"/>
    <n v="1258.1500000000001"/>
    <n v="25"/>
    <n v="40.279452054794518"/>
    <n v="11015.25"/>
    <n v="41.279452054794518"/>
    <n v="5.4569682106375692E-14"/>
    <n v="11015.25"/>
    <n v="1258.1500000000001"/>
  </r>
  <r>
    <n v="1085"/>
    <s v="Weighbridge    "/>
    <s v="Sugar Division"/>
    <x v="2"/>
    <m/>
    <s v="Upto gate"/>
    <d v="1997-11-30T00:00:00"/>
    <n v="1743493"/>
    <n v="0"/>
    <n v="1656318.35"/>
    <n v="87174.649999999907"/>
    <n v="87174.650000000009"/>
    <n v="15"/>
    <n v="22.353424657534248"/>
    <n v="7590.5"/>
    <n v="23.353424657534248"/>
    <n v="-6.7908937732378643E-12"/>
    <n v="7590.4999999999936"/>
    <n v="87174.650000000009"/>
  </r>
  <r>
    <n v="1086"/>
    <s v="Head Office:- Water Softning Plant "/>
    <s v="Sugar Division"/>
    <x v="2"/>
    <m/>
    <s v="Common"/>
    <d v="1993-03-31T00:00:00"/>
    <n v="4254"/>
    <n v="0"/>
    <n v="4041.3"/>
    <n v="212.69999999999982"/>
    <n v="212.70000000000002"/>
    <n v="15"/>
    <n v="27.024657534246575"/>
    <n v="16957.5"/>
    <n v="28.024657534246575"/>
    <n v="-1.3263464400855204E-14"/>
    <n v="16957.5"/>
    <n v="212.70000000000002"/>
  </r>
  <r>
    <n v="1087"/>
    <s v="Exhaust Fans 3"/>
    <s v="Sugar Division"/>
    <x v="2"/>
    <m/>
    <s v="Common"/>
    <d v="1980-01-01T00:00:00"/>
    <n v="4701"/>
    <n v="0"/>
    <n v="4465.95"/>
    <n v="235.05000000000018"/>
    <n v="235.05"/>
    <n v="25"/>
    <n v="40.279452054794518"/>
    <n v="9932.8770000000004"/>
    <n v="41.279452054794518"/>
    <n v="6.8212102632969615E-15"/>
    <n v="9932.8770000000004"/>
    <n v="235.05"/>
  </r>
  <r>
    <n v="1088"/>
    <s v="Molasses Storage Tanks Of 30000 Qtls. Capacity "/>
    <s v="Sugar Division"/>
    <x v="2"/>
    <m/>
    <s v="Distillery division"/>
    <d v="1990-01-01T00:00:00"/>
    <n v="1138205"/>
    <n v="0"/>
    <n v="1081294.75"/>
    <n v="56910.25"/>
    <n v="56910.25"/>
    <n v="15"/>
    <n v="30.271232876712329"/>
    <n v="16340"/>
    <n v="31.271232876712329"/>
    <n v="0"/>
    <n v="16340"/>
    <n v="56910.25"/>
  </r>
  <r>
    <n v="1089"/>
    <s v="Head Office :- Iron Removal Plant "/>
    <s v="Sugar Division"/>
    <x v="2"/>
    <m/>
    <s v="Common"/>
    <d v="1993-03-31T00:00:00"/>
    <n v="1595"/>
    <n v="0"/>
    <n v="1515.25"/>
    <n v="79.75"/>
    <n v="79.75"/>
    <n v="15"/>
    <n v="27.024657534246575"/>
    <n v="24510"/>
    <n v="28.024657534246575"/>
    <n v="0"/>
    <n v="24510"/>
    <n v="79.75"/>
  </r>
  <r>
    <n v="1090"/>
    <s v="Booster At Pan "/>
    <s v="Sugar Division"/>
    <x v="2"/>
    <m/>
    <s v="50% each in RS and 50% in DS"/>
    <d v="1981-01-01T00:00:00"/>
    <n v="23819"/>
    <n v="0"/>
    <n v="22628.05"/>
    <n v="1190.9500000000007"/>
    <n v="1190.95"/>
    <n v="25"/>
    <n v="39.276712328767125"/>
    <n v="11400"/>
    <n v="40.276712328767125"/>
    <n v="2.7284841053187846E-14"/>
    <n v="11400"/>
    <n v="1190.95"/>
  </r>
  <r>
    <n v="1091"/>
    <s v="Weighbridge 10 Ton"/>
    <s v="Sugar Division"/>
    <x v="2"/>
    <m/>
    <s v="Upto gate"/>
    <d v="2009-01-15T00:00:00"/>
    <n v="147000"/>
    <n v="0"/>
    <n v="67185.04109589041"/>
    <n v="79814.95890410959"/>
    <n v="7350"/>
    <n v="15"/>
    <n v="11.219178082191782"/>
    <n v="29070"/>
    <n v="12.219178082191782"/>
    <n v="4830.9972602739726"/>
    <n v="33900.997260273973"/>
    <n v="7350"/>
  </r>
  <r>
    <n v="1092"/>
    <s v="Boiler Feed Pump"/>
    <s v="Sugar Division"/>
    <x v="2"/>
    <m/>
    <s v="50% each in RS and 50% in DS"/>
    <d v="1981-01-01T00:00:00"/>
    <n v="17563"/>
    <n v="0"/>
    <n v="16684.849999999999"/>
    <n v="878.15000000000146"/>
    <n v="878.15000000000009"/>
    <n v="25"/>
    <n v="39.276712328767125"/>
    <n v="6483.75"/>
    <n v="40.276712328767125"/>
    <n v="5.4569682106375692E-14"/>
    <n v="6483.75"/>
    <n v="878.15000000000009"/>
  </r>
  <r>
    <n v="1093"/>
    <s v="E.F.S.- D.G. Set 380 Kw "/>
    <s v="Sugar Division"/>
    <x v="2"/>
    <m/>
    <s v="50% each in RS and 50% in DS"/>
    <d v="1996-01-05T00:00:00"/>
    <n v="1695430"/>
    <n v="0"/>
    <n v="1610658.5"/>
    <n v="84771.5"/>
    <n v="84771.5"/>
    <n v="10"/>
    <n v="24.257534246575343"/>
    <n v="11020"/>
    <n v="25.257534246575343"/>
    <n v="0"/>
    <n v="11020"/>
    <n v="84771.5"/>
  </r>
  <r>
    <n v="1094"/>
    <s v="Vacuum Pump"/>
    <s v="Sugar Division"/>
    <x v="2"/>
    <m/>
    <s v="50% each in RS and 50% in DS"/>
    <d v="1982-01-01T00:00:00"/>
    <n v="124104"/>
    <n v="0"/>
    <n v="117898.8"/>
    <n v="6205.1999999999971"/>
    <n v="6205.2000000000007"/>
    <n v="25"/>
    <n v="38.276712328767125"/>
    <n v="13739.5365"/>
    <n v="39.276712328767125"/>
    <n v="-1.4551915228366852E-13"/>
    <n v="13739.5365"/>
    <n v="6205.2000000000007"/>
  </r>
  <r>
    <n v="1095"/>
    <s v="New Vacuum Pump"/>
    <s v="Sugar Division"/>
    <x v="2"/>
    <m/>
    <s v="50% each in RS and 50% in DS"/>
    <d v="1982-01-01T00:00:00"/>
    <n v="18211"/>
    <n v="0"/>
    <n v="17300.45"/>
    <n v="910.54999999999927"/>
    <n v="910.55000000000007"/>
    <n v="25"/>
    <n v="38.276712328767125"/>
    <n v="29924.895499999999"/>
    <n v="39.276712328767125"/>
    <n v="-3.1832314562052491E-14"/>
    <n v="29924.895499999999"/>
    <n v="910.55000000000007"/>
  </r>
  <r>
    <n v="1096"/>
    <s v="1 No. Welding Machine "/>
    <s v="Sugar Division"/>
    <x v="2"/>
    <m/>
    <s v="50% each in RS and 50% in DS"/>
    <d v="1992-01-01T00:00:00"/>
    <n v="10000"/>
    <n v="0"/>
    <n v="9500"/>
    <n v="500"/>
    <n v="500"/>
    <n v="15"/>
    <n v="28.271232876712329"/>
    <n v="22698.834500000001"/>
    <n v="29.271232876712329"/>
    <n v="0"/>
    <n v="22698.834500000001"/>
    <n v="500"/>
  </r>
  <r>
    <n v="1097"/>
    <s v="Diesel Engine 10 H.P."/>
    <s v="Sugar Division"/>
    <x v="2"/>
    <m/>
    <s v="50% each in RS and 50% in DS"/>
    <d v="1997-09-30T00:00:00"/>
    <n v="18500"/>
    <n v="0"/>
    <n v="17575"/>
    <n v="925"/>
    <n v="925"/>
    <n v="10"/>
    <n v="22.520547945205479"/>
    <n v="180506.16550000003"/>
    <n v="23.520547945205479"/>
    <n v="0"/>
    <n v="180506.16550000003"/>
    <n v="925"/>
  </r>
  <r>
    <n v="1098"/>
    <s v="1 No. Welding Machine "/>
    <s v="Sugar Division"/>
    <x v="2"/>
    <m/>
    <s v="50% each in RS and 50% in DS"/>
    <d v="1992-11-10T00:00:00"/>
    <n v="10000"/>
    <n v="0"/>
    <n v="9500"/>
    <n v="500"/>
    <n v="500"/>
    <n v="15"/>
    <n v="27.410958904109588"/>
    <n v="44892.25"/>
    <n v="28.410958904109588"/>
    <n v="0"/>
    <n v="44892.25"/>
    <n v="500"/>
  </r>
  <r>
    <n v="1099"/>
    <s v="Weighbridge 50 Ton 1 No."/>
    <s v="Sugar Division"/>
    <x v="2"/>
    <m/>
    <s v="Upto gate"/>
    <d v="2003-02-01T00:00:00"/>
    <n v="563817"/>
    <n v="0"/>
    <n v="535626.15"/>
    <n v="28190.849999999977"/>
    <n v="28190.850000000002"/>
    <n v="15"/>
    <n v="17.17808219178082"/>
    <n v="14725"/>
    <n v="18.17808219178082"/>
    <n v="-1.6977234433094661E-12"/>
    <n v="14724.999999999998"/>
    <n v="28190.850000000002"/>
  </r>
  <r>
    <n v="1100"/>
    <s v="3 New Centrifugal Machines"/>
    <s v="Sugar Division"/>
    <x v="2"/>
    <m/>
    <s v="50% each in RS and 50% in DS"/>
    <d v="1983-01-01T00:00:00"/>
    <n v="457494"/>
    <n v="0"/>
    <n v="434619.3"/>
    <n v="22874.700000000012"/>
    <n v="22874.7"/>
    <n v="25"/>
    <n v="37.276712328767125"/>
    <n v="5225"/>
    <n v="38.276712328767125"/>
    <n v="4.3655745685100554E-13"/>
    <n v="5225"/>
    <n v="22874.7"/>
  </r>
  <r>
    <n v="1101"/>
    <s v="Weighbridge 10 Ton"/>
    <s v="Sugar Division"/>
    <x v="2"/>
    <m/>
    <s v="Upto gate"/>
    <d v="2010-11-27T00:00:00"/>
    <n v="184690"/>
    <n v="0"/>
    <n v="62587.14"/>
    <n v="122102.86"/>
    <n v="9234.5"/>
    <n v="15"/>
    <n v="9.3534246575342461"/>
    <n v="9500"/>
    <n v="10.353424657534246"/>
    <n v="7524.5573333333332"/>
    <n v="17024.557333333334"/>
    <n v="9234.5"/>
  </r>
  <r>
    <n v="1102"/>
    <s v="Weighbridge"/>
    <s v="Sugar Division"/>
    <x v="2"/>
    <m/>
    <s v="Upto gate"/>
    <d v="2005-10-30T00:00:00"/>
    <n v="342325.34"/>
    <n v="0"/>
    <n v="226131.6787052055"/>
    <n v="116193.66129479453"/>
    <n v="17116.267000000003"/>
    <n v="15"/>
    <n v="14.432876712328767"/>
    <n v="17717.5"/>
    <n v="15.432876712328767"/>
    <n v="6605.1596196529681"/>
    <n v="24322.659619652968"/>
    <n v="17116.267000000003"/>
  </r>
  <r>
    <n v="1103"/>
    <s v="New Vacuum Pump (Kakati)"/>
    <s v="Sugar Division"/>
    <x v="2"/>
    <m/>
    <s v="50% each in RS and 50% in DS"/>
    <d v="1983-01-01T00:00:00"/>
    <n v="193546"/>
    <n v="0"/>
    <n v="183868.7"/>
    <n v="9677.2999999999884"/>
    <n v="9677.3000000000011"/>
    <n v="25"/>
    <n v="37.276712328767125"/>
    <n v="1140"/>
    <n v="38.276712328767125"/>
    <n v="-5.0931703299283986E-13"/>
    <n v="1139.9999999999995"/>
    <n v="9677.3000000000011"/>
  </r>
  <r>
    <n v="1104"/>
    <s v="New Welding Set "/>
    <s v="Sugar Division"/>
    <x v="2"/>
    <m/>
    <s v="50% each in RS and 50% in DS"/>
    <d v="1983-01-01T00:00:00"/>
    <n v="12376"/>
    <n v="0"/>
    <n v="11757.2"/>
    <n v="618.79999999999927"/>
    <n v="618.80000000000007"/>
    <n v="25"/>
    <n v="37.276712328767125"/>
    <n v="15200"/>
    <n v="38.276712328767125"/>
    <n v="-3.1832314562052491E-14"/>
    <n v="15200"/>
    <n v="618.80000000000007"/>
  </r>
  <r>
    <n v="1105"/>
    <s v="Welding Machine "/>
    <s v="Sugar Division"/>
    <x v="2"/>
    <m/>
    <s v="50% each in RS and 50% in DS"/>
    <d v="1993-10-31T00:00:00"/>
    <n v="11360"/>
    <n v="0"/>
    <n v="10792"/>
    <n v="568"/>
    <n v="568"/>
    <n v="15"/>
    <n v="26.438356164383563"/>
    <n v="68195.75"/>
    <n v="27.438356164383563"/>
    <n v="0"/>
    <n v="68195.75"/>
    <n v="568"/>
  </r>
  <r>
    <n v="1106"/>
    <s v="D.G. Set 5 Kva   -1"/>
    <s v="Sugar Division"/>
    <x v="2"/>
    <m/>
    <s v="50% each in RS and 50% in DS"/>
    <d v="1998-11-30T00:00:00"/>
    <n v="24200"/>
    <n v="0"/>
    <n v="22990"/>
    <n v="1210"/>
    <n v="1210"/>
    <n v="10"/>
    <n v="21.353424657534248"/>
    <n v="18810"/>
    <n v="22.353424657534248"/>
    <n v="0"/>
    <n v="18810"/>
    <n v="1210"/>
  </r>
  <r>
    <n v="1107"/>
    <s v="New 50 Tons Pan "/>
    <s v="Sugar Division"/>
    <x v="2"/>
    <m/>
    <s v="50% each in RS and 50% in DS"/>
    <d v="1984-01-01T00:00:00"/>
    <n v="615367"/>
    <n v="0"/>
    <n v="584598.65"/>
    <n v="30768.349999999977"/>
    <n v="30768.350000000002"/>
    <n v="25"/>
    <n v="36.276712328767125"/>
    <n v="6383.9715000000006"/>
    <n v="37.276712328767125"/>
    <n v="-1.0186340659856797E-12"/>
    <n v="6383.9714999999997"/>
    <n v="30768.350000000002"/>
  </r>
  <r>
    <n v="1108"/>
    <s v="New 1800 Sq.Ft. H.S. Juice Heater"/>
    <s v="Sugar Division"/>
    <x v="2"/>
    <m/>
    <s v="50% each in RS and 50% in DS"/>
    <d v="1984-01-01T00:00:00"/>
    <n v="205354"/>
    <n v="0"/>
    <n v="195086.3"/>
    <n v="10267.700000000012"/>
    <n v="10267.700000000001"/>
    <n v="25"/>
    <n v="36.276712328767125"/>
    <n v="33250"/>
    <n v="37.276712328767125"/>
    <n v="4.3655745685100554E-13"/>
    <n v="33250"/>
    <n v="10267.700000000001"/>
  </r>
  <r>
    <n v="1109"/>
    <s v="Two Overhead Crystallizers"/>
    <s v="Sugar Division"/>
    <x v="2"/>
    <m/>
    <s v="50% each in RS and 50% in DS"/>
    <d v="1984-01-01T00:00:00"/>
    <n v="99481"/>
    <n v="0"/>
    <n v="94506.95"/>
    <n v="4974.0500000000029"/>
    <n v="4974.05"/>
    <n v="25"/>
    <n v="36.276712328767125"/>
    <n v="49770.747000000003"/>
    <n v="37.276712328767125"/>
    <n v="1.0913936421275138E-13"/>
    <n v="49770.747000000003"/>
    <n v="4974.05"/>
  </r>
  <r>
    <n v="1110"/>
    <s v="500 Kva Capacitors"/>
    <s v="Sugar Division"/>
    <x v="2"/>
    <m/>
    <s v="50% each in RS and 50% in DS"/>
    <d v="1984-01-01T00:00:00"/>
    <n v="61694"/>
    <n v="0"/>
    <n v="58609.3"/>
    <n v="3084.6999999999971"/>
    <n v="3084.7000000000003"/>
    <n v="25"/>
    <n v="36.276712328767125"/>
    <n v="5890.0950000000003"/>
    <n v="37.276712328767125"/>
    <n v="-1.2732925824820997E-13"/>
    <n v="5890.0950000000003"/>
    <n v="3084.7000000000003"/>
  </r>
  <r>
    <n v="1111"/>
    <s v="Weighbridge 5 Ton-4 Nos."/>
    <s v="Sugar Division"/>
    <x v="2"/>
    <m/>
    <s v="Upto gate"/>
    <d v="2004-11-06T00:00:00"/>
    <n v="406420"/>
    <n v="0"/>
    <n v="386099"/>
    <n v="20321"/>
    <n v="20321"/>
    <n v="15"/>
    <n v="15.413698630136986"/>
    <n v="25535.914499999999"/>
    <n v="16.413698630136988"/>
    <n v="0"/>
    <n v="25535.914499999999"/>
    <n v="20321"/>
  </r>
  <r>
    <n v="1112"/>
    <s v="Ball Mill -1"/>
    <s v="Sugar Division"/>
    <x v="2"/>
    <m/>
    <s v="Juice Costing"/>
    <d v="1999-03-31T00:00:00"/>
    <n v="20687"/>
    <n v="0"/>
    <n v="19652.650000000001"/>
    <n v="1034.3499999999985"/>
    <n v="1034.3500000000001"/>
    <n v="10"/>
    <n v="21.021917808219179"/>
    <n v="125684.54399999999"/>
    <n v="22.021917808219179"/>
    <n v="-1.5916157281026246E-13"/>
    <n v="125684.54399999999"/>
    <n v="1034.3500000000001"/>
  </r>
  <r>
    <n v="1113"/>
    <s v="New Vapour Line Juice Heater"/>
    <s v="Sugar Division"/>
    <x v="2"/>
    <m/>
    <s v="Juice Costing"/>
    <d v="1985-01-01T00:00:00"/>
    <n v="207654"/>
    <n v="0"/>
    <n v="197271.3"/>
    <n v="10382.700000000012"/>
    <n v="10382.700000000001"/>
    <n v="25"/>
    <n v="35.273972602739725"/>
    <n v="149624.46799999999"/>
    <n v="36.273972602739725"/>
    <n v="4.3655745685100554E-13"/>
    <n v="149624.46799999999"/>
    <n v="10382.700000000001"/>
  </r>
  <r>
    <n v="1114"/>
    <s v="Mill Roller Two (825X1500 Mm)"/>
    <s v="Sugar Division"/>
    <x v="2"/>
    <m/>
    <s v="Juice Costing"/>
    <d v="1985-01-01T00:00:00"/>
    <n v="194847"/>
    <n v="0"/>
    <n v="185104.65"/>
    <n v="9742.3500000000058"/>
    <n v="9742.35"/>
    <n v="25"/>
    <n v="35.273972602739725"/>
    <n v="713.52600000000007"/>
    <n v="36.273972602739725"/>
    <n v="2.1827872842550277E-13"/>
    <n v="713.52600000000029"/>
    <n v="9742.35"/>
  </r>
  <r>
    <n v="1115"/>
    <s v="All Purpose Vacuum Cleaner"/>
    <s v="Sugar Division"/>
    <x v="2"/>
    <m/>
    <s v="50% each in RS and 50% in DS"/>
    <d v="1985-01-01T00:00:00"/>
    <n v="3318"/>
    <n v="0"/>
    <n v="3152.1"/>
    <n v="165.90000000000009"/>
    <n v="165.9"/>
    <n v="25"/>
    <n v="35.273972602739725"/>
    <n v="137750"/>
    <n v="36.273972602739725"/>
    <n v="3.4106051316484808E-15"/>
    <n v="137750"/>
    <n v="165.9"/>
  </r>
  <r>
    <n v="1116"/>
    <s v="Pan 50 Tons "/>
    <s v="Sugar Division"/>
    <x v="2"/>
    <m/>
    <s v="50% each in RS and 50% in DS"/>
    <d v="1985-01-01T00:00:00"/>
    <n v="3000"/>
    <n v="0"/>
    <n v="2850"/>
    <n v="150"/>
    <n v="150"/>
    <n v="25"/>
    <n v="35.273972602739725"/>
    <n v="440800"/>
    <n v="36.273972602739725"/>
    <n v="0"/>
    <n v="440800"/>
    <n v="150"/>
  </r>
  <r>
    <n v="1117"/>
    <s v="Weighbridge 10 Ton"/>
    <s v="Sugar Division"/>
    <x v="2"/>
    <m/>
    <s v="Upto gate"/>
    <d v="2012-12-15T00:00:00"/>
    <n v="277166"/>
    <n v="0"/>
    <n v="57903.647634703208"/>
    <n v="219262.3523652968"/>
    <n v="13858.300000000001"/>
    <n v="15"/>
    <n v="7.3013698630136989"/>
    <n v="286140"/>
    <n v="8.3013698630136989"/>
    <n v="13693.603491019787"/>
    <n v="299833.60349101981"/>
    <n v="13858.300000000001"/>
  </r>
  <r>
    <n v="1118"/>
    <s v="Dg Set    -17 Nos."/>
    <s v="Sugar Division"/>
    <x v="2"/>
    <m/>
    <s v="Power"/>
    <d v="2000-01-01T00:00:00"/>
    <n v="287600"/>
    <n v="0"/>
    <n v="273220"/>
    <n v="14380"/>
    <n v="14380"/>
    <n v="10"/>
    <n v="20.265753424657536"/>
    <n v="66982.457500000004"/>
    <n v="21.265753424657536"/>
    <n v="0"/>
    <n v="66982.457500000004"/>
    <n v="14380"/>
  </r>
  <r>
    <n v="1119"/>
    <s v="Weighbridge For Molasses &amp; Sugar"/>
    <s v="Sugar Division"/>
    <x v="2"/>
    <m/>
    <s v="Upto gate"/>
    <d v="2006-01-31T00:00:00"/>
    <n v="804636.97"/>
    <n v="0"/>
    <n v="518538.9262558904"/>
    <n v="286098.04374410957"/>
    <n v="40231.8485"/>
    <n v="15"/>
    <n v="14.178082191780822"/>
    <n v="6384"/>
    <n v="15.178082191780822"/>
    <n v="16391.079682940639"/>
    <n v="22775.079682940639"/>
    <n v="40231.8485"/>
  </r>
  <r>
    <n v="1120"/>
    <s v="Molasses Storage Tank "/>
    <s v="Sugar Division"/>
    <x v="2"/>
    <m/>
    <s v="Distillery division"/>
    <d v="1995-03-27T00:00:00"/>
    <n v="3435401"/>
    <n v="0"/>
    <n v="3263630.95"/>
    <n v="171770.04999999981"/>
    <n v="171770.05000000002"/>
    <n v="15"/>
    <n v="25.035616438356165"/>
    <n v="1427.0615"/>
    <n v="26.035616438356165"/>
    <n v="-1.3581787546475729E-11"/>
    <n v="1427.0614999999864"/>
    <n v="171770.05000000002"/>
  </r>
  <r>
    <n v="1121"/>
    <s v="Molasses Storage Tank "/>
    <s v="Sugar Division"/>
    <x v="2"/>
    <m/>
    <s v="Distillery division"/>
    <d v="1995-03-27T00:00:00"/>
    <n v="688318"/>
    <n v="0"/>
    <n v="653902.1"/>
    <n v="34415.900000000023"/>
    <n v="34415.9"/>
    <n v="15"/>
    <n v="25.035616438356165"/>
    <n v="794.25699999999995"/>
    <n v="26.035616438356165"/>
    <n v="1.4551915228366853E-12"/>
    <n v="794.25700000000143"/>
    <n v="34415.9"/>
  </r>
  <r>
    <n v="1122"/>
    <s v="Press Mud Conveyor"/>
    <s v="Sugar Division"/>
    <x v="2"/>
    <m/>
    <s v="50% each in RS and 50% in DS"/>
    <d v="1986-01-01T00:00:00"/>
    <n v="109288"/>
    <n v="0"/>
    <n v="103823.6"/>
    <n v="5464.3999999999942"/>
    <n v="5464.4000000000005"/>
    <n v="25"/>
    <n v="34.273972602739725"/>
    <n v="794.25699999999995"/>
    <n v="35.273972602739725"/>
    <n v="-2.5465851649641993E-13"/>
    <n v="794.25699999999972"/>
    <n v="5464.4000000000005"/>
  </r>
  <r>
    <n v="1123"/>
    <s v="5&quot; H.V. Water Ring Vacuum Pump (Kakati)"/>
    <s v="Sugar Division"/>
    <x v="2"/>
    <m/>
    <s v="50% each in RS and 50% in DS"/>
    <d v="1986-01-01T00:00:00"/>
    <n v="26258"/>
    <n v="0"/>
    <n v="24945.1"/>
    <n v="1312.9000000000015"/>
    <n v="1312.9"/>
    <n v="25"/>
    <n v="34.273972602739725"/>
    <n v="1588.5139999999999"/>
    <n v="35.273972602739725"/>
    <n v="5.4569682106375692E-14"/>
    <n v="1588.5139999999999"/>
    <n v="1312.9"/>
  </r>
  <r>
    <n v="1124"/>
    <s v="Tecalmit Motorised Readicical  Machanical Lubricator With 16 Pumping Units"/>
    <s v="Sugar Division"/>
    <x v="2"/>
    <m/>
    <s v="50% each in RS and 50% in DS"/>
    <d v="1986-01-01T00:00:00"/>
    <n v="25844"/>
    <n v="0"/>
    <n v="24551.8"/>
    <n v="1292.2000000000007"/>
    <n v="1292.2"/>
    <n v="25"/>
    <n v="34.273972602739725"/>
    <n v="627.90250000000003"/>
    <n v="35.273972602739725"/>
    <n v="2.7284841053187846E-14"/>
    <n v="627.90250000000003"/>
    <n v="1292.2"/>
  </r>
  <r>
    <n v="1125"/>
    <s v="Lime Kiln"/>
    <s v="Sugar Division"/>
    <x v="2"/>
    <m/>
    <s v="50% each in RS and 50% in DS"/>
    <d v="1986-01-01T00:00:00"/>
    <n v="24926"/>
    <n v="0"/>
    <n v="23679.7"/>
    <n v="1246.2999999999993"/>
    <n v="1246.3000000000002"/>
    <n v="25"/>
    <n v="34.273972602739725"/>
    <n v="1425"/>
    <n v="35.273972602739725"/>
    <n v="-3.637978807091713E-14"/>
    <n v="1425"/>
    <n v="1246.3000000000002"/>
  </r>
  <r>
    <n v="1126"/>
    <s v="Fire Fitting Engine "/>
    <s v="Sugar Division"/>
    <x v="2"/>
    <m/>
    <s v="Common"/>
    <d v="1986-01-01T00:00:00"/>
    <n v="14692"/>
    <n v="0"/>
    <n v="13957.4"/>
    <n v="734.60000000000036"/>
    <n v="734.6"/>
    <n v="25"/>
    <n v="34.273972602739725"/>
    <n v="794.25699999999995"/>
    <n v="35.273972602739725"/>
    <n v="1.3642420526593923E-14"/>
    <n v="794.25699999999995"/>
    <n v="734.6"/>
  </r>
  <r>
    <n v="1127"/>
    <s v="H.O.T. Crane "/>
    <s v="Sugar Division"/>
    <x v="2"/>
    <m/>
    <s v="Juice Costing"/>
    <d v="1996-04-01T00:00:00"/>
    <n v="492037"/>
    <n v="0"/>
    <n v="467435.15"/>
    <n v="24601.849999999977"/>
    <n v="24601.850000000002"/>
    <n v="15"/>
    <n v="24.019178082191782"/>
    <n v="7383.875"/>
    <n v="25.019178082191782"/>
    <n v="-1.6977234433094661E-12"/>
    <n v="7383.8749999999982"/>
    <n v="24601.850000000002"/>
  </r>
  <r>
    <n v="1128"/>
    <s v="Evaporater Set 32000Sqft. H.S. Complete With Staging Pipe Line Condensate &amp; Syrup Extraction Pump Etc."/>
    <s v="Sugar Division"/>
    <x v="2"/>
    <m/>
    <s v="50% each in RS and 50% in DS"/>
    <d v="1987-01-01T00:00:00"/>
    <n v="4413284"/>
    <n v="0"/>
    <n v="4192619.8"/>
    <n v="220664.20000000019"/>
    <n v="220664.2"/>
    <n v="25"/>
    <n v="33.273972602739725"/>
    <n v="886.80600000000004"/>
    <n v="34.273972602739725"/>
    <n v="6.9849193096160886E-12"/>
    <n v="886.80600000000697"/>
    <n v="220664.2"/>
  </r>
  <r>
    <n v="1129"/>
    <s v="Three Fully Automatic C.F. Machines"/>
    <s v="Sugar Division"/>
    <x v="2"/>
    <m/>
    <s v="50% each in RS and 50% in DS"/>
    <d v="1987-01-01T00:00:00"/>
    <n v="2540934"/>
    <n v="0"/>
    <n v="2413887.2999999998"/>
    <n v="127046.70000000019"/>
    <n v="127046.70000000001"/>
    <n v="25"/>
    <n v="33.273972602739725"/>
    <n v="627.90250000000003"/>
    <n v="34.273972602739725"/>
    <n v="6.9849193096160886E-12"/>
    <n v="627.90250000000697"/>
    <n v="127046.70000000001"/>
  </r>
  <r>
    <n v="1130"/>
    <s v="60 Tons Capacity Vacuum Pan "/>
    <s v="Sugar Division"/>
    <x v="2"/>
    <m/>
    <s v="50% each in RS and 50% in DS"/>
    <d v="1987-01-01T00:00:00"/>
    <n v="1073400"/>
    <n v="0"/>
    <n v="1019730"/>
    <n v="53670"/>
    <n v="53670"/>
    <n v="25"/>
    <n v="33.273972602739725"/>
    <n v="2089.6865000000003"/>
    <n v="34.273972602739725"/>
    <n v="0"/>
    <n v="2089.6865000000003"/>
    <n v="53670"/>
  </r>
  <r>
    <n v="1131"/>
    <s v="Cane Unloader"/>
    <s v="Sugar Division"/>
    <x v="2"/>
    <m/>
    <s v="Juice Costing"/>
    <d v="1987-01-01T00:00:00"/>
    <n v="893384"/>
    <n v="0"/>
    <n v="848714.8"/>
    <n v="44669.199999999953"/>
    <n v="44669.200000000004"/>
    <n v="25"/>
    <n v="33.273972602739725"/>
    <n v="858.43899999999996"/>
    <n v="34.273972602739725"/>
    <n v="-2.0372681319713594E-12"/>
    <n v="858.43899999999792"/>
    <n v="44669.200000000004"/>
  </r>
  <r>
    <n v="1132"/>
    <s v="50 Tons Capacity Vacuum Pan "/>
    <s v="Sugar Division"/>
    <x v="2"/>
    <m/>
    <s v="50% each in RS and 50% in DS"/>
    <d v="1987-01-01T00:00:00"/>
    <n v="770637"/>
    <n v="0"/>
    <n v="732105.15"/>
    <n v="38531.849999999977"/>
    <n v="38531.85"/>
    <n v="25"/>
    <n v="33.273972602739725"/>
    <n v="3490.4614999999999"/>
    <n v="34.273972602739725"/>
    <n v="-8.7311491370201108E-13"/>
    <n v="3490.461499999999"/>
    <n v="38531.85"/>
  </r>
  <r>
    <n v="1133"/>
    <s v="Two Vacuum Filter Dorr Oliver Type 8'Diax16' Long"/>
    <s v="Sugar Division"/>
    <x v="2"/>
    <m/>
    <s v="50% each in RS and 50% in DS"/>
    <d v="1987-01-01T00:00:00"/>
    <n v="634776.6"/>
    <n v="0"/>
    <n v="603037.77"/>
    <n v="31738.829999999958"/>
    <n v="31738.83"/>
    <n v="25"/>
    <n v="33.273972602739725"/>
    <n v="65551.899999999994"/>
    <n v="34.273972602739725"/>
    <n v="-1.7462298274040222E-12"/>
    <n v="65551.899999999994"/>
    <n v="31738.83"/>
  </r>
  <r>
    <n v="1134"/>
    <s v="Three Rain Shower Condensers With Pipe "/>
    <s v="Sugar Division"/>
    <x v="2"/>
    <m/>
    <s v="50% each in RS and 50% in DS"/>
    <d v="1987-01-01T00:00:00"/>
    <n v="573067"/>
    <n v="0"/>
    <n v="544413.65"/>
    <n v="28653.349999999977"/>
    <n v="28653.350000000002"/>
    <n v="25"/>
    <n v="33.273972602739725"/>
    <n v="947.5680000000001"/>
    <n v="34.273972602739725"/>
    <n v="-1.0186340659856797E-12"/>
    <n v="947.56799999999907"/>
    <n v="28653.350000000002"/>
  </r>
  <r>
    <n v="1135"/>
    <s v="New Vacuum Filter Dorr Oliver Type "/>
    <s v="Sugar Division"/>
    <x v="2"/>
    <m/>
    <s v="50% each in RS and 50% in DS"/>
    <d v="1987-01-01T00:00:00"/>
    <n v="375267"/>
    <n v="0"/>
    <n v="356503.65"/>
    <n v="18763.349999999977"/>
    <n v="18763.350000000002"/>
    <n v="25"/>
    <n v="33.273972602739725"/>
    <n v="777.33749999999998"/>
    <n v="34.273972602739725"/>
    <n v="-1.0186340659856797E-12"/>
    <n v="777.33749999999895"/>
    <n v="18763.350000000002"/>
  </r>
  <r>
    <n v="1136"/>
    <s v="One Automatic Juice Weighing Scale Of 6 Tons Capacity"/>
    <s v="Sugar Division"/>
    <x v="2"/>
    <m/>
    <s v="Upto gate"/>
    <d v="1987-01-01T00:00:00"/>
    <n v="148060"/>
    <n v="0"/>
    <n v="140657"/>
    <n v="7403"/>
    <n v="7403"/>
    <n v="25"/>
    <n v="33.273972602739725"/>
    <n v="5985"/>
    <n v="34.273972602739725"/>
    <n v="0"/>
    <n v="5985"/>
    <n v="7403"/>
  </r>
  <r>
    <n v="1137"/>
    <s v="Air Compressor (Rotary Positive Diplacement Twine To Be Compressor Type)"/>
    <s v="Sugar Division"/>
    <x v="2"/>
    <m/>
    <s v="50% each in RS and 50% in DS"/>
    <d v="1987-01-01T00:00:00"/>
    <n v="115933"/>
    <n v="0"/>
    <n v="110136.35"/>
    <n v="5796.6499999999942"/>
    <n v="5796.6500000000005"/>
    <n v="25"/>
    <n v="33.273972602739725"/>
    <n v="5526.15"/>
    <n v="34.273972602739725"/>
    <n v="-2.5465851649641993E-13"/>
    <n v="5526.15"/>
    <n v="5796.6500000000005"/>
  </r>
  <r>
    <n v="1138"/>
    <s v="Evaporator"/>
    <s v="Sugar Division"/>
    <x v="2"/>
    <m/>
    <s v="50% each in RS and 50% in DS"/>
    <d v="1987-01-01T00:00:00"/>
    <n v="90510"/>
    <n v="0"/>
    <n v="85984.5"/>
    <n v="4525.5"/>
    <n v="4525.5"/>
    <n v="25"/>
    <n v="33.273972602739725"/>
    <n v="10173.549999999999"/>
    <n v="34.273972602739725"/>
    <n v="0"/>
    <n v="10173.549999999999"/>
    <n v="4525.5"/>
  </r>
  <r>
    <n v="1139"/>
    <s v="One Ten Tons Weighbridge For Weiging Juice"/>
    <s v="Sugar Division"/>
    <x v="2"/>
    <m/>
    <s v="Upto gate"/>
    <d v="1987-01-01T00:00:00"/>
    <n v="77564"/>
    <n v="0"/>
    <n v="73685.8"/>
    <n v="3878.1999999999971"/>
    <n v="3878.2000000000003"/>
    <n v="25"/>
    <n v="33.273972602739725"/>
    <n v="34324.449999999997"/>
    <n v="34.273972602739725"/>
    <n v="-1.2732925824820997E-13"/>
    <n v="34324.449999999997"/>
    <n v="3878.2000000000003"/>
  </r>
  <r>
    <n v="1140"/>
    <s v="Weighbridge Bagasse"/>
    <s v="Sugar Division"/>
    <x v="2"/>
    <m/>
    <s v="Upto gate"/>
    <d v="2007-12-02T00:00:00"/>
    <n v="597676.38"/>
    <n v="0"/>
    <n v="315682.29327561642"/>
    <n v="281994.08672438358"/>
    <n v="29883.819000000003"/>
    <n v="15"/>
    <n v="12.342465753424657"/>
    <n v="3773.875"/>
    <n v="13.342465753424657"/>
    <n v="16807.35118162557"/>
    <n v="20581.22618162557"/>
    <n v="29883.819000000003"/>
  </r>
  <r>
    <n v="1141"/>
    <s v="50 Tons Capacity Pan "/>
    <s v="Sugar Division"/>
    <x v="2"/>
    <m/>
    <s v="50% each in RS and 50% in DS"/>
    <d v="1987-01-01T00:00:00"/>
    <n v="50036"/>
    <n v="0"/>
    <n v="47534.2"/>
    <n v="2501.8000000000029"/>
    <n v="2501.8000000000002"/>
    <n v="25"/>
    <n v="33.273972602739725"/>
    <n v="785.68799999999999"/>
    <n v="34.273972602739725"/>
    <n v="1.0913936421275138E-13"/>
    <n v="785.6880000000001"/>
    <n v="2501.8000000000002"/>
  </r>
  <r>
    <n v="1142"/>
    <s v="New Syrup Sulphitation Tank "/>
    <s v="Sugar Division"/>
    <x v="2"/>
    <m/>
    <s v="50% each in RS and 50% in DS"/>
    <d v="1987-01-01T00:00:00"/>
    <n v="37293"/>
    <n v="0"/>
    <n v="35428.35"/>
    <n v="1864.6500000000015"/>
    <n v="1864.65"/>
    <n v="25"/>
    <n v="33.273972602739725"/>
    <n v="627.90250000000003"/>
    <n v="34.273972602739725"/>
    <n v="5.4569682106375692E-14"/>
    <n v="627.90250000000003"/>
    <n v="1864.65"/>
  </r>
  <r>
    <n v="1143"/>
    <s v="One Auto Matic Juice Weighing Scale"/>
    <s v="Sugar Division"/>
    <x v="2"/>
    <m/>
    <s v="Upto gate"/>
    <d v="1987-01-01T00:00:00"/>
    <n v="34146"/>
    <n v="0"/>
    <n v="32438.7"/>
    <n v="1707.2999999999993"/>
    <n v="1707.3000000000002"/>
    <n v="25"/>
    <n v="33.273972602739725"/>
    <n v="1738.4145000000001"/>
    <n v="34.273972602739725"/>
    <n v="-3.637978807091713E-14"/>
    <n v="1738.4145000000001"/>
    <n v="1707.3000000000002"/>
  </r>
  <r>
    <n v="1144"/>
    <s v="Sulphur Syrup Tank "/>
    <s v="Sugar Division"/>
    <x v="2"/>
    <m/>
    <s v="DS Costing"/>
    <d v="1987-01-01T00:00:00"/>
    <n v="5947"/>
    <n v="0"/>
    <n v="5649.65"/>
    <n v="297.35000000000036"/>
    <n v="297.35000000000002"/>
    <n v="25"/>
    <n v="33.273972602739725"/>
    <n v="489537.85"/>
    <n v="34.273972602739725"/>
    <n v="1.3642420526593923E-14"/>
    <n v="489537.85"/>
    <n v="297.35000000000002"/>
  </r>
  <r>
    <n v="1145"/>
    <s v="60 Tons Capacity Pan "/>
    <s v="Sugar Division"/>
    <x v="2"/>
    <m/>
    <s v="50% each in RS and 50% in DS"/>
    <d v="1987-01-01T00:00:00"/>
    <n v="4130"/>
    <n v="0"/>
    <n v="3923.5"/>
    <n v="206.5"/>
    <n v="206.5"/>
    <n v="25"/>
    <n v="33.273972602739725"/>
    <n v="3476.8195000000001"/>
    <n v="34.273972602739725"/>
    <n v="0"/>
    <n v="3476.8195000000001"/>
    <n v="206.5"/>
  </r>
  <r>
    <n v="1146"/>
    <s v="Molasses Tank       "/>
    <s v="Sugar Division"/>
    <x v="2"/>
    <m/>
    <s v="Distillery division"/>
    <d v="1997-03-25T00:00:00"/>
    <n v="369730"/>
    <n v="0"/>
    <n v="351243.5"/>
    <n v="18486.5"/>
    <n v="18486.5"/>
    <n v="15"/>
    <n v="23.038356164383561"/>
    <n v="5732.6705000000002"/>
    <n v="24.038356164383561"/>
    <n v="0"/>
    <n v="5732.6705000000002"/>
    <n v="18486.5"/>
  </r>
  <r>
    <n v="1147"/>
    <s v="Drill Machine"/>
    <s v="Sugar Division"/>
    <x v="2"/>
    <m/>
    <s v="Common"/>
    <d v="1997-04-01T00:00:00"/>
    <n v="209741"/>
    <n v="0"/>
    <n v="199253.95"/>
    <n v="10487.049999999988"/>
    <n v="10487.050000000001"/>
    <n v="15"/>
    <n v="23.019178082191782"/>
    <n v="1773.6025"/>
    <n v="24.019178082191782"/>
    <n v="-8.4886172165473304E-13"/>
    <n v="1773.6024999999991"/>
    <n v="10487.050000000001"/>
  </r>
  <r>
    <n v="1148"/>
    <s v="Lathe Machine "/>
    <s v="Sugar Division"/>
    <x v="2"/>
    <m/>
    <s v="Common"/>
    <d v="1997-09-30T00:00:00"/>
    <n v="1065843"/>
    <n v="0"/>
    <n v="1012550.85"/>
    <n v="53292.150000000023"/>
    <n v="53292.15"/>
    <n v="15"/>
    <n v="22.520547945205479"/>
    <n v="974.71899999999994"/>
    <n v="23.520547945205479"/>
    <n v="1.4551915228366853E-12"/>
    <n v="974.71900000000142"/>
    <n v="53292.15"/>
  </r>
  <r>
    <n v="1149"/>
    <s v="Plant 24&quot;X78&quot; Complete (Ghh Mill)"/>
    <s v="Sugar Division"/>
    <x v="2"/>
    <m/>
    <s v="Juice Costing"/>
    <d v="1988-01-01T00:00:00"/>
    <n v="1338933"/>
    <n v="0"/>
    <n v="1271986.3500000001"/>
    <n v="66946.649999999907"/>
    <n v="66946.650000000009"/>
    <n v="25"/>
    <n v="32.273972602739725"/>
    <n v="2654.6704999999997"/>
    <n v="33.273972602739725"/>
    <n v="-4.0745362639427189E-12"/>
    <n v="2654.6704999999956"/>
    <n v="66946.650000000009"/>
  </r>
  <r>
    <n v="1150"/>
    <s v="Two Vertical Centrifugal Machines For B-Curing C-After Worker Nk-1100"/>
    <s v="Sugar Division"/>
    <x v="2"/>
    <m/>
    <s v="50% each in RS and 50% in DS"/>
    <d v="1988-01-01T00:00:00"/>
    <n v="1294583"/>
    <n v="0"/>
    <n v="1229853.8500000001"/>
    <n v="64729.149999999907"/>
    <n v="64729.15"/>
    <n v="25"/>
    <n v="32.273972602739725"/>
    <n v="2018.75"/>
    <n v="33.273972602739725"/>
    <n v="-3.7834979593753816E-12"/>
    <n v="2018.7499999999961"/>
    <n v="64729.15"/>
  </r>
  <r>
    <n v="1151"/>
    <s v="Kakati Vacuum Pump 2000 Cft./Mt.Air Displacement Comlete With Motor &amp;Base Plate 2 Nos"/>
    <s v="Sugar Division"/>
    <x v="2"/>
    <m/>
    <s v="50% each in RS and 50% in DS"/>
    <d v="1988-01-01T00:00:00"/>
    <n v="165107"/>
    <n v="0"/>
    <n v="156851.65"/>
    <n v="8255.3500000000058"/>
    <n v="8255.35"/>
    <n v="25"/>
    <n v="32.273972602739725"/>
    <n v="7696.5770000000002"/>
    <n v="33.273972602739725"/>
    <n v="2.1827872842550277E-13"/>
    <n v="7696.5770000000002"/>
    <n v="8255.35"/>
  </r>
  <r>
    <n v="1152"/>
    <s v="Rotary Vacuum Filter 8' Dia X16' Long "/>
    <s v="Sugar Division"/>
    <x v="2"/>
    <m/>
    <s v="50% each in RS and 50% in DS"/>
    <d v="1988-01-01T00:00:00"/>
    <n v="161960"/>
    <n v="0"/>
    <n v="153862"/>
    <n v="8098"/>
    <n v="8098"/>
    <n v="25"/>
    <n v="32.273972602739725"/>
    <n v="1001.3095"/>
    <n v="33.273972602739725"/>
    <n v="0"/>
    <n v="1001.3095"/>
    <n v="8098"/>
  </r>
  <r>
    <n v="1153"/>
    <s v="Air Copressor 600 Cft./Mt.Comlete14 Upi Pump With Motor &amp; Base Plate (For Spray)"/>
    <s v="Sugar Division"/>
    <x v="2"/>
    <m/>
    <s v="50% each in RS and 50% in DS"/>
    <d v="1988-01-01T00:00:00"/>
    <n v="131069"/>
    <n v="0"/>
    <n v="124515.55"/>
    <n v="6553.4499999999971"/>
    <n v="6553.4500000000007"/>
    <n v="25"/>
    <n v="32.273972602739725"/>
    <n v="1382.0884999999998"/>
    <n v="33.273972602739725"/>
    <n v="-1.4551915228366852E-13"/>
    <n v="1382.0884999999996"/>
    <n v="6553.4500000000007"/>
  </r>
  <r>
    <n v="1154"/>
    <s v="Condenser With Injection Pump Motor Starter Switch Cable &amp; Pipe Line Complete"/>
    <s v="Sugar Division"/>
    <x v="2"/>
    <m/>
    <s v="50% each in RS and 50% in DS"/>
    <d v="1988-01-01T00:00:00"/>
    <n v="112966"/>
    <n v="0"/>
    <n v="107317.7"/>
    <n v="5648.3000000000029"/>
    <n v="5648.3"/>
    <n v="25"/>
    <n v="32.273972602739725"/>
    <n v="1024.7460000000001"/>
    <n v="33.273972602739725"/>
    <n v="1.0913936421275138E-13"/>
    <n v="1024.7460000000001"/>
    <n v="5648.3"/>
  </r>
  <r>
    <n v="1155"/>
    <s v="New Bagasse Carrier In New Boiler"/>
    <s v="Sugar Division"/>
    <x v="2"/>
    <m/>
    <s v="Steam"/>
    <d v="1988-01-01T00:00:00"/>
    <n v="109455"/>
    <n v="0"/>
    <n v="103982.25"/>
    <n v="5472.75"/>
    <n v="5472.75"/>
    <n v="25"/>
    <n v="32.273972602739725"/>
    <n v="11378.15"/>
    <n v="33.273972602739725"/>
    <n v="0"/>
    <n v="11378.15"/>
    <n v="5472.75"/>
  </r>
  <r>
    <n v="1156"/>
    <s v="One Evaporator Of 32000 Sq.Ft. H.S. Complete With Columns,Staging Platform"/>
    <s v="Sugar Division"/>
    <x v="2"/>
    <m/>
    <s v="50% each in RS and 50% in DS"/>
    <d v="1988-01-01T00:00:00"/>
    <n v="96910"/>
    <n v="0"/>
    <n v="92064.5"/>
    <n v="4845.5"/>
    <n v="4845.5"/>
    <n v="25"/>
    <n v="32.273972602739725"/>
    <n v="1320.576"/>
    <n v="33.273972602739725"/>
    <n v="0"/>
    <n v="1320.576"/>
    <n v="4845.5"/>
  </r>
  <r>
    <n v="1157"/>
    <s v="Three Self Discharge Fully Automatic C.F. For A-Fore -Worker Curing"/>
    <s v="Sugar Division"/>
    <x v="2"/>
    <m/>
    <s v="50% each in RS and 50% in DS"/>
    <d v="1988-01-01T00:00:00"/>
    <n v="87781"/>
    <n v="0"/>
    <n v="83391.95"/>
    <n v="4389.0500000000029"/>
    <n v="4389.05"/>
    <n v="25"/>
    <n v="32.273972602739725"/>
    <n v="886.80600000000004"/>
    <n v="33.273972602739725"/>
    <n v="1.0913936421275138E-13"/>
    <n v="886.80600000000015"/>
    <n v="4389.05"/>
  </r>
  <r>
    <n v="1158"/>
    <s v="Two 45 Tons 'U' Shape Water Cooled Crystallizers For B Massecuite Colling Completes"/>
    <s v="Sugar Division"/>
    <x v="2"/>
    <m/>
    <s v="50% each in RS and 50% in DS"/>
    <d v="1988-01-01T00:00:00"/>
    <n v="84467"/>
    <n v="0"/>
    <n v="80243.649999999994"/>
    <n v="4223.3500000000058"/>
    <n v="4223.3500000000004"/>
    <n v="25"/>
    <n v="32.273972602739725"/>
    <n v="886.80600000000004"/>
    <n v="33.273972602739725"/>
    <n v="2.1827872842550277E-13"/>
    <n v="886.80600000000027"/>
    <n v="4223.3500000000004"/>
  </r>
  <r>
    <n v="1159"/>
    <s v="Crane For New Mill"/>
    <s v="Sugar Division"/>
    <x v="2"/>
    <m/>
    <s v="Juice Costing"/>
    <d v="1988-01-01T00:00:00"/>
    <n v="82270"/>
    <n v="0"/>
    <n v="78156.5"/>
    <n v="4113.5"/>
    <n v="4113.5"/>
    <n v="25"/>
    <n v="32.273972602739725"/>
    <n v="7980"/>
    <n v="33.273972602739725"/>
    <n v="0"/>
    <n v="7980"/>
    <n v="4113.5"/>
  </r>
  <r>
    <n v="1160"/>
    <s v="Hopper Langth Increased"/>
    <s v="Sugar Division"/>
    <x v="2"/>
    <m/>
    <s v="Juice Costing"/>
    <d v="1988-01-01T00:00:00"/>
    <n v="82244"/>
    <n v="0"/>
    <n v="78131.8"/>
    <n v="4112.1999999999971"/>
    <n v="4112.2"/>
    <n v="25"/>
    <n v="32.273972602739725"/>
    <n v="35710.5"/>
    <n v="33.273972602739725"/>
    <n v="-1.0913936421275138E-13"/>
    <n v="35710.5"/>
    <n v="4112.2"/>
  </r>
  <r>
    <n v="1161"/>
    <s v="Injection Pump"/>
    <s v="Sugar Division"/>
    <x v="2"/>
    <m/>
    <s v="50% each in RS and 50% in DS"/>
    <d v="1988-01-01T00:00:00"/>
    <n v="54223"/>
    <n v="0"/>
    <n v="51511.85"/>
    <n v="2711.1500000000015"/>
    <n v="2711.15"/>
    <n v="25"/>
    <n v="32.273972602739725"/>
    <n v="3092.25"/>
    <n v="33.273972602739725"/>
    <n v="5.4569682106375692E-14"/>
    <n v="3092.25"/>
    <n v="2711.15"/>
  </r>
  <r>
    <n v="1162"/>
    <s v="Molasses Pump"/>
    <s v="Sugar Division"/>
    <x v="2"/>
    <m/>
    <s v="50% each in RS and 50% in DS"/>
    <d v="1988-01-01T00:00:00"/>
    <n v="36334"/>
    <n v="0"/>
    <n v="34517.300000000003"/>
    <n v="1816.6999999999971"/>
    <n v="1816.7"/>
    <n v="25"/>
    <n v="32.273972602739725"/>
    <n v="22443.75"/>
    <n v="33.273972602739725"/>
    <n v="-1.1823431123048067E-13"/>
    <n v="22443.75"/>
    <n v="1816.7"/>
  </r>
  <r>
    <n v="1163"/>
    <s v="Two Sulphur Juice Pumps"/>
    <s v="Sugar Division"/>
    <x v="2"/>
    <m/>
    <s v="DS Costing"/>
    <d v="1988-01-01T00:00:00"/>
    <n v="31324"/>
    <n v="0"/>
    <n v="29757.8"/>
    <n v="1566.2000000000007"/>
    <n v="1566.2"/>
    <n v="25"/>
    <n v="32.273972602739725"/>
    <n v="1253.4870000000001"/>
    <n v="33.273972602739725"/>
    <n v="2.7284841053187846E-14"/>
    <n v="1253.4870000000001"/>
    <n v="1566.2"/>
  </r>
  <r>
    <n v="1164"/>
    <s v="Mixed Juice Pump "/>
    <s v="Sugar Division"/>
    <x v="2"/>
    <m/>
    <s v="50% each in RS and 50% in DS"/>
    <d v="1988-01-01T00:00:00"/>
    <n v="20723.910000000003"/>
    <n v="0"/>
    <n v="19687.714500000002"/>
    <n v="1036.1955000000016"/>
    <n v="1036.1955000000003"/>
    <n v="25"/>
    <n v="32.273972602739725"/>
    <n v="24462.5"/>
    <n v="33.273972602739725"/>
    <n v="5.4569682106375692E-14"/>
    <n v="24462.5"/>
    <n v="1036.1955000000003"/>
  </r>
  <r>
    <n v="1165"/>
    <s v="Two Air Pump Liquid Ring Kakati Make Of 1500 Cft Per Mt.  Discharge Complete"/>
    <s v="Sugar Division"/>
    <x v="2"/>
    <m/>
    <s v="50% each in RS and 50% in DS"/>
    <d v="1988-01-01T00:00:00"/>
    <n v="13894"/>
    <n v="0"/>
    <n v="13199.3"/>
    <n v="694.70000000000073"/>
    <n v="694.7"/>
    <n v="25"/>
    <n v="32.273972602739725"/>
    <n v="5225"/>
    <n v="33.273972602739725"/>
    <n v="2.7284841053187846E-14"/>
    <n v="5225"/>
    <n v="694.7"/>
  </r>
  <r>
    <n v="1166"/>
    <s v="Vacuum Pan 60 Tons"/>
    <s v="Sugar Division"/>
    <x v="2"/>
    <m/>
    <s v="50% each in RS and 50% in DS"/>
    <d v="1988-01-01T00:00:00"/>
    <n v="8895"/>
    <n v="0"/>
    <n v="8450.25"/>
    <n v="444.75"/>
    <n v="444.75"/>
    <n v="25"/>
    <n v="32.273972602739725"/>
    <n v="840.57900000000006"/>
    <n v="33.273972602739725"/>
    <n v="0"/>
    <n v="840.57900000000006"/>
    <n v="444.75"/>
  </r>
  <r>
    <n v="1167"/>
    <s v="Three Rain Shower Condenser For Pump Complete  With Staging  Platform "/>
    <s v="Sugar Division"/>
    <x v="2"/>
    <m/>
    <s v="50% each in RS and 50% in DS"/>
    <d v="1988-01-01T00:00:00"/>
    <n v="5167"/>
    <n v="0"/>
    <n v="4908.6499999999996"/>
    <n v="258.35000000000036"/>
    <n v="258.35000000000002"/>
    <n v="25"/>
    <n v="32.273972602739725"/>
    <n v="1639.8615"/>
    <n v="33.273972602739725"/>
    <n v="1.3642420526593923E-14"/>
    <n v="1639.8615"/>
    <n v="258.35000000000002"/>
  </r>
  <r>
    <n v="1168"/>
    <s v="Vacuum Pan 50 Tons"/>
    <s v="Sugar Division"/>
    <x v="2"/>
    <m/>
    <s v="50% each in RS and 50% in DS"/>
    <d v="1988-01-01T00:00:00"/>
    <n v="2917"/>
    <n v="0"/>
    <n v="2771.15"/>
    <n v="145.84999999999991"/>
    <n v="145.85"/>
    <n v="25"/>
    <n v="32.273972602739725"/>
    <n v="1475.502"/>
    <n v="33.273972602739725"/>
    <n v="-3.4106051316484808E-15"/>
    <n v="1475.502"/>
    <n v="145.85"/>
  </r>
  <r>
    <n v="1169"/>
    <s v="Fire Detection Alarm System (Bb)"/>
    <s v="Sugar Division"/>
    <x v="2"/>
    <m/>
    <s v="50% each in RS and 50% in DS"/>
    <d v="1998-03-31T00:00:00"/>
    <n v="85164"/>
    <n v="0"/>
    <n v="80905.8"/>
    <n v="4258.1999999999971"/>
    <n v="4258.2"/>
    <n v="15"/>
    <n v="22.021917808219179"/>
    <n v="1060.827"/>
    <n v="23.021917808219179"/>
    <n v="-1.8189894035458566E-13"/>
    <n v="1060.8269999999998"/>
    <n v="4258.2"/>
  </r>
  <r>
    <n v="1170"/>
    <s v="New Service Lift At H.O."/>
    <s v="Sugar Division"/>
    <x v="2"/>
    <m/>
    <s v="Common"/>
    <d v="1998-03-31T00:00:00"/>
    <n v="30484"/>
    <n v="0"/>
    <n v="28959.8"/>
    <n v="1524.2000000000007"/>
    <n v="1524.2"/>
    <n v="15"/>
    <n v="22.021917808219179"/>
    <n v="6448.5335000000005"/>
    <n v="23.021917808219179"/>
    <n v="4.5474735088646414E-14"/>
    <n v="6448.5335000000005"/>
    <n v="1524.2"/>
  </r>
  <r>
    <n v="1171"/>
    <s v="Weighbridge 10 T - 5 Nos. "/>
    <s v="Sugar Division"/>
    <x v="2"/>
    <m/>
    <s v="Upto gate"/>
    <d v="2006-11-12T00:00:00"/>
    <n v="768080"/>
    <n v="0"/>
    <n v="456997.07835616439"/>
    <n v="311082.92164383561"/>
    <n v="38404"/>
    <n v="15"/>
    <n v="13.397260273972602"/>
    <n v="1159"/>
    <n v="14.397260273972602"/>
    <n v="18178.594776255708"/>
    <n v="19337.594776255708"/>
    <n v="38404"/>
  </r>
  <r>
    <n v="1172"/>
    <s v="Bal Mill "/>
    <s v="Sugar Division"/>
    <x v="2"/>
    <m/>
    <s v="Juice Costing"/>
    <d v="2003-06-15T00:00:00"/>
    <n v="49279"/>
    <n v="0"/>
    <n v="46815.05"/>
    <n v="2463.9499999999971"/>
    <n v="2463.9500000000003"/>
    <n v="10"/>
    <n v="16.81095890410959"/>
    <n v="1435.5735000000002"/>
    <n v="17.81095890410959"/>
    <n v="-3.1832314562052491E-13"/>
    <n v="1435.5735"/>
    <n v="2463.9500000000003"/>
  </r>
  <r>
    <n v="1173"/>
    <s v="Shaper Machine  -1"/>
    <s v="Sugar Division"/>
    <x v="2"/>
    <m/>
    <s v="50% each in RS and 50% in DS"/>
    <d v="1998-09-30T00:00:00"/>
    <n v="131731"/>
    <n v="0"/>
    <n v="125144.45"/>
    <n v="6586.5500000000029"/>
    <n v="6586.55"/>
    <n v="15"/>
    <n v="21.520547945205479"/>
    <n v="8129.8625000000002"/>
    <n v="22.520547945205479"/>
    <n v="1.8189894035458566E-13"/>
    <n v="8129.8625000000002"/>
    <n v="6586.55"/>
  </r>
  <r>
    <n v="1174"/>
    <s v="Weighbridge 10 Ton (3 Nos)"/>
    <s v="Sugar Division"/>
    <x v="2"/>
    <m/>
    <s v="Upto gate"/>
    <d v="2009-09-15T00:00:00"/>
    <n v="563192"/>
    <n v="0"/>
    <n v="233655.245369863"/>
    <n v="329536.754630137"/>
    <n v="28159.600000000002"/>
    <n v="15"/>
    <n v="10.553424657534247"/>
    <n v="9547.5"/>
    <n v="11.553424657534247"/>
    <n v="20091.810308675802"/>
    <n v="29639.310308675802"/>
    <n v="28159.600000000002"/>
  </r>
  <r>
    <n v="1175"/>
    <s v="Split Cane Carrier &amp; Fibrizor For Ghh Mill With Dynodrive"/>
    <s v="Sugar Division"/>
    <x v="2"/>
    <m/>
    <s v="50% each in RS and 50% in DS"/>
    <d v="1989-01-01T00:00:00"/>
    <n v="1664476"/>
    <n v="0"/>
    <n v="1581252.2"/>
    <n v="83223.800000000047"/>
    <n v="83223.8"/>
    <n v="25"/>
    <n v="31.271232876712329"/>
    <n v="672.16300000000001"/>
    <n v="32.271232876712325"/>
    <n v="1.7462298274040159E-12"/>
    <n v="672.16300000000172"/>
    <n v="83223.8"/>
  </r>
  <r>
    <n v="1176"/>
    <s v="Weighing &amp; Bagging Machine "/>
    <s v="Sugar Division"/>
    <x v="2"/>
    <m/>
    <s v="Upto gate"/>
    <d v="1989-01-01T00:00:00"/>
    <n v="986533"/>
    <n v="0"/>
    <n v="937206.35"/>
    <n v="49326.650000000023"/>
    <n v="49326.65"/>
    <n v="25"/>
    <n v="31.271232876712329"/>
    <n v="17479.9905"/>
    <n v="32.271232876712325"/>
    <n v="8.7311491370200795E-13"/>
    <n v="17479.9905"/>
    <n v="49326.65"/>
  </r>
  <r>
    <n v="1177"/>
    <s v="One Salf Discharge Dully Automatic Machine For 'A' Forworkers"/>
    <s v="Sugar Division"/>
    <x v="2"/>
    <m/>
    <s v="50% each in RS and 50% in DS"/>
    <d v="1989-01-01T00:00:00"/>
    <n v="811674"/>
    <n v="0"/>
    <n v="771090.3"/>
    <n v="40583.699999999953"/>
    <n v="40583.700000000004"/>
    <n v="25"/>
    <n v="31.271232876712329"/>
    <n v="17325.150000000001"/>
    <n v="32.271232876712325"/>
    <n v="-2.0372681319713518E-12"/>
    <n v="17325.149999999998"/>
    <n v="40583.700000000004"/>
  </r>
  <r>
    <n v="1178"/>
    <s v="Continuous Sulphitation Tank With Staging Drive,Platform And Pipe Connection Of 3000 Ton Capacity"/>
    <s v="Sugar Division"/>
    <x v="2"/>
    <m/>
    <s v="50% each in RS and 50% in DS"/>
    <d v="1989-01-01T00:00:00"/>
    <n v="425667"/>
    <n v="0"/>
    <n v="404383.65"/>
    <n v="21283.349999999977"/>
    <n v="21283.350000000002"/>
    <n v="25"/>
    <n v="31.271232876712329"/>
    <n v="1253.4870000000001"/>
    <n v="32.271232876712325"/>
    <n v="-1.0186340659856759E-12"/>
    <n v="1253.4869999999992"/>
    <n v="21283.350000000002"/>
  </r>
  <r>
    <n v="1179"/>
    <s v="Pump For Spray Pond Of 12500 H.L. With 100 Nozzles"/>
    <s v="Sugar Division"/>
    <x v="2"/>
    <m/>
    <s v="50% each in RS and 50% in DS"/>
    <d v="1989-01-01T00:00:00"/>
    <n v="178082"/>
    <n v="0"/>
    <n v="169177.9"/>
    <n v="8904.1000000000058"/>
    <n v="8904.1"/>
    <n v="25"/>
    <n v="31.271232876712329"/>
    <n v="2016.4795000000001"/>
    <n v="32.271232876712325"/>
    <n v="2.1827872842550199E-13"/>
    <n v="2016.4795000000004"/>
    <n v="8904.1"/>
  </r>
  <r>
    <n v="1180"/>
    <s v="Hopper Width &amp; Length  Increased"/>
    <s v="Sugar Division"/>
    <x v="2"/>
    <m/>
    <s v="Juice Costing"/>
    <d v="1989-01-01T00:00:00"/>
    <n v="173676"/>
    <n v="0"/>
    <n v="164992.20000000001"/>
    <n v="8683.7999999999884"/>
    <n v="8683.8000000000011"/>
    <n v="25"/>
    <n v="31.271232876712329"/>
    <n v="10062.4"/>
    <n v="32.271232876712325"/>
    <n v="-5.0931703299283794E-13"/>
    <n v="10062.4"/>
    <n v="8683.8000000000011"/>
  </r>
  <r>
    <n v="1181"/>
    <s v="Bagasse Baling Machine"/>
    <s v="Sugar Division"/>
    <x v="2"/>
    <m/>
    <s v="Common"/>
    <d v="1989-01-01T00:00:00"/>
    <n v="169914"/>
    <n v="0"/>
    <n v="161418.29999999999"/>
    <n v="8495.7000000000116"/>
    <n v="8495.7000000000007"/>
    <n v="25"/>
    <n v="31.271232876712329"/>
    <n v="1869.6"/>
    <n v="32.271232876712325"/>
    <n v="4.3655745685100397E-13"/>
    <n v="1869.6000000000004"/>
    <n v="8495.7000000000007"/>
  </r>
  <r>
    <n v="1182"/>
    <s v="Injection Pump Of 3.5 Lac Gallons Of Water"/>
    <s v="Sugar Division"/>
    <x v="2"/>
    <m/>
    <s v="50% each in RS and 50% in DS"/>
    <d v="1989-01-01T00:00:00"/>
    <n v="101328"/>
    <n v="0"/>
    <n v="96261.6"/>
    <n v="5066.3999999999942"/>
    <n v="5066.4000000000005"/>
    <n v="25"/>
    <n v="31.271232876712329"/>
    <n v="2511.5625"/>
    <n v="32.271232876712325"/>
    <n v="-2.5465851649641897E-13"/>
    <n v="2511.5624999999995"/>
    <n v="5066.4000000000005"/>
  </r>
  <r>
    <n v="1183"/>
    <s v="Six Massecuite Pumps For A.B. &amp;C. Massecuite"/>
    <s v="Sugar Division"/>
    <x v="2"/>
    <m/>
    <s v="50% each in RS and 50% in DS"/>
    <d v="1989-01-01T00:00:00"/>
    <n v="99438"/>
    <n v="0"/>
    <n v="94466.1"/>
    <n v="4971.8999999999942"/>
    <n v="4971.9000000000005"/>
    <n v="25"/>
    <n v="31.271232876712329"/>
    <n v="27611.009000000002"/>
    <n v="32.271232876712325"/>
    <n v="-2.5465851649641897E-13"/>
    <n v="27611.009000000002"/>
    <n v="4971.9000000000005"/>
  </r>
  <r>
    <n v="1184"/>
    <s v="Desuper Heater Suitable For 30 Tons Steam Par Hour Capacity With By-Pass Arrangement"/>
    <s v="Sugar Division"/>
    <x v="2"/>
    <m/>
    <s v="50% each in RS and 50% in DS"/>
    <d v="1989-01-01T00:00:00"/>
    <n v="92340"/>
    <n v="0"/>
    <n v="87723"/>
    <n v="4617"/>
    <n v="4617"/>
    <n v="25"/>
    <n v="31.271232876712329"/>
    <n v="1344.3164999999999"/>
    <n v="32.271232876712325"/>
    <n v="0"/>
    <n v="1344.3164999999999"/>
    <n v="4617"/>
  </r>
  <r>
    <n v="1185"/>
    <s v="Existing  5' Dia Syrup Sulphitation Tank Replaced With 7' Dia"/>
    <s v="Sugar Division"/>
    <x v="2"/>
    <m/>
    <s v="50% each in RS and 50% in DS"/>
    <d v="1989-01-01T00:00:00"/>
    <n v="88464"/>
    <n v="0"/>
    <n v="84040.8"/>
    <n v="4423.1999999999971"/>
    <n v="4423.2"/>
    <n v="25"/>
    <n v="31.271232876712329"/>
    <n v="1741.3310000000001"/>
    <n v="32.271232876712325"/>
    <n v="-1.0913936421275099E-13"/>
    <n v="1741.3310000000001"/>
    <n v="4423.2"/>
  </r>
  <r>
    <n v="1186"/>
    <s v="Automatic Bag Cloging Machine "/>
    <s v="Sugar Division"/>
    <x v="2"/>
    <m/>
    <s v="50% each in RS and 50% in DS"/>
    <d v="1989-01-01T00:00:00"/>
    <n v="75009"/>
    <n v="0"/>
    <n v="71258.55"/>
    <n v="3750.4499999999971"/>
    <n v="3750.4500000000003"/>
    <n v="25"/>
    <n v="31.271232876712329"/>
    <n v="29409.216499999999"/>
    <n v="32.271232876712325"/>
    <n v="-1.2732925824820949E-13"/>
    <n v="29409.216499999999"/>
    <n v="3750.4500000000003"/>
  </r>
  <r>
    <n v="1187"/>
    <s v="Two Magma Pump 40 Tons Per Hrs.Capacity For Motor Starter Switches Etc."/>
    <s v="Sugar Division"/>
    <x v="2"/>
    <m/>
    <s v="50% each in RS and 50% in DS"/>
    <d v="1989-01-01T00:00:00"/>
    <n v="58893"/>
    <n v="0"/>
    <n v="55948.35"/>
    <n v="2944.6500000000015"/>
    <n v="2944.65"/>
    <n v="25"/>
    <n v="31.271232876712329"/>
    <n v="32110"/>
    <n v="32.271232876712325"/>
    <n v="5.4569682106375497E-14"/>
    <n v="32110"/>
    <n v="2944.65"/>
  </r>
  <r>
    <n v="1188"/>
    <s v="Hot Air Cane Seed Treatment Plant "/>
    <s v="Sugar Division"/>
    <x v="2"/>
    <m/>
    <s v="Upto gate"/>
    <d v="1989-01-01T00:00:00"/>
    <n v="54100"/>
    <n v="0"/>
    <n v="51395"/>
    <n v="2705"/>
    <n v="2705"/>
    <n v="25"/>
    <n v="31.271232876712329"/>
    <n v="96330"/>
    <n v="32.271232876712325"/>
    <n v="0"/>
    <n v="96330"/>
    <n v="2705"/>
  </r>
  <r>
    <n v="1189"/>
    <s v="Two Second Hand 24&quot;X42&quot; C.F.Machines"/>
    <s v="Sugar Division"/>
    <x v="2"/>
    <m/>
    <s v="50% each in RS and 50% in DS"/>
    <d v="1989-01-01T00:00:00"/>
    <n v="52499"/>
    <n v="0"/>
    <n v="49874.05"/>
    <n v="2624.9499999999971"/>
    <n v="2624.9500000000003"/>
    <n v="25"/>
    <n v="31.271232876712329"/>
    <n v="8550"/>
    <n v="32.271232876712325"/>
    <n v="-1.2732925824820949E-13"/>
    <n v="8550"/>
    <n v="2624.9500000000003"/>
  </r>
  <r>
    <n v="1190"/>
    <s v="2 Nos. Sulphur Furnace Of 8 Sq.Ft. "/>
    <s v="Sugar Division"/>
    <x v="2"/>
    <m/>
    <s v="50% each in RS and 50% in DS"/>
    <d v="1989-01-01T00:00:00"/>
    <n v="43472"/>
    <n v="0"/>
    <n v="41298.400000000001"/>
    <n v="2173.5999999999985"/>
    <n v="2173.6"/>
    <n v="25"/>
    <n v="31.271232876712329"/>
    <n v="10450"/>
    <n v="32.271232876712325"/>
    <n v="-5.4569682106375497E-14"/>
    <n v="10450"/>
    <n v="2173.6"/>
  </r>
  <r>
    <n v="1191"/>
    <s v="Vacuum Pump For Pans"/>
    <s v="Sugar Division"/>
    <x v="2"/>
    <m/>
    <s v="50% each in RS and 50% in DS"/>
    <d v="1989-01-01T00:00:00"/>
    <n v="42165"/>
    <n v="0"/>
    <n v="40056.75"/>
    <n v="2108.25"/>
    <n v="2108.25"/>
    <n v="25"/>
    <n v="31.271232876712329"/>
    <n v="7695"/>
    <n v="32.271232876712325"/>
    <n v="0"/>
    <n v="7695"/>
    <n v="2108.25"/>
  </r>
  <r>
    <n v="1192"/>
    <s v="Condenser With Injection Pump Motor Etc."/>
    <s v="Sugar Division"/>
    <x v="2"/>
    <m/>
    <s v="50% each in RS and 50% in DS"/>
    <d v="1989-01-01T00:00:00"/>
    <n v="36589"/>
    <n v="0"/>
    <n v="34759.550000000003"/>
    <n v="1829.4499999999971"/>
    <n v="1829.45"/>
    <n v="25"/>
    <n v="31.271232876712329"/>
    <n v="24538.5"/>
    <n v="32.271232876712325"/>
    <n v="-1.1823431123048025E-13"/>
    <n v="24538.5"/>
    <n v="1829.45"/>
  </r>
  <r>
    <n v="1193"/>
    <s v="One Vertical Centrifugal Machine For 'B ' For Curing "/>
    <s v="Sugar Division"/>
    <x v="2"/>
    <m/>
    <s v="50% each in RS and 50% in DS"/>
    <d v="1989-01-01T00:00:00"/>
    <n v="23742"/>
    <n v="0"/>
    <n v="22554.9"/>
    <n v="1187.0999999999985"/>
    <n v="1187.1000000000001"/>
    <n v="25"/>
    <n v="31.271232876712329"/>
    <n v="13312.73"/>
    <n v="32.271232876712325"/>
    <n v="-6.3664629124104743E-14"/>
    <n v="13312.73"/>
    <n v="1187.1000000000001"/>
  </r>
  <r>
    <n v="1194"/>
    <s v="Split Cane Carrier &amp; Fibrizor For Ghh Mill"/>
    <s v="Sugar Division"/>
    <x v="2"/>
    <m/>
    <s v="Juice Costing"/>
    <d v="1989-01-01T00:00:00"/>
    <n v="21152"/>
    <n v="0"/>
    <n v="20094.400000000001"/>
    <n v="1057.5999999999985"/>
    <n v="1057.6000000000001"/>
    <n v="25"/>
    <n v="31.271232876712329"/>
    <n v="13988.0185"/>
    <n v="32.271232876712325"/>
    <n v="-6.3664629124104743E-14"/>
    <n v="13988.0185"/>
    <n v="1057.6000000000001"/>
  </r>
  <r>
    <n v="1195"/>
    <s v="Weighbridge 60 Ton"/>
    <s v="Sugar Division"/>
    <x v="2"/>
    <m/>
    <s v="Upto gate"/>
    <d v="2011-04-30T00:00:00"/>
    <n v="573853.30000000005"/>
    <n v="0"/>
    <n v="179131.32097990866"/>
    <n v="394721.97902009136"/>
    <n v="28692.665000000005"/>
    <n v="15"/>
    <n v="8.9315068493150687"/>
    <n v="5923.0789999999997"/>
    <n v="9.9315068493150687"/>
    <n v="24401.954268006091"/>
    <n v="30325.033268006089"/>
    <n v="28692.665000000005"/>
  </r>
  <r>
    <n v="1196"/>
    <s v="1  Fire Extinguishers (H.O.)"/>
    <s v="Sugar Division"/>
    <x v="2"/>
    <m/>
    <s v="50% each in RS and 50% in DS"/>
    <d v="1999-03-31T00:00:00"/>
    <n v="2611"/>
    <n v="0"/>
    <n v="2480.4499999999998"/>
    <n v="130.55000000000018"/>
    <n v="130.55000000000001"/>
    <n v="15"/>
    <n v="21.021917808219179"/>
    <n v="14159.75"/>
    <n v="22.021917808219179"/>
    <n v="1.1368683772161604E-14"/>
    <n v="14159.75"/>
    <n v="130.55000000000001"/>
  </r>
  <r>
    <n v="1197"/>
    <s v="A C Plant (Birla Building)        H.O."/>
    <s v="Sugar Division"/>
    <x v="2"/>
    <m/>
    <s v="Common"/>
    <d v="1999-09-20T00:00:00"/>
    <n v="81800"/>
    <n v="0"/>
    <n v="77710"/>
    <n v="4090"/>
    <n v="4090"/>
    <n v="15"/>
    <n v="20.547945205479451"/>
    <n v="15461.25"/>
    <n v="21.547945205479451"/>
    <n v="0"/>
    <n v="15461.25"/>
    <n v="4090"/>
  </r>
  <r>
    <n v="1198"/>
    <s v="Molasses Storage Tank "/>
    <s v="Sugar Division"/>
    <x v="2"/>
    <m/>
    <s v="Distillery division"/>
    <d v="1999-12-01T00:00:00"/>
    <n v="7633939"/>
    <n v="0"/>
    <n v="7252242.0499999998"/>
    <n v="381696.95000000019"/>
    <n v="381696.95"/>
    <n v="15"/>
    <n v="20.350684931506848"/>
    <n v="24538.5"/>
    <n v="21.350684931506848"/>
    <n v="1.1641532182693482E-11"/>
    <n v="24538.500000000011"/>
    <n v="381696.95"/>
  </r>
  <r>
    <n v="1199"/>
    <s v="Electronic Weighbridge"/>
    <s v="Sugar Division"/>
    <x v="2"/>
    <m/>
    <s v="Upto gate"/>
    <d v="2006-11-12T00:00:00"/>
    <n v="1470806.42"/>
    <n v="0"/>
    <n v="875109.6718668493"/>
    <n v="595696.74813315063"/>
    <n v="73540.320999999996"/>
    <n v="15"/>
    <n v="13.397260273972602"/>
    <n v="5670.7780000000002"/>
    <n v="14.397260273972602"/>
    <n v="34810.428475543376"/>
    <n v="40481.206475543375"/>
    <n v="73540.320999999996"/>
  </r>
  <r>
    <n v="1200"/>
    <s v="T.R.P.F. Including Rack Carrier At Ist Mill Of Triveni  Milling Plant With Ist Motion Gear/Pinion Set"/>
    <s v="Sugar Division"/>
    <x v="2"/>
    <m/>
    <s v="Juice Costing"/>
    <d v="1990-01-01T00:00:00"/>
    <n v="3084798"/>
    <n v="0"/>
    <n v="2930558.1"/>
    <n v="154239.89999999991"/>
    <n v="154239.9"/>
    <n v="25"/>
    <n v="30.271232876712329"/>
    <n v="127679.886"/>
    <n v="31.271232876712329"/>
    <n v="-3.4924596548080443E-12"/>
    <n v="127679.886"/>
    <n v="154239.9"/>
  </r>
  <r>
    <n v="1201"/>
    <s v="400 H.P.Turbine "/>
    <s v="Sugar Division"/>
    <x v="2"/>
    <m/>
    <s v="Juice Costing"/>
    <d v="1990-01-01T00:00:00"/>
    <n v="706179"/>
    <n v="0"/>
    <n v="670870.05000000005"/>
    <n v="35308.949999999953"/>
    <n v="35308.950000000004"/>
    <n v="25"/>
    <n v="30.271232876712329"/>
    <n v="146656.136"/>
    <n v="31.271232876712329"/>
    <n v="-2.0372681319713594E-12"/>
    <n v="146656.136"/>
    <n v="35308.950000000004"/>
  </r>
  <r>
    <n v="1202"/>
    <s v="2 Nos. C.S. Fabricated Head Stocks Of Triveni Milling Plant To Replace With Cast Steel Hand Stock"/>
    <s v="Sugar Division"/>
    <x v="2"/>
    <m/>
    <s v="Juice Costing"/>
    <d v="1990-01-01T00:00:00"/>
    <n v="613647"/>
    <n v="0"/>
    <n v="582964.65"/>
    <n v="30682.349999999977"/>
    <n v="30682.350000000002"/>
    <n v="25"/>
    <n v="30.271232876712329"/>
    <n v="47025"/>
    <n v="31.271232876712329"/>
    <n v="-1.0186340659856797E-12"/>
    <n v="47025"/>
    <n v="30682.350000000002"/>
  </r>
  <r>
    <n v="1203"/>
    <s v="Sugar Grader"/>
    <s v="Sugar Division"/>
    <x v="2"/>
    <m/>
    <s v="50% each in RS and 50% in DS"/>
    <d v="1990-01-01T00:00:00"/>
    <n v="463445"/>
    <n v="0"/>
    <n v="440272.75"/>
    <n v="23172.25"/>
    <n v="23172.25"/>
    <n v="25"/>
    <n v="30.271232876712329"/>
    <n v="13965"/>
    <n v="31.271232876712329"/>
    <n v="0"/>
    <n v="13965"/>
    <n v="23172.25"/>
  </r>
  <r>
    <n v="1204"/>
    <s v="Crystallizer With Diso Type Cooling Element Of 35 Tons Capacity"/>
    <s v="Sugar Division"/>
    <x v="2"/>
    <m/>
    <s v="50% each in RS and 50% in DS"/>
    <d v="1990-01-01T00:00:00"/>
    <n v="326440"/>
    <n v="0"/>
    <n v="310118"/>
    <n v="16322"/>
    <n v="16322"/>
    <n v="25"/>
    <n v="30.271232876712329"/>
    <n v="60420"/>
    <n v="31.271232876712329"/>
    <n v="0"/>
    <n v="60420"/>
    <n v="16322"/>
  </r>
  <r>
    <n v="1205"/>
    <s v="Mill Roller "/>
    <s v="Sugar Division"/>
    <x v="2"/>
    <m/>
    <s v="Juice Costing"/>
    <d v="1990-01-01T00:00:00"/>
    <n v="318475"/>
    <n v="0"/>
    <n v="302551.25"/>
    <n v="15923.75"/>
    <n v="15923.75"/>
    <n v="25"/>
    <n v="30.271232876712329"/>
    <n v="65550"/>
    <n v="31.271232876712329"/>
    <n v="0"/>
    <n v="65550"/>
    <n v="15923.75"/>
  </r>
  <r>
    <n v="1206"/>
    <s v="Exhaust Steam Balloon With Pipe Line "/>
    <s v="Sugar Division"/>
    <x v="2"/>
    <m/>
    <s v="50% each in RS and 50% in DS"/>
    <d v="1990-01-01T00:00:00"/>
    <n v="237818"/>
    <n v="0"/>
    <n v="225927.1"/>
    <n v="11890.899999999994"/>
    <n v="11890.900000000001"/>
    <n v="25"/>
    <n v="30.271232876712329"/>
    <n v="141873"/>
    <n v="31.271232876712329"/>
    <n v="-2.9103830456733704E-13"/>
    <n v="141873"/>
    <n v="11890.900000000001"/>
  </r>
  <r>
    <n v="1207"/>
    <s v="Three  D-Super Heating Stations In Live Steam For Boiling House "/>
    <s v="Sugar Division"/>
    <x v="2"/>
    <m/>
    <s v="50% each in RS and 50% in DS"/>
    <d v="1990-01-01T00:00:00"/>
    <n v="210120"/>
    <n v="0"/>
    <n v="199614"/>
    <n v="10506"/>
    <n v="10506"/>
    <n v="25"/>
    <n v="30.271232876712329"/>
    <n v="22842.692999999999"/>
    <n v="31.271232876712329"/>
    <n v="0"/>
    <n v="22842.692999999999"/>
    <n v="10506"/>
  </r>
  <r>
    <n v="1208"/>
    <s v="Existing 4540 H.L. Capacity Pump For Spray Pond 100 Nozzles"/>
    <s v="Sugar Division"/>
    <x v="2"/>
    <m/>
    <s v="50% each in RS and 50% in DS"/>
    <d v="1990-01-01T00:00:00"/>
    <n v="189287"/>
    <n v="0"/>
    <n v="179822.65"/>
    <n v="9464.3500000000058"/>
    <n v="9464.35"/>
    <n v="25"/>
    <n v="30.271232876712329"/>
    <n v="31246.3835"/>
    <n v="31.271232876712329"/>
    <n v="2.1827872842550277E-13"/>
    <n v="31246.3835"/>
    <n v="9464.35"/>
  </r>
  <r>
    <n v="1209"/>
    <s v="Mixed Juice Pump G.M. "/>
    <s v="Sugar Division"/>
    <x v="2"/>
    <m/>
    <s v="50% each in RS and 50% in DS"/>
    <d v="1990-01-01T00:00:00"/>
    <n v="157763"/>
    <n v="0"/>
    <n v="149874.85"/>
    <n v="7888.1499999999942"/>
    <n v="7888.1500000000005"/>
    <n v="25"/>
    <n v="30.271232876712329"/>
    <n v="1792.27"/>
    <n v="31.271232876712329"/>
    <n v="-2.5465851649641993E-13"/>
    <n v="1792.2699999999998"/>
    <n v="7888.1500000000005"/>
  </r>
  <r>
    <n v="1210"/>
    <s v="Power Capacitor "/>
    <s v="Sugar Division"/>
    <x v="2"/>
    <m/>
    <s v="50% each in RS and 50% in DS"/>
    <d v="1990-01-01T00:00:00"/>
    <n v="79408"/>
    <n v="0"/>
    <n v="75437.600000000006"/>
    <n v="3970.3999999999942"/>
    <n v="3970.4"/>
    <n v="25"/>
    <n v="30.271232876712329"/>
    <n v="8861.1535000000003"/>
    <n v="31.271232876712329"/>
    <n v="-2.3646862246096135E-13"/>
    <n v="8861.1535000000003"/>
    <n v="3970.4"/>
  </r>
  <r>
    <n v="1211"/>
    <s v="Sulphur Juice Pump G.M. "/>
    <s v="Sugar Division"/>
    <x v="2"/>
    <m/>
    <s v="50% each in RS and 50% in DS"/>
    <d v="1990-01-01T00:00:00"/>
    <n v="58258"/>
    <n v="0"/>
    <n v="55345.1"/>
    <n v="2912.9000000000015"/>
    <n v="2912.9"/>
    <n v="25"/>
    <n v="30.271232876712329"/>
    <n v="31465.463"/>
    <n v="31.271232876712329"/>
    <n v="5.4569682106375692E-14"/>
    <n v="31465.463"/>
    <n v="2912.9"/>
  </r>
  <r>
    <n v="1212"/>
    <s v="Two Molasses Pump For 'B' Heavy &amp; 'A' Light"/>
    <s v="Sugar Division"/>
    <x v="2"/>
    <m/>
    <s v="50% each in RS and 50% in DS"/>
    <d v="1990-01-01T00:00:00"/>
    <n v="50580"/>
    <n v="0"/>
    <n v="48051"/>
    <n v="2529"/>
    <n v="2529"/>
    <n v="25"/>
    <n v="30.271232876712329"/>
    <n v="34674.601000000002"/>
    <n v="31.271232876712329"/>
    <n v="0"/>
    <n v="34674.601000000002"/>
    <n v="2529"/>
  </r>
  <r>
    <n v="1213"/>
    <s v="One Second Hand 20&quot;X42&quot; C.F. Machine "/>
    <s v="Sugar Division"/>
    <x v="2"/>
    <m/>
    <s v="50% each in RS and 50% in DS"/>
    <d v="1990-01-01T00:00:00"/>
    <n v="44421"/>
    <n v="0"/>
    <n v="42199.95"/>
    <n v="2221.0500000000029"/>
    <n v="2221.0500000000002"/>
    <n v="25"/>
    <n v="30.271232876712329"/>
    <n v="3591"/>
    <n v="31.271232876712329"/>
    <n v="1.0913936421275138E-13"/>
    <n v="3591"/>
    <n v="2221.0500000000002"/>
  </r>
  <r>
    <n v="1214"/>
    <s v="Soot Blower Element For 3 Ahmadabad Boilers "/>
    <s v="Sugar Division"/>
    <x v="2"/>
    <m/>
    <s v="50% each in RS and 50% in DS"/>
    <d v="1990-01-01T00:00:00"/>
    <n v="30598"/>
    <n v="0"/>
    <n v="29068.1"/>
    <n v="1529.9000000000015"/>
    <n v="1529.9"/>
    <n v="25"/>
    <n v="30.271232876712329"/>
    <n v="5985"/>
    <n v="31.271232876712329"/>
    <n v="5.4569682106375692E-14"/>
    <n v="5985"/>
    <n v="1529.9"/>
  </r>
  <r>
    <n v="1215"/>
    <s v="One Rotary Vacuum Filter 8' Dia X16' Long "/>
    <s v="Sugar Division"/>
    <x v="2"/>
    <m/>
    <s v="50% each in RS and 50% in DS"/>
    <d v="1990-01-01T00:00:00"/>
    <n v="24832"/>
    <n v="0"/>
    <n v="23590.400000000001"/>
    <n v="1241.5999999999985"/>
    <n v="1241.6000000000001"/>
    <n v="25"/>
    <n v="30.271232876712329"/>
    <n v="27477.705000000002"/>
    <n v="31.271232876712329"/>
    <n v="-6.3664629124104983E-14"/>
    <n v="27477.705000000002"/>
    <n v="1241.6000000000001"/>
  </r>
  <r>
    <n v="1216"/>
    <s v="One Mossecuite Pump With Motor &amp; Pipe Line   "/>
    <s v="Sugar Division"/>
    <x v="2"/>
    <m/>
    <s v="50% each in RS and 50% in DS"/>
    <d v="1990-01-01T00:00:00"/>
    <n v="14703"/>
    <n v="0"/>
    <n v="13967.85"/>
    <n v="735.14999999999964"/>
    <n v="735.15000000000009"/>
    <n v="25"/>
    <n v="30.271232876712329"/>
    <n v="91954.072"/>
    <n v="31.271232876712329"/>
    <n v="-1.8189894035458565E-14"/>
    <n v="91954.072"/>
    <n v="735.15000000000009"/>
  </r>
  <r>
    <n v="1217"/>
    <s v="Service Lift Installation (Iind)"/>
    <s v="Sugar Division"/>
    <x v="2"/>
    <m/>
    <s v="50% each in RS and 50% in DS"/>
    <d v="2000-03-31T00:00:00"/>
    <n v="17200"/>
    <n v="0"/>
    <n v="16340"/>
    <n v="860"/>
    <n v="860"/>
    <n v="15"/>
    <n v="20.019178082191782"/>
    <n v="45915.665999999997"/>
    <n v="21.019178082191782"/>
    <n v="0"/>
    <n v="45915.665999999997"/>
    <n v="860"/>
  </r>
  <r>
    <n v="1218"/>
    <s v="Beam Scale "/>
    <s v="Sugar Division"/>
    <x v="2"/>
    <m/>
    <s v="RS Costing"/>
    <d v="2016-11-15T00:00:00"/>
    <n v="538995"/>
    <n v="0"/>
    <n v="0"/>
    <n v="538995"/>
    <n v="26949.75"/>
    <n v="5"/>
    <n v="3.3808219178082193"/>
    <n v="15200"/>
    <n v="4.3808219178082188"/>
    <n v="102409.04999999994"/>
    <n v="117609.04999999994"/>
    <n v="26949.75"/>
  </r>
  <r>
    <n v="1219"/>
    <s v="Load Cell"/>
    <s v="Sugar Division"/>
    <x v="2"/>
    <m/>
    <s v="RS Costing"/>
    <d v="2016-11-15T00:00:00"/>
    <n v="163800"/>
    <n v="0"/>
    <n v="0"/>
    <n v="163800"/>
    <n v="8190"/>
    <n v="5"/>
    <n v="3.3808219178082193"/>
    <n v="15445.518"/>
    <n v="4.3808219178082188"/>
    <n v="31121.999999999985"/>
    <n v="46567.517999999982"/>
    <n v="8190"/>
  </r>
  <r>
    <n v="1220"/>
    <s v="Geared Coupling Gdc-2010"/>
    <s v="Sugar Division"/>
    <x v="3"/>
    <m/>
    <s v="Juice Costing"/>
    <d v="2011-05-27T00:00:00"/>
    <n v="110390"/>
    <n v="0"/>
    <n v="20364.989150684931"/>
    <n v="90025.010849315062"/>
    <n v="5519.5"/>
    <n v="25"/>
    <n v="8.8575342465753426"/>
    <n v="20345.827000000001"/>
    <n v="9.8575342465753426"/>
    <n v="3380.2204339726027"/>
    <n v="23726.047433972602"/>
    <n v="5519.5"/>
  </r>
  <r>
    <n v="1221"/>
    <s v="1St Stage 24 Teeth Pinion With Shaft For Gear Unit"/>
    <s v="Sugar Division"/>
    <x v="3"/>
    <m/>
    <s v="Juice Costing"/>
    <d v="2000-01-01T00:00:00"/>
    <n v="69591"/>
    <n v="0"/>
    <n v="43006.856679452052"/>
    <n v="26584.143320547948"/>
    <n v="3479.55"/>
    <n v="25"/>
    <n v="20.265753424657536"/>
    <n v="7766.25"/>
    <n v="21.265753424657536"/>
    <n v="924.18373282191794"/>
    <n v="8690.4337328219171"/>
    <n v="3479.55"/>
  </r>
  <r>
    <n v="1222"/>
    <s v="Roller Bearing 23064 E For Reduction Gear Box Sbn"/>
    <s v="Sugar Division"/>
    <x v="3"/>
    <m/>
    <s v="Juice Costing"/>
    <d v="2005-01-01T00:00:00"/>
    <n v="165887.71"/>
    <n v="0"/>
    <n v="70964.489903616442"/>
    <n v="94923.220096383549"/>
    <n v="8294.3855000000003"/>
    <n v="25"/>
    <n v="15.260273972602739"/>
    <n v="11115"/>
    <n v="16.260273972602739"/>
    <n v="3465.1533838553419"/>
    <n v="14580.153383855342"/>
    <n v="8294.3855000000003"/>
  </r>
  <r>
    <n v="1223"/>
    <s v="Roller Bearing 22340 E For Reduction Gear Box Sbn"/>
    <s v="Sugar Division"/>
    <x v="3"/>
    <m/>
    <s v="Juice Costing"/>
    <d v="2005-01-01T00:00:00"/>
    <n v="172615.54"/>
    <n v="0"/>
    <n v="73842.563415561643"/>
    <n v="98772.976584438366"/>
    <n v="8630.777"/>
    <n v="25"/>
    <n v="15.260273972602739"/>
    <n v="14060"/>
    <n v="16.260273972602739"/>
    <n v="3605.6879833775347"/>
    <n v="17665.687983377535"/>
    <n v="8630.777"/>
  </r>
  <r>
    <n v="1224"/>
    <s v="Spare Worm Shaft &amp; Wheel For U-1200 Ratio 50:1 "/>
    <s v="Sugar Division"/>
    <x v="3"/>
    <m/>
    <s v="Juice Costing"/>
    <d v="2000-01-01T00:00:00"/>
    <n v="50118.69"/>
    <n v="0"/>
    <n v="30973.075797041092"/>
    <n v="19145.61420295891"/>
    <n v="2505.9345000000003"/>
    <n v="25"/>
    <n v="20.265753424657536"/>
    <n v="14107.5"/>
    <n v="21.265753424657536"/>
    <n v="665.58718811835649"/>
    <n v="14773.087188118356"/>
    <n v="2505.9345000000003"/>
  </r>
  <r>
    <n v="1225"/>
    <s v="Iind Motion Gear Set &amp; 3Rd Motion Hard &amp; Groovcel Duly Chrome "/>
    <s v="Sugar Division"/>
    <x v="3"/>
    <m/>
    <s v="Juice Costing"/>
    <d v="2000-01-01T00:00:00"/>
    <n v="101070.45"/>
    <n v="0"/>
    <n v="62460.984289315056"/>
    <n v="38609.465710684941"/>
    <n v="5053.5225"/>
    <n v="25"/>
    <n v="20.265753424657536"/>
    <n v="153687.3045"/>
    <n v="21.265753424657536"/>
    <n v="1342.2377284273978"/>
    <n v="155029.5422284274"/>
    <n v="5053.5225"/>
  </r>
  <r>
    <n v="1226"/>
    <s v="Iind &amp; 3Rd Motion Gear Set For Main Coad Gear Box 75 Teeth"/>
    <s v="Sugar Division"/>
    <x v="3"/>
    <m/>
    <s v="Juice Costing"/>
    <d v="2000-01-01T00:00:00"/>
    <n v="100693.75"/>
    <n v="0"/>
    <n v="62228.185753424659"/>
    <n v="38465.564246575341"/>
    <n v="5034.6875"/>
    <n v="25"/>
    <n v="20.265753424657536"/>
    <n v="1482"/>
    <n v="21.265753424657536"/>
    <n v="1337.2350698630137"/>
    <n v="2819.2350698630135"/>
    <n v="5034.6875"/>
  </r>
  <r>
    <n v="1227"/>
    <s v="Gear 75 Teeth M.S.Fabricateel For M.B.C."/>
    <s v="Sugar Division"/>
    <x v="3"/>
    <m/>
    <s v="Juice Costing"/>
    <d v="2000-01-01T00:00:00"/>
    <n v="72998.899999999994"/>
    <n v="0"/>
    <n v="45112.920206027389"/>
    <n v="27885.979793972605"/>
    <n v="3649.9449999999997"/>
    <n v="25"/>
    <n v="20.265753424657536"/>
    <n v="6450.5"/>
    <n v="21.265753424657536"/>
    <n v="969.44139175890427"/>
    <n v="7419.9413917589045"/>
    <n v="3649.9449999999997"/>
  </r>
  <r>
    <n v="1228"/>
    <s v="Roller Bearing 22330 E For Reduction Gear Box Sbn"/>
    <s v="Sugar Division"/>
    <x v="3"/>
    <m/>
    <s v="Juice Costing"/>
    <d v="2005-01-01T00:00:00"/>
    <n v="65565.53"/>
    <n v="0"/>
    <n v="28048.035576054794"/>
    <n v="37517.494423945202"/>
    <n v="3278.2764999999999"/>
    <n v="25"/>
    <n v="15.260273972602739"/>
    <n v="54530.019"/>
    <n v="16.260273972602739"/>
    <n v="1369.5687169578082"/>
    <n v="55899.587716957809"/>
    <n v="3278.2764999999999"/>
  </r>
  <r>
    <n v="1229"/>
    <s v="Sleeve With Nut H-3056 For 23056K Bearing "/>
    <s v="Sugar Division"/>
    <x v="3"/>
    <m/>
    <s v="Juice Costing"/>
    <d v="2000-01-01T00:00:00"/>
    <n v="19461.55999999999"/>
    <n v="0"/>
    <n v="12027.137441315059"/>
    <n v="7434.4225586849316"/>
    <n v="973.07799999999952"/>
    <n v="25"/>
    <n v="20.265753424657536"/>
    <n v="5685.75"/>
    <n v="21.265753424657536"/>
    <n v="258.45378234739729"/>
    <n v="5944.2037823473975"/>
    <n v="973.07799999999952"/>
  </r>
  <r>
    <n v="1230"/>
    <s v="Pinion Forged Steel 16 Teeth For Rake Elevator"/>
    <s v="Sugar Division"/>
    <x v="3"/>
    <m/>
    <s v="Juice Costing"/>
    <d v="2000-01-01T00:00:00"/>
    <n v="14025.08"/>
    <n v="0"/>
    <n v="8667.4225902465751"/>
    <n v="5357.6574097534249"/>
    <n v="701.25400000000002"/>
    <n v="25"/>
    <n v="20.265753424657536"/>
    <n v="14031.7945"/>
    <n v="21.265753424657536"/>
    <n v="186.25613639013702"/>
    <n v="14218.050636390137"/>
    <n v="701.25400000000002"/>
  </r>
  <r>
    <n v="1231"/>
    <s v="Main Drive Gear For Cane Unloader"/>
    <s v="Sugar Division"/>
    <x v="3"/>
    <m/>
    <s v="Juice Costing"/>
    <d v="2000-01-01T00:00:00"/>
    <n v="11247.569999999996"/>
    <n v="0"/>
    <n v="6950.9366294794499"/>
    <n v="4296.6333705205461"/>
    <n v="562.3784999999998"/>
    <n v="25"/>
    <n v="20.265753424657536"/>
    <n v="2148.33"/>
    <n v="21.265753424657536"/>
    <n v="149.37019482082187"/>
    <n v="2297.7001948208217"/>
    <n v="562.3784999999998"/>
  </r>
  <r>
    <n v="1232"/>
    <s v="Bear Transistor Mev 9.4 Kva"/>
    <s v="Sugar Division"/>
    <x v="3"/>
    <m/>
    <s v="Juice Costing"/>
    <d v="2000-01-01T00:00:00"/>
    <n v="18991.240000000002"/>
    <n v="0"/>
    <n v="11736.482258410957"/>
    <n v="7254.7577415890446"/>
    <n v="949.56200000000013"/>
    <n v="25"/>
    <n v="20.265753424657536"/>
    <n v="2365.5"/>
    <n v="21.265753424657536"/>
    <n v="252.2078296635618"/>
    <n v="2617.7078296635618"/>
    <n v="949.56200000000013"/>
  </r>
  <r>
    <n v="1233"/>
    <s v="Annuciator Casycl"/>
    <s v="Sugar Division"/>
    <x v="3"/>
    <m/>
    <s v="Juice Costing"/>
    <d v="2000-01-01T00:00:00"/>
    <n v="13794.93"/>
    <n v="0"/>
    <n v="8525.1911513424657"/>
    <n v="5269.7388486575346"/>
    <n v="689.74650000000008"/>
    <n v="25"/>
    <n v="20.265753424657536"/>
    <n v="21191.298500000001"/>
    <n v="21.265753424657536"/>
    <n v="183.19969394630138"/>
    <n v="21374.498193946303"/>
    <n v="689.74650000000008"/>
  </r>
  <r>
    <n v="1234"/>
    <s v="Pair Of Gear Wheel For Mp-150 (Rp-150)"/>
    <s v="Sugar Division"/>
    <x v="3"/>
    <m/>
    <s v="Juice Costing"/>
    <d v="2000-01-01T00:00:00"/>
    <n v="16342"/>
    <n v="0"/>
    <n v="10099.266454794519"/>
    <n v="6242.7335452054813"/>
    <n v="817.1"/>
    <n v="25"/>
    <n v="20.265753424657536"/>
    <n v="2080.8134999999997"/>
    <n v="21.265753424657536"/>
    <n v="217.02534180821925"/>
    <n v="2297.8388418082191"/>
    <n v="817.1"/>
  </r>
  <r>
    <m/>
    <s v="ROLLER BEARING 239/560"/>
    <s v="Sugar Division"/>
    <x v="3"/>
    <m/>
    <m/>
    <d v="2020-08-15T00:00:00"/>
    <n v="0"/>
    <n v="1041005.32"/>
    <n v="1041005.32"/>
    <n v="1041005.32"/>
    <n v="52050.266000000003"/>
    <n v="25"/>
    <n v="0"/>
    <n v="51235.523499999996"/>
    <n v="0.63013698630136983"/>
    <n v="1041005.32"/>
    <n v="1092240.8435"/>
    <n v="52050.266000000003"/>
  </r>
  <r>
    <m/>
    <s v="ROLLER BEARING 23164CCK/W-33 1"/>
    <s v="Sugar Division"/>
    <x v="3"/>
    <m/>
    <m/>
    <d v="2020-09-30T00:00:00"/>
    <n v="0"/>
    <n v="248982.08"/>
    <n v="248982.08"/>
    <n v="248982.08"/>
    <n v="12449.103999999999"/>
    <n v="25"/>
    <n v="0"/>
    <n v="378638.70699999999"/>
    <n v="0.50410958904109593"/>
    <n v="248982.08"/>
    <n v="627620.78700000001"/>
    <n v="12449.103999999999"/>
  </r>
  <r>
    <m/>
    <s v="ROLLER BEARING 23160"/>
    <s v="Sugar Division"/>
    <x v="3"/>
    <m/>
    <m/>
    <d v="2019-11-15T00:00:00"/>
    <n v="200477.43"/>
    <m/>
    <n v="200477.43"/>
    <n v="200477.43"/>
    <n v="10023.871500000001"/>
    <n v="25"/>
    <n v="0.38082191780821917"/>
    <n v="236755.39"/>
    <n v="1.3808219178082193"/>
    <n v="200477"/>
    <n v="437232.39"/>
    <n v="10023.871500000001"/>
  </r>
  <r>
    <n v="1235"/>
    <s v="Roller Bearing 239/560"/>
    <s v="Sugar Division"/>
    <x v="3"/>
    <m/>
    <s v="Juice Costing"/>
    <d v="2021-01-15T00:00:00"/>
    <n v="0"/>
    <n v="369488.96"/>
    <n v="0"/>
    <n v="369488.96"/>
    <n v="18474.448"/>
    <n v="25"/>
    <n v="0"/>
    <n v="134152.97700000001"/>
    <n v="0.21095890410958903"/>
    <n v="2961.9854711232879"/>
    <n v="137114.96247112329"/>
    <n v="18474.448"/>
  </r>
  <r>
    <n v="1236"/>
    <s v="Roller Bearing-23164-1 No."/>
    <s v="Sugar Division"/>
    <x v="3"/>
    <m/>
    <s v="Juice Costing"/>
    <d v="2021-02-15T00:00:00"/>
    <n v="0"/>
    <n v="201980.65"/>
    <n v="0"/>
    <n v="201980.65"/>
    <n v="10099.032500000001"/>
    <n v="25"/>
    <n v="0"/>
    <n v="7457.5"/>
    <n v="0.12602739726027398"/>
    <n v="967.29363342465751"/>
    <n v="8424.7936334246569"/>
    <n v="10099.032500000001"/>
  </r>
  <r>
    <n v="1237"/>
    <s v="Roller Bearing-23160-2 No."/>
    <s v="Sugar Division"/>
    <x v="3"/>
    <m/>
    <s v="Juice Costing"/>
    <d v="2021-02-15T00:00:00"/>
    <n v="0"/>
    <n v="294517.76000000001"/>
    <n v="0"/>
    <n v="294517.76000000001"/>
    <n v="14725.888000000001"/>
    <n v="25"/>
    <n v="0"/>
    <n v="14693.336499999999"/>
    <n v="0.12602739726027398"/>
    <n v="1410.4576561095894"/>
    <n v="16103.794156109589"/>
    <n v="14725.888000000001"/>
  </r>
  <r>
    <n v="1238"/>
    <s v="Oil Inlet Fitting For 30Mw-1 No."/>
    <s v="Sugar Division"/>
    <x v="3"/>
    <m/>
    <s v="Juice Costing"/>
    <d v="2021-02-15T00:00:00"/>
    <n v="0"/>
    <n v="4741.34"/>
    <n v="0"/>
    <n v="4741.34"/>
    <n v="237.06700000000001"/>
    <n v="25"/>
    <n v="0"/>
    <n v="29386.672999999999"/>
    <n v="0.12602739726027398"/>
    <n v="22.706472109589043"/>
    <n v="29409.379472109587"/>
    <n v="237.06700000000001"/>
  </r>
  <r>
    <n v="1239"/>
    <s v="Cycle"/>
    <s v="Sugar Division"/>
    <x v="4"/>
    <m/>
    <s v="Common"/>
    <d v="2015-05-15T00:00:00"/>
    <n v="3300"/>
    <n v="0"/>
    <n v="277.42602739726027"/>
    <n v="3022.5739726027396"/>
    <n v="165"/>
    <n v="10"/>
    <n v="4.8876712328767127"/>
    <n v="277.42602739726044"/>
    <n v="5.8876712328767127"/>
    <n v="285.75739726027399"/>
    <n v="563.18342465753449"/>
    <n v="165"/>
  </r>
  <r>
    <n v="1240"/>
    <s v="Innova Car"/>
    <s v="Sugar Division"/>
    <x v="4"/>
    <m/>
    <s v="Common"/>
    <d v="2012-10-10T00:00:00"/>
    <n v="1530557"/>
    <n v="0"/>
    <n v="1432403.0892123291"/>
    <n v="98153.910787670873"/>
    <n v="76527.850000000006"/>
    <n v="8"/>
    <n v="7.4821917808219176"/>
    <n v="216201"/>
    <n v="8.4821917808219176"/>
    <n v="2703.2575984588584"/>
    <n v="218904.25759845885"/>
    <n v="76527.850000000006"/>
  </r>
  <r>
    <n v="1241"/>
    <s v="Scorpio "/>
    <s v="Sugar Division"/>
    <x v="4"/>
    <m/>
    <s v="Upto gate"/>
    <d v="2012-12-15T00:00:00"/>
    <n v="1076662"/>
    <n v="0"/>
    <n v="1021741.7793150691"/>
    <n v="54920.220684930915"/>
    <n v="53833.100000000006"/>
    <n v="8"/>
    <n v="7.3013698630136989"/>
    <n v="50648"/>
    <n v="8.3013698630136989"/>
    <n v="135.89008561636365"/>
    <n v="50783.890085616367"/>
    <n v="53833.100000000006"/>
  </r>
  <r>
    <n v="1242"/>
    <s v="Ambulance "/>
    <s v="Sugar Division"/>
    <x v="4"/>
    <m/>
    <s v="Common"/>
    <d v="2014-03-15T00:00:00"/>
    <n v="296820"/>
    <n v="0"/>
    <n v="222329.5448630137"/>
    <n v="74490.455136986304"/>
    <n v="14841"/>
    <n v="8"/>
    <n v="6.0547945205479454"/>
    <n v="74205"/>
    <n v="7.0547945205479454"/>
    <n v="7456.181892123288"/>
    <n v="81661.181892123292"/>
    <n v="14841"/>
  </r>
  <r>
    <n v="1243"/>
    <s v="Discover 100  Motor Cycle"/>
    <s v="Sugar Division"/>
    <x v="4"/>
    <m/>
    <s v="Common"/>
    <d v="2012-11-25T00:00:00"/>
    <n v="49643"/>
    <n v="0"/>
    <n v="47160.85"/>
    <n v="2482.1500000000015"/>
    <n v="2482.15"/>
    <n v="10"/>
    <n v="7.3561643835616435"/>
    <n v="23580"/>
    <n v="8.3561643835616444"/>
    <n v="1.3642420526593936E-13"/>
    <n v="23580"/>
    <n v="2482.15"/>
  </r>
  <r>
    <n v="1244"/>
    <s v="Cd Dawn Motor Cycle"/>
    <s v="Sugar Division"/>
    <x v="4"/>
    <m/>
    <s v="Common"/>
    <d v="2011-11-26T00:00:00"/>
    <n v="39700"/>
    <n v="0"/>
    <n v="37715"/>
    <n v="1985"/>
    <n v="1985"/>
    <n v="10"/>
    <n v="8.3561643835616444"/>
    <n v="18858"/>
    <n v="9.3561643835616444"/>
    <n v="0"/>
    <n v="18858"/>
    <n v="1985"/>
  </r>
  <r>
    <n v="1245"/>
    <s v="Motor Cycle"/>
    <s v="Sugar Division"/>
    <x v="4"/>
    <m/>
    <s v="Common"/>
    <d v="2006-12-13T00:00:00"/>
    <n v="33242.67"/>
    <n v="0"/>
    <n v="31580.536499999998"/>
    <n v="1662.1334999999999"/>
    <n v="1662.1334999999999"/>
    <n v="10"/>
    <n v="13.312328767123288"/>
    <n v="31580.536499999998"/>
    <n v="14.312328767123288"/>
    <n v="0"/>
    <n v="31580.536499999998"/>
    <n v="1662.1334999999999"/>
  </r>
  <r>
    <n v="1246"/>
    <s v="Motor Cycle"/>
    <s v="Sugar Division"/>
    <x v="4"/>
    <m/>
    <s v="Common"/>
    <d v="2015-03-28T00:00:00"/>
    <n v="4390"/>
    <n v="0"/>
    <n v="423.90561643835616"/>
    <n v="3966.094383561644"/>
    <n v="219.5"/>
    <n v="10"/>
    <n v="5.0191780821917806"/>
    <n v="423.90561643835599"/>
    <n v="6.0191780821917806"/>
    <n v="374.6594383561644"/>
    <n v="798.56505479452039"/>
    <n v="219.5"/>
  </r>
  <r>
    <n v="1247"/>
    <s v="Cycle"/>
    <s v="Sugar Division"/>
    <x v="4"/>
    <m/>
    <s v="Common"/>
    <d v="2014-08-15T00:00:00"/>
    <n v="3200"/>
    <n v="0"/>
    <n v="496.39452054794521"/>
    <n v="2703.6054794520546"/>
    <n v="160"/>
    <n v="10"/>
    <n v="5.6356164383561644"/>
    <n v="496.39452054794538"/>
    <n v="6.6356164383561644"/>
    <n v="254.36054794520547"/>
    <n v="750.75506849315082"/>
    <n v="160"/>
  </r>
  <r>
    <n v="1248"/>
    <s v="Truck Mercedes 2 No. 1310&amp;1311"/>
    <s v="Sugar Division"/>
    <x v="4"/>
    <m/>
    <s v="Upto gate"/>
    <d v="1967-01-01T00:00:00"/>
    <n v="52156"/>
    <n v="0"/>
    <n v="49548.2"/>
    <n v="2607.8000000000029"/>
    <n v="2607.8000000000002"/>
    <n v="8"/>
    <n v="53.287671232876711"/>
    <n v="24774.1"/>
    <n v="54.287671232876711"/>
    <n v="3.4106051316484809E-13"/>
    <n v="24774.1"/>
    <n v="2607.8000000000002"/>
  </r>
  <r>
    <n v="1249"/>
    <s v="New T.M.B. Truck No.Ush 1951"/>
    <s v="Sugar Division"/>
    <x v="4"/>
    <m/>
    <s v="Upto gate"/>
    <d v="1970-01-01T00:00:00"/>
    <n v="55622"/>
    <n v="0"/>
    <n v="52840.9"/>
    <n v="2781.0999999999985"/>
    <n v="2781.1000000000004"/>
    <n v="8"/>
    <n v="50.284931506849318"/>
    <n v="26420.45"/>
    <n v="51.284931506849318"/>
    <n v="-2.2737367544323206E-13"/>
    <n v="26420.45"/>
    <n v="2781.1000000000004"/>
  </r>
  <r>
    <n v="1250"/>
    <s v=" Universal Tractors 65 H.P.  &quot;3 No."/>
    <s v="Sugar Division"/>
    <x v="4"/>
    <m/>
    <s v="Common"/>
    <d v="1974-01-01T00:00:00"/>
    <n v="44974"/>
    <n v="0"/>
    <n v="42725.3"/>
    <n v="2248.6999999999971"/>
    <n v="2248.7000000000003"/>
    <n v="8"/>
    <n v="46.282191780821918"/>
    <n v="21362.65"/>
    <n v="47.282191780821918"/>
    <n v="-3.979039320256561E-13"/>
    <n v="21362.65"/>
    <n v="2248.7000000000003"/>
  </r>
  <r>
    <n v="1251"/>
    <s v="Four Wheel Trolleys&quot; 8 No."/>
    <s v="Sugar Division"/>
    <x v="4"/>
    <m/>
    <s v="Upto gate"/>
    <d v="1974-01-01T00:00:00"/>
    <n v="140103"/>
    <n v="0"/>
    <n v="133097.85"/>
    <n v="7005.1499999999942"/>
    <n v="7005.1500000000005"/>
    <n v="8"/>
    <n v="46.282191780821918"/>
    <n v="66548.925000000003"/>
    <n v="47.282191780821918"/>
    <n v="-7.9580786405131221E-13"/>
    <n v="66548.925000000003"/>
    <n v="7005.1500000000005"/>
  </r>
  <r>
    <n v="1252"/>
    <s v=" Four Wheel Trolley 2 No."/>
    <s v="Sugar Division"/>
    <x v="4"/>
    <m/>
    <s v="Upto gate"/>
    <d v="1975-01-01T00:00:00"/>
    <n v="37892"/>
    <n v="0"/>
    <n v="35997.4"/>
    <n v="1894.5999999999985"/>
    <n v="1894.6000000000001"/>
    <n v="8"/>
    <n v="45.282191780821918"/>
    <n v="17998.7"/>
    <n v="46.282191780821918"/>
    <n v="-1.9895196601282805E-13"/>
    <n v="17998.7"/>
    <n v="1894.6000000000001"/>
  </r>
  <r>
    <n v="1253"/>
    <s v="Trolleys 2 No."/>
    <s v="Sugar Division"/>
    <x v="4"/>
    <m/>
    <s v="Upto gate"/>
    <d v="1976-01-01T00:00:00"/>
    <n v="32289"/>
    <n v="0"/>
    <n v="30674.55"/>
    <n v="1614.4500000000007"/>
    <n v="1614.45"/>
    <n v="8"/>
    <n v="44.282191780821918"/>
    <n v="15337.275"/>
    <n v="45.282191780821918"/>
    <n v="8.5265128291212022E-14"/>
    <n v="15337.275"/>
    <n v="1614.45"/>
  </r>
  <r>
    <n v="1254"/>
    <s v="Tusker Truck  Ush 7815"/>
    <s v="Sugar Division"/>
    <x v="4"/>
    <m/>
    <s v="Upto gate"/>
    <d v="1982-01-01T00:00:00"/>
    <n v="249318"/>
    <n v="0"/>
    <n v="236852.1"/>
    <n v="12465.899999999994"/>
    <n v="12465.900000000001"/>
    <n v="8"/>
    <n v="38.276712328767125"/>
    <n v="68426.05"/>
    <n v="39.276712328767125"/>
    <n v="-9.0949470177292824E-13"/>
    <n v="68426.05"/>
    <n v="12465.900000000001"/>
  </r>
  <r>
    <n v="1255"/>
    <s v="Tusker Truck Ush 8332"/>
    <s v="Sugar Division"/>
    <x v="4"/>
    <m/>
    <s v="Upto gate"/>
    <d v="1982-01-01T00:00:00"/>
    <n v="252366"/>
    <n v="0"/>
    <n v="239747.7"/>
    <n v="12618.299999999988"/>
    <n v="12618.300000000001"/>
    <n v="8"/>
    <n v="38.276712328767125"/>
    <n v="119873.85"/>
    <n v="39.276712328767125"/>
    <n v="-1.5916157281026244E-12"/>
    <n v="119873.85"/>
    <n v="12618.300000000001"/>
  </r>
  <r>
    <n v="1256"/>
    <s v="Cycle At Kolkatta"/>
    <s v="Sugar Division"/>
    <x v="4"/>
    <m/>
    <s v="Common"/>
    <d v="1984-01-01T00:00:00"/>
    <n v="36"/>
    <n v="0"/>
    <n v="34.200000000000003"/>
    <n v="1.7999999999999972"/>
    <n v="1.8"/>
    <n v="10"/>
    <n v="36.276712328767125"/>
    <n v="17.100000000000001"/>
    <n v="37.276712328767125"/>
    <n v="-2.8865798640254071E-16"/>
    <n v="17.100000000000001"/>
    <n v="1.8"/>
  </r>
  <r>
    <n v="1257"/>
    <s v="Cycle At Kolkatta"/>
    <s v="Sugar Division"/>
    <x v="4"/>
    <m/>
    <s v="Common"/>
    <d v="1986-01-01T00:00:00"/>
    <n v="133"/>
    <n v="0"/>
    <n v="126.35"/>
    <n v="6.6500000000000057"/>
    <n v="6.65"/>
    <n v="10"/>
    <n v="34.273972602739725"/>
    <n v="63.174999999999997"/>
    <n v="35.273972602739725"/>
    <n v="5.3290705182007522E-16"/>
    <n v="63.174999999999997"/>
    <n v="6.65"/>
  </r>
  <r>
    <n v="1258"/>
    <s v="Hero Cycle 4"/>
    <s v="Sugar Division"/>
    <x v="4"/>
    <m/>
    <s v="Common"/>
    <d v="1987-01-01T00:00:00"/>
    <n v="2314"/>
    <n v="0"/>
    <n v="2198.3000000000002"/>
    <n v="115.69999999999982"/>
    <n v="115.7"/>
    <n v="10"/>
    <n v="33.273972602739725"/>
    <n v="1099.1500000000001"/>
    <n v="34.273972602739725"/>
    <n v="-1.8474111129762605E-14"/>
    <n v="1099.1500000000001"/>
    <n v="115.7"/>
  </r>
  <r>
    <n v="1259"/>
    <s v="Avon Cycle No. 070234"/>
    <s v="Sugar Division"/>
    <x v="4"/>
    <m/>
    <s v="Common"/>
    <d v="1988-01-01T00:00:00"/>
    <n v="770"/>
    <n v="0"/>
    <n v="731.5"/>
    <n v="38.5"/>
    <n v="38.5"/>
    <n v="10"/>
    <n v="32.273972602739725"/>
    <n v="365.75"/>
    <n v="33.273972602739725"/>
    <n v="0"/>
    <n v="365.75"/>
    <n v="38.5"/>
  </r>
  <r>
    <n v="1260"/>
    <s v="Truck No.Uht896"/>
    <s v="Sugar Division"/>
    <x v="4"/>
    <m/>
    <s v="Upto gate"/>
    <d v="1988-01-01T00:00:00"/>
    <n v="314748"/>
    <n v="0"/>
    <n v="299010.59999999998"/>
    <n v="15737.400000000023"/>
    <n v="15737.400000000001"/>
    <n v="8"/>
    <n v="32.273972602739725"/>
    <n v="149505.29999999999"/>
    <n v="33.273972602739725"/>
    <n v="2.7284841053187847E-12"/>
    <n v="149505.29999999999"/>
    <n v="15737.400000000001"/>
  </r>
  <r>
    <n v="1261"/>
    <s v="Renault Car"/>
    <s v="Sugar Division"/>
    <x v="4"/>
    <m/>
    <s v="Common"/>
    <d v="2012-12-01T00:00:00"/>
    <n v="1560000"/>
    <m/>
    <n v="1560000"/>
    <n v="0"/>
    <n v="78000"/>
    <m/>
    <m/>
    <n v="1422111"/>
    <m/>
    <n v="0"/>
    <n v="0"/>
    <n v="0"/>
  </r>
  <r>
    <n v="1262"/>
    <s v="Motor Cycle Rajdoot No. Up-31A 2168"/>
    <s v="Sugar Division"/>
    <x v="4"/>
    <m/>
    <s v="Common"/>
    <d v="1993-03-03T00:00:00"/>
    <n v="30546"/>
    <n v="0"/>
    <n v="29018.7"/>
    <n v="1527.2999999999993"/>
    <n v="1527.3000000000002"/>
    <n v="10"/>
    <n v="27.101369863013698"/>
    <n v="14509.35"/>
    <n v="28.101369863013698"/>
    <n v="-9.0949470177292829E-14"/>
    <n v="14509.35"/>
    <n v="1527.3000000000002"/>
  </r>
  <r>
    <n v="1263"/>
    <s v="Mahindra Jeep No. Up-31/3938"/>
    <s v="Sugar Division"/>
    <x v="4"/>
    <m/>
    <s v="Common"/>
    <d v="1993-12-17T00:00:00"/>
    <n v="274265"/>
    <n v="0"/>
    <n v="260551.75"/>
    <n v="13713.25"/>
    <n v="13713.25"/>
    <n v="8"/>
    <n v="26.30958904109589"/>
    <n v="130275.875"/>
    <n v="27.30958904109589"/>
    <n v="0"/>
    <n v="130275.875"/>
    <n v="13713.25"/>
  </r>
  <r>
    <n v="1264"/>
    <s v="Hero Honda "/>
    <s v="Sugar Division"/>
    <x v="4"/>
    <m/>
    <s v="Common"/>
    <d v="1994-11-19T00:00:00"/>
    <n v="36559"/>
    <n v="0"/>
    <n v="34731.050000000003"/>
    <n v="1827.9499999999971"/>
    <n v="1827.95"/>
    <n v="10"/>
    <n v="25.386301369863013"/>
    <n v="17365.525000000001"/>
    <n v="26.386301369863013"/>
    <n v="-2.9558577807620169E-13"/>
    <n v="17365.525000000001"/>
    <n v="1827.95"/>
  </r>
  <r>
    <n v="1265"/>
    <s v="Unloader 1 No."/>
    <s v="Sugar Division"/>
    <x v="4"/>
    <m/>
    <s v="Common"/>
    <d v="1996-05-24T00:00:00"/>
    <n v="571769"/>
    <n v="0"/>
    <n v="543180.55000000005"/>
    <n v="28588.449999999953"/>
    <n v="28588.45"/>
    <n v="8"/>
    <n v="23.873972602739727"/>
    <n v="271590.27500000002"/>
    <n v="24.873972602739727"/>
    <n v="-5.9117155615240335E-12"/>
    <n v="271590.27500000002"/>
    <n v="28588.45"/>
  </r>
  <r>
    <n v="1266"/>
    <s v="School Bus"/>
    <s v="Sugar Division"/>
    <x v="4"/>
    <m/>
    <s v="Common"/>
    <d v="1996-06-01T00:00:00"/>
    <n v="509352"/>
    <n v="0"/>
    <n v="483884.4"/>
    <n v="25467.599999999977"/>
    <n v="25467.600000000002"/>
    <n v="8"/>
    <n v="23.852054794520548"/>
    <n v="241942.2"/>
    <n v="24.852054794520548"/>
    <n v="-3.1832314562052488E-12"/>
    <n v="241942.2"/>
    <n v="25467.600000000002"/>
  </r>
  <r>
    <n v="1267"/>
    <s v="Motorcycle Suzuki"/>
    <s v="Sugar Division"/>
    <x v="4"/>
    <m/>
    <s v="Common"/>
    <d v="1997-01-13T00:00:00"/>
    <n v="41115"/>
    <n v="0"/>
    <n v="39059.25"/>
    <n v="2055.75"/>
    <n v="2055.75"/>
    <n v="10"/>
    <n v="23.232876712328768"/>
    <n v="19529.625"/>
    <n v="24.232876712328768"/>
    <n v="0"/>
    <n v="19529.625"/>
    <n v="2055.75"/>
  </r>
  <r>
    <n v="1268"/>
    <s v="Tractor 1 No. "/>
    <s v="Sugar Division"/>
    <x v="4"/>
    <m/>
    <s v="Common"/>
    <d v="1997-12-06T00:00:00"/>
    <n v="275952"/>
    <n v="0"/>
    <n v="262154.40000000002"/>
    <n v="13797.599999999977"/>
    <n v="13797.6"/>
    <n v="8"/>
    <n v="22.336986301369862"/>
    <n v="131077.20000000001"/>
    <n v="23.336986301369862"/>
    <n v="-2.9558577807620168E-12"/>
    <n v="131077.20000000001"/>
    <n v="13797.6"/>
  </r>
  <r>
    <n v="1269"/>
    <s v="By-Cycle 6 No."/>
    <s v="Sugar Division"/>
    <x v="4"/>
    <m/>
    <s v="Common"/>
    <d v="1998-06-30T00:00:00"/>
    <n v="7167.79"/>
    <n v="0"/>
    <n v="6809.4004999999997"/>
    <n v="358.38950000000023"/>
    <n v="358.3895"/>
    <n v="10"/>
    <n v="21.772602739726029"/>
    <n v="3404.7002499999999"/>
    <n v="22.772602739726029"/>
    <n v="2.2737367544323207E-14"/>
    <n v="3404.7002499999999"/>
    <n v="358.3895"/>
  </r>
  <r>
    <n v="1270"/>
    <s v="Lml Vespa (Shillong)"/>
    <s v="Sugar Division"/>
    <x v="4"/>
    <m/>
    <s v="Common"/>
    <d v="2000-03-31T00:00:00"/>
    <n v="2265"/>
    <n v="0"/>
    <n v="2151.75"/>
    <n v="113.25"/>
    <n v="113.25"/>
    <n v="10"/>
    <n v="20.019178082191782"/>
    <n v="1075.875"/>
    <n v="21.019178082191782"/>
    <n v="0"/>
    <n v="1075.875"/>
    <n v="113.25"/>
  </r>
  <r>
    <n v="1271"/>
    <s v="Cycle"/>
    <s v="Sugar Division"/>
    <x v="4"/>
    <m/>
    <s v="Common"/>
    <d v="2000-06-30T00:00:00"/>
    <n v="2933"/>
    <n v="0"/>
    <n v="2786.35"/>
    <n v="146.65000000000009"/>
    <n v="146.65"/>
    <n v="10"/>
    <n v="19.769863013698629"/>
    <n v="1393.175"/>
    <n v="20.769863013698629"/>
    <n v="8.5265128291212035E-15"/>
    <n v="1393.175"/>
    <n v="146.65"/>
  </r>
  <r>
    <n v="1272"/>
    <s v="By-Cycle 2 Nos."/>
    <s v="Sugar Division"/>
    <x v="4"/>
    <m/>
    <s v="Common"/>
    <d v="2002-01-01T00:00:00"/>
    <n v="2917"/>
    <n v="0"/>
    <n v="2771.15"/>
    <n v="145.84999999999991"/>
    <n v="145.85"/>
    <n v="10"/>
    <n v="18.263013698630136"/>
    <n v="1385.575"/>
    <n v="19.263013698630136"/>
    <n v="-8.5265128291212035E-15"/>
    <n v="1385.575"/>
    <n v="145.85"/>
  </r>
  <r>
    <n v="1273"/>
    <s v="Motorcycle "/>
    <s v="Sugar Division"/>
    <x v="4"/>
    <m/>
    <s v="Common"/>
    <d v="2005-02-02T00:00:00"/>
    <n v="35964.519999999997"/>
    <n v="0"/>
    <n v="34166.293999999994"/>
    <n v="1798.2260000000024"/>
    <n v="1798.2259999999999"/>
    <n v="10"/>
    <n v="15.172602739726027"/>
    <n v="17083.146999999997"/>
    <n v="16.172602739726027"/>
    <n v="2.5011104298755529E-13"/>
    <n v="17083.146999999997"/>
    <n v="1798.2259999999999"/>
  </r>
  <r>
    <n v="1274"/>
    <s v="Bolero"/>
    <s v="Sugar Division"/>
    <x v="4"/>
    <m/>
    <s v="Common"/>
    <d v="2005-08-31T00:00:00"/>
    <n v="501820"/>
    <n v="0"/>
    <n v="476729"/>
    <n v="25091"/>
    <n v="25091"/>
    <n v="8"/>
    <n v="14.597260273972603"/>
    <n v="238362.77"/>
    <n v="15.597260273972603"/>
    <n v="0"/>
    <n v="238362.77"/>
    <n v="25091"/>
  </r>
  <r>
    <n v="1275"/>
    <s v="Honda Civic"/>
    <s v="Sugar Division"/>
    <x v="4"/>
    <m/>
    <s v="Common"/>
    <d v="2006-09-10T00:00:00"/>
    <n v="1137180"/>
    <n v="0"/>
    <n v="1080321"/>
    <n v="56859"/>
    <n v="56859"/>
    <n v="8"/>
    <n v="13.56986301369863"/>
    <n v="540160.5"/>
    <n v="14.56986301369863"/>
    <n v="0"/>
    <n v="540160.5"/>
    <n v="56859"/>
  </r>
  <r>
    <n v="1276"/>
    <s v="School Bus"/>
    <s v="Sugar Division"/>
    <x v="4"/>
    <m/>
    <s v="Common"/>
    <d v="2017-02-08T00:00:00"/>
    <n v="1308659"/>
    <n v="0"/>
    <m/>
    <n v="1308659"/>
    <n v="65432.950000000004"/>
    <n v="8"/>
    <n v="3.1479452054794521"/>
    <n v="0"/>
    <n v="4.1479452054794521"/>
    <n v="355403.25624999998"/>
    <n v="355403.25624999998"/>
    <n v="1065432.95"/>
  </r>
  <r>
    <n v="1277"/>
    <s v="Swift D-Zire Car"/>
    <s v="Sugar Division"/>
    <x v="4"/>
    <m/>
    <s v="Common"/>
    <d v="2017-03-01T00:00:00"/>
    <n v="932963"/>
    <n v="0"/>
    <n v="0"/>
    <n v="932963"/>
    <n v="46648.15"/>
    <n v="8"/>
    <n v="3.0904109589041098"/>
    <n v="0"/>
    <n v="4.0904109589041093"/>
    <n v="160789.35624999995"/>
    <n v="160789.35624999995"/>
    <n v="546648.15"/>
  </r>
  <r>
    <n v="1278"/>
    <s v="Innova Crysta"/>
    <s v="Sugar Division"/>
    <x v="4"/>
    <m/>
    <s v="Common"/>
    <d v="2019-08-22T00:00:00"/>
    <n v="1893749.12"/>
    <n v="0"/>
    <n v="0"/>
    <n v="1893749.12"/>
    <n v="94687.456000000006"/>
    <n v="8"/>
    <n v="0.61369863013698633"/>
    <n v="0"/>
    <n v="1.6136986301369862"/>
    <n v="349882.70799999998"/>
    <n v="349882.70799999998"/>
    <n v="903841.45600000001"/>
  </r>
  <r>
    <n v="1279"/>
    <s v="Hero Honda Super Splender (Stp)"/>
    <s v="Sugar Division"/>
    <x v="4"/>
    <m/>
    <s v="Common"/>
    <d v="2020-02-22T00:00:00"/>
    <n v="75633"/>
    <n v="0"/>
    <n v="0"/>
    <n v="75633"/>
    <n v="3781.65"/>
    <n v="10"/>
    <n v="0.1095890410958904"/>
    <n v="0"/>
    <n v="1.1095890410958904"/>
    <n v="7185.1350000000011"/>
    <n v="7185.1350000000011"/>
    <n v="3781.65"/>
  </r>
  <r>
    <n v="1280"/>
    <s v="Maruti Xl6 Smart Hybrid"/>
    <s v="Sugar Division"/>
    <x v="4"/>
    <m/>
    <s v="Common"/>
    <d v="2020-06-22T00:00:00"/>
    <n v="0"/>
    <n v="1068185.1000000001"/>
    <n v="0"/>
    <n v="1068185.1000000001"/>
    <n v="53409.255000000005"/>
    <n v="8"/>
    <n v="0"/>
    <n v="0"/>
    <n v="0.77808219178082194"/>
    <n v="133154.37670547946"/>
    <n v="133154.37670547946"/>
    <n v="53409.255000000005"/>
  </r>
  <r>
    <n v="1281"/>
    <s v="Bolero Model 2020-21"/>
    <s v="Sugar Division"/>
    <x v="4"/>
    <m/>
    <s v="Common"/>
    <d v="2021-02-19T00:00:00"/>
    <n v="0"/>
    <n v="830107.78"/>
    <n v="0"/>
    <n v="830107.78"/>
    <n v="41505.389000000003"/>
    <n v="8"/>
    <n v="0"/>
    <n v="0"/>
    <n v="0.11506849315068493"/>
    <n v="11342.911103424658"/>
    <n v="11342.911103424658"/>
    <n v="41505.389000000003"/>
  </r>
  <r>
    <n v="1282"/>
    <s v="Laptop"/>
    <s v="Sugar Division"/>
    <x v="5"/>
    <m/>
    <s v="Common"/>
    <d v="2015-06-15T00:00:00"/>
    <n v="53000"/>
    <n v="0"/>
    <n v="8056"/>
    <n v="44944"/>
    <n v="2650"/>
    <n v="5"/>
    <n v="4.8027397260273972"/>
    <n v="8056"/>
    <n v="5.8027397260273972"/>
    <n v="8458.8000000000011"/>
    <n v="16514.800000000003"/>
    <n v="2650"/>
  </r>
  <r>
    <n v="1283"/>
    <s v="Inverter"/>
    <s v="Sugar Division"/>
    <x v="5"/>
    <m/>
    <s v="Common"/>
    <d v="2015-05-15T00:00:00"/>
    <n v="4777.7"/>
    <n v="0"/>
    <n v="803.3080794520547"/>
    <n v="3974.3919205479451"/>
    <n v="238.88499999999999"/>
    <n v="5"/>
    <n v="4.8876712328767127"/>
    <n v="803.3080794520547"/>
    <n v="5.8876712328767127"/>
    <n v="747.10138410958905"/>
    <n v="1550.4094635616439"/>
    <n v="238.88499999999999"/>
  </r>
  <r>
    <n v="1284"/>
    <s v="Water Cooler (2)"/>
    <s v="Sugar Division"/>
    <x v="5"/>
    <m/>
    <s v="Common"/>
    <d v="2015-05-15T00:00:00"/>
    <n v="66500"/>
    <n v="0"/>
    <n v="11181.109589041096"/>
    <n v="55318.890410958906"/>
    <n v="3325"/>
    <n v="5"/>
    <n v="4.8876712328767127"/>
    <n v="11181.109589041094"/>
    <n v="5.8876712328767127"/>
    <n v="10398.778082191782"/>
    <n v="21579.887671232878"/>
    <n v="3325"/>
  </r>
  <r>
    <n v="1285"/>
    <s v="Printer (2)"/>
    <s v="Sugar Division"/>
    <x v="5"/>
    <m/>
    <s v="Common"/>
    <d v="2015-07-15T00:00:00"/>
    <n v="14600"/>
    <n v="0"/>
    <n v="1991.2"/>
    <n v="12608.8"/>
    <n v="730"/>
    <n v="5"/>
    <n v="4.720547945205479"/>
    <n v="1991.2000000000007"/>
    <n v="5.720547945205479"/>
    <n v="2375.7599999999998"/>
    <n v="4366.9600000000009"/>
    <n v="730"/>
  </r>
  <r>
    <n v="1286"/>
    <s v="Air Conditioner"/>
    <s v="Sugar Division"/>
    <x v="5"/>
    <m/>
    <s v="Common"/>
    <d v="2015-08-15T00:00:00"/>
    <n v="10355.56"/>
    <n v="0"/>
    <n v="1245.2206257534244"/>
    <n v="9110.3393742465742"/>
    <n v="517.77800000000002"/>
    <n v="5"/>
    <n v="4.6356164383561644"/>
    <n v="1245.2206257534253"/>
    <n v="5.6356164383561644"/>
    <n v="1718.512274849315"/>
    <n v="2963.7329006027403"/>
    <n v="517.77800000000002"/>
  </r>
  <r>
    <n v="1287"/>
    <s v="Air Conditioner (4)"/>
    <s v="Sugar Division"/>
    <x v="5"/>
    <m/>
    <s v="Common"/>
    <d v="2015-08-15T00:00:00"/>
    <n v="333711.44"/>
    <n v="0"/>
    <n v="9961.760196164385"/>
    <n v="323749.67980383564"/>
    <n v="16685.572"/>
    <n v="5"/>
    <n v="4.6356164383561644"/>
    <n v="9961.7601961643668"/>
    <n v="5.6356164383561644"/>
    <n v="61412.82156076713"/>
    <n v="71374.581756931497"/>
    <n v="16685.572"/>
  </r>
  <r>
    <n v="1288"/>
    <s v="Printer "/>
    <s v="Sugar Division"/>
    <x v="5"/>
    <m/>
    <s v="Common"/>
    <d v="2015-08-15T00:00:00"/>
    <n v="7300"/>
    <n v="0"/>
    <n v="877.8"/>
    <n v="6422.2"/>
    <n v="365"/>
    <n v="5"/>
    <n v="4.6356164383561644"/>
    <n v="877.80000000000018"/>
    <n v="5.6356164383561644"/>
    <n v="1211.44"/>
    <n v="2089.2400000000002"/>
    <n v="365"/>
  </r>
  <r>
    <n v="1289"/>
    <s v="Printer (2)"/>
    <s v="Sugar Division"/>
    <x v="5"/>
    <m/>
    <s v="Common"/>
    <d v="2015-09-04T00:00:00"/>
    <n v="15000"/>
    <n v="0"/>
    <n v="1647.5342465753424"/>
    <n v="13352.465753424658"/>
    <n v="750"/>
    <n v="5"/>
    <n v="4.580821917808219"/>
    <n v="1647.534246575342"/>
    <n v="5.580821917808219"/>
    <n v="2520.4931506849316"/>
    <n v="4168.0273972602736"/>
    <n v="750"/>
  </r>
  <r>
    <n v="1290"/>
    <s v="Blower"/>
    <s v="Sugar Division"/>
    <x v="5"/>
    <m/>
    <s v="Common"/>
    <d v="2015-09-04T00:00:00"/>
    <n v="2100"/>
    <n v="0"/>
    <n v="230.65479452054794"/>
    <n v="1869.345205479452"/>
    <n v="105"/>
    <n v="5"/>
    <n v="4.580821917808219"/>
    <n v="230.65479452054797"/>
    <n v="5.580821917808219"/>
    <n v="352.86904109589045"/>
    <n v="583.52383561643842"/>
    <n v="105"/>
  </r>
  <r>
    <n v="1291"/>
    <s v="Laptop"/>
    <s v="Sugar Division"/>
    <x v="5"/>
    <m/>
    <s v="Common"/>
    <d v="2015-09-15T00:00:00"/>
    <n v="46900"/>
    <n v="0"/>
    <n v="4882.7397260273974"/>
    <n v="42017.260273972599"/>
    <n v="2345"/>
    <n v="5"/>
    <n v="4.5506849315068489"/>
    <n v="4882.739726027401"/>
    <n v="5.5506849315068489"/>
    <n v="7934.4520547945203"/>
    <n v="12817.191780821922"/>
    <n v="2345"/>
  </r>
  <r>
    <n v="1292"/>
    <s v="Mobile"/>
    <s v="Sugar Division"/>
    <x v="5"/>
    <m/>
    <s v="Common"/>
    <d v="2015-10-15T00:00:00"/>
    <n v="19900"/>
    <n v="0"/>
    <n v="1761.0136986301368"/>
    <n v="18138.986301369863"/>
    <n v="995"/>
    <n v="5"/>
    <n v="4.4684931506849317"/>
    <n v="1761.0136986301368"/>
    <n v="5.4684931506849317"/>
    <n v="3428.7972602739728"/>
    <n v="5189.8109589041096"/>
    <n v="995"/>
  </r>
  <r>
    <n v="1293"/>
    <s v="Printer"/>
    <s v="Sugar Division"/>
    <x v="5"/>
    <m/>
    <s v="Common"/>
    <d v="2015-11-15T00:00:00"/>
    <n v="28000"/>
    <n v="0"/>
    <n v="2025.972602739726"/>
    <n v="25974.027397260274"/>
    <n v="1400"/>
    <n v="5"/>
    <n v="4.3835616438356162"/>
    <n v="2025.9726027397264"/>
    <n v="5.3835616438356162"/>
    <n v="4914.8054794520549"/>
    <n v="6940.7780821917813"/>
    <n v="1400"/>
  </r>
  <r>
    <n v="1294"/>
    <s v="Printer"/>
    <s v="Sugar Division"/>
    <x v="5"/>
    <m/>
    <s v="Common"/>
    <d v="2015-12-15T00:00:00"/>
    <n v="7574.64"/>
    <n v="0"/>
    <n v="429.7829983561644"/>
    <n v="7144.8570016438362"/>
    <n v="378.73200000000003"/>
    <n v="5"/>
    <n v="4.3013698630136989"/>
    <n v="429.78299835616417"/>
    <n v="5.3013698630136989"/>
    <n v="1353.2250003287672"/>
    <n v="1783.0079986849314"/>
    <n v="378.73200000000003"/>
  </r>
  <r>
    <n v="1295"/>
    <s v="Hhc - 7"/>
    <s v="Sugar Division"/>
    <x v="5"/>
    <m/>
    <s v="Upto gate"/>
    <d v="2015-12-15T00:00:00"/>
    <n v="104475"/>
    <n v="0"/>
    <n v="5927.8828767123287"/>
    <n v="98547.117123287666"/>
    <n v="5223.75"/>
    <n v="5"/>
    <n v="4.3013698630136989"/>
    <n v="5927.8828767123341"/>
    <n v="5.3013698630136989"/>
    <n v="18664.673424657532"/>
    <n v="24592.556301369867"/>
    <n v="5223.75"/>
  </r>
  <r>
    <n v="1296"/>
    <s v="Hhc - 13"/>
    <s v="Sugar Division"/>
    <x v="5"/>
    <m/>
    <s v="Upto gate"/>
    <d v="2015-12-15T00:00:00"/>
    <n v="138885"/>
    <n v="0"/>
    <n v="7880.2968493150684"/>
    <n v="131004.70315068493"/>
    <n v="6944.25"/>
    <n v="5"/>
    <n v="4.3013698630136989"/>
    <n v="7880.2968493150693"/>
    <n v="5.3013698630136989"/>
    <n v="24812.090630136987"/>
    <n v="32692.387479452056"/>
    <n v="6944.25"/>
  </r>
  <r>
    <n v="1297"/>
    <s v="Mobile - 4"/>
    <s v="Sugar Division"/>
    <x v="5"/>
    <m/>
    <s v="Common"/>
    <d v="2015-12-15T00:00:00"/>
    <n v="33975"/>
    <n v="0"/>
    <n v="1927.7321917808219"/>
    <n v="32047.267808219178"/>
    <n v="1698.75"/>
    <n v="5"/>
    <n v="4.3013698630136989"/>
    <n v="1927.7321917808222"/>
    <n v="5.3013698630136989"/>
    <n v="6069.7035616438361"/>
    <n v="7997.4357534246583"/>
    <n v="1698.75"/>
  </r>
  <r>
    <n v="1298"/>
    <s v="Laptop - Md"/>
    <s v="Sugar Division"/>
    <x v="5"/>
    <m/>
    <s v="Common"/>
    <d v="2015-12-24T00:00:00"/>
    <n v="185907"/>
    <n v="0"/>
    <n v="9677.3506849315072"/>
    <n v="176229.6493150685"/>
    <n v="9295.35"/>
    <n v="5"/>
    <n v="4.2767123287671236"/>
    <n v="9677.3506849315017"/>
    <n v="5.2767123287671236"/>
    <n v="33386.859863013698"/>
    <n v="43064.2105479452"/>
    <n v="9295.35"/>
  </r>
  <r>
    <n v="1299"/>
    <s v="Ups 5 Kva-1"/>
    <s v="Sugar Division"/>
    <x v="5"/>
    <m/>
    <s v="Common"/>
    <d v="2016-01-15T00:00:00"/>
    <n v="87000"/>
    <n v="0"/>
    <n v="3532.4383561643835"/>
    <n v="83467.561643835623"/>
    <n v="4350"/>
    <n v="5"/>
    <n v="4.2164383561643834"/>
    <n v="3532.4383561643772"/>
    <n v="5.2164383561643834"/>
    <n v="15823.512328767125"/>
    <n v="19355.9506849315"/>
    <n v="4350"/>
  </r>
  <r>
    <n v="1300"/>
    <s v="Tft Monitor-28"/>
    <s v="Sugar Division"/>
    <x v="5"/>
    <m/>
    <s v="Common"/>
    <d v="2016-01-15T00:00:00"/>
    <n v="159599.25"/>
    <n v="0"/>
    <n v="6480.1668082191791"/>
    <n v="153119.08319178081"/>
    <n v="7979.9625000000005"/>
    <n v="5"/>
    <n v="4.2164383561643834"/>
    <n v="6480.16680821919"/>
    <n v="5.2164383561643834"/>
    <n v="29027.824138356165"/>
    <n v="35507.990946575359"/>
    <n v="7979.9625000000005"/>
  </r>
  <r>
    <n v="1301"/>
    <s v="Computer-10"/>
    <s v="Sugar Division"/>
    <x v="5"/>
    <m/>
    <s v="Common"/>
    <d v="2016-01-15T00:00:00"/>
    <n v="397000.53"/>
    <n v="0"/>
    <n v="16119.309190684935"/>
    <n v="380881.2208093151"/>
    <n v="19850.026500000004"/>
    <n v="5"/>
    <n v="4.2164383561643834"/>
    <n v="16119.309190684929"/>
    <n v="5.2164383561643834"/>
    <n v="72206.238861863021"/>
    <n v="88325.548052547951"/>
    <n v="19850.026500000004"/>
  </r>
  <r>
    <n v="1302"/>
    <s v="Hhc Machine-7"/>
    <s v="Sugar Division"/>
    <x v="5"/>
    <m/>
    <s v="Upto gate"/>
    <d v="2016-01-15T00:00:00"/>
    <n v="55125"/>
    <n v="0"/>
    <n v="2238.2260273972602"/>
    <n v="52886.773972602743"/>
    <n v="2756.25"/>
    <n v="5"/>
    <n v="4.2164383561643834"/>
    <n v="2238.226027397257"/>
    <n v="5.2164383561643834"/>
    <n v="10026.10479452055"/>
    <n v="12264.330821917807"/>
    <n v="2756.25"/>
  </r>
  <r>
    <n v="1303"/>
    <s v="Hand Held Computer With Printer-2"/>
    <s v="Sugar Division"/>
    <x v="5"/>
    <m/>
    <s v="Upto gate"/>
    <d v="2016-01-15T00:00:00"/>
    <n v="30450"/>
    <n v="0"/>
    <n v="1236.3534246575343"/>
    <n v="29213.646575342467"/>
    <n v="1522.5"/>
    <n v="5"/>
    <n v="4.2164383561643834"/>
    <n v="1236.3534246575327"/>
    <n v="5.2164383561643834"/>
    <n v="5538.2293150684936"/>
    <n v="6774.5827397260264"/>
    <n v="1522.5"/>
  </r>
  <r>
    <n v="1304"/>
    <s v="Computer-4"/>
    <s v="Sugar Division"/>
    <x v="5"/>
    <m/>
    <s v="Common"/>
    <d v="2016-02-15T00:00:00"/>
    <n v="158800.22"/>
    <n v="0"/>
    <n v="3885.1670263013698"/>
    <n v="154915.05297369862"/>
    <n v="7940.0110000000004"/>
    <n v="5"/>
    <n v="4.1315068493150688"/>
    <n v="3885.1670263013802"/>
    <n v="5.1315068493150688"/>
    <n v="29395.008394739725"/>
    <n v="33280.175421041102"/>
    <n v="7940.0110000000004"/>
  </r>
  <r>
    <n v="1305"/>
    <s v="Wire Less Hand Set-1"/>
    <s v="Sugar Division"/>
    <x v="5"/>
    <m/>
    <s v="Common"/>
    <d v="2016-02-15T00:00:00"/>
    <n v="10645"/>
    <n v="0"/>
    <n v="260.43794520547942"/>
    <n v="10384.56205479452"/>
    <n v="532.25"/>
    <n v="5"/>
    <n v="4.1315068493150688"/>
    <n v="260.43794520547999"/>
    <n v="5.1315068493150688"/>
    <n v="1970.462410958904"/>
    <n v="2230.900356164384"/>
    <n v="532.25"/>
  </r>
  <r>
    <n v="1306"/>
    <s v="Out Door Wi-Fi-2"/>
    <s v="Sugar Division"/>
    <x v="5"/>
    <m/>
    <s v="Common"/>
    <d v="2016-02-15T00:00:00"/>
    <n v="16000"/>
    <n v="0"/>
    <n v="391.45205479452056"/>
    <n v="15608.547945205479"/>
    <n v="800"/>
    <n v="5"/>
    <n v="4.1315068493150688"/>
    <n v="391.45205479452125"/>
    <n v="5.1315068493150688"/>
    <n v="2961.709589041096"/>
    <n v="3353.1616438356173"/>
    <n v="800"/>
  </r>
  <r>
    <n v="1307"/>
    <s v="Nvr 32 -1"/>
    <s v="Sugar Division"/>
    <x v="5"/>
    <m/>
    <s v="Common"/>
    <d v="2016-02-15T00:00:00"/>
    <n v="41418.550000000003"/>
    <n v="0"/>
    <n v="1013.3360315068495"/>
    <n v="40405.213968493154"/>
    <n v="2070.9275000000002"/>
    <n v="5"/>
    <n v="4.1315068493150688"/>
    <n v="1013.3360315068494"/>
    <n v="5.1315068493150688"/>
    <n v="7666.8572936986311"/>
    <n v="8680.1933252054805"/>
    <n v="2070.9275000000002"/>
  </r>
  <r>
    <n v="1308"/>
    <s v="Servilancehdd-4"/>
    <s v="Sugar Division"/>
    <x v="5"/>
    <m/>
    <s v="Common"/>
    <d v="2016-02-15T00:00:00"/>
    <n v="49466.33"/>
    <n v="0"/>
    <n v="1210.2310326027396"/>
    <n v="48256.098967397265"/>
    <n v="2473.3165000000004"/>
    <n v="5"/>
    <n v="4.1315068493150688"/>
    <n v="1210.2310326027364"/>
    <n v="5.1315068493150688"/>
    <n v="9156.5564934794529"/>
    <n v="10366.787526082189"/>
    <n v="2473.3165000000004"/>
  </r>
  <r>
    <n v="1309"/>
    <s v="Ip Camera-27"/>
    <s v="Sugar Division"/>
    <x v="5"/>
    <m/>
    <s v="Common"/>
    <d v="2016-02-15T00:00:00"/>
    <n v="260936.89"/>
    <n v="0"/>
    <n v="6384.0176101369861"/>
    <n v="254552.87238986304"/>
    <n v="13046.844500000001"/>
    <n v="5"/>
    <n v="4.1315068493150688"/>
    <n v="6384.0176101369725"/>
    <n v="5.1315068493150688"/>
    <n v="48301.205577972607"/>
    <n v="54685.223188109579"/>
    <n v="13046.844500000001"/>
  </r>
  <r>
    <n v="1310"/>
    <s v="450 Mbps Wi-Fi-3"/>
    <s v="Sugar Division"/>
    <x v="5"/>
    <m/>
    <s v="Common"/>
    <d v="2016-02-15T00:00:00"/>
    <n v="11291.23"/>
    <n v="0"/>
    <n v="276.24844904109591"/>
    <n v="11014.981550958904"/>
    <n v="564.56150000000002"/>
    <n v="5"/>
    <n v="4.1315068493150688"/>
    <n v="276.24844904109523"/>
    <n v="5.1315068493150688"/>
    <n v="2090.0840101917811"/>
    <n v="2366.3324592328763"/>
    <n v="564.56150000000002"/>
  </r>
  <r>
    <n v="1311"/>
    <s v="In Door Wi-Fi-2"/>
    <s v="Sugar Division"/>
    <x v="5"/>
    <m/>
    <s v="Common"/>
    <d v="2016-02-15T00:00:00"/>
    <n v="11000"/>
    <n v="0"/>
    <n v="269.1232876712329"/>
    <n v="10730.876712328767"/>
    <n v="550"/>
    <n v="5"/>
    <n v="4.1315068493150688"/>
    <n v="269.1232876712329"/>
    <n v="5.1315068493150688"/>
    <n v="2036.1753424657536"/>
    <n v="2305.2986301369865"/>
    <n v="550"/>
  </r>
  <r>
    <n v="1312"/>
    <s v="Mobile Phone-2"/>
    <s v="Sugar Division"/>
    <x v="5"/>
    <m/>
    <s v="Common"/>
    <d v="2016-03-15T00:00:00"/>
    <n v="31989"/>
    <n v="0"/>
    <n v="299.73254794520545"/>
    <n v="31689.267452054795"/>
    <n v="1599.45"/>
    <n v="5"/>
    <n v="4.0520547945205481"/>
    <n v="299.73254794520471"/>
    <n v="5.0520547945205481"/>
    <n v="6017.9634904109589"/>
    <n v="6317.6960383561636"/>
    <n v="1599.45"/>
  </r>
  <r>
    <n v="1313"/>
    <s v="Mobile (2)"/>
    <s v="Sugar Division"/>
    <x v="5"/>
    <m/>
    <s v="Common"/>
    <d v="2015-03-16T00:00:00"/>
    <n v="25799"/>
    <n v="0"/>
    <n v="14509.05"/>
    <n v="11289.95"/>
    <n v="1289.95"/>
    <n v="5"/>
    <n v="5.0520547945205481"/>
    <n v="7254.5249999999996"/>
    <n v="6.0520547945205481"/>
    <n v="2000"/>
    <n v="9254.5249999999996"/>
    <n v="1289.95"/>
  </r>
  <r>
    <n v="1314"/>
    <s v="Computer With Printer"/>
    <s v="Sugar Division"/>
    <x v="5"/>
    <m/>
    <s v="Common"/>
    <d v="2015-03-16T00:00:00"/>
    <n v="42600"/>
    <n v="0"/>
    <n v="25470"/>
    <n v="17130"/>
    <n v="2130"/>
    <n v="3"/>
    <n v="5.0520547945205481"/>
    <n v="12735"/>
    <n v="6.0520547945205481"/>
    <n v="5000"/>
    <n v="17735"/>
    <n v="2130"/>
  </r>
  <r>
    <n v="1315"/>
    <s v="Mobile Apple Iphone"/>
    <s v="Sugar Division"/>
    <x v="5"/>
    <m/>
    <s v="Common"/>
    <d v="2015-03-16T00:00:00"/>
    <n v="60000"/>
    <n v="0"/>
    <n v="37000"/>
    <n v="23000"/>
    <n v="3000"/>
    <n v="5"/>
    <n v="5.0520547945205481"/>
    <n v="18500"/>
    <n v="6.0520547945205481"/>
    <n v="4000"/>
    <n v="22500"/>
    <n v="3000"/>
  </r>
  <r>
    <n v="1316"/>
    <s v="Mobile (Laxman Agarwal)"/>
    <s v="Sugar Division"/>
    <x v="5"/>
    <m/>
    <s v="Common"/>
    <d v="2015-02-28T00:00:00"/>
    <n v="24000"/>
    <n v="0"/>
    <n v="12800"/>
    <n v="11200"/>
    <n v="1200"/>
    <n v="5"/>
    <n v="5.095890410958904"/>
    <n v="6400"/>
    <n v="6.095890410958904"/>
    <n v="2000"/>
    <n v="8400"/>
    <n v="1200"/>
  </r>
  <r>
    <n v="1317"/>
    <s v="Mobile (Aditya Sharma)"/>
    <s v="Sugar Division"/>
    <x v="5"/>
    <m/>
    <s v="Common"/>
    <d v="2015-02-28T00:00:00"/>
    <n v="24900"/>
    <n v="0"/>
    <n v="23655"/>
    <n v="1245"/>
    <n v="1245"/>
    <n v="5"/>
    <n v="5.095890410958904"/>
    <n v="11827.5"/>
    <n v="6.095890410958904"/>
    <n v="0"/>
    <n v="11827.5"/>
    <n v="1245"/>
  </r>
  <r>
    <n v="1318"/>
    <s v="Mobile (2)"/>
    <s v="Sugar Division"/>
    <x v="5"/>
    <m/>
    <s v="Common"/>
    <d v="2015-01-31T00:00:00"/>
    <n v="15900"/>
    <n v="0"/>
    <n v="15105"/>
    <n v="795"/>
    <n v="795"/>
    <n v="5"/>
    <n v="5.1726027397260275"/>
    <n v="7552.5"/>
    <n v="6.1726027397260275"/>
    <n v="0"/>
    <n v="7552.5"/>
    <n v="795"/>
  </r>
  <r>
    <n v="1319"/>
    <s v="Laptop "/>
    <s v="Sugar Division"/>
    <x v="5"/>
    <m/>
    <s v="Common"/>
    <d v="2015-01-31T00:00:00"/>
    <n v="137200"/>
    <n v="0"/>
    <n v="30340"/>
    <n v="106860"/>
    <n v="6860"/>
    <n v="3"/>
    <n v="5.1726027397260275"/>
    <n v="15170"/>
    <n v="6.1726027397260275"/>
    <n v="33333.333333333328"/>
    <n v="48503.333333333328"/>
    <n v="6860"/>
  </r>
  <r>
    <n v="1320"/>
    <s v="Mobile (Nishant)"/>
    <s v="Sugar Division"/>
    <x v="5"/>
    <m/>
    <s v="Common"/>
    <d v="2015-01-25T00:00:00"/>
    <n v="9999"/>
    <n v="0"/>
    <n v="9499.0499999999993"/>
    <n v="499.95000000000073"/>
    <n v="499.95000000000005"/>
    <n v="5"/>
    <n v="5.1890410958904107"/>
    <n v="4749.5249999999996"/>
    <n v="6.1890410958904107"/>
    <n v="1.3642420526593926E-13"/>
    <n v="4749.5249999999996"/>
    <n v="499.95000000000005"/>
  </r>
  <r>
    <n v="1321"/>
    <s v="Ipad (Nishant)"/>
    <s v="Sugar Division"/>
    <x v="5"/>
    <m/>
    <s v="Common"/>
    <d v="2015-01-25T00:00:00"/>
    <n v="42899"/>
    <n v="0"/>
    <n v="40754.050000000003"/>
    <n v="2144.9499999999971"/>
    <n v="2144.9500000000003"/>
    <n v="5"/>
    <n v="5.1890410958904107"/>
    <n v="20377.025000000001"/>
    <n v="6.1890410958904107"/>
    <n v="-6.3664629124104983E-13"/>
    <n v="20377.025000000001"/>
    <n v="2144.9500000000003"/>
  </r>
  <r>
    <n v="1322"/>
    <s v="Laptop (Laxman Agarwal)"/>
    <s v="Sugar Division"/>
    <x v="5"/>
    <m/>
    <s v="Common"/>
    <d v="2015-01-05T00:00:00"/>
    <n v="57000"/>
    <n v="0"/>
    <n v="54150"/>
    <n v="2850"/>
    <n v="2850"/>
    <n v="3"/>
    <n v="5.2438356164383562"/>
    <n v="27075"/>
    <n v="6.2438356164383562"/>
    <n v="0"/>
    <n v="27075"/>
    <n v="2850"/>
  </r>
  <r>
    <n v="1323"/>
    <s v="Mac Ipad"/>
    <s v="Sugar Division"/>
    <x v="5"/>
    <m/>
    <s v="Common"/>
    <d v="2014-12-31T00:00:00"/>
    <n v="59000"/>
    <n v="0"/>
    <n v="36050"/>
    <n v="22950"/>
    <n v="2950"/>
    <n v="5"/>
    <n v="5.2575342465753421"/>
    <n v="18025"/>
    <n v="6.2575342465753421"/>
    <n v="4000"/>
    <n v="22025"/>
    <n v="2950"/>
  </r>
  <r>
    <n v="1324"/>
    <s v="Mobile"/>
    <s v="Sugar Division"/>
    <x v="5"/>
    <m/>
    <s v="Common"/>
    <d v="2014-12-21T00:00:00"/>
    <n v="6100"/>
    <n v="0"/>
    <n v="5795"/>
    <n v="305"/>
    <n v="305"/>
    <n v="3"/>
    <n v="5.2849315068493148"/>
    <n v="2897.5"/>
    <n v="6.2849315068493148"/>
    <n v="0"/>
    <n v="2897.5"/>
    <n v="305"/>
  </r>
  <r>
    <n v="1325"/>
    <s v="Wire Less Hand Set"/>
    <s v="Sugar Division"/>
    <x v="5"/>
    <m/>
    <s v="Common"/>
    <d v="2014-12-15T00:00:00"/>
    <n v="10027.5"/>
    <n v="0"/>
    <n v="9526.125"/>
    <n v="501.375"/>
    <n v="501.375"/>
    <n v="3"/>
    <n v="5.3013698630136989"/>
    <n v="4763.0625"/>
    <n v="6.3013698630136989"/>
    <n v="0"/>
    <n v="4763.0625"/>
    <n v="501.375"/>
  </r>
  <r>
    <n v="1326"/>
    <s v="Desktop"/>
    <s v="Sugar Division"/>
    <x v="5"/>
    <m/>
    <s v="Common"/>
    <d v="2014-11-21T00:00:00"/>
    <n v="50000"/>
    <n v="0"/>
    <n v="27500"/>
    <n v="22500"/>
    <n v="2500"/>
    <n v="3"/>
    <n v="5.3671232876712329"/>
    <n v="13750"/>
    <n v="6.3671232876712329"/>
    <n v="6666.6666666666661"/>
    <n v="20416.666666666664"/>
    <n v="2500"/>
  </r>
  <r>
    <n v="1327"/>
    <s v="Dsl, Router (2)"/>
    <s v="Sugar Division"/>
    <x v="5"/>
    <m/>
    <s v="Common"/>
    <d v="2014-11-11T00:00:00"/>
    <n v="3000"/>
    <n v="0"/>
    <n v="2850"/>
    <n v="150"/>
    <n v="150"/>
    <n v="5"/>
    <n v="5.3945205479452056"/>
    <n v="1425"/>
    <n v="6.3945205479452056"/>
    <n v="0"/>
    <n v="1425"/>
    <n v="150"/>
  </r>
  <r>
    <n v="1328"/>
    <s v="Mobile"/>
    <s v="Sugar Division"/>
    <x v="5"/>
    <m/>
    <s v="Common"/>
    <d v="2014-11-10T00:00:00"/>
    <n v="1600"/>
    <n v="0"/>
    <n v="1520"/>
    <n v="80"/>
    <n v="80"/>
    <n v="5"/>
    <n v="5.397260273972603"/>
    <n v="760"/>
    <n v="6.397260273972603"/>
    <n v="0"/>
    <n v="760"/>
    <n v="80"/>
  </r>
  <r>
    <n v="1329"/>
    <s v="Calculator"/>
    <s v="Sugar Division"/>
    <x v="5"/>
    <m/>
    <s v="Common"/>
    <d v="2014-10-15T00:00:00"/>
    <n v="425"/>
    <n v="0"/>
    <n v="403.75"/>
    <n v="21.25"/>
    <n v="21.25"/>
    <n v="5"/>
    <n v="5.4684931506849317"/>
    <n v="201.875"/>
    <n v="6.4684931506849317"/>
    <n v="0"/>
    <n v="201.875"/>
    <n v="21.25"/>
  </r>
  <r>
    <n v="1330"/>
    <s v="Net Setter"/>
    <s v="Sugar Division"/>
    <x v="5"/>
    <m/>
    <s v="Common"/>
    <d v="2014-10-15T00:00:00"/>
    <n v="1700"/>
    <n v="0"/>
    <n v="1615"/>
    <n v="85"/>
    <n v="85"/>
    <n v="5"/>
    <n v="5.4684931506849317"/>
    <n v="807.5"/>
    <n v="6.4684931506849317"/>
    <n v="0"/>
    <n v="807.5"/>
    <n v="85"/>
  </r>
  <r>
    <n v="1331"/>
    <s v="Mobile"/>
    <s v="Sugar Division"/>
    <x v="5"/>
    <m/>
    <s v="Common"/>
    <d v="2014-09-15T00:00:00"/>
    <n v="1550"/>
    <n v="0"/>
    <n v="1472.5"/>
    <n v="77.5"/>
    <n v="77.5"/>
    <n v="5"/>
    <n v="5.5506849315068489"/>
    <n v="736.25"/>
    <n v="6.5506849315068489"/>
    <n v="0"/>
    <n v="736.25"/>
    <n v="77.5"/>
  </r>
  <r>
    <n v="1332"/>
    <s v="Laptop"/>
    <s v="Sugar Division"/>
    <x v="5"/>
    <m/>
    <s v="Common"/>
    <d v="2014-08-26T00:00:00"/>
    <n v="52900"/>
    <n v="0"/>
    <n v="20255"/>
    <n v="32645"/>
    <n v="2645"/>
    <n v="3"/>
    <n v="5.6054794520547944"/>
    <n v="10127.5"/>
    <n v="6.6054794520547944"/>
    <n v="10000"/>
    <n v="20127.5"/>
    <n v="2645"/>
  </r>
  <r>
    <n v="1333"/>
    <s v="Computer"/>
    <s v="Sugar Division"/>
    <x v="5"/>
    <m/>
    <s v="Common"/>
    <d v="2014-08-15T00:00:00"/>
    <n v="59429.88"/>
    <n v="0"/>
    <n v="26458.385999999999"/>
    <n v="32971.493999999999"/>
    <n v="2971.4940000000001"/>
    <n v="3"/>
    <n v="5.6356164383561644"/>
    <n v="13229.192999999999"/>
    <n v="6.6356164383561644"/>
    <n v="10000"/>
    <n v="23229.192999999999"/>
    <n v="2971.4940000000001"/>
  </r>
  <r>
    <n v="1334"/>
    <s v="Mobile  - Seshram"/>
    <s v="Sugar Division"/>
    <x v="5"/>
    <m/>
    <s v="Common"/>
    <d v="2014-06-30T00:00:00"/>
    <n v="2630"/>
    <n v="0"/>
    <n v="2498.5"/>
    <n v="131.5"/>
    <n v="131.5"/>
    <n v="5"/>
    <n v="5.7616438356164386"/>
    <n v="1249.25"/>
    <n v="6.7616438356164386"/>
    <n v="0"/>
    <n v="1249.25"/>
    <n v="131.5"/>
  </r>
  <r>
    <n v="1335"/>
    <s v="Stabilizer"/>
    <s v="Sugar Division"/>
    <x v="5"/>
    <m/>
    <s v="Common"/>
    <d v="2014-06-15T00:00:00"/>
    <n v="5500"/>
    <n v="0"/>
    <n v="5225"/>
    <n v="275"/>
    <n v="275"/>
    <n v="5"/>
    <n v="5.8027397260273972"/>
    <n v="2612.5"/>
    <n v="6.8027397260273972"/>
    <n v="0"/>
    <n v="2612.5"/>
    <n v="275"/>
  </r>
  <r>
    <n v="1336"/>
    <s v="Air Conditioners (2)"/>
    <s v="Sugar Division"/>
    <x v="5"/>
    <m/>
    <s v="Common"/>
    <d v="2014-06-15T00:00:00"/>
    <n v="57200"/>
    <n v="0"/>
    <n v="54340"/>
    <n v="2860"/>
    <n v="2860"/>
    <n v="5"/>
    <n v="5.8027397260273972"/>
    <n v="27170"/>
    <n v="6.8027397260273972"/>
    <n v="0"/>
    <n v="27170"/>
    <n v="2860"/>
  </r>
  <r>
    <n v="1337"/>
    <s v="Air Conditioners (6)"/>
    <s v="Sugar Division"/>
    <x v="5"/>
    <m/>
    <s v="Common"/>
    <d v="2014-05-15T00:00:00"/>
    <n v="171600"/>
    <n v="0"/>
    <n v="88020"/>
    <n v="83580"/>
    <n v="8580"/>
    <n v="5"/>
    <n v="5.8876712328767127"/>
    <n v="44010"/>
    <n v="6.8876712328767127"/>
    <n v="15000"/>
    <n v="59010"/>
    <n v="8580"/>
  </r>
  <r>
    <n v="1338"/>
    <s v="Mobile  - Ankush"/>
    <s v="Sugar Division"/>
    <x v="5"/>
    <m/>
    <s v="Common"/>
    <d v="2014-04-30T00:00:00"/>
    <n v="24700"/>
    <n v="0"/>
    <n v="13465"/>
    <n v="11235"/>
    <n v="1235"/>
    <n v="5"/>
    <n v="5.9287671232876713"/>
    <n v="6732.5"/>
    <n v="6.9287671232876713"/>
    <n v="2000"/>
    <n v="8732.5"/>
    <n v="1235"/>
  </r>
  <r>
    <n v="1339"/>
    <s v="Printer "/>
    <s v="Sugar Division"/>
    <x v="5"/>
    <m/>
    <s v="Common"/>
    <d v="2014-04-15T00:00:00"/>
    <n v="6900"/>
    <n v="0"/>
    <n v="6555"/>
    <n v="345"/>
    <n v="345"/>
    <n v="3"/>
    <n v="5.9698630136986299"/>
    <n v="3277.5"/>
    <n v="6.9698630136986299"/>
    <n v="0"/>
    <n v="3277.5"/>
    <n v="345"/>
  </r>
  <r>
    <n v="1340"/>
    <s v="Camera"/>
    <s v="Sugar Division"/>
    <x v="5"/>
    <m/>
    <s v="Common"/>
    <d v="2014-04-14T00:00:00"/>
    <n v="8100"/>
    <n v="0"/>
    <n v="7695"/>
    <n v="405"/>
    <n v="405"/>
    <n v="5"/>
    <n v="5.9726027397260273"/>
    <n v="3847.5"/>
    <n v="6.9726027397260273"/>
    <n v="0"/>
    <n v="3847.5"/>
    <n v="405"/>
  </r>
  <r>
    <n v="1341"/>
    <s v="Hard Disc 500 Gb-2 Nos"/>
    <s v="Sugar Division"/>
    <x v="5"/>
    <m/>
    <s v="Common"/>
    <d v="2014-03-15T00:00:00"/>
    <n v="8000"/>
    <n v="0"/>
    <n v="7600"/>
    <n v="400"/>
    <n v="400"/>
    <n v="3"/>
    <n v="6.0547945205479454"/>
    <n v="3800"/>
    <n v="7.0547945205479454"/>
    <n v="0"/>
    <n v="3800"/>
    <n v="400"/>
  </r>
  <r>
    <n v="1342"/>
    <s v="Printer Laser Jet-1 No."/>
    <s v="Sugar Division"/>
    <x v="5"/>
    <m/>
    <s v="Common"/>
    <d v="2014-03-15T00:00:00"/>
    <n v="22300"/>
    <n v="0"/>
    <n v="21185"/>
    <n v="1115"/>
    <n v="1115"/>
    <n v="3"/>
    <n v="6.0547945205479454"/>
    <n v="10592.5"/>
    <n v="7.0547945205479454"/>
    <n v="0"/>
    <n v="10592.5"/>
    <n v="1115"/>
  </r>
  <r>
    <n v="1343"/>
    <s v="Printer Lx-800-4 Nos"/>
    <s v="Sugar Division"/>
    <x v="5"/>
    <m/>
    <s v="Common"/>
    <d v="2014-03-15T00:00:00"/>
    <n v="36540"/>
    <n v="0"/>
    <n v="14713"/>
    <n v="21827"/>
    <n v="1827"/>
    <n v="3"/>
    <n v="6.0547945205479454"/>
    <n v="7356.5"/>
    <n v="7.0547945205479454"/>
    <n v="6666.6666666666661"/>
    <n v="14023.166666666666"/>
    <n v="1827"/>
  </r>
  <r>
    <n v="1344"/>
    <s v="Lap Top-1 No."/>
    <s v="Sugar Division"/>
    <x v="5"/>
    <m/>
    <s v="Common"/>
    <d v="2014-03-15T00:00:00"/>
    <n v="82999"/>
    <n v="0"/>
    <n v="78849.05"/>
    <n v="4149.9499999999971"/>
    <n v="4149.95"/>
    <n v="3"/>
    <n v="6.0547945205479454"/>
    <n v="39424.525000000001"/>
    <n v="7.0547945205479454"/>
    <n v="-9.0949470177292824E-13"/>
    <n v="39424.525000000001"/>
    <n v="4149.95"/>
  </r>
  <r>
    <n v="1345"/>
    <s v="Computer"/>
    <s v="Sugar Division"/>
    <x v="5"/>
    <m/>
    <s v="Common"/>
    <d v="2014-03-13T00:00:00"/>
    <n v="108150"/>
    <n v="0"/>
    <n v="52742.5"/>
    <n v="55407.5"/>
    <n v="5407.5"/>
    <n v="3"/>
    <n v="6.0602739726027401"/>
    <n v="26371.25"/>
    <n v="7.0602739726027401"/>
    <n v="16666.666666666664"/>
    <n v="43037.916666666664"/>
    <n v="5407.5"/>
  </r>
  <r>
    <n v="1346"/>
    <s v="Printer"/>
    <s v="Sugar Division"/>
    <x v="5"/>
    <m/>
    <s v="Common"/>
    <d v="2014-03-12T00:00:00"/>
    <n v="6900"/>
    <n v="0"/>
    <n v="6555"/>
    <n v="345"/>
    <n v="345"/>
    <n v="3"/>
    <n v="6.0630136986301366"/>
    <n v="3277.5"/>
    <n v="7.0630136986301366"/>
    <n v="0"/>
    <n v="3277.5"/>
    <n v="345"/>
  </r>
  <r>
    <n v="1347"/>
    <s v="Printer Lq Dsi-5235 Wipro-1 No."/>
    <s v="Sugar Division"/>
    <x v="5"/>
    <m/>
    <s v="Common"/>
    <d v="2014-02-15T00:00:00"/>
    <n v="19000.310000000001"/>
    <n v="0"/>
    <n v="18050.2945"/>
    <n v="950.01550000000134"/>
    <n v="950.01550000000009"/>
    <n v="3"/>
    <n v="6.1315068493150688"/>
    <n v="9025.14725"/>
    <n v="7.1315068493150688"/>
    <n v="4.1685173831259209E-13"/>
    <n v="9025.14725"/>
    <n v="950.01550000000009"/>
  </r>
  <r>
    <n v="1348"/>
    <s v="Printer Lipi-1 No."/>
    <s v="Sugar Division"/>
    <x v="5"/>
    <m/>
    <s v="Common"/>
    <d v="2014-02-15T00:00:00"/>
    <n v="52710"/>
    <n v="0"/>
    <n v="50074.5"/>
    <n v="2635.5"/>
    <n v="2635.5"/>
    <n v="3"/>
    <n v="6.1315068493150688"/>
    <n v="25037.25"/>
    <n v="7.1315068493150688"/>
    <n v="0"/>
    <n v="25037.25"/>
    <n v="2635.5"/>
  </r>
  <r>
    <n v="1349"/>
    <s v="Video Conference System"/>
    <s v="Sugar Division"/>
    <x v="5"/>
    <m/>
    <s v="Common"/>
    <d v="2014-02-06T00:00:00"/>
    <n v="462240"/>
    <n v="0"/>
    <n v="139128"/>
    <n v="323112"/>
    <n v="23112"/>
    <n v="3"/>
    <n v="6.1561643835616442"/>
    <n v="69564"/>
    <n v="7.1561643835616442"/>
    <n v="100000"/>
    <n v="169564"/>
    <n v="23112"/>
  </r>
  <r>
    <n v="1350"/>
    <s v="Printer Lipi-1 No."/>
    <s v="Sugar Division"/>
    <x v="5"/>
    <m/>
    <s v="Common"/>
    <d v="2014-01-15T00:00:00"/>
    <n v="52710"/>
    <n v="0"/>
    <n v="30074.5"/>
    <n v="22635.5"/>
    <n v="2635.5"/>
    <n v="3"/>
    <n v="6.2164383561643834"/>
    <n v="15037.25"/>
    <n v="7.2164383561643834"/>
    <n v="6666.6666666666661"/>
    <n v="21703.916666666664"/>
    <n v="2635.5"/>
  </r>
  <r>
    <n v="1351"/>
    <s v="Projector"/>
    <s v="Sugar Division"/>
    <x v="5"/>
    <m/>
    <s v="Common"/>
    <d v="2014-01-01T00:00:00"/>
    <n v="37000"/>
    <n v="0"/>
    <n v="20150"/>
    <n v="16850"/>
    <n v="1850"/>
    <n v="5"/>
    <n v="6.2547945205479456"/>
    <n v="10075"/>
    <n v="7.2547945205479456"/>
    <n v="3000"/>
    <n v="13075"/>
    <n v="1850"/>
  </r>
  <r>
    <n v="1352"/>
    <s v="Mobile - Unit Head"/>
    <s v="Sugar Division"/>
    <x v="5"/>
    <m/>
    <s v="Common"/>
    <d v="2013-09-30T00:00:00"/>
    <n v="19500"/>
    <n v="0"/>
    <n v="18525"/>
    <n v="975"/>
    <n v="975"/>
    <n v="5"/>
    <n v="6.5095890410958903"/>
    <n v="9262.5"/>
    <n v="7.5095890410958903"/>
    <n v="0"/>
    <n v="9262.5"/>
    <n v="975"/>
  </r>
  <r>
    <n v="1353"/>
    <s v="Airconditioner For Soil Testing Lab"/>
    <s v="Sugar Division"/>
    <x v="5"/>
    <m/>
    <s v="Common"/>
    <d v="2013-09-15T00:00:00"/>
    <n v="50000"/>
    <n v="0"/>
    <n v="22500"/>
    <n v="27500"/>
    <n v="2500"/>
    <n v="5"/>
    <n v="6.5506849315068489"/>
    <n v="11250"/>
    <n v="7.5506849315068489"/>
    <n v="5000"/>
    <n v="16250"/>
    <n v="2500"/>
  </r>
  <r>
    <n v="1354"/>
    <s v="Laptop"/>
    <s v="Sugar Division"/>
    <x v="5"/>
    <m/>
    <s v="Common"/>
    <d v="2013-07-16T00:00:00"/>
    <n v="49500"/>
    <n v="0"/>
    <n v="27025"/>
    <n v="22475"/>
    <n v="2475"/>
    <n v="3"/>
    <n v="6.7178082191780826"/>
    <n v="13512.5"/>
    <n v="7.7178082191780826"/>
    <n v="6666.6666666666661"/>
    <n v="20179.166666666664"/>
    <n v="2475"/>
  </r>
  <r>
    <n v="1355"/>
    <s v="Printer"/>
    <s v="Sugar Division"/>
    <x v="5"/>
    <m/>
    <s v="Common"/>
    <d v="2013-05-15T00:00:00"/>
    <n v="19000.310000000001"/>
    <n v="0"/>
    <n v="18050.2945"/>
    <n v="950.01550000000134"/>
    <n v="950.01550000000009"/>
    <n v="3"/>
    <n v="6.8876712328767127"/>
    <n v="9025.14725"/>
    <n v="7.8876712328767127"/>
    <n v="4.1685173831259209E-13"/>
    <n v="9025.14725"/>
    <n v="950.01550000000009"/>
  </r>
  <r>
    <n v="1356"/>
    <s v="Atr Machine - Time Office"/>
    <s v="Sugar Division"/>
    <x v="5"/>
    <m/>
    <s v="Common"/>
    <d v="2013-04-15T00:00:00"/>
    <n v="10312.91"/>
    <n v="0"/>
    <n v="9797.2644999999993"/>
    <n v="515.64550000000054"/>
    <n v="515.64549999999997"/>
    <n v="5"/>
    <n v="6.9698630136986299"/>
    <n v="4898.6322499999997"/>
    <n v="7.9698630136986299"/>
    <n v="1.1368683772161603E-13"/>
    <n v="4898.6322499999997"/>
    <n v="515.64549999999997"/>
  </r>
  <r>
    <n v="1357"/>
    <s v="Laptop"/>
    <s v="Sugar Division"/>
    <x v="5"/>
    <m/>
    <s v="Common"/>
    <d v="2013-04-15T00:00:00"/>
    <n v="44500"/>
    <n v="0"/>
    <n v="22275"/>
    <n v="22225"/>
    <n v="2225"/>
    <n v="3"/>
    <n v="6.9698630136986299"/>
    <n v="11137.5"/>
    <n v="7.9698630136986299"/>
    <n v="6666.6666666666661"/>
    <n v="17804.166666666664"/>
    <n v="2225"/>
  </r>
  <r>
    <n v="1358"/>
    <s v="Printer"/>
    <s v="Sugar Division"/>
    <x v="5"/>
    <m/>
    <s v="Common"/>
    <d v="2013-03-15T00:00:00"/>
    <n v="14090"/>
    <n v="0"/>
    <n v="13385.5"/>
    <n v="704.5"/>
    <n v="704.5"/>
    <n v="3"/>
    <n v="7.0547945205479454"/>
    <n v="6692.75"/>
    <n v="8.0547945205479454"/>
    <n v="0"/>
    <n v="6692.75"/>
    <n v="704.5"/>
  </r>
  <r>
    <n v="1359"/>
    <s v="Attendence System"/>
    <s v="Sugar Division"/>
    <x v="5"/>
    <m/>
    <s v="Common"/>
    <d v="2013-03-15T00:00:00"/>
    <n v="18375"/>
    <n v="0"/>
    <n v="17456.25"/>
    <n v="918.75"/>
    <n v="918.75"/>
    <n v="5"/>
    <n v="7.0547945205479454"/>
    <n v="8728.125"/>
    <n v="8.0547945205479454"/>
    <n v="0"/>
    <n v="8728.125"/>
    <n v="918.75"/>
  </r>
  <r>
    <n v="1360"/>
    <s v="Air Conditioners (3) With Stablizer"/>
    <s v="Sugar Division"/>
    <x v="5"/>
    <m/>
    <s v="Common"/>
    <d v="2013-03-15T00:00:00"/>
    <n v="98761"/>
    <n v="0"/>
    <n v="63822.95"/>
    <n v="34938.050000000003"/>
    <n v="4938.05"/>
    <n v="5"/>
    <n v="7.0547945205479454"/>
    <n v="31911.474999999999"/>
    <n v="8.0547945205479454"/>
    <n v="6000.0000000000009"/>
    <n v="37911.474999999999"/>
    <n v="4938.05"/>
  </r>
  <r>
    <n v="1361"/>
    <s v="Attendence Punching Machine"/>
    <s v="Sugar Division"/>
    <x v="5"/>
    <m/>
    <s v="Common"/>
    <d v="2013-03-15T00:00:00"/>
    <n v="131845"/>
    <n v="0"/>
    <n v="50252.75"/>
    <n v="81592.25"/>
    <n v="6592.25"/>
    <n v="5"/>
    <n v="7.0547945205479454"/>
    <n v="25126.375"/>
    <n v="8.0547945205479454"/>
    <n v="15000"/>
    <n v="40126.375"/>
    <n v="6592.25"/>
  </r>
  <r>
    <n v="1362"/>
    <s v="Mattress With Pillow Sets - Lucknow"/>
    <s v="Sugar Division"/>
    <x v="5"/>
    <m/>
    <s v="Common"/>
    <d v="2013-02-15T00:00:00"/>
    <n v="28750"/>
    <n v="0"/>
    <n v="8545.445205479451"/>
    <n v="20204.554794520547"/>
    <n v="1437.5"/>
    <n v="10"/>
    <n v="7.1315068493150688"/>
    <n v="4272.7226027397264"/>
    <n v="8.131506849315068"/>
    <n v="1876.7054794520529"/>
    <n v="6149.4280821917791"/>
    <n v="1437.5"/>
  </r>
  <r>
    <n v="1363"/>
    <s v="Television"/>
    <s v="Sugar Division"/>
    <x v="5"/>
    <m/>
    <s v="Common"/>
    <d v="2013-02-15T00:00:00"/>
    <n v="34000"/>
    <n v="0"/>
    <n v="22300"/>
    <n v="11700"/>
    <n v="1700"/>
    <n v="5"/>
    <n v="7.1315068493150688"/>
    <n v="11150"/>
    <n v="8.131506849315068"/>
    <n v="1999.9999999999982"/>
    <n v="13149.999999999998"/>
    <n v="1700"/>
  </r>
  <r>
    <n v="1364"/>
    <s v="Television Sets With Disk"/>
    <s v="Sugar Division"/>
    <x v="5"/>
    <m/>
    <s v="Common"/>
    <d v="2013-02-15T00:00:00"/>
    <n v="36050"/>
    <n v="0"/>
    <n v="24247.5"/>
    <n v="11802.5"/>
    <n v="1802.5"/>
    <n v="5"/>
    <n v="7.1315068493150688"/>
    <n v="12123.75"/>
    <n v="8.131506849315068"/>
    <n v="1999.9999999999982"/>
    <n v="14123.749999999998"/>
    <n v="1802.5"/>
  </r>
  <r>
    <n v="1365"/>
    <s v="Ahu &amp; Vfd - Kolkat Office"/>
    <s v="Sugar Division"/>
    <x v="5"/>
    <m/>
    <s v="Common"/>
    <d v="2013-02-07T00:00:00"/>
    <n v="16757"/>
    <n v="0"/>
    <n v="15919.15"/>
    <n v="837.85000000000036"/>
    <n v="837.85"/>
    <n v="5"/>
    <n v="7.1534246575342468"/>
    <n v="7959.5749999999998"/>
    <n v="8.1534246575342468"/>
    <n v="6.8212102632969628E-14"/>
    <n v="7959.5749999999998"/>
    <n v="837.85"/>
  </r>
  <r>
    <n v="1366"/>
    <s v="Mobile"/>
    <s v="Sugar Division"/>
    <x v="5"/>
    <m/>
    <s v="Common"/>
    <d v="2013-01-25T00:00:00"/>
    <n v="3500"/>
    <n v="0"/>
    <n v="3325"/>
    <n v="175"/>
    <n v="175"/>
    <n v="5"/>
    <n v="7.1890410958904107"/>
    <n v="1662.5"/>
    <n v="8.1890410958904116"/>
    <n v="0"/>
    <n v="1662.5"/>
    <n v="175"/>
  </r>
  <r>
    <n v="1367"/>
    <s v="Scanner"/>
    <s v="Sugar Division"/>
    <x v="5"/>
    <m/>
    <s v="Common"/>
    <d v="2013-01-15T00:00:00"/>
    <n v="4095"/>
    <n v="0"/>
    <n v="3890.25"/>
    <n v="204.75"/>
    <n v="204.75"/>
    <n v="3"/>
    <n v="7.2164383561643834"/>
    <n v="1945.125"/>
    <n v="8.2164383561643834"/>
    <n v="0"/>
    <n v="1945.125"/>
    <n v="204.75"/>
  </r>
  <r>
    <n v="1368"/>
    <s v="Black &amp; Decker"/>
    <s v="Sugar Division"/>
    <x v="5"/>
    <m/>
    <s v="Common"/>
    <d v="2013-01-09T00:00:00"/>
    <n v="11595"/>
    <n v="0"/>
    <n v="11015.25"/>
    <n v="579.75"/>
    <n v="579.75"/>
    <n v="5"/>
    <n v="7.2328767123287667"/>
    <n v="5507.625"/>
    <n v="8.2328767123287676"/>
    <n v="0"/>
    <n v="5507.625"/>
    <n v="579.75"/>
  </r>
  <r>
    <n v="1369"/>
    <s v="Mobile"/>
    <s v="Sugar Division"/>
    <x v="5"/>
    <m/>
    <s v="Common"/>
    <d v="2012-12-29T00:00:00"/>
    <n v="7990"/>
    <n v="0"/>
    <n v="7590.5"/>
    <n v="399.5"/>
    <n v="399.5"/>
    <n v="5"/>
    <n v="7.2630136986301368"/>
    <n v="3795.25"/>
    <n v="8.2630136986301377"/>
    <n v="0"/>
    <n v="3795.25"/>
    <n v="399.5"/>
  </r>
  <r>
    <n v="1370"/>
    <s v="Printer"/>
    <s v="Sugar Division"/>
    <x v="5"/>
    <m/>
    <s v="Common"/>
    <d v="2012-12-15T00:00:00"/>
    <n v="17850"/>
    <n v="0"/>
    <n v="16957.5"/>
    <n v="892.5"/>
    <n v="892.5"/>
    <n v="3"/>
    <n v="7.3013698630136989"/>
    <n v="8478.75"/>
    <n v="8.3013698630136989"/>
    <n v="0"/>
    <n v="8478.75"/>
    <n v="892.5"/>
  </r>
  <r>
    <n v="1371"/>
    <s v="Gyzer (2)"/>
    <s v="Sugar Division"/>
    <x v="5"/>
    <m/>
    <s v="Common"/>
    <d v="2012-12-15T00:00:00"/>
    <n v="10455.66"/>
    <n v="0"/>
    <n v="9932.8770000000004"/>
    <n v="522.78299999999945"/>
    <n v="522.78300000000002"/>
    <n v="5"/>
    <n v="7.3013698630136989"/>
    <n v="4966.4385000000002"/>
    <n v="8.3013698630136989"/>
    <n v="-1.1368683772161603E-13"/>
    <n v="4966.4385000000002"/>
    <n v="522.78300000000002"/>
  </r>
  <r>
    <n v="1372"/>
    <s v="Mobile  (2)"/>
    <s v="Sugar Division"/>
    <x v="5"/>
    <m/>
    <s v="Common"/>
    <d v="2012-12-08T00:00:00"/>
    <n v="17200"/>
    <n v="0"/>
    <n v="16340"/>
    <n v="860"/>
    <n v="860"/>
    <n v="5"/>
    <n v="7.3205479452054796"/>
    <n v="8170"/>
    <n v="8.3205479452054796"/>
    <n v="0"/>
    <n v="8170"/>
    <n v="860"/>
  </r>
  <r>
    <n v="1373"/>
    <s v="Mobile (3)"/>
    <s v="Sugar Division"/>
    <x v="5"/>
    <m/>
    <s v="Common"/>
    <d v="2012-12-07T00:00:00"/>
    <n v="25800"/>
    <n v="0"/>
    <n v="24510"/>
    <n v="1290"/>
    <n v="1290"/>
    <n v="5"/>
    <n v="7.3232876712328769"/>
    <n v="12255"/>
    <n v="8.3232876712328761"/>
    <n v="0"/>
    <n v="12255"/>
    <n v="1290"/>
  </r>
  <r>
    <n v="1374"/>
    <s v="Mobile"/>
    <s v="Sugar Division"/>
    <x v="5"/>
    <m/>
    <s v="Common"/>
    <d v="2012-12-06T00:00:00"/>
    <n v="12000"/>
    <n v="0"/>
    <n v="11400"/>
    <n v="600"/>
    <n v="600"/>
    <n v="5"/>
    <n v="7.3260273972602743"/>
    <n v="5700"/>
    <n v="8.3260273972602743"/>
    <n v="0"/>
    <n v="5700"/>
    <n v="600"/>
  </r>
  <r>
    <n v="1375"/>
    <s v="Television"/>
    <s v="Sugar Division"/>
    <x v="5"/>
    <m/>
    <s v="Common"/>
    <d v="2012-11-20T00:00:00"/>
    <n v="30600"/>
    <n v="0"/>
    <n v="29070"/>
    <n v="1530"/>
    <n v="1530"/>
    <n v="5"/>
    <n v="7.3698630136986303"/>
    <n v="14535"/>
    <n v="8.3698630136986303"/>
    <n v="0"/>
    <n v="14535"/>
    <n v="1530"/>
  </r>
  <r>
    <n v="1376"/>
    <s v="Monitor"/>
    <s v="Sugar Division"/>
    <x v="5"/>
    <m/>
    <s v="Common"/>
    <d v="2012-11-15T00:00:00"/>
    <n v="6825"/>
    <n v="0"/>
    <n v="6483.75"/>
    <n v="341.25"/>
    <n v="341.25"/>
    <n v="3"/>
    <n v="7.3835616438356162"/>
    <n v="3241.875"/>
    <n v="8.3835616438356162"/>
    <n v="0"/>
    <n v="3241.875"/>
    <n v="341.25"/>
  </r>
  <r>
    <n v="1377"/>
    <s v="Refrigerator"/>
    <s v="Sugar Division"/>
    <x v="5"/>
    <m/>
    <s v="Common"/>
    <d v="2012-11-15T00:00:00"/>
    <n v="11600"/>
    <n v="0"/>
    <n v="11020"/>
    <n v="580"/>
    <n v="580"/>
    <n v="5"/>
    <n v="7.3835616438356162"/>
    <n v="5510"/>
    <n v="8.3835616438356162"/>
    <n v="0"/>
    <n v="5510"/>
    <n v="580"/>
  </r>
  <r>
    <n v="1378"/>
    <s v="Gyzer (2)"/>
    <s v="Sugar Division"/>
    <x v="5"/>
    <m/>
    <s v="Common"/>
    <d v="2012-11-15T00:00:00"/>
    <n v="14462.67"/>
    <n v="0"/>
    <n v="13739.5365"/>
    <n v="723.13349999999991"/>
    <n v="723.13350000000003"/>
    <n v="5"/>
    <n v="7.3835616438356162"/>
    <n v="6869.7682500000001"/>
    <n v="8.3835616438356162"/>
    <n v="-2.2737367544323207E-14"/>
    <n v="6869.7682500000001"/>
    <n v="723.13350000000003"/>
  </r>
  <r>
    <n v="1379"/>
    <s v="Computer"/>
    <s v="Sugar Division"/>
    <x v="5"/>
    <m/>
    <s v="Common"/>
    <d v="2012-11-15T00:00:00"/>
    <n v="31499.89"/>
    <n v="0"/>
    <n v="29924.895499999999"/>
    <n v="1574.9945000000007"/>
    <n v="1574.9945"/>
    <n v="3"/>
    <n v="7.3835616438356162"/>
    <n v="14962.447749999999"/>
    <n v="8.3835616438356162"/>
    <n v="2.2737367544323206E-13"/>
    <n v="14962.447749999999"/>
    <n v="1574.9945"/>
  </r>
  <r>
    <n v="1380"/>
    <s v="Stablizer (2)"/>
    <s v="Sugar Division"/>
    <x v="5"/>
    <m/>
    <s v="Common"/>
    <d v="2012-11-15T00:00:00"/>
    <n v="23893.510000000002"/>
    <n v="0"/>
    <n v="22698.834500000001"/>
    <n v="1194.6755000000012"/>
    <n v="1194.6755000000001"/>
    <n v="5"/>
    <n v="7.3835616438356162"/>
    <n v="11349.41725"/>
    <n v="8.3835616438356162"/>
    <n v="2.2737367544323206E-13"/>
    <n v="11349.41725"/>
    <n v="1194.6755000000001"/>
  </r>
  <r>
    <n v="1381"/>
    <s v="Air Conditioners (4+1)"/>
    <s v="Sugar Division"/>
    <x v="5"/>
    <m/>
    <s v="Common"/>
    <d v="2012-11-15T00:00:00"/>
    <n v="190006.49000000002"/>
    <n v="0"/>
    <n v="80506.165500000032"/>
    <n v="109500.32449999999"/>
    <n v="9500.3245000000006"/>
    <n v="5"/>
    <n v="7.3835616438356162"/>
    <n v="40253.082750000016"/>
    <n v="8.3835616438356162"/>
    <n v="20000"/>
    <n v="60253.082750000016"/>
    <n v="9500.3245000000006"/>
  </r>
  <r>
    <n v="1382"/>
    <s v="Mobile"/>
    <s v="Sugar Division"/>
    <x v="5"/>
    <m/>
    <s v="Common"/>
    <d v="2012-11-10T00:00:00"/>
    <n v="47255"/>
    <n v="0"/>
    <n v="29892.25"/>
    <n v="17362.75"/>
    <n v="2362.75"/>
    <n v="5"/>
    <n v="7.397260273972603"/>
    <n v="14946.125"/>
    <n v="8.3972602739726021"/>
    <n v="2999.9999999999973"/>
    <n v="17946.124999999996"/>
    <n v="2362.75"/>
  </r>
  <r>
    <n v="1383"/>
    <s v="Mobile"/>
    <s v="Sugar Division"/>
    <x v="5"/>
    <m/>
    <s v="Common"/>
    <d v="2012-10-31T00:00:00"/>
    <n v="15500"/>
    <n v="0"/>
    <n v="14725"/>
    <n v="775"/>
    <n v="775"/>
    <n v="5"/>
    <n v="7.4246575342465757"/>
    <n v="7362.5"/>
    <n v="8.4246575342465757"/>
    <n v="0"/>
    <n v="7362.5"/>
    <n v="775"/>
  </r>
  <r>
    <n v="1384"/>
    <s v="Geezer"/>
    <s v="Sugar Division"/>
    <x v="5"/>
    <m/>
    <s v="Common"/>
    <d v="2012-10-18T00:00:00"/>
    <n v="5500"/>
    <n v="0"/>
    <n v="5225"/>
    <n v="275"/>
    <n v="275"/>
    <n v="5"/>
    <n v="7.4602739726027396"/>
    <n v="2612.5"/>
    <n v="8.4602739726027405"/>
    <n v="0"/>
    <n v="2612.5"/>
    <n v="275"/>
  </r>
  <r>
    <n v="1385"/>
    <s v="Super Kent"/>
    <s v="Sugar Division"/>
    <x v="5"/>
    <m/>
    <s v="Common"/>
    <d v="2012-10-18T00:00:00"/>
    <n v="10000"/>
    <n v="0"/>
    <n v="9500"/>
    <n v="500"/>
    <n v="500"/>
    <n v="5"/>
    <n v="7.4602739726027396"/>
    <n v="4750"/>
    <n v="8.4602739726027405"/>
    <n v="0"/>
    <n v="4750"/>
    <n v="500"/>
  </r>
  <r>
    <n v="1386"/>
    <s v="Refrigerator"/>
    <s v="Sugar Division"/>
    <x v="5"/>
    <m/>
    <s v="Common"/>
    <d v="2012-10-05T00:00:00"/>
    <n v="18650"/>
    <n v="0"/>
    <n v="17717.5"/>
    <n v="932.5"/>
    <n v="932.5"/>
    <n v="5"/>
    <n v="7.4958904109589044"/>
    <n v="8858.75"/>
    <n v="8.4958904109589035"/>
    <n v="0"/>
    <n v="8858.75"/>
    <n v="932.5"/>
  </r>
  <r>
    <n v="1387"/>
    <s v="Printer (1 Nos.) Gaourgaon Office"/>
    <s v="Sugar Division"/>
    <x v="5"/>
    <m/>
    <s v="Common"/>
    <d v="2012-09-25T00:00:00"/>
    <n v="1200"/>
    <n v="0"/>
    <n v="1140"/>
    <n v="60"/>
    <n v="60"/>
    <n v="3"/>
    <n v="7.5232876712328771"/>
    <n v="570"/>
    <n v="8.5232876712328771"/>
    <n v="0"/>
    <n v="570"/>
    <n v="60"/>
  </r>
  <r>
    <n v="1388"/>
    <s v="Mobile Blackburry (Gaourgaon Office)"/>
    <s v="Sugar Division"/>
    <x v="5"/>
    <m/>
    <s v="Common"/>
    <d v="2012-09-20T00:00:00"/>
    <n v="16000"/>
    <n v="0"/>
    <n v="15200"/>
    <n v="800"/>
    <n v="800"/>
    <n v="5"/>
    <n v="7.536986301369863"/>
    <n v="7600"/>
    <n v="8.536986301369863"/>
    <n v="0"/>
    <n v="7600"/>
    <n v="800"/>
  </r>
  <r>
    <n v="1389"/>
    <s v="Lap Top (1 Nos Sony Make-Gaourgaon Office)"/>
    <s v="Sugar Division"/>
    <x v="5"/>
    <m/>
    <s v="Common"/>
    <d v="2012-09-19T00:00:00"/>
    <n v="71785"/>
    <n v="0"/>
    <n v="68195.75"/>
    <n v="3589.25"/>
    <n v="3589.25"/>
    <n v="3"/>
    <n v="7.5397260273972604"/>
    <n v="34097.875"/>
    <n v="8.5397260273972595"/>
    <n v="0"/>
    <n v="34097.875"/>
    <n v="3589.25"/>
  </r>
  <r>
    <n v="1390"/>
    <s v="Printer (1 Nos.) Gaourgaon Office"/>
    <s v="Sugar Division"/>
    <x v="5"/>
    <m/>
    <s v="Common"/>
    <d v="2012-09-18T00:00:00"/>
    <n v="19800"/>
    <n v="0"/>
    <n v="18810"/>
    <n v="990"/>
    <n v="990"/>
    <n v="3"/>
    <n v="7.5424657534246577"/>
    <n v="9405"/>
    <n v="8.5424657534246577"/>
    <n v="0"/>
    <n v="9405"/>
    <n v="990"/>
  </r>
  <r>
    <n v="1391"/>
    <s v="Printer "/>
    <s v="Sugar Division"/>
    <x v="5"/>
    <m/>
    <s v="Common"/>
    <d v="2012-08-15T00:00:00"/>
    <n v="6719.97"/>
    <n v="0"/>
    <n v="6383.9715000000006"/>
    <n v="335.99849999999969"/>
    <n v="335.99850000000004"/>
    <n v="3"/>
    <n v="7.6356164383561644"/>
    <n v="3191.9857500000003"/>
    <n v="8.6356164383561644"/>
    <n v="-1.1368683772161603E-13"/>
    <n v="3191.9857500000003"/>
    <n v="335.99850000000004"/>
  </r>
  <r>
    <n v="1392"/>
    <s v="Lap Top "/>
    <s v="Sugar Division"/>
    <x v="5"/>
    <m/>
    <s v="Common"/>
    <d v="2012-08-15T00:00:00"/>
    <n v="35000"/>
    <n v="0"/>
    <n v="33250"/>
    <n v="1750"/>
    <n v="1750"/>
    <n v="3"/>
    <n v="7.6356164383561644"/>
    <n v="16625"/>
    <n v="8.6356164383561644"/>
    <n v="0"/>
    <n v="16625"/>
    <n v="1750"/>
  </r>
  <r>
    <n v="1393"/>
    <s v="Printer (4 Nos.)"/>
    <s v="Sugar Division"/>
    <x v="5"/>
    <m/>
    <s v="Common"/>
    <d v="2012-04-15T00:00:00"/>
    <n v="52390.26"/>
    <n v="0"/>
    <n v="29770.747000000003"/>
    <n v="22619.512999999999"/>
    <n v="2619.5130000000004"/>
    <n v="3"/>
    <n v="7.9698630136986299"/>
    <n v="14885.373500000002"/>
    <n v="8.9698630136986299"/>
    <n v="6666.6666666666661"/>
    <n v="21552.040166666666"/>
    <n v="2619.5130000000004"/>
  </r>
  <r>
    <n v="1394"/>
    <s v="Moniter"/>
    <s v="Sugar Division"/>
    <x v="5"/>
    <m/>
    <s v="Common"/>
    <d v="2012-03-15T00:00:00"/>
    <n v="6200.1"/>
    <n v="0"/>
    <n v="5890.0950000000003"/>
    <n v="310.00500000000011"/>
    <n v="310.00500000000005"/>
    <n v="3"/>
    <n v="8.0547945205479454"/>
    <n v="2945.0475000000001"/>
    <n v="9.0547945205479454"/>
    <n v="1.8947806286936004E-14"/>
    <n v="2945.0475000000001"/>
    <n v="310.00500000000005"/>
  </r>
  <r>
    <n v="1395"/>
    <s v="Printer (4 Nos.)"/>
    <s v="Sugar Division"/>
    <x v="5"/>
    <m/>
    <s v="Common"/>
    <d v="2012-03-15T00:00:00"/>
    <n v="26879.91"/>
    <n v="0"/>
    <n v="15535.914499999999"/>
    <n v="11343.995500000001"/>
    <n v="1343.9955"/>
    <n v="3"/>
    <n v="8.0547945205479454"/>
    <n v="7767.9572499999995"/>
    <n v="9.0547945205479454"/>
    <n v="3333.333333333333"/>
    <n v="11101.290583333332"/>
    <n v="1343.9955"/>
  </r>
  <r>
    <n v="1396"/>
    <s v="Lap Top (4 Nos Dell Make)"/>
    <s v="Sugar Division"/>
    <x v="5"/>
    <m/>
    <s v="Common"/>
    <d v="2012-03-15T00:00:00"/>
    <n v="132299.51999999999"/>
    <n v="0"/>
    <n v="50684.543999999994"/>
    <n v="81614.975999999995"/>
    <n v="6614.9759999999997"/>
    <n v="3"/>
    <n v="8.0547945205479454"/>
    <n v="25342.271999999997"/>
    <n v="9.0547945205479454"/>
    <n v="25000"/>
    <n v="50342.271999999997"/>
    <n v="6614.9759999999997"/>
  </r>
  <r>
    <n v="1397"/>
    <s v="Computer (5 Nos)"/>
    <s v="Sugar Division"/>
    <x v="5"/>
    <m/>
    <s v="Common"/>
    <d v="2012-03-15T00:00:00"/>
    <n v="157499.44"/>
    <n v="0"/>
    <n v="74624.467999999993"/>
    <n v="82874.972000000009"/>
    <n v="7874.9720000000007"/>
    <n v="3"/>
    <n v="8.0547945205479454"/>
    <n v="37312.233999999997"/>
    <n v="9.0547945205479454"/>
    <n v="25000.000000000004"/>
    <n v="62312.233999999997"/>
    <n v="7874.9720000000007"/>
  </r>
  <r>
    <n v="1398"/>
    <s v="Exaust Fan"/>
    <s v="Sugar Division"/>
    <x v="5"/>
    <m/>
    <s v="Common"/>
    <d v="2012-01-12T00:00:00"/>
    <n v="751.08"/>
    <n v="0"/>
    <n v="713.52600000000007"/>
    <n v="37.553999999999974"/>
    <n v="37.554000000000002"/>
    <n v="5"/>
    <n v="8.2273972602739729"/>
    <n v="356.76300000000003"/>
    <n v="9.2273972602739729"/>
    <n v="-5.6843418860808018E-15"/>
    <n v="356.76300000000003"/>
    <n v="37.554000000000002"/>
  </r>
  <r>
    <n v="1399"/>
    <s v="Handheld Computers (10 Nos.)"/>
    <s v="Sugar Division"/>
    <x v="5"/>
    <m/>
    <s v="Upto gate"/>
    <d v="2011-12-15T00:00:00"/>
    <n v="145000"/>
    <n v="0"/>
    <n v="62750"/>
    <n v="82250"/>
    <n v="7250"/>
    <n v="3"/>
    <n v="8.3041095890410954"/>
    <n v="31375"/>
    <n v="9.3041095890410954"/>
    <n v="25000"/>
    <n v="56375"/>
    <n v="7250"/>
  </r>
  <r>
    <n v="1400"/>
    <s v="Handheld Computers (32 Nos.)"/>
    <s v="Sugar Division"/>
    <x v="5"/>
    <m/>
    <s v="Upto gate"/>
    <d v="2011-11-15T00:00:00"/>
    <n v="464000"/>
    <n v="0"/>
    <n v="190800"/>
    <n v="273200"/>
    <n v="23200"/>
    <n v="3"/>
    <n v="8.3863013698630144"/>
    <n v="95400"/>
    <n v="9.3863013698630144"/>
    <n v="83333.333333333328"/>
    <n v="178733.33333333331"/>
    <n v="23200"/>
  </r>
  <r>
    <n v="1401"/>
    <s v="U.P.S. (2 Nos.)"/>
    <s v="Sugar Division"/>
    <x v="5"/>
    <m/>
    <s v="Common"/>
    <d v="2011-11-15T00:00:00"/>
    <n v="301200"/>
    <n v="0"/>
    <n v="211140"/>
    <n v="90060"/>
    <n v="15060"/>
    <n v="3"/>
    <n v="8.3863013698630144"/>
    <n v="105570"/>
    <n v="9.3863013698630144"/>
    <n v="25000"/>
    <n v="130570"/>
    <n v="15060"/>
  </r>
  <r>
    <n v="1402"/>
    <s v="Printer (10 Nos.)"/>
    <s v="Sugar Division"/>
    <x v="5"/>
    <m/>
    <s v="Common"/>
    <d v="2011-11-15T00:00:00"/>
    <n v="70507.850000000006"/>
    <n v="0"/>
    <n v="66982.457500000004"/>
    <n v="3525.3925000000017"/>
    <n v="3525.3925000000004"/>
    <n v="3"/>
    <n v="8.3863013698630144"/>
    <n v="33491.228750000002"/>
    <n v="9.3863013698630144"/>
    <n v="4.5474735088646412E-13"/>
    <n v="33491.228750000002"/>
    <n v="3525.3925000000004"/>
  </r>
  <r>
    <n v="1403"/>
    <s v="Printer (1 No.)"/>
    <s v="Sugar Division"/>
    <x v="5"/>
    <m/>
    <s v="Common"/>
    <d v="2011-11-09T00:00:00"/>
    <n v="6720"/>
    <n v="0"/>
    <n v="6384"/>
    <n v="336"/>
    <n v="336"/>
    <n v="3"/>
    <n v="8.4027397260273968"/>
    <n v="3192"/>
    <n v="9.4027397260273968"/>
    <n v="0"/>
    <n v="3192"/>
    <n v="336"/>
  </r>
  <r>
    <n v="1404"/>
    <s v="Exaust Fan"/>
    <s v="Sugar Division"/>
    <x v="5"/>
    <m/>
    <s v="Common"/>
    <d v="2011-09-15T00:00:00"/>
    <n v="1502.17"/>
    <n v="0"/>
    <n v="1427.0615"/>
    <n v="75.108500000000049"/>
    <n v="75.108500000000006"/>
    <n v="5"/>
    <n v="8.5534246575342472"/>
    <n v="713.53075000000001"/>
    <n v="9.5534246575342472"/>
    <n v="8.5265128291212035E-15"/>
    <n v="713.53075000000001"/>
    <n v="75.108500000000006"/>
  </r>
  <r>
    <n v="1405"/>
    <s v="Ceiling Fan"/>
    <s v="Sugar Division"/>
    <x v="5"/>
    <m/>
    <s v="Common"/>
    <d v="2011-09-15T00:00:00"/>
    <n v="836.06"/>
    <n v="0"/>
    <n v="794.25699999999995"/>
    <n v="41.802999999999997"/>
    <n v="41.802999999999997"/>
    <n v="5"/>
    <n v="8.5534246575342472"/>
    <n v="397.12849999999997"/>
    <n v="9.5534246575342472"/>
    <n v="0"/>
    <n v="397.12849999999997"/>
    <n v="41.802999999999997"/>
  </r>
  <r>
    <n v="1406"/>
    <s v="Ceiling Fan  "/>
    <s v="Sugar Division"/>
    <x v="5"/>
    <m/>
    <s v="Common"/>
    <d v="2011-08-15T00:00:00"/>
    <n v="836.06"/>
    <n v="0"/>
    <n v="794.25699999999995"/>
    <n v="41.802999999999997"/>
    <n v="41.802999999999997"/>
    <n v="5"/>
    <n v="8.6383561643835609"/>
    <n v="397.12849999999997"/>
    <n v="9.6383561643835609"/>
    <n v="0"/>
    <n v="397.12849999999997"/>
    <n v="41.802999999999997"/>
  </r>
  <r>
    <n v="1407"/>
    <s v="Ceiling Fan  (2 Nos)"/>
    <s v="Sugar Division"/>
    <x v="5"/>
    <m/>
    <s v="Common"/>
    <d v="2011-07-15T00:00:00"/>
    <n v="1672.12"/>
    <n v="0"/>
    <n v="1588.5139999999999"/>
    <n v="83.605999999999995"/>
    <n v="83.605999999999995"/>
    <n v="5"/>
    <n v="8.7232876712328764"/>
    <n v="794.25699999999995"/>
    <n v="9.7232876712328764"/>
    <n v="0"/>
    <n v="794.25699999999995"/>
    <n v="83.605999999999995"/>
  </r>
  <r>
    <n v="1408"/>
    <s v="Exaust Fan"/>
    <s v="Sugar Division"/>
    <x v="5"/>
    <m/>
    <s v="Common"/>
    <d v="2011-07-15T00:00:00"/>
    <n v="660.95"/>
    <n v="0"/>
    <n v="627.90250000000003"/>
    <n v="33.047500000000014"/>
    <n v="33.047500000000007"/>
    <n v="5"/>
    <n v="8.7232876712328764"/>
    <n v="313.95125000000002"/>
    <n v="9.7232876712328764"/>
    <n v="1.4210854715202005E-15"/>
    <n v="313.95125000000002"/>
    <n v="33.047500000000007"/>
  </r>
  <r>
    <n v="1409"/>
    <s v="Stablizer"/>
    <s v="Sugar Division"/>
    <x v="5"/>
    <m/>
    <s v="Common"/>
    <d v="2011-06-15T00:00:00"/>
    <n v="1500"/>
    <n v="0"/>
    <n v="1425"/>
    <n v="75"/>
    <n v="75"/>
    <n v="5"/>
    <n v="8.8054794520547937"/>
    <n v="712.5"/>
    <n v="9.8054794520547937"/>
    <n v="0"/>
    <n v="712.5"/>
    <n v="75"/>
  </r>
  <r>
    <n v="1410"/>
    <s v="Ceiling Fan  "/>
    <s v="Sugar Division"/>
    <x v="5"/>
    <m/>
    <s v="Common"/>
    <d v="2011-06-15T00:00:00"/>
    <n v="836.06"/>
    <n v="0"/>
    <n v="794.25699999999995"/>
    <n v="41.802999999999997"/>
    <n v="41.802999999999997"/>
    <n v="5"/>
    <n v="8.8054794520547937"/>
    <n v="397.12849999999997"/>
    <n v="9.8054794520547937"/>
    <n v="0"/>
    <n v="397.12849999999997"/>
    <n v="41.802999999999997"/>
  </r>
  <r>
    <n v="1411"/>
    <s v="Cooler ( 4 Nos.)"/>
    <s v="Sugar Division"/>
    <x v="5"/>
    <m/>
    <s v="Common"/>
    <d v="2011-05-15T00:00:00"/>
    <n v="7772.5"/>
    <n v="0"/>
    <n v="7383.875"/>
    <n v="388.625"/>
    <n v="388.625"/>
    <n v="5"/>
    <n v="8.8904109589041092"/>
    <n v="3691.9375"/>
    <n v="9.8904109589041092"/>
    <n v="0"/>
    <n v="3691.9375"/>
    <n v="388.625"/>
  </r>
  <r>
    <n v="1412"/>
    <s v="Ceiling Fan  "/>
    <s v="Sugar Division"/>
    <x v="5"/>
    <m/>
    <s v="Common"/>
    <d v="2011-05-15T00:00:00"/>
    <n v="933.48"/>
    <n v="0"/>
    <n v="886.80600000000004"/>
    <n v="46.673999999999978"/>
    <n v="46.674000000000007"/>
    <n v="5"/>
    <n v="8.8904109589041092"/>
    <n v="443.40300000000002"/>
    <n v="9.8904109589041092"/>
    <n v="-5.6843418860808018E-15"/>
    <n v="443.40300000000002"/>
    <n v="46.674000000000007"/>
  </r>
  <r>
    <n v="1413"/>
    <s v="Exaust Fan"/>
    <s v="Sugar Division"/>
    <x v="5"/>
    <m/>
    <s v="Common"/>
    <d v="2011-05-15T00:00:00"/>
    <n v="660.95"/>
    <n v="0"/>
    <n v="627.90250000000003"/>
    <n v="33.047500000000014"/>
    <n v="33.047500000000007"/>
    <n v="5"/>
    <n v="8.8904109589041092"/>
    <n v="313.95125000000002"/>
    <n v="9.8904109589041092"/>
    <n v="1.4210854715202005E-15"/>
    <n v="313.95125000000002"/>
    <n v="33.047500000000007"/>
  </r>
  <r>
    <n v="1414"/>
    <s v="Cooler "/>
    <s v="Sugar Division"/>
    <x v="5"/>
    <m/>
    <s v="Common"/>
    <d v="2011-04-15T00:00:00"/>
    <n v="2199.67"/>
    <n v="0"/>
    <n v="2089.6865000000003"/>
    <n v="109.98349999999982"/>
    <n v="109.98350000000001"/>
    <n v="5"/>
    <n v="8.9726027397260282"/>
    <n v="1044.8432500000001"/>
    <n v="9.9726027397260282"/>
    <n v="-3.6948222259525211E-14"/>
    <n v="1044.8432500000001"/>
    <n v="109.98350000000001"/>
  </r>
  <r>
    <n v="1415"/>
    <s v="Ceiling Fan  "/>
    <s v="Sugar Division"/>
    <x v="5"/>
    <m/>
    <s v="Common"/>
    <d v="2011-04-15T00:00:00"/>
    <n v="903.62"/>
    <n v="0"/>
    <n v="858.43899999999996"/>
    <n v="45.18100000000004"/>
    <n v="45.181000000000004"/>
    <n v="5"/>
    <n v="8.9726027397260282"/>
    <n v="429.21949999999998"/>
    <n v="9.9726027397260282"/>
    <n v="7.1054273576010019E-15"/>
    <n v="429.21949999999998"/>
    <n v="45.181000000000004"/>
  </r>
  <r>
    <n v="1416"/>
    <s v="Ceiling Fan ( 4 Nos) "/>
    <s v="Sugar Division"/>
    <x v="5"/>
    <m/>
    <s v="Common"/>
    <d v="2011-03-15T00:00:00"/>
    <n v="3674.17"/>
    <n v="0"/>
    <n v="3490.4614999999999"/>
    <n v="183.70850000000019"/>
    <n v="183.70850000000002"/>
    <n v="5"/>
    <n v="9.0575342465753419"/>
    <n v="1745.2307499999999"/>
    <n v="10.057534246575342"/>
    <n v="3.4106051316484814E-14"/>
    <n v="1745.2307499999999"/>
    <n v="183.70850000000002"/>
  </r>
  <r>
    <n v="1417"/>
    <s v="Cooling Coils"/>
    <s v="Sugar Division"/>
    <x v="5"/>
    <m/>
    <s v="Common"/>
    <d v="2011-02-23T00:00:00"/>
    <n v="69002"/>
    <n v="0"/>
    <n v="65551.899999999994"/>
    <n v="3450.1000000000058"/>
    <n v="3450.1000000000004"/>
    <n v="5"/>
    <n v="9.1123287671232873"/>
    <n v="32775.949999999997"/>
    <n v="10.112328767123287"/>
    <n v="1.091393642127514E-12"/>
    <n v="32775.949999999997"/>
    <n v="3450.1000000000004"/>
  </r>
  <r>
    <n v="1418"/>
    <s v="Blower"/>
    <s v="Sugar Division"/>
    <x v="5"/>
    <m/>
    <s v="Common"/>
    <d v="2011-02-15T00:00:00"/>
    <n v="997.44"/>
    <n v="0"/>
    <n v="947.5680000000001"/>
    <n v="49.871999999999957"/>
    <n v="49.872000000000007"/>
    <n v="5"/>
    <n v="9.1342465753424662"/>
    <n v="473.78400000000005"/>
    <n v="10.134246575342466"/>
    <n v="-9.9475983006414035E-15"/>
    <n v="473.78400000000005"/>
    <n v="49.872000000000007"/>
  </r>
  <r>
    <n v="1419"/>
    <s v="Ceiling Fan  "/>
    <s v="Sugar Division"/>
    <x v="5"/>
    <m/>
    <s v="Common"/>
    <d v="2011-02-15T00:00:00"/>
    <n v="818.25"/>
    <n v="0"/>
    <n v="777.33749999999998"/>
    <n v="40.912500000000023"/>
    <n v="40.912500000000001"/>
    <n v="5"/>
    <n v="9.1342465753424662"/>
    <n v="388.66874999999999"/>
    <n v="10.134246575342466"/>
    <n v="4.2632564145606017E-15"/>
    <n v="388.66874999999999"/>
    <n v="40.912500000000001"/>
  </r>
  <r>
    <n v="1420"/>
    <s v="Printer (1 No.)"/>
    <s v="Sugar Division"/>
    <x v="5"/>
    <m/>
    <s v="Common"/>
    <d v="2011-02-15T00:00:00"/>
    <n v="6300"/>
    <n v="0"/>
    <n v="5985"/>
    <n v="315"/>
    <n v="315"/>
    <n v="3"/>
    <n v="9.1342465753424662"/>
    <n v="2992.5"/>
    <n v="10.134246575342466"/>
    <n v="0"/>
    <n v="2992.5"/>
    <n v="315"/>
  </r>
  <r>
    <n v="1421"/>
    <s v="Gizer"/>
    <s v="Sugar Division"/>
    <x v="5"/>
    <m/>
    <s v="Common"/>
    <d v="2011-01-15T00:00:00"/>
    <n v="5817"/>
    <n v="0"/>
    <n v="5526.15"/>
    <n v="290.85000000000036"/>
    <n v="290.85000000000002"/>
    <n v="5"/>
    <n v="9.2191780821917817"/>
    <n v="2763.0749999999998"/>
    <n v="10.219178082191782"/>
    <n v="6.8212102632969628E-14"/>
    <n v="2763.0749999999998"/>
    <n v="290.85000000000002"/>
  </r>
  <r>
    <n v="1422"/>
    <s v="Voice Mail System"/>
    <s v="Sugar Division"/>
    <x v="5"/>
    <m/>
    <s v="Common"/>
    <d v="2011-01-15T00:00:00"/>
    <n v="10709"/>
    <n v="0"/>
    <n v="10173.549999999999"/>
    <n v="535.45000000000073"/>
    <n v="535.45000000000005"/>
    <n v="5"/>
    <n v="9.2191780821917817"/>
    <n v="5086.7749999999996"/>
    <n v="10.219178082191782"/>
    <n v="1.3642420526593926E-13"/>
    <n v="5086.7749999999996"/>
    <n v="535.45000000000005"/>
  </r>
  <r>
    <n v="1423"/>
    <s v="Screw Chilling Unit"/>
    <s v="Sugar Division"/>
    <x v="5"/>
    <m/>
    <s v="Common"/>
    <d v="2011-01-15T00:00:00"/>
    <n v="36131"/>
    <n v="0"/>
    <n v="34324.449999999997"/>
    <n v="1806.5500000000029"/>
    <n v="1806.5500000000002"/>
    <n v="5"/>
    <n v="9.2191780821917817"/>
    <n v="17162.224999999999"/>
    <n v="10.219178082191782"/>
    <n v="5.4569682106375702E-13"/>
    <n v="17162.224999999999"/>
    <n v="1806.5500000000002"/>
  </r>
  <r>
    <n v="1424"/>
    <s v="Gizer"/>
    <s v="Sugar Division"/>
    <x v="5"/>
    <m/>
    <s v="Common"/>
    <d v="2010-12-15T00:00:00"/>
    <n v="3972.5"/>
    <n v="0"/>
    <n v="3773.875"/>
    <n v="198.625"/>
    <n v="198.625"/>
    <n v="5"/>
    <n v="9.3041095890410954"/>
    <n v="1886.9375"/>
    <n v="10.304109589041095"/>
    <n v="0"/>
    <n v="1886.9375"/>
    <n v="198.625"/>
  </r>
  <r>
    <n v="1425"/>
    <s v="Blower"/>
    <s v="Sugar Division"/>
    <x v="5"/>
    <m/>
    <s v="Common"/>
    <d v="2010-12-15T00:00:00"/>
    <n v="827.04"/>
    <n v="0"/>
    <n v="785.68799999999999"/>
    <n v="41.351999999999975"/>
    <n v="41.352000000000004"/>
    <n v="5"/>
    <n v="9.3041095890410954"/>
    <n v="392.84399999999999"/>
    <n v="10.304109589041095"/>
    <n v="-5.6843418860808018E-15"/>
    <n v="392.84399999999999"/>
    <n v="41.352000000000004"/>
  </r>
  <r>
    <n v="1426"/>
    <s v="Exaust Fan"/>
    <s v="Sugar Division"/>
    <x v="5"/>
    <m/>
    <s v="Common"/>
    <d v="2010-12-15T00:00:00"/>
    <n v="660.95"/>
    <n v="0"/>
    <n v="627.90250000000003"/>
    <n v="33.047500000000014"/>
    <n v="33.047500000000007"/>
    <n v="5"/>
    <n v="9.3041095890410954"/>
    <n v="313.95125000000002"/>
    <n v="10.304109589041095"/>
    <n v="1.4210854715202005E-15"/>
    <n v="313.95125000000002"/>
    <n v="33.047500000000007"/>
  </r>
  <r>
    <n v="1427"/>
    <s v="Printer"/>
    <s v="Sugar Division"/>
    <x v="5"/>
    <m/>
    <s v="Common"/>
    <d v="2010-12-15T00:00:00"/>
    <n v="1829.91"/>
    <n v="0"/>
    <n v="1738.4145000000001"/>
    <n v="91.495499999999993"/>
    <n v="91.495500000000007"/>
    <n v="3"/>
    <n v="9.3041095890410954"/>
    <n v="869.20725000000004"/>
    <n v="10.304109589041095"/>
    <n v="-4.736951571734001E-15"/>
    <n v="869.20725000000004"/>
    <n v="91.495500000000007"/>
  </r>
  <r>
    <n v="1428"/>
    <s v="Computer For Cane  ( 27 Nos. )"/>
    <s v="Sugar Division"/>
    <x v="5"/>
    <m/>
    <s v="Common"/>
    <d v="2010-11-22T00:00:00"/>
    <n v="515303"/>
    <n v="0"/>
    <n v="489537.85"/>
    <n v="25765.150000000023"/>
    <n v="25765.15"/>
    <n v="3"/>
    <n v="9.367123287671232"/>
    <n v="244768.92499999999"/>
    <n v="10.367123287671232"/>
    <n v="7.2759576141834259E-12"/>
    <n v="244768.92499999999"/>
    <n v="25765.15"/>
  </r>
  <r>
    <n v="1429"/>
    <s v="Printer  ( 2 Nos. )"/>
    <s v="Sugar Division"/>
    <x v="5"/>
    <m/>
    <s v="Common"/>
    <d v="2010-11-15T00:00:00"/>
    <n v="3659.81"/>
    <n v="0"/>
    <n v="3476.8195000000001"/>
    <n v="182.99049999999988"/>
    <n v="182.9905"/>
    <n v="3"/>
    <n v="9.3863013698630144"/>
    <n v="1738.40975"/>
    <n v="10.386301369863014"/>
    <n v="-3.7895612573872008E-14"/>
    <n v="1738.40975"/>
    <n v="182.9905"/>
  </r>
  <r>
    <n v="1430"/>
    <s v="Cabin Fan (4 Nos)"/>
    <s v="Sugar Division"/>
    <x v="5"/>
    <m/>
    <s v="Common"/>
    <d v="2010-10-15T00:00:00"/>
    <n v="6034.39"/>
    <n v="0"/>
    <n v="5732.6705000000002"/>
    <n v="301.71950000000015"/>
    <n v="301.71950000000004"/>
    <n v="5"/>
    <n v="9.4712328767123282"/>
    <n v="2866.3352500000001"/>
    <n v="10.471232876712328"/>
    <n v="2.2737367544323207E-14"/>
    <n v="2866.3352500000001"/>
    <n v="301.71950000000004"/>
  </r>
  <r>
    <n v="1431"/>
    <s v="Ceiling Fan  (2 Nos)"/>
    <s v="Sugar Division"/>
    <x v="5"/>
    <m/>
    <s v="Common"/>
    <d v="2010-10-15T00:00:00"/>
    <n v="1866.95"/>
    <n v="0"/>
    <n v="1773.6025"/>
    <n v="93.347500000000082"/>
    <n v="93.347500000000011"/>
    <n v="5"/>
    <n v="9.4712328767123282"/>
    <n v="886.80124999999998"/>
    <n v="10.471232876712328"/>
    <n v="1.4210854715202004E-14"/>
    <n v="886.80124999999998"/>
    <n v="93.347500000000011"/>
  </r>
  <r>
    <n v="1432"/>
    <s v="Exaust Fan"/>
    <s v="Sugar Division"/>
    <x v="5"/>
    <m/>
    <s v="Common"/>
    <d v="2010-10-15T00:00:00"/>
    <n v="1026.02"/>
    <n v="0"/>
    <n v="974.71899999999994"/>
    <n v="51.301000000000045"/>
    <n v="51.301000000000002"/>
    <n v="5"/>
    <n v="9.4712328767123282"/>
    <n v="487.35949999999997"/>
    <n v="10.471232876712328"/>
    <n v="8.5265128291212035E-15"/>
    <n v="487.35949999999997"/>
    <n v="51.301000000000002"/>
  </r>
  <r>
    <n v="1433"/>
    <s v="Cabin Fan"/>
    <s v="Sugar Division"/>
    <x v="5"/>
    <m/>
    <s v="Common"/>
    <d v="2010-08-15T00:00:00"/>
    <n v="2794.39"/>
    <n v="0"/>
    <n v="2654.6704999999997"/>
    <n v="139.71950000000015"/>
    <n v="139.71950000000001"/>
    <n v="5"/>
    <n v="9.6383561643835609"/>
    <n v="1327.3352499999999"/>
    <n v="10.638356164383561"/>
    <n v="2.8421709430404007E-14"/>
    <n v="1327.3352499999999"/>
    <n v="139.71950000000001"/>
  </r>
  <r>
    <n v="1434"/>
    <s v="Printer (1 No.)"/>
    <s v="Sugar Division"/>
    <x v="5"/>
    <m/>
    <s v="Common"/>
    <d v="2010-08-15T00:00:00"/>
    <n v="2125"/>
    <n v="0"/>
    <n v="2018.75"/>
    <n v="106.25"/>
    <n v="106.25"/>
    <n v="3"/>
    <n v="9.6383561643835609"/>
    <n v="1009.375"/>
    <n v="10.638356164383561"/>
    <n v="0"/>
    <n v="1009.375"/>
    <n v="106.25"/>
  </r>
  <r>
    <n v="1435"/>
    <s v="Cooler ( 2 Nos.)"/>
    <s v="Sugar Division"/>
    <x v="5"/>
    <m/>
    <s v="Common"/>
    <d v="2010-07-15T00:00:00"/>
    <n v="8101.66"/>
    <n v="0"/>
    <n v="7696.5770000000002"/>
    <n v="405.08299999999963"/>
    <n v="405.08300000000003"/>
    <n v="5"/>
    <n v="9.7232876712328764"/>
    <n v="3848.2885000000001"/>
    <n v="10.723287671232876"/>
    <n v="-7.9580786405131228E-14"/>
    <n v="3848.2885000000001"/>
    <n v="405.08300000000003"/>
  </r>
  <r>
    <n v="1436"/>
    <s v="Exaust Fan"/>
    <s v="Sugar Division"/>
    <x v="5"/>
    <m/>
    <s v="Common"/>
    <d v="2010-06-25T00:00:00"/>
    <n v="1054.01"/>
    <n v="0"/>
    <n v="1001.3095"/>
    <n v="52.700500000000034"/>
    <n v="52.700500000000005"/>
    <n v="5"/>
    <n v="9.7780821917808218"/>
    <n v="500.65474999999998"/>
    <n v="10.778082191780822"/>
    <n v="5.6843418860808018E-15"/>
    <n v="500.65474999999998"/>
    <n v="52.700500000000005"/>
  </r>
  <r>
    <n v="1437"/>
    <s v="Cabin Fan"/>
    <s v="Sugar Division"/>
    <x v="5"/>
    <m/>
    <s v="Common"/>
    <d v="2010-06-15T00:00:00"/>
    <n v="1454.83"/>
    <n v="0"/>
    <n v="1382.0884999999998"/>
    <n v="72.741500000000087"/>
    <n v="72.741500000000002"/>
    <n v="5"/>
    <n v="9.8054794520547937"/>
    <n v="691.04424999999992"/>
    <n v="10.805479452054794"/>
    <n v="1.7053025658242407E-14"/>
    <n v="691.04424999999992"/>
    <n v="72.741500000000002"/>
  </r>
  <r>
    <n v="1438"/>
    <s v="Exaust Fan"/>
    <s v="Sugar Division"/>
    <x v="5"/>
    <m/>
    <s v="Common"/>
    <d v="2010-05-25T00:00:00"/>
    <n v="1078.68"/>
    <n v="0"/>
    <n v="1024.7460000000001"/>
    <n v="53.933999999999969"/>
    <n v="53.934000000000005"/>
    <n v="5"/>
    <n v="9.8630136986301373"/>
    <n v="512.37300000000005"/>
    <n v="10.863013698630137"/>
    <n v="-7.1054273576010019E-15"/>
    <n v="512.37300000000005"/>
    <n v="53.934000000000005"/>
  </r>
  <r>
    <n v="1439"/>
    <s v="Cooler (5No.)"/>
    <s v="Sugar Division"/>
    <x v="5"/>
    <m/>
    <s v="Common"/>
    <d v="2010-05-15T00:00:00"/>
    <n v="11977"/>
    <n v="0"/>
    <n v="11378.15"/>
    <n v="598.85000000000036"/>
    <n v="598.85"/>
    <n v="5"/>
    <n v="9.8904109589041092"/>
    <n v="5689.0749999999998"/>
    <n v="10.890410958904109"/>
    <n v="6.8212102632969628E-14"/>
    <n v="5689.0749999999998"/>
    <n v="598.85"/>
  </r>
  <r>
    <n v="1440"/>
    <s v="Cabin Fan"/>
    <s v="Sugar Division"/>
    <x v="5"/>
    <m/>
    <s v="Common"/>
    <d v="2010-05-15T00:00:00"/>
    <n v="1390.08"/>
    <n v="0"/>
    <n v="1320.576"/>
    <n v="69.503999999999905"/>
    <n v="69.504000000000005"/>
    <n v="5"/>
    <n v="9.8904109589041092"/>
    <n v="660.28800000000001"/>
    <n v="10.890410958904109"/>
    <n v="-1.9895196601282807E-14"/>
    <n v="660.28800000000001"/>
    <n v="69.504000000000005"/>
  </r>
  <r>
    <n v="1441"/>
    <s v="Celling Fan"/>
    <s v="Sugar Division"/>
    <x v="5"/>
    <m/>
    <s v="Common"/>
    <d v="2010-04-25T00:00:00"/>
    <n v="933.48"/>
    <n v="0"/>
    <n v="886.80600000000004"/>
    <n v="46.673999999999978"/>
    <n v="46.674000000000007"/>
    <n v="5"/>
    <n v="9.9452054794520546"/>
    <n v="443.40300000000002"/>
    <n v="10.945205479452055"/>
    <n v="-5.6843418860808018E-15"/>
    <n v="443.40300000000002"/>
    <n v="46.674000000000007"/>
  </r>
  <r>
    <n v="1442"/>
    <s v="Celling Fan"/>
    <s v="Sugar Division"/>
    <x v="5"/>
    <m/>
    <s v="Common"/>
    <d v="2010-04-25T00:00:00"/>
    <n v="933.48"/>
    <n v="0"/>
    <n v="886.80600000000004"/>
    <n v="46.673999999999978"/>
    <n v="46.674000000000007"/>
    <n v="5"/>
    <n v="9.9452054794520546"/>
    <n v="443.40300000000002"/>
    <n v="10.945205479452055"/>
    <n v="-5.6843418860808018E-15"/>
    <n v="443.40300000000002"/>
    <n v="46.674000000000007"/>
  </r>
  <r>
    <n v="1443"/>
    <s v="Cooler (3No.)"/>
    <s v="Sugar Division"/>
    <x v="5"/>
    <m/>
    <s v="Common"/>
    <d v="2010-04-15T00:00:00"/>
    <n v="8400"/>
    <n v="0"/>
    <n v="7980"/>
    <n v="420"/>
    <n v="420"/>
    <n v="5"/>
    <n v="9.9726027397260282"/>
    <n v="3990"/>
    <n v="10.972602739726028"/>
    <n v="0"/>
    <n v="3990"/>
    <n v="420"/>
  </r>
  <r>
    <n v="1444"/>
    <s v="Laptop (One)"/>
    <s v="Sugar Division"/>
    <x v="5"/>
    <m/>
    <s v="Common"/>
    <d v="2010-04-15T00:00:00"/>
    <n v="37590"/>
    <n v="0"/>
    <n v="35710.5"/>
    <n v="1879.5"/>
    <n v="1879.5"/>
    <n v="3"/>
    <n v="9.9726027397260282"/>
    <n v="17855.25"/>
    <n v="10.972602739726028"/>
    <n v="0"/>
    <n v="17855.25"/>
    <n v="1879.5"/>
  </r>
  <r>
    <n v="1445"/>
    <s v="Printer"/>
    <s v="Sugar Division"/>
    <x v="5"/>
    <m/>
    <s v="Common"/>
    <d v="2010-03-15T00:00:00"/>
    <n v="3255"/>
    <n v="0"/>
    <n v="3092.25"/>
    <n v="162.75"/>
    <n v="162.75"/>
    <n v="3"/>
    <n v="10.057534246575342"/>
    <n v="1546.125"/>
    <n v="11.057534246575342"/>
    <n v="0"/>
    <n v="1546.125"/>
    <n v="162.75"/>
  </r>
  <r>
    <n v="1446"/>
    <s v="Printer"/>
    <s v="Sugar Division"/>
    <x v="5"/>
    <m/>
    <s v="Common"/>
    <d v="2010-03-15T00:00:00"/>
    <n v="23625"/>
    <n v="0"/>
    <n v="22443.75"/>
    <n v="1181.25"/>
    <n v="1181.25"/>
    <n v="3"/>
    <n v="10.057534246575342"/>
    <n v="11221.875"/>
    <n v="11.057534246575342"/>
    <n v="0"/>
    <n v="11221.875"/>
    <n v="1181.25"/>
  </r>
  <r>
    <n v="1447"/>
    <s v="Exaust Fan"/>
    <s v="Sugar Division"/>
    <x v="5"/>
    <m/>
    <s v="Common"/>
    <d v="2009-11-15T00:00:00"/>
    <n v="1319.46"/>
    <n v="0"/>
    <n v="1253.4870000000001"/>
    <n v="65.972999999999956"/>
    <n v="65.972999999999999"/>
    <n v="5"/>
    <n v="10.386301369863014"/>
    <n v="626.74350000000004"/>
    <n v="11.386301369863014"/>
    <n v="-8.5265128291212035E-15"/>
    <n v="626.74350000000004"/>
    <n v="65.972999999999999"/>
  </r>
  <r>
    <n v="1448"/>
    <s v="Air Conditioner"/>
    <s v="Sugar Division"/>
    <x v="5"/>
    <m/>
    <s v="Common"/>
    <d v="2009-09-15T00:00:00"/>
    <n v="25750"/>
    <n v="0"/>
    <n v="24462.5"/>
    <n v="1287.5"/>
    <n v="1287.5"/>
    <n v="5"/>
    <n v="10.553424657534247"/>
    <n v="12231.25"/>
    <n v="11.553424657534247"/>
    <n v="0"/>
    <n v="12231.25"/>
    <n v="1287.5"/>
  </r>
  <r>
    <n v="1449"/>
    <s v="Stablizer"/>
    <s v="Sugar Division"/>
    <x v="5"/>
    <m/>
    <s v="Common"/>
    <d v="2009-08-15T00:00:00"/>
    <n v="5500"/>
    <n v="0"/>
    <n v="5225"/>
    <n v="275"/>
    <n v="275"/>
    <n v="5"/>
    <n v="10.638356164383561"/>
    <n v="2612.5"/>
    <n v="11.638356164383561"/>
    <n v="0"/>
    <n v="2612.5"/>
    <n v="275"/>
  </r>
  <r>
    <n v="1450"/>
    <s v="Celling Fan"/>
    <s v="Sugar Division"/>
    <x v="5"/>
    <m/>
    <s v="Common"/>
    <d v="2009-08-15T00:00:00"/>
    <n v="884.82"/>
    <n v="0"/>
    <n v="840.57900000000006"/>
    <n v="44.240999999999985"/>
    <n v="44.241000000000007"/>
    <n v="5"/>
    <n v="10.638356164383561"/>
    <n v="420.28950000000003"/>
    <n v="11.638356164383561"/>
    <n v="-4.2632564145606017E-15"/>
    <n v="420.28950000000003"/>
    <n v="44.241000000000007"/>
  </r>
  <r>
    <n v="1451"/>
    <s v="Celling Fan (2 Nos)"/>
    <s v="Sugar Division"/>
    <x v="5"/>
    <m/>
    <s v="Common"/>
    <d v="2009-07-15T00:00:00"/>
    <n v="1726.17"/>
    <n v="0"/>
    <n v="1639.8615"/>
    <n v="86.308500000000095"/>
    <n v="86.308500000000009"/>
    <n v="5"/>
    <n v="10.723287671232876"/>
    <n v="819.93074999999999"/>
    <n v="11.723287671232876"/>
    <n v="1.7053025658242407E-14"/>
    <n v="819.93074999999999"/>
    <n v="86.308500000000009"/>
  </r>
  <r>
    <n v="1452"/>
    <s v="Cabin Fan"/>
    <s v="Sugar Division"/>
    <x v="5"/>
    <m/>
    <s v="Common"/>
    <d v="2009-07-15T00:00:00"/>
    <n v="1553.16"/>
    <n v="0"/>
    <n v="1475.502"/>
    <n v="77.658000000000129"/>
    <n v="77.658000000000015"/>
    <n v="5"/>
    <n v="10.723287671232876"/>
    <n v="737.75099999999998"/>
    <n v="11.723287671232876"/>
    <n v="2.2737367544323207E-14"/>
    <n v="737.75099999999998"/>
    <n v="77.658000000000015"/>
  </r>
  <r>
    <n v="1453"/>
    <s v="Exaust Fan"/>
    <s v="Sugar Division"/>
    <x v="5"/>
    <m/>
    <s v="Common"/>
    <d v="2009-06-15T00:00:00"/>
    <n v="1116.6600000000001"/>
    <n v="0"/>
    <n v="1060.827"/>
    <n v="55.833000000000084"/>
    <n v="55.833000000000006"/>
    <n v="5"/>
    <n v="10.805479452054794"/>
    <n v="530.4135"/>
    <n v="11.805479452054794"/>
    <n v="1.5631940186722205E-14"/>
    <n v="530.4135"/>
    <n v="55.833000000000006"/>
  </r>
  <r>
    <n v="1454"/>
    <s v="Cooler (2 Nos)"/>
    <s v="Sugar Division"/>
    <x v="5"/>
    <m/>
    <s v="Common"/>
    <d v="2009-06-15T00:00:00"/>
    <n v="6787.93"/>
    <n v="0"/>
    <n v="6448.5335000000005"/>
    <n v="339.39649999999983"/>
    <n v="339.39650000000006"/>
    <n v="5"/>
    <n v="10.805479452054794"/>
    <n v="3224.2667500000002"/>
    <n v="11.805479452054794"/>
    <n v="-4.5474735088646414E-14"/>
    <n v="3224.2667500000002"/>
    <n v="339.39650000000006"/>
  </r>
  <r>
    <n v="1455"/>
    <s v="Public Address System"/>
    <s v="Sugar Division"/>
    <x v="5"/>
    <m/>
    <s v="Common"/>
    <d v="2009-06-15T00:00:00"/>
    <n v="1220"/>
    <n v="0"/>
    <n v="1159"/>
    <n v="61"/>
    <n v="61"/>
    <n v="5"/>
    <n v="10.805479452054794"/>
    <n v="579.5"/>
    <n v="11.805479452054794"/>
    <n v="0"/>
    <n v="579.5"/>
    <n v="61"/>
  </r>
  <r>
    <n v="1456"/>
    <s v="Cabin Fan"/>
    <s v="Sugar Division"/>
    <x v="5"/>
    <m/>
    <s v="Common"/>
    <d v="2009-05-15T00:00:00"/>
    <n v="1511.13"/>
    <n v="0"/>
    <n v="1435.5735000000002"/>
    <n v="75.556499999999915"/>
    <n v="75.556500000000014"/>
    <n v="5"/>
    <n v="10.890410958904109"/>
    <n v="717.7867500000001"/>
    <n v="11.890410958904109"/>
    <n v="-1.9895196601282807E-14"/>
    <n v="717.7867500000001"/>
    <n v="75.556500000000014"/>
  </r>
  <r>
    <n v="1457"/>
    <s v="Cooler (3 Nos.)"/>
    <s v="Sugar Division"/>
    <x v="5"/>
    <m/>
    <s v="Common"/>
    <d v="2009-05-15T00:00:00"/>
    <n v="8557.75"/>
    <n v="0"/>
    <n v="8129.8625000000002"/>
    <n v="427.88749999999982"/>
    <n v="427.88750000000005"/>
    <n v="5"/>
    <n v="10.890410958904109"/>
    <n v="4064.9312500000001"/>
    <n v="11.890410958904109"/>
    <n v="-4.5474735088646414E-14"/>
    <n v="4064.9312500000001"/>
    <n v="427.88750000000005"/>
  </r>
  <r>
    <n v="1458"/>
    <s v="T.V. With Remote"/>
    <s v="Sugar Division"/>
    <x v="5"/>
    <m/>
    <s v="Common"/>
    <d v="2009-04-15T00:00:00"/>
    <n v="10050"/>
    <n v="0"/>
    <n v="9547.5"/>
    <n v="502.5"/>
    <n v="502.5"/>
    <n v="5"/>
    <n v="10.972602739726028"/>
    <n v="4773.75"/>
    <n v="11.972602739726028"/>
    <n v="0"/>
    <n v="4773.75"/>
    <n v="502.5"/>
  </r>
  <r>
    <n v="1459"/>
    <s v="Celling Fan (2Nos)"/>
    <s v="Sugar Division"/>
    <x v="5"/>
    <m/>
    <s v="Common"/>
    <d v="2009-04-15T00:00:00"/>
    <n v="707.54"/>
    <n v="0"/>
    <n v="672.16300000000001"/>
    <n v="35.376999999999953"/>
    <n v="35.377000000000002"/>
    <n v="5"/>
    <n v="10.972602739726028"/>
    <n v="336.08150000000001"/>
    <n v="11.972602739726028"/>
    <n v="-9.9475983006414035E-15"/>
    <n v="336.08150000000001"/>
    <n v="35.377000000000002"/>
  </r>
  <r>
    <n v="1460"/>
    <s v="Printer "/>
    <s v="Sugar Division"/>
    <x v="5"/>
    <m/>
    <s v="Common"/>
    <d v="2009-04-15T00:00:00"/>
    <n v="18399.990000000002"/>
    <n v="0"/>
    <n v="17479.9905"/>
    <n v="919.99950000000172"/>
    <n v="919.99950000000013"/>
    <n v="3"/>
    <n v="10.972602739726028"/>
    <n v="8739.9952499999999"/>
    <n v="11.972602739726028"/>
    <n v="5.3053857603420807E-13"/>
    <n v="8739.9952499999999"/>
    <n v="919.99950000000013"/>
  </r>
  <r>
    <n v="1461"/>
    <s v="X-Ray Machine (Baggage)"/>
    <s v="Sugar Division"/>
    <x v="5"/>
    <m/>
    <s v="Common"/>
    <d v="2009-03-25T00:00:00"/>
    <n v="18237"/>
    <n v="0"/>
    <n v="17325.150000000001"/>
    <n v="911.84999999999854"/>
    <n v="911.85"/>
    <n v="5"/>
    <n v="11.03013698630137"/>
    <n v="8662.5750000000007"/>
    <n v="12.03013698630137"/>
    <n v="-2.9558577807620169E-13"/>
    <n v="8662.5750000000007"/>
    <n v="911.85"/>
  </r>
  <r>
    <n v="1462"/>
    <s v="Exaust Fan"/>
    <s v="Sugar Division"/>
    <x v="5"/>
    <m/>
    <s v="Common"/>
    <d v="2009-03-15T00:00:00"/>
    <n v="1319.46"/>
    <n v="0"/>
    <n v="1253.4870000000001"/>
    <n v="65.972999999999956"/>
    <n v="65.972999999999999"/>
    <n v="5"/>
    <n v="11.057534246575342"/>
    <n v="626.74350000000004"/>
    <n v="12.057534246575342"/>
    <n v="-8.5265128291212035E-15"/>
    <n v="626.74350000000004"/>
    <n v="65.972999999999999"/>
  </r>
  <r>
    <n v="1463"/>
    <s v="Celling Fan (2Nos)"/>
    <s v="Sugar Division"/>
    <x v="5"/>
    <m/>
    <s v="Common"/>
    <d v="2009-03-15T00:00:00"/>
    <n v="2122.61"/>
    <n v="0"/>
    <n v="2016.4795000000001"/>
    <n v="106.13049999999998"/>
    <n v="106.13050000000001"/>
    <n v="5"/>
    <n v="11.057534246575342"/>
    <n v="1008.2397500000001"/>
    <n v="12.057534246575342"/>
    <n v="-5.6843418860808018E-15"/>
    <n v="1008.2397500000001"/>
    <n v="106.13050000000001"/>
  </r>
  <r>
    <n v="1464"/>
    <s v="Cctv"/>
    <s v="Sugar Division"/>
    <x v="5"/>
    <m/>
    <s v="Common"/>
    <d v="2009-03-06T00:00:00"/>
    <n v="10592"/>
    <n v="0"/>
    <n v="10062.4"/>
    <n v="529.60000000000036"/>
    <n v="529.6"/>
    <n v="5"/>
    <n v="11.082191780821917"/>
    <n v="5031.2"/>
    <n v="12.082191780821917"/>
    <n v="6.8212102632969628E-14"/>
    <n v="5031.2"/>
    <n v="529.6"/>
  </r>
  <r>
    <n v="1465"/>
    <s v="Metal Dedector"/>
    <s v="Sugar Division"/>
    <x v="5"/>
    <m/>
    <s v="Common"/>
    <d v="2009-02-23T00:00:00"/>
    <n v="1968"/>
    <n v="0"/>
    <n v="1869.6"/>
    <n v="98.400000000000091"/>
    <n v="98.4"/>
    <n v="5"/>
    <n v="11.112328767123287"/>
    <n v="934.8"/>
    <n v="12.112328767123287"/>
    <n v="1.7053025658242407E-14"/>
    <n v="934.8"/>
    <n v="98.4"/>
  </r>
  <r>
    <n v="1466"/>
    <s v="Cooler"/>
    <s v="Sugar Division"/>
    <x v="5"/>
    <m/>
    <s v="Common"/>
    <d v="2009-01-15T00:00:00"/>
    <n v="2643.75"/>
    <n v="0"/>
    <n v="2511.5625"/>
    <n v="132.1875"/>
    <n v="132.1875"/>
    <n v="5"/>
    <n v="11.219178082191782"/>
    <n v="1255.78125"/>
    <n v="12.219178082191782"/>
    <n v="0"/>
    <n v="1255.78125"/>
    <n v="132.1875"/>
  </r>
  <r>
    <n v="1467"/>
    <s v="Server 1 No."/>
    <s v="Sugar Division"/>
    <x v="5"/>
    <m/>
    <s v="Common"/>
    <d v="2008-12-15T00:00:00"/>
    <n v="29064.22"/>
    <n v="0"/>
    <n v="27611.009000000002"/>
    <n v="1453.2109999999993"/>
    <n v="1453.2110000000002"/>
    <n v="6"/>
    <n v="11.304109589041095"/>
    <n v="13805.504500000001"/>
    <n v="12.304109589041095"/>
    <n v="-1.5158245029548803E-13"/>
    <n v="13805.504500000001"/>
    <n v="1453.2110000000002"/>
  </r>
  <r>
    <n v="1468"/>
    <s v="Celling Fan (2Nos)"/>
    <s v="Sugar Division"/>
    <x v="5"/>
    <m/>
    <s v="Common"/>
    <d v="2008-12-15T00:00:00"/>
    <n v="1415.07"/>
    <n v="0"/>
    <n v="1344.3164999999999"/>
    <n v="70.753500000000031"/>
    <n v="70.753500000000003"/>
    <n v="5"/>
    <n v="11.304109589041095"/>
    <n v="672.15824999999995"/>
    <n v="12.304109589041095"/>
    <n v="5.6843418860808018E-15"/>
    <n v="672.15824999999995"/>
    <n v="70.753500000000003"/>
  </r>
  <r>
    <n v="1469"/>
    <s v="U.P.S."/>
    <s v="Sugar Division"/>
    <x v="5"/>
    <m/>
    <s v="Common"/>
    <d v="2008-11-15T00:00:00"/>
    <n v="1832.98"/>
    <n v="0"/>
    <n v="1741.3310000000001"/>
    <n v="91.648999999999887"/>
    <n v="91.649000000000001"/>
    <n v="3"/>
    <n v="11.386301369863014"/>
    <n v="870.66550000000007"/>
    <n v="12.386301369863014"/>
    <n v="-3.7895612573872008E-14"/>
    <n v="870.66550000000007"/>
    <n v="91.649000000000001"/>
  </r>
  <r>
    <n v="1470"/>
    <s v="Printer (6 Nos)"/>
    <s v="Sugar Division"/>
    <x v="5"/>
    <m/>
    <s v="Common"/>
    <d v="2008-11-15T00:00:00"/>
    <n v="30957.07"/>
    <n v="0"/>
    <n v="29409.216499999999"/>
    <n v="1547.8535000000011"/>
    <n v="1547.8535000000002"/>
    <n v="3"/>
    <n v="11.386301369863014"/>
    <n v="14704.608249999999"/>
    <n v="12.386301369863014"/>
    <n v="3.0316490059097606E-13"/>
    <n v="14704.608249999999"/>
    <n v="1547.8535000000002"/>
  </r>
  <r>
    <n v="1471"/>
    <s v="Lap Top "/>
    <s v="Sugar Division"/>
    <x v="5"/>
    <m/>
    <s v="Common"/>
    <d v="2008-11-15T00:00:00"/>
    <n v="33800"/>
    <n v="0"/>
    <n v="32110"/>
    <n v="1690"/>
    <n v="1690"/>
    <n v="3"/>
    <n v="11.386301369863014"/>
    <n v="16055"/>
    <n v="12.386301369863014"/>
    <n v="0"/>
    <n v="16055"/>
    <n v="1690"/>
  </r>
  <r>
    <n v="1472"/>
    <s v="Lap Top (3 Nos)"/>
    <s v="Sugar Division"/>
    <x v="5"/>
    <m/>
    <s v="Common"/>
    <d v="2008-10-15T00:00:00"/>
    <n v="101400"/>
    <n v="0"/>
    <n v="96330"/>
    <n v="5070"/>
    <n v="5070"/>
    <n v="3"/>
    <n v="11.471232876712328"/>
    <n v="48165"/>
    <n v="12.471232876712328"/>
    <n v="0"/>
    <n v="48165"/>
    <n v="5070"/>
  </r>
  <r>
    <n v="1473"/>
    <s v="Computer Machine"/>
    <s v="Sugar Division"/>
    <x v="5"/>
    <m/>
    <s v="Common"/>
    <d v="2008-03-15T00:00:00"/>
    <n v="9000"/>
    <n v="0"/>
    <n v="8550"/>
    <n v="450"/>
    <n v="450"/>
    <n v="3"/>
    <n v="12.057534246575342"/>
    <n v="4275"/>
    <n v="13.057534246575342"/>
    <n v="0"/>
    <n v="4275"/>
    <n v="450"/>
  </r>
  <r>
    <n v="1474"/>
    <s v="Stablizer"/>
    <s v="Sugar Division"/>
    <x v="5"/>
    <m/>
    <s v="Common"/>
    <d v="2008-03-15T00:00:00"/>
    <n v="11000"/>
    <n v="0"/>
    <n v="10450"/>
    <n v="550"/>
    <n v="550"/>
    <n v="5"/>
    <n v="12.057534246575342"/>
    <n v="5225"/>
    <n v="13.057534246575342"/>
    <n v="0"/>
    <n v="5225"/>
    <n v="550"/>
  </r>
  <r>
    <n v="1475"/>
    <s v="T.V.With Remote"/>
    <s v="Sugar Division"/>
    <x v="5"/>
    <m/>
    <s v="Common"/>
    <d v="2008-02-16T00:00:00"/>
    <n v="8100"/>
    <n v="0"/>
    <n v="7695"/>
    <n v="405"/>
    <n v="405"/>
    <n v="5"/>
    <n v="12.134246575342466"/>
    <n v="3847.5"/>
    <n v="13.134246575342466"/>
    <n v="0"/>
    <n v="3847.5"/>
    <n v="405"/>
  </r>
  <r>
    <n v="1476"/>
    <s v="Computer "/>
    <s v="Sugar Division"/>
    <x v="5"/>
    <m/>
    <s v="Common"/>
    <d v="2008-01-15T00:00:00"/>
    <n v="25830"/>
    <n v="0"/>
    <n v="24538.5"/>
    <n v="1291.5"/>
    <n v="1291.5"/>
    <n v="3"/>
    <n v="12.221917808219178"/>
    <n v="12269.25"/>
    <n v="13.221917808219178"/>
    <n v="0"/>
    <n v="12269.25"/>
    <n v="1291.5"/>
  </r>
  <r>
    <n v="1477"/>
    <s v="Celling Fan"/>
    <s v="Sugar Division"/>
    <x v="5"/>
    <m/>
    <s v="Common"/>
    <d v="2008-01-01T00:00:00"/>
    <n v="14013.4"/>
    <n v="0"/>
    <n v="13312.73"/>
    <n v="700.67000000000007"/>
    <n v="700.67000000000007"/>
    <n v="5"/>
    <n v="12.260273972602739"/>
    <n v="6656.3649999999998"/>
    <n v="13.260273972602739"/>
    <n v="0"/>
    <n v="6656.3649999999998"/>
    <n v="700.67000000000007"/>
  </r>
  <r>
    <n v="1478"/>
    <s v="Cooler"/>
    <s v="Sugar Division"/>
    <x v="5"/>
    <m/>
    <s v="Common"/>
    <d v="2008-01-01T00:00:00"/>
    <n v="14724.23"/>
    <n v="0"/>
    <n v="13988.0185"/>
    <n v="736.21149999999943"/>
    <n v="736.2115"/>
    <n v="5"/>
    <n v="12.260273972602739"/>
    <n v="6994.0092500000001"/>
    <n v="13.260273972602739"/>
    <n v="-1.1368683772161603E-13"/>
    <n v="6994.0092500000001"/>
    <n v="736.2115"/>
  </r>
  <r>
    <n v="1479"/>
    <s v="Exaust Fan"/>
    <s v="Sugar Division"/>
    <x v="5"/>
    <m/>
    <s v="Common"/>
    <d v="2008-01-01T00:00:00"/>
    <n v="6234.82"/>
    <n v="0"/>
    <n v="5923.0789999999997"/>
    <n v="311.74099999999999"/>
    <n v="311.74099999999999"/>
    <n v="5"/>
    <n v="12.260273972602739"/>
    <n v="2961.5394999999999"/>
    <n v="13.260273972602739"/>
    <n v="0"/>
    <n v="2961.5394999999999"/>
    <n v="311.74099999999999"/>
  </r>
  <r>
    <n v="1480"/>
    <s v="Gyzers"/>
    <s v="Sugar Division"/>
    <x v="5"/>
    <m/>
    <s v="Common"/>
    <d v="2008-01-01T00:00:00"/>
    <n v="14905"/>
    <n v="0"/>
    <n v="14159.75"/>
    <n v="745.25"/>
    <n v="745.25"/>
    <n v="5"/>
    <n v="12.260273972602739"/>
    <n v="7079.875"/>
    <n v="13.260273972602739"/>
    <n v="0"/>
    <n v="7079.875"/>
    <n v="745.25"/>
  </r>
  <r>
    <n v="1481"/>
    <s v="Laser Printer"/>
    <s v="Sugar Division"/>
    <x v="5"/>
    <m/>
    <s v="Common"/>
    <d v="2007-12-15T00:00:00"/>
    <n v="16275"/>
    <n v="0"/>
    <n v="15461.25"/>
    <n v="813.75"/>
    <n v="813.75"/>
    <n v="3"/>
    <n v="12.306849315068494"/>
    <n v="7730.625"/>
    <n v="13.306849315068494"/>
    <n v="0"/>
    <n v="7730.625"/>
    <n v="813.75"/>
  </r>
  <r>
    <n v="1482"/>
    <s v="Computer "/>
    <s v="Sugar Division"/>
    <x v="5"/>
    <m/>
    <s v="Common"/>
    <d v="2007-12-15T00:00:00"/>
    <n v="25830"/>
    <n v="0"/>
    <n v="24538.5"/>
    <n v="1291.5"/>
    <n v="1291.5"/>
    <n v="3"/>
    <n v="12.306849315068494"/>
    <n v="12269.25"/>
    <n v="13.306849315068494"/>
    <n v="0"/>
    <n v="12269.25"/>
    <n v="1291.5"/>
  </r>
  <r>
    <n v="1483"/>
    <s v="Printer"/>
    <s v="Sugar Division"/>
    <x v="5"/>
    <m/>
    <s v="Common"/>
    <d v="2007-10-15T00:00:00"/>
    <n v="5969.24"/>
    <n v="0"/>
    <n v="5670.7780000000002"/>
    <n v="298.46199999999953"/>
    <n v="298.46199999999999"/>
    <n v="3"/>
    <n v="12.473972602739726"/>
    <n v="2835.3890000000001"/>
    <n v="13.473972602739726"/>
    <n v="-1.5158245029548803E-13"/>
    <n v="2835.3890000000001"/>
    <n v="298.46199999999999"/>
  </r>
  <r>
    <n v="1484"/>
    <s v="Computer "/>
    <s v="Sugar Division"/>
    <x v="5"/>
    <m/>
    <s v="Common"/>
    <d v="2007-10-15T00:00:00"/>
    <n v="134399.88"/>
    <n v="0"/>
    <n v="127679.886"/>
    <n v="6719.9940000000061"/>
    <n v="6719.9940000000006"/>
    <n v="3"/>
    <n v="12.473972602739726"/>
    <n v="63839.942999999999"/>
    <n v="13.473972602739726"/>
    <n v="1.8189894035458565E-12"/>
    <n v="63839.942999999999"/>
    <n v="6719.9940000000006"/>
  </r>
  <r>
    <n v="1485"/>
    <s v="Server"/>
    <s v="Sugar Division"/>
    <x v="5"/>
    <m/>
    <s v="Common"/>
    <d v="2007-10-15T00:00:00"/>
    <n v="154374.88"/>
    <n v="0"/>
    <n v="146656.136"/>
    <n v="7718.7440000000061"/>
    <n v="7718.7440000000006"/>
    <n v="6"/>
    <n v="12.473972602739726"/>
    <n v="73328.067999999999"/>
    <n v="13.473972602739726"/>
    <n v="9.0949470177292824E-13"/>
    <n v="73328.067999999999"/>
    <n v="7718.7440000000006"/>
  </r>
  <r>
    <n v="1486"/>
    <s v="Printer"/>
    <s v="Sugar Division"/>
    <x v="5"/>
    <m/>
    <s v="Common"/>
    <d v="2007-07-27T00:00:00"/>
    <n v="49500"/>
    <n v="0"/>
    <n v="47025"/>
    <n v="2475"/>
    <n v="2475"/>
    <n v="3"/>
    <n v="12.693150684931506"/>
    <n v="23512.5"/>
    <n v="13.693150684931506"/>
    <n v="0"/>
    <n v="23512.5"/>
    <n v="2475"/>
  </r>
  <r>
    <n v="1487"/>
    <s v="Printer"/>
    <s v="Sugar Division"/>
    <x v="5"/>
    <m/>
    <s v="Common"/>
    <d v="2007-06-15T00:00:00"/>
    <n v="14700"/>
    <n v="0"/>
    <n v="13965"/>
    <n v="735"/>
    <n v="735"/>
    <n v="3"/>
    <n v="12.808219178082192"/>
    <n v="6982.5"/>
    <n v="13.808219178082192"/>
    <n v="0"/>
    <n v="6982.5"/>
    <n v="735"/>
  </r>
  <r>
    <n v="1488"/>
    <s v="Computer Ibm 2 Nos."/>
    <s v="Sugar Division"/>
    <x v="5"/>
    <m/>
    <s v="Common"/>
    <d v="2007-05-15T00:00:00"/>
    <n v="63600"/>
    <n v="0"/>
    <n v="60420"/>
    <n v="3180"/>
    <n v="3180"/>
    <n v="3"/>
    <n v="12.893150684931507"/>
    <n v="30210"/>
    <n v="13.893150684931507"/>
    <n v="0"/>
    <n v="30210"/>
    <n v="3180"/>
  </r>
  <r>
    <n v="1489"/>
    <s v="Laptop"/>
    <s v="Sugar Division"/>
    <x v="5"/>
    <m/>
    <s v="Common"/>
    <d v="2007-05-15T00:00:00"/>
    <n v="69000"/>
    <n v="0"/>
    <n v="65550"/>
    <n v="3450"/>
    <n v="3450"/>
    <n v="3"/>
    <n v="12.893150684931507"/>
    <n v="32775"/>
    <n v="13.893150684931507"/>
    <n v="0"/>
    <n v="32775"/>
    <n v="3450"/>
  </r>
  <r>
    <n v="1490"/>
    <s v="Computer Server"/>
    <s v="Sugar Division"/>
    <x v="5"/>
    <m/>
    <s v="Common"/>
    <d v="2007-04-15T00:00:00"/>
    <n v="149340"/>
    <n v="0"/>
    <n v="141873"/>
    <n v="7467"/>
    <n v="7467"/>
    <n v="6"/>
    <n v="12.975342465753425"/>
    <n v="70936.5"/>
    <n v="13.975342465753425"/>
    <n v="0"/>
    <n v="70936.5"/>
    <n v="7467"/>
  </r>
  <r>
    <n v="1491"/>
    <s v="Celling Fan"/>
    <s v="Sugar Division"/>
    <x v="5"/>
    <m/>
    <s v="Common"/>
    <d v="2007-01-01T00:00:00"/>
    <n v="24044.94"/>
    <n v="0"/>
    <n v="22842.692999999999"/>
    <n v="1202.2469999999994"/>
    <n v="1202.2470000000001"/>
    <n v="5"/>
    <n v="13.260273972602739"/>
    <n v="11421.3465"/>
    <n v="14.260273972602739"/>
    <n v="-1.3642420526593926E-13"/>
    <n v="11421.3465"/>
    <n v="1202.2470000000001"/>
  </r>
  <r>
    <n v="1492"/>
    <s v="Cooler"/>
    <s v="Sugar Division"/>
    <x v="5"/>
    <m/>
    <s v="Common"/>
    <d v="2007-01-01T00:00:00"/>
    <n v="32890.93"/>
    <n v="0"/>
    <n v="31246.3835"/>
    <n v="1644.5465000000004"/>
    <n v="1644.5465000000002"/>
    <n v="5"/>
    <n v="13.260273972602739"/>
    <n v="15623.19175"/>
    <n v="14.260273972602739"/>
    <n v="4.5474735088646414E-14"/>
    <n v="15623.19175"/>
    <n v="1644.5465000000002"/>
  </r>
  <r>
    <n v="1493"/>
    <s v="Table Fan"/>
    <s v="Sugar Division"/>
    <x v="5"/>
    <m/>
    <s v="Common"/>
    <d v="2007-01-01T00:00:00"/>
    <n v="1886.6"/>
    <n v="0"/>
    <n v="1792.27"/>
    <n v="94.329999999999927"/>
    <n v="94.33"/>
    <n v="5"/>
    <n v="13.260273972602739"/>
    <n v="896.13499999999999"/>
    <n v="14.260273972602739"/>
    <n v="-1.4210854715202004E-14"/>
    <n v="896.13499999999999"/>
    <n v="94.33"/>
  </r>
  <r>
    <n v="1494"/>
    <s v="Exhaust Fan"/>
    <s v="Sugar Division"/>
    <x v="5"/>
    <m/>
    <s v="Common"/>
    <d v="2007-01-01T00:00:00"/>
    <n v="9327.5300000000007"/>
    <n v="0"/>
    <n v="8861.1535000000003"/>
    <n v="466.37650000000031"/>
    <n v="466.37650000000008"/>
    <n v="5"/>
    <n v="13.260273972602739"/>
    <n v="4430.5767500000002"/>
    <n v="14.260273972602739"/>
    <n v="4.5474735088646414E-14"/>
    <n v="4430.5767500000002"/>
    <n v="466.37650000000008"/>
  </r>
  <r>
    <n v="1495"/>
    <s v="Stablizer 7 Nos"/>
    <s v="Sugar Division"/>
    <x v="5"/>
    <m/>
    <s v="Common"/>
    <d v="2007-01-01T00:00:00"/>
    <n v="33121.54"/>
    <n v="0"/>
    <n v="31465.463"/>
    <n v="1656.0770000000011"/>
    <n v="1656.0770000000002"/>
    <n v="5"/>
    <n v="13.260273972602739"/>
    <n v="15732.7315"/>
    <n v="14.260273972602739"/>
    <n v="1.8189894035458566E-13"/>
    <n v="15732.7315"/>
    <n v="1656.0770000000002"/>
  </r>
  <r>
    <n v="1496"/>
    <s v="Gyser 12 Nos."/>
    <s v="Sugar Division"/>
    <x v="5"/>
    <m/>
    <s v="Common"/>
    <d v="2007-01-01T00:00:00"/>
    <n v="36499.58"/>
    <n v="0"/>
    <n v="34674.601000000002"/>
    <n v="1824.9789999999994"/>
    <n v="1824.9790000000003"/>
    <n v="5"/>
    <n v="13.260273972602739"/>
    <n v="17337.300500000001"/>
    <n v="14.260273972602739"/>
    <n v="-1.8189894035458566E-13"/>
    <n v="17337.300500000001"/>
    <n v="1824.9790000000003"/>
  </r>
  <r>
    <n v="1497"/>
    <s v="U.P.S. 2 Nos."/>
    <s v="Sugar Division"/>
    <x v="5"/>
    <m/>
    <s v="Common"/>
    <d v="2007-01-01T00:00:00"/>
    <n v="3780"/>
    <n v="0"/>
    <n v="3591"/>
    <n v="189"/>
    <n v="189"/>
    <n v="3"/>
    <n v="13.260273972602739"/>
    <n v="1795.5"/>
    <n v="14.260273972602739"/>
    <n v="0"/>
    <n v="1795.5"/>
    <n v="189"/>
  </r>
  <r>
    <n v="1498"/>
    <s v="Internet Phone 2 Nos."/>
    <s v="Sugar Division"/>
    <x v="5"/>
    <m/>
    <s v="Common"/>
    <d v="2007-01-01T00:00:00"/>
    <n v="6300"/>
    <n v="0"/>
    <n v="5985"/>
    <n v="315"/>
    <n v="315"/>
    <n v="3"/>
    <n v="13.260273972602739"/>
    <n v="2992.5"/>
    <n v="14.260273972602739"/>
    <n v="0"/>
    <n v="2992.5"/>
    <n v="315"/>
  </r>
  <r>
    <n v="1499"/>
    <s v="Computer Ibm"/>
    <s v="Sugar Division"/>
    <x v="5"/>
    <m/>
    <s v="Common"/>
    <d v="2006-12-15T00:00:00"/>
    <n v="28923.9"/>
    <n v="0"/>
    <n v="27477.705000000002"/>
    <n v="1446.1949999999997"/>
    <n v="1446.1950000000002"/>
    <n v="3"/>
    <n v="13.306849315068494"/>
    <n v="13738.852500000001"/>
    <n v="14.306849315068494"/>
    <n v="-1.5158245029548803E-13"/>
    <n v="13738.852500000001"/>
    <n v="1446.1950000000002"/>
  </r>
  <r>
    <n v="1500"/>
    <s v="Air Conditioner"/>
    <s v="Sugar Division"/>
    <x v="5"/>
    <m/>
    <s v="Common"/>
    <d v="2006-12-15T00:00:00"/>
    <n v="96793.76"/>
    <n v="0"/>
    <n v="91954.072"/>
    <n v="4839.6879999999946"/>
    <n v="4839.6880000000001"/>
    <n v="5"/>
    <n v="13.306849315068494"/>
    <n v="45977.036"/>
    <n v="14.306849315068494"/>
    <n v="-1.091393642127514E-12"/>
    <n v="45977.036"/>
    <n v="4839.6880000000001"/>
  </r>
  <r>
    <n v="1501"/>
    <s v="Air Conditioner"/>
    <s v="Sugar Division"/>
    <x v="5"/>
    <m/>
    <s v="Common"/>
    <d v="2006-11-15T00:00:00"/>
    <n v="48332.28"/>
    <n v="0"/>
    <n v="45915.665999999997"/>
    <n v="2416.6140000000014"/>
    <n v="2416.614"/>
    <n v="5"/>
    <n v="13.389041095890411"/>
    <n v="22957.832999999999"/>
    <n v="14.389041095890411"/>
    <n v="2.7284841053187851E-13"/>
    <n v="22957.832999999999"/>
    <n v="2416.614"/>
  </r>
  <r>
    <n v="1502"/>
    <s v="Laptop At( Lko.)"/>
    <s v="Sugar Division"/>
    <x v="5"/>
    <m/>
    <s v="Common"/>
    <d v="2006-10-15T00:00:00"/>
    <n v="16000"/>
    <n v="0"/>
    <n v="15200"/>
    <n v="800"/>
    <n v="800"/>
    <n v="3"/>
    <n v="13.473972602739726"/>
    <n v="7600"/>
    <n v="14.473972602739726"/>
    <n v="0"/>
    <n v="7600"/>
    <n v="800"/>
  </r>
  <r>
    <n v="1503"/>
    <s v="Printer"/>
    <s v="Sugar Division"/>
    <x v="5"/>
    <m/>
    <s v="Common"/>
    <d v="2006-09-15T00:00:00"/>
    <n v="16258.44"/>
    <n v="0"/>
    <n v="15445.518"/>
    <n v="812.92200000000048"/>
    <n v="812.92200000000003"/>
    <n v="3"/>
    <n v="13.556164383561644"/>
    <n v="7722.759"/>
    <n v="14.556164383561644"/>
    <n v="1.5158245029548803E-13"/>
    <n v="7722.759"/>
    <n v="812.92200000000003"/>
  </r>
  <r>
    <n v="1504"/>
    <s v="Fridge"/>
    <s v="Sugar Division"/>
    <x v="5"/>
    <m/>
    <s v="Common"/>
    <d v="2006-09-15T00:00:00"/>
    <n v="21416.66"/>
    <n v="0"/>
    <n v="20345.827000000001"/>
    <n v="1070.8329999999987"/>
    <n v="1070.8330000000001"/>
    <n v="5"/>
    <n v="13.556164383561644"/>
    <n v="10172.913500000001"/>
    <n v="14.556164383561644"/>
    <n v="-2.7284841053187851E-13"/>
    <n v="10172.913500000001"/>
    <n v="1070.8330000000001"/>
  </r>
  <r>
    <n v="1505"/>
    <s v="Fridge"/>
    <s v="Sugar Division"/>
    <x v="5"/>
    <m/>
    <s v="Common"/>
    <d v="2006-07-15T00:00:00"/>
    <n v="8175"/>
    <n v="0"/>
    <n v="7766.25"/>
    <n v="408.75"/>
    <n v="408.75"/>
    <n v="5"/>
    <n v="13.726027397260275"/>
    <n v="3883.125"/>
    <n v="14.726027397260275"/>
    <n v="0"/>
    <n v="3883.125"/>
    <n v="408.75"/>
  </r>
  <r>
    <n v="1506"/>
    <s v="Printer"/>
    <s v="Sugar Division"/>
    <x v="5"/>
    <m/>
    <s v="Common"/>
    <d v="2006-07-15T00:00:00"/>
    <n v="11700"/>
    <n v="0"/>
    <n v="11115"/>
    <n v="585"/>
    <n v="585"/>
    <n v="3"/>
    <n v="13.726027397260275"/>
    <n v="5557.5"/>
    <n v="14.726027397260275"/>
    <n v="0"/>
    <n v="5557.5"/>
    <n v="585"/>
  </r>
  <r>
    <n v="1507"/>
    <s v="Air Conditioner"/>
    <s v="Sugar Division"/>
    <x v="5"/>
    <m/>
    <s v="Common"/>
    <d v="2006-07-15T00:00:00"/>
    <n v="14800"/>
    <n v="0"/>
    <n v="14060"/>
    <n v="740"/>
    <n v="740"/>
    <n v="5"/>
    <n v="13.726027397260275"/>
    <n v="7030"/>
    <n v="14.726027397260275"/>
    <n v="0"/>
    <n v="7030"/>
    <n v="740"/>
  </r>
  <r>
    <n v="1508"/>
    <s v="Invertor"/>
    <s v="Sugar Division"/>
    <x v="5"/>
    <m/>
    <s v="Common"/>
    <d v="2006-07-15T00:00:00"/>
    <n v="14850"/>
    <n v="0"/>
    <n v="14107.5"/>
    <n v="742.5"/>
    <n v="742.5"/>
    <n v="5"/>
    <n v="13.726027397260275"/>
    <n v="7053.75"/>
    <n v="14.726027397260275"/>
    <n v="0"/>
    <n v="7053.75"/>
    <n v="742.5"/>
  </r>
  <r>
    <n v="1509"/>
    <s v="Computer Ibm"/>
    <s v="Sugar Division"/>
    <x v="5"/>
    <m/>
    <s v="Common"/>
    <d v="2006-07-15T00:00:00"/>
    <n v="161776.10999999999"/>
    <n v="0"/>
    <n v="153687.3045"/>
    <n v="8088.8054999999877"/>
    <n v="8088.8054999999995"/>
    <n v="3"/>
    <n v="13.726027397260275"/>
    <n v="76843.652249999999"/>
    <n v="14.726027397260275"/>
    <n v="-3.9411437076826888E-12"/>
    <n v="76843.652249999999"/>
    <n v="8088.8054999999995"/>
  </r>
  <r>
    <n v="1510"/>
    <s v="Cabin Fan"/>
    <s v="Sugar Division"/>
    <x v="5"/>
    <m/>
    <s v="Common"/>
    <d v="2006-06-30T00:00:00"/>
    <n v="1560"/>
    <n v="0"/>
    <n v="1482"/>
    <n v="78"/>
    <n v="78"/>
    <n v="5"/>
    <n v="13.767123287671232"/>
    <n v="741"/>
    <n v="14.767123287671232"/>
    <n v="0"/>
    <n v="741"/>
    <n v="78"/>
  </r>
  <r>
    <n v="1511"/>
    <s v="Aquagard 1 No."/>
    <s v="Sugar Division"/>
    <x v="5"/>
    <m/>
    <s v="Common"/>
    <d v="2006-06-30T00:00:00"/>
    <n v="6790"/>
    <n v="0"/>
    <n v="6450.5"/>
    <n v="339.5"/>
    <n v="339.5"/>
    <n v="5"/>
    <n v="13.767123287671232"/>
    <n v="3225.25"/>
    <n v="14.767123287671232"/>
    <n v="0"/>
    <n v="3225.25"/>
    <n v="339.5"/>
  </r>
  <r>
    <n v="1512"/>
    <s v="Air Conditioner 2 No"/>
    <s v="Sugar Division"/>
    <x v="5"/>
    <m/>
    <s v="Common"/>
    <d v="2006-03-31T00:00:00"/>
    <n v="57400.02"/>
    <n v="0"/>
    <n v="54530.019"/>
    <n v="2870.0009999999966"/>
    <n v="2870.0010000000002"/>
    <n v="5"/>
    <n v="14.016438356164384"/>
    <n v="27265.0095"/>
    <n v="15.016438356164384"/>
    <n v="-7.2759576141834263E-13"/>
    <n v="27265.0095"/>
    <n v="2870.0010000000002"/>
  </r>
  <r>
    <n v="1513"/>
    <s v="Gyzer 1 No."/>
    <s v="Sugar Division"/>
    <x v="5"/>
    <m/>
    <s v="Common"/>
    <d v="2006-01-31T00:00:00"/>
    <n v="5985"/>
    <n v="0"/>
    <n v="5685.75"/>
    <n v="299.25"/>
    <n v="299.25"/>
    <n v="5"/>
    <n v="14.178082191780822"/>
    <n v="2842.875"/>
    <n v="15.178082191780822"/>
    <n v="0"/>
    <n v="2842.875"/>
    <n v="299.25"/>
  </r>
  <r>
    <n v="1514"/>
    <s v="Celling Fan 14 Nos"/>
    <s v="Sugar Division"/>
    <x v="5"/>
    <m/>
    <s v="Common"/>
    <d v="2006-01-01T00:00:00"/>
    <n v="14770.31"/>
    <n v="0"/>
    <n v="14031.7945"/>
    <n v="738.51549999999952"/>
    <n v="738.51549999999997"/>
    <n v="5"/>
    <n v="14.260273972602739"/>
    <n v="7015.89725"/>
    <n v="15.260273972602739"/>
    <n v="-9.0949470177292829E-14"/>
    <n v="7015.89725"/>
    <n v="738.51549999999997"/>
  </r>
  <r>
    <n v="1515"/>
    <s v="Table Fan 3 Nos"/>
    <s v="Sugar Division"/>
    <x v="5"/>
    <m/>
    <s v="Common"/>
    <d v="2006-01-01T00:00:00"/>
    <n v="2261.4"/>
    <n v="0"/>
    <n v="2148.33"/>
    <n v="113.07000000000016"/>
    <n v="113.07000000000001"/>
    <n v="5"/>
    <n v="14.260273972602739"/>
    <n v="1074.165"/>
    <n v="15.260273972602739"/>
    <n v="3.1263880373444411E-14"/>
    <n v="1074.165"/>
    <n v="113.07000000000001"/>
  </r>
  <r>
    <n v="1516"/>
    <s v="Blower 2 Nos"/>
    <s v="Sugar Division"/>
    <x v="5"/>
    <m/>
    <s v="Common"/>
    <d v="2006-01-01T00:00:00"/>
    <n v="2490"/>
    <n v="0"/>
    <n v="2365.5"/>
    <n v="124.5"/>
    <n v="124.5"/>
    <n v="5"/>
    <n v="14.260273972602739"/>
    <n v="1182.75"/>
    <n v="15.260273972602739"/>
    <n v="0"/>
    <n v="1182.75"/>
    <n v="124.5"/>
  </r>
  <r>
    <n v="1517"/>
    <s v="Coolers 8 Nos"/>
    <s v="Sugar Division"/>
    <x v="5"/>
    <m/>
    <s v="Common"/>
    <d v="2006-01-01T00:00:00"/>
    <n v="22306.63"/>
    <n v="0"/>
    <n v="21191.298500000001"/>
    <n v="1115.3315000000002"/>
    <n v="1115.3315"/>
    <n v="5"/>
    <n v="14.260273972602739"/>
    <n v="10595.64925"/>
    <n v="15.260273972602739"/>
    <n v="4.5474735088646414E-14"/>
    <n v="10595.64925"/>
    <n v="1115.3315"/>
  </r>
  <r>
    <n v="1518"/>
    <s v="Exhaust Fan 2 Nos"/>
    <s v="Sugar Division"/>
    <x v="5"/>
    <m/>
    <s v="Common"/>
    <d v="2006-01-01T00:00:00"/>
    <n v="2190.33"/>
    <n v="0"/>
    <n v="2080.8134999999997"/>
    <n v="109.51650000000018"/>
    <n v="109.51650000000001"/>
    <n v="5"/>
    <n v="14.260273972602739"/>
    <n v="1040.4067499999999"/>
    <n v="15.260273972602739"/>
    <n v="3.4106051316484814E-14"/>
    <n v="1040.4067499999999"/>
    <n v="109.51650000000001"/>
  </r>
  <r>
    <n v="1519"/>
    <s v="Computer"/>
    <s v="Sugar Division"/>
    <x v="5"/>
    <m/>
    <s v="Common"/>
    <d v="2005-12-28T00:00:00"/>
    <n v="53932.13"/>
    <n v="0"/>
    <n v="51235.523499999996"/>
    <n v="2696.6065000000017"/>
    <n v="2696.6064999999999"/>
    <n v="3"/>
    <n v="14.271232876712329"/>
    <n v="25617.761749999998"/>
    <n v="15.271232876712329"/>
    <n v="6.0632980118195212E-13"/>
    <n v="25617.761749999998"/>
    <n v="2696.6064999999999"/>
  </r>
  <r>
    <n v="1520"/>
    <s v="Computer"/>
    <s v="Sugar Division"/>
    <x v="5"/>
    <m/>
    <s v="Common"/>
    <d v="2005-12-28T00:00:00"/>
    <n v="398567.06"/>
    <n v="0"/>
    <n v="378638.70699999999"/>
    <n v="19928.353000000003"/>
    <n v="19928.353000000003"/>
    <n v="3"/>
    <n v="14.271232876712329"/>
    <n v="189319.3535"/>
    <n v="15.271232876712329"/>
    <n v="0"/>
    <n v="189319.3535"/>
    <n v="19928.353000000003"/>
  </r>
  <r>
    <n v="1521"/>
    <s v="Epbx"/>
    <s v="Sugar Division"/>
    <x v="5"/>
    <m/>
    <s v="Common"/>
    <d v="2005-12-23T00:00:00"/>
    <n v="249216.2"/>
    <n v="0"/>
    <n v="236755.39"/>
    <n v="12460.809999999998"/>
    <n v="12460.810000000001"/>
    <n v="5"/>
    <n v="14.284931506849315"/>
    <n v="118377.69500000001"/>
    <n v="15.284931506849315"/>
    <n v="-7.2759576141834263E-13"/>
    <n v="118377.69500000001"/>
    <n v="12460.810000000001"/>
  </r>
  <r>
    <n v="1522"/>
    <s v="Wireless"/>
    <s v="Sugar Division"/>
    <x v="5"/>
    <m/>
    <s v="Common"/>
    <d v="2005-11-30T00:00:00"/>
    <n v="141213.66"/>
    <n v="0"/>
    <n v="134152.97700000001"/>
    <n v="7060.68299999999"/>
    <n v="7060.6830000000009"/>
    <n v="5"/>
    <n v="14.347945205479451"/>
    <n v="67076.488500000007"/>
    <n v="15.347945205479451"/>
    <n v="-2.1827872842550281E-12"/>
    <n v="67076.488500000007"/>
    <n v="7060.6830000000009"/>
  </r>
  <r>
    <n v="1523"/>
    <s v="Fridge"/>
    <s v="Sugar Division"/>
    <x v="5"/>
    <m/>
    <s v="Common"/>
    <d v="2005-11-12T00:00:00"/>
    <n v="7850"/>
    <n v="0"/>
    <n v="7457.5"/>
    <n v="392.5"/>
    <n v="392.5"/>
    <n v="5"/>
    <n v="14.397260273972602"/>
    <n v="3728.75"/>
    <n v="15.397260273972602"/>
    <n v="0"/>
    <n v="3728.75"/>
    <n v="392.5"/>
  </r>
  <r>
    <n v="1524"/>
    <s v="Air Conditioner"/>
    <s v="Sugar Division"/>
    <x v="5"/>
    <m/>
    <s v="Common"/>
    <d v="2005-10-02T00:00:00"/>
    <n v="15466.67"/>
    <n v="0"/>
    <n v="14693.336499999999"/>
    <n v="773.33350000000064"/>
    <n v="773.33350000000007"/>
    <n v="5"/>
    <n v="14.509589041095891"/>
    <n v="7346.6682499999997"/>
    <n v="15.509589041095891"/>
    <n v="1.1368683772161603E-13"/>
    <n v="7346.6682499999997"/>
    <n v="773.33350000000007"/>
  </r>
  <r>
    <n v="1525"/>
    <s v="Air Conditioner"/>
    <s v="Sugar Division"/>
    <x v="5"/>
    <m/>
    <s v="Common"/>
    <d v="2005-10-02T00:00:00"/>
    <n v="30933.34"/>
    <n v="0"/>
    <n v="29386.672999999999"/>
    <n v="1546.6670000000013"/>
    <n v="1546.6670000000001"/>
    <n v="5"/>
    <n v="14.509589041095891"/>
    <n v="14693.336499999999"/>
    <n v="15.509589041095891"/>
    <n v="2.2737367544323206E-13"/>
    <n v="14693.336499999999"/>
    <n v="1546.6670000000001"/>
  </r>
  <r>
    <n v="1526"/>
    <s v="Computer"/>
    <s v="Sugar Division"/>
    <x v="5"/>
    <m/>
    <s v="Common"/>
    <d v="2005-09-23T00:00:00"/>
    <n v="375050"/>
    <n v="0"/>
    <n v="356297.5"/>
    <n v="18752.5"/>
    <n v="18752.5"/>
    <n v="3"/>
    <n v="14.534246575342467"/>
    <n v="178148.75"/>
    <n v="15.534246575342467"/>
    <n v="0"/>
    <n v="178148.75"/>
    <n v="18752.5"/>
  </r>
  <r>
    <n v="1527"/>
    <s v="Computer(H.O.)"/>
    <s v="Sugar Division"/>
    <x v="5"/>
    <m/>
    <s v="Common"/>
    <d v="2005-07-28T00:00:00"/>
    <n v="38148"/>
    <n v="0"/>
    <n v="36240.6"/>
    <n v="1907.4000000000015"/>
    <n v="1907.4"/>
    <n v="3"/>
    <n v="14.69041095890411"/>
    <n v="18120.3"/>
    <n v="15.69041095890411"/>
    <n v="4.5474735088646412E-13"/>
    <n v="18120.3"/>
    <n v="1907.4"/>
  </r>
  <r>
    <n v="1528"/>
    <s v="Printer 1 Nos."/>
    <s v="Sugar Division"/>
    <x v="5"/>
    <m/>
    <s v="Common"/>
    <d v="2005-06-30T00:00:00"/>
    <n v="6100"/>
    <n v="0"/>
    <n v="5795"/>
    <n v="305"/>
    <n v="305"/>
    <n v="3"/>
    <n v="14.767123287671232"/>
    <n v="2897.5"/>
    <n v="15.767123287671232"/>
    <n v="0"/>
    <n v="2897.5"/>
    <n v="305"/>
  </r>
  <r>
    <n v="1529"/>
    <s v="Printer 1 Nos."/>
    <s v="Sugar Division"/>
    <x v="5"/>
    <m/>
    <s v="Common"/>
    <d v="2005-06-15T00:00:00"/>
    <n v="50000"/>
    <n v="0"/>
    <n v="47500"/>
    <n v="2500"/>
    <n v="2500"/>
    <n v="3"/>
    <n v="14.808219178082192"/>
    <n v="23750"/>
    <n v="15.808219178082192"/>
    <n v="0"/>
    <n v="23750"/>
    <n v="2500"/>
  </r>
  <r>
    <n v="1530"/>
    <s v="Air Conditioner 1"/>
    <s v="Sugar Division"/>
    <x v="5"/>
    <m/>
    <s v="Common"/>
    <d v="2005-06-05T00:00:00"/>
    <n v="17500"/>
    <n v="0"/>
    <n v="16625"/>
    <n v="875"/>
    <n v="875"/>
    <n v="5"/>
    <n v="14.835616438356164"/>
    <n v="8312.5"/>
    <n v="15.835616438356164"/>
    <n v="0"/>
    <n v="8312.5"/>
    <n v="875"/>
  </r>
  <r>
    <n v="1531"/>
    <s v="Computer(H.O.)"/>
    <s v="Sugar Division"/>
    <x v="5"/>
    <m/>
    <s v="Common"/>
    <d v="2005-04-25T00:00:00"/>
    <n v="81308"/>
    <n v="0"/>
    <n v="77242.600000000006"/>
    <n v="4065.3999999999942"/>
    <n v="4065.4"/>
    <n v="3"/>
    <n v="14.947945205479453"/>
    <n v="38621.300000000003"/>
    <n v="15.947945205479453"/>
    <n v="-1.9705718538413444E-12"/>
    <n v="38621.300000000003"/>
    <n v="4065.4"/>
  </r>
  <r>
    <n v="1532"/>
    <s v="Air Conditioner(Delhi Office)"/>
    <s v="Sugar Division"/>
    <x v="5"/>
    <m/>
    <s v="Common"/>
    <d v="2005-04-15T00:00:00"/>
    <n v="11930"/>
    <n v="0"/>
    <n v="11333.5"/>
    <n v="596.5"/>
    <n v="596.5"/>
    <n v="5"/>
    <n v="14.975342465753425"/>
    <n v="5666.75"/>
    <n v="15.975342465753425"/>
    <n v="0"/>
    <n v="5666.75"/>
    <n v="596.5"/>
  </r>
  <r>
    <n v="1533"/>
    <s v="Sofa(Delhi Office)"/>
    <s v="Sugar Division"/>
    <x v="5"/>
    <m/>
    <s v="Common"/>
    <d v="2005-04-11T00:00:00"/>
    <n v="1584"/>
    <n v="0"/>
    <n v="1504.8"/>
    <n v="79.200000000000045"/>
    <n v="79.2"/>
    <n v="10"/>
    <n v="14.986301369863014"/>
    <n v="752.4"/>
    <n v="15.986301369863014"/>
    <n v="4.2632564145606017E-15"/>
    <n v="752.4"/>
    <n v="79.2"/>
  </r>
  <r>
    <n v="1534"/>
    <s v="Computer Ibm 4 Nos."/>
    <s v="Sugar Division"/>
    <x v="5"/>
    <m/>
    <s v="Common"/>
    <d v="2005-04-02T00:00:00"/>
    <n v="137520"/>
    <n v="0"/>
    <n v="130644"/>
    <n v="6876"/>
    <n v="6876"/>
    <n v="3"/>
    <n v="15.010958904109589"/>
    <n v="65322"/>
    <n v="16.010958904109589"/>
    <n v="0"/>
    <n v="65322"/>
    <n v="6876"/>
  </r>
  <r>
    <n v="1535"/>
    <s v="Printer"/>
    <s v="Sugar Division"/>
    <x v="5"/>
    <m/>
    <s v="Common"/>
    <d v="2005-03-31T00:00:00"/>
    <n v="6389.44"/>
    <n v="0"/>
    <n v="6069.9679999999998"/>
    <n v="319.47199999999975"/>
    <n v="319.47199999999998"/>
    <n v="3"/>
    <n v="15.016438356164384"/>
    <n v="3034.9839999999999"/>
    <n v="16.016438356164382"/>
    <n v="-7.5791225147743889E-14"/>
    <n v="3034.9839999999999"/>
    <n v="319.47199999999998"/>
  </r>
  <r>
    <n v="1536"/>
    <s v="Plotter"/>
    <s v="Sugar Division"/>
    <x v="5"/>
    <m/>
    <s v="Common"/>
    <d v="2005-03-28T00:00:00"/>
    <n v="163330"/>
    <n v="0"/>
    <n v="155163.5"/>
    <n v="8166.5"/>
    <n v="8166.5"/>
    <n v="3"/>
    <n v="15.024657534246575"/>
    <n v="77581.75"/>
    <n v="16.024657534246575"/>
    <n v="0"/>
    <n v="77581.75"/>
    <n v="8166.5"/>
  </r>
  <r>
    <n v="1537"/>
    <s v="Gyzers"/>
    <s v="Sugar Division"/>
    <x v="5"/>
    <m/>
    <s v="Common"/>
    <d v="2005-01-31T00:00:00"/>
    <n v="6590"/>
    <n v="0"/>
    <n v="6260.5"/>
    <n v="329.5"/>
    <n v="329.5"/>
    <n v="5"/>
    <n v="15.178082191780822"/>
    <n v="3130.25"/>
    <n v="16.17808219178082"/>
    <n v="0"/>
    <n v="3130.25"/>
    <n v="329.5"/>
  </r>
  <r>
    <n v="1538"/>
    <s v="Mobile Phones"/>
    <s v="Sugar Division"/>
    <x v="5"/>
    <m/>
    <s v="Common"/>
    <d v="2005-01-31T00:00:00"/>
    <n v="5600"/>
    <n v="0"/>
    <n v="5320"/>
    <n v="280"/>
    <n v="280"/>
    <n v="5"/>
    <n v="15.178082191780822"/>
    <n v="2660"/>
    <n v="16.17808219178082"/>
    <n v="0"/>
    <n v="2660"/>
    <n v="280"/>
  </r>
  <r>
    <n v="1539"/>
    <s v="Celling Fan  19 Nos."/>
    <s v="Sugar Division"/>
    <x v="5"/>
    <m/>
    <s v="Common"/>
    <d v="2005-01-01T00:00:00"/>
    <n v="13787.21"/>
    <n v="0"/>
    <n v="13097.849499999998"/>
    <n v="689.36050000000068"/>
    <n v="689.3605"/>
    <n v="5"/>
    <n v="15.260273972602739"/>
    <n v="6548.9247499999992"/>
    <n v="16.260273972602739"/>
    <n v="1.3642420526593926E-13"/>
    <n v="6548.9247499999992"/>
    <n v="689.3605"/>
  </r>
  <r>
    <n v="1540"/>
    <s v="Exhaust Fan 5 Nos."/>
    <s v="Sugar Division"/>
    <x v="5"/>
    <m/>
    <s v="Common"/>
    <d v="2005-01-01T00:00:00"/>
    <n v="6425.37"/>
    <n v="0"/>
    <n v="6104.1014999999998"/>
    <n v="321.26850000000013"/>
    <n v="321.26850000000002"/>
    <n v="5"/>
    <n v="15.260273972602739"/>
    <n v="3052.0507499999999"/>
    <n v="16.260273972602739"/>
    <n v="2.2737367544323207E-14"/>
    <n v="3052.0507499999999"/>
    <n v="321.26850000000002"/>
  </r>
  <r>
    <n v="1541"/>
    <s v="Table Fan 4 Nos."/>
    <s v="Sugar Division"/>
    <x v="5"/>
    <m/>
    <s v="Common"/>
    <d v="2005-01-01T00:00:00"/>
    <n v="4269.6000000000004"/>
    <n v="0"/>
    <n v="4056.1200000000003"/>
    <n v="213.48000000000002"/>
    <n v="213.48000000000002"/>
    <n v="5"/>
    <n v="15.260273972602739"/>
    <n v="2028.0600000000002"/>
    <n v="16.260273972602739"/>
    <n v="0"/>
    <n v="2028.0600000000002"/>
    <n v="213.48000000000002"/>
  </r>
  <r>
    <n v="1542"/>
    <s v="Cooler 7 Nos."/>
    <s v="Sugar Division"/>
    <x v="5"/>
    <m/>
    <s v="Common"/>
    <d v="2005-01-01T00:00:00"/>
    <n v="17071.39"/>
    <n v="0"/>
    <n v="16217.8205"/>
    <n v="853.56949999999961"/>
    <n v="853.56950000000006"/>
    <n v="5"/>
    <n v="15.260273972602739"/>
    <n v="8108.9102499999999"/>
    <n v="16.260273972602739"/>
    <n v="-9.0949470177292829E-14"/>
    <n v="8108.9102499999999"/>
    <n v="853.56950000000006"/>
  </r>
  <r>
    <n v="1543"/>
    <s v="Gyzer 8 Nos."/>
    <s v="Sugar Division"/>
    <x v="5"/>
    <m/>
    <s v="Common"/>
    <d v="2005-01-01T00:00:00"/>
    <n v="21604.32"/>
    <n v="0"/>
    <n v="20524.103999999999"/>
    <n v="1080.2160000000003"/>
    <n v="1080.2160000000001"/>
    <n v="5"/>
    <n v="15.260273972602739"/>
    <n v="10262.052"/>
    <n v="16.260273972602739"/>
    <n v="4.5474735088646414E-14"/>
    <n v="10262.052"/>
    <n v="1080.2160000000001"/>
  </r>
  <r>
    <n v="1544"/>
    <s v="Aquagard 4 Nos."/>
    <s v="Sugar Division"/>
    <x v="5"/>
    <m/>
    <s v="Common"/>
    <d v="2005-01-01T00:00:00"/>
    <n v="19920"/>
    <n v="0"/>
    <n v="18924"/>
    <n v="996"/>
    <n v="996"/>
    <n v="5"/>
    <n v="15.260273972602739"/>
    <n v="9462"/>
    <n v="16.260273972602739"/>
    <n v="0"/>
    <n v="9462"/>
    <n v="996"/>
  </r>
  <r>
    <n v="1545"/>
    <s v="Sofa(Delhi Office)"/>
    <s v="Sugar Division"/>
    <x v="5"/>
    <m/>
    <s v="Common"/>
    <d v="2004-12-31T00:00:00"/>
    <n v="1148"/>
    <n v="0"/>
    <n v="1090.5999999999999"/>
    <n v="57.400000000000091"/>
    <n v="57.400000000000006"/>
    <n v="10"/>
    <n v="15.263013698630138"/>
    <n v="545.29999999999995"/>
    <n v="16.263013698630136"/>
    <n v="8.5265128291211877E-15"/>
    <n v="545.29999999999995"/>
    <n v="57.400000000000006"/>
  </r>
  <r>
    <n v="1546"/>
    <s v="Table Cover(Delhi Office)"/>
    <s v="Sugar Division"/>
    <x v="5"/>
    <m/>
    <s v="Common"/>
    <d v="2004-12-31T00:00:00"/>
    <n v="299"/>
    <n v="0"/>
    <n v="284.05"/>
    <n v="14.949999999999989"/>
    <n v="14.950000000000001"/>
    <n v="10"/>
    <n v="15.263013698630138"/>
    <n v="142.02500000000001"/>
    <n v="16.263013698630136"/>
    <n v="-1.2434497875801731E-15"/>
    <n v="142.02500000000001"/>
    <n v="14.950000000000001"/>
  </r>
  <r>
    <n v="1547"/>
    <s v="Air Conditioner(Delhi Office)"/>
    <s v="Sugar Division"/>
    <x v="5"/>
    <m/>
    <s v="Common"/>
    <d v="2004-12-31T00:00:00"/>
    <n v="860"/>
    <n v="0"/>
    <n v="817"/>
    <n v="43"/>
    <n v="43"/>
    <n v="5"/>
    <n v="15.263013698630138"/>
    <n v="408.5"/>
    <n v="16.263013698630136"/>
    <n v="0"/>
    <n v="408.5"/>
    <n v="43"/>
  </r>
  <r>
    <n v="1548"/>
    <s v="Computer Ibm 3 Nos."/>
    <s v="Sugar Division"/>
    <x v="5"/>
    <m/>
    <s v="Common"/>
    <d v="2004-11-30T00:00:00"/>
    <n v="158200"/>
    <n v="0"/>
    <n v="150290"/>
    <n v="7910"/>
    <n v="7910"/>
    <n v="3"/>
    <n v="15.347945205479451"/>
    <n v="75145"/>
    <n v="16.347945205479451"/>
    <n v="0"/>
    <n v="75145"/>
    <n v="7910"/>
  </r>
  <r>
    <n v="1549"/>
    <s v="Wireless Hanset 3 Nos."/>
    <s v="Sugar Division"/>
    <x v="5"/>
    <m/>
    <s v="Common"/>
    <d v="2004-11-06T00:00:00"/>
    <n v="42219.39"/>
    <n v="0"/>
    <n v="40108.4205"/>
    <n v="2110.9694999999992"/>
    <n v="2110.9695000000002"/>
    <n v="5"/>
    <n v="15.413698630136986"/>
    <n v="20054.21025"/>
    <n v="16.413698630136988"/>
    <n v="-1.8189894035458596E-13"/>
    <n v="20054.21025"/>
    <n v="2110.9695000000002"/>
  </r>
  <r>
    <n v="1550"/>
    <s v="Computer Ibm 4 Nos."/>
    <s v="Sugar Division"/>
    <x v="5"/>
    <m/>
    <s v="Common"/>
    <d v="2004-10-28T00:00:00"/>
    <n v="132000"/>
    <n v="0"/>
    <n v="125400"/>
    <n v="6600"/>
    <n v="6600"/>
    <n v="3"/>
    <n v="15.438356164383562"/>
    <n v="62700"/>
    <n v="16.438356164383563"/>
    <n v="0"/>
    <n v="62700"/>
    <n v="6600"/>
  </r>
  <r>
    <n v="1551"/>
    <s v="Ups 10 Kva 1 Nos."/>
    <s v="Sugar Division"/>
    <x v="5"/>
    <m/>
    <s v="Common"/>
    <d v="2004-10-20T00:00:00"/>
    <n v="145000"/>
    <n v="0"/>
    <n v="137750"/>
    <n v="7250"/>
    <n v="7250"/>
    <n v="3"/>
    <n v="15.46027397260274"/>
    <n v="68875"/>
    <n v="16.460273972602739"/>
    <n v="0"/>
    <n v="68875"/>
    <n v="7250"/>
  </r>
  <r>
    <n v="1552"/>
    <s v="Computer Ibm "/>
    <s v="Sugar Division"/>
    <x v="5"/>
    <m/>
    <s v="Common"/>
    <d v="2004-10-07T00:00:00"/>
    <n v="38527.94"/>
    <n v="0"/>
    <n v="36601.543000000005"/>
    <n v="1926.3969999999972"/>
    <n v="1926.3970000000002"/>
    <n v="3"/>
    <n v="15.495890410958904"/>
    <n v="18300.771500000003"/>
    <n v="16.495890410958904"/>
    <n v="-9.8528592692067219E-13"/>
    <n v="18300.771500000003"/>
    <n v="1926.3970000000002"/>
  </r>
  <r>
    <n v="1553"/>
    <s v="Telivision(Delhi Office)"/>
    <s v="Sugar Division"/>
    <x v="5"/>
    <m/>
    <s v="Common"/>
    <d v="2004-09-30T00:00:00"/>
    <n v="5346"/>
    <n v="0"/>
    <n v="5078.7"/>
    <n v="267.30000000000018"/>
    <n v="267.3"/>
    <n v="5"/>
    <n v="15.515068493150684"/>
    <n v="2539.35"/>
    <n v="16.515068493150686"/>
    <n v="3.4106051316484864E-14"/>
    <n v="2539.35"/>
    <n v="267.3"/>
  </r>
  <r>
    <n v="1554"/>
    <s v="Computer ( Server )"/>
    <s v="Sugar Division"/>
    <x v="5"/>
    <m/>
    <s v="Common"/>
    <d v="2004-08-02T00:00:00"/>
    <n v="151700"/>
    <n v="0"/>
    <n v="144115"/>
    <n v="7585"/>
    <n v="7585"/>
    <n v="6"/>
    <n v="15.676712328767124"/>
    <n v="72057.5"/>
    <n v="16.676712328767124"/>
    <n v="0"/>
    <n v="72057.5"/>
    <n v="7585"/>
  </r>
  <r>
    <n v="1555"/>
    <s v="Computer Ibm 4 Nos."/>
    <s v="Sugar Division"/>
    <x v="5"/>
    <m/>
    <s v="Common"/>
    <d v="2004-07-20T00:00:00"/>
    <n v="133040"/>
    <n v="0"/>
    <n v="126388"/>
    <n v="6652"/>
    <n v="6652"/>
    <n v="3"/>
    <n v="15.712328767123287"/>
    <n v="63194"/>
    <n v="16.712328767123289"/>
    <n v="0"/>
    <n v="63194"/>
    <n v="6652"/>
  </r>
  <r>
    <n v="1556"/>
    <s v="Cooler 4 Nos. "/>
    <s v="Sugar Division"/>
    <x v="5"/>
    <m/>
    <s v="Common"/>
    <d v="2004-05-22T00:00:00"/>
    <n v="8800"/>
    <n v="0"/>
    <n v="8360"/>
    <n v="440"/>
    <n v="440"/>
    <n v="5"/>
    <n v="15.873972602739727"/>
    <n v="4180"/>
    <n v="16.873972602739727"/>
    <n v="0"/>
    <n v="4180"/>
    <n v="440"/>
  </r>
  <r>
    <n v="1557"/>
    <s v="Refrigerator 1 Nos."/>
    <s v="Sugar Division"/>
    <x v="5"/>
    <m/>
    <s v="Common"/>
    <d v="2004-05-22T00:00:00"/>
    <n v="12400"/>
    <n v="0"/>
    <n v="11780"/>
    <n v="620"/>
    <n v="620"/>
    <n v="5"/>
    <n v="15.873972602739727"/>
    <n v="5890"/>
    <n v="16.873972602739727"/>
    <n v="0"/>
    <n v="5890"/>
    <n v="620"/>
  </r>
  <r>
    <n v="1558"/>
    <s v="Air Conditioner(H.O)"/>
    <s v="Sugar Division"/>
    <x v="5"/>
    <m/>
    <s v="Common"/>
    <d v="2004-04-30T00:00:00"/>
    <n v="2412"/>
    <n v="0"/>
    <n v="2291.4"/>
    <n v="120.59999999999991"/>
    <n v="120.60000000000001"/>
    <n v="5"/>
    <n v="15.934246575342465"/>
    <n v="1145.7"/>
    <n v="16.934246575342467"/>
    <n v="-1.9895196601282839E-14"/>
    <n v="1145.7"/>
    <n v="120.60000000000001"/>
  </r>
  <r>
    <n v="1559"/>
    <s v="Printer"/>
    <s v="Sugar Division"/>
    <x v="5"/>
    <m/>
    <s v="Common"/>
    <d v="2004-04-30T00:00:00"/>
    <n v="48880"/>
    <n v="0"/>
    <n v="46436"/>
    <n v="2444"/>
    <n v="2444"/>
    <n v="3"/>
    <n v="15.934246575342465"/>
    <n v="23218"/>
    <n v="16.934246575342467"/>
    <n v="0"/>
    <n v="23218"/>
    <n v="2444"/>
  </r>
  <r>
    <n v="1560"/>
    <s v="Cooler 6 Nos."/>
    <s v="Sugar Division"/>
    <x v="5"/>
    <m/>
    <s v="Common"/>
    <d v="2004-04-27T00:00:00"/>
    <n v="13337"/>
    <n v="0"/>
    <n v="12670.15"/>
    <n v="666.85000000000036"/>
    <n v="666.85"/>
    <n v="5"/>
    <n v="15.942465753424658"/>
    <n v="6335.0749999999998"/>
    <n v="16.942465753424656"/>
    <n v="6.8212102632969502E-14"/>
    <n v="6335.0749999999998"/>
    <n v="666.85"/>
  </r>
  <r>
    <n v="1561"/>
    <s v="Gist Card"/>
    <s v="Sugar Division"/>
    <x v="5"/>
    <m/>
    <s v="Common"/>
    <d v="2004-03-31T00:00:00"/>
    <n v="11960"/>
    <n v="0"/>
    <n v="11362"/>
    <n v="598"/>
    <n v="598"/>
    <n v="3"/>
    <n v="16.016438356164382"/>
    <n v="5681"/>
    <n v="17.016438356164382"/>
    <n v="0"/>
    <n v="5681"/>
    <n v="598"/>
  </r>
  <r>
    <n v="1562"/>
    <s v="Split Air Conditioner(H.O)"/>
    <s v="Sugar Division"/>
    <x v="5"/>
    <m/>
    <s v="Common"/>
    <d v="2004-02-01T00:00:00"/>
    <n v="4635"/>
    <n v="0"/>
    <n v="4403.25"/>
    <n v="231.75"/>
    <n v="231.75"/>
    <n v="5"/>
    <n v="16.17808219178082"/>
    <n v="2201.625"/>
    <n v="17.17808219178082"/>
    <n v="0"/>
    <n v="2201.625"/>
    <n v="231.75"/>
  </r>
  <r>
    <n v="1563"/>
    <s v="Celling Fan  16 Nos."/>
    <s v="Sugar Division"/>
    <x v="5"/>
    <m/>
    <s v="Common"/>
    <d v="2004-01-01T00:00:00"/>
    <n v="10880.77"/>
    <n v="0"/>
    <n v="10336.7315"/>
    <n v="544.03850000000057"/>
    <n v="544.0385"/>
    <n v="5"/>
    <n v="16.263013698630136"/>
    <n v="5168.3657499999999"/>
    <n v="17.263013698630136"/>
    <n v="1.1368683772161603E-13"/>
    <n v="5168.3657499999999"/>
    <n v="544.0385"/>
  </r>
  <r>
    <n v="1564"/>
    <s v="Exhaust Fan 4 Nos."/>
    <s v="Sugar Division"/>
    <x v="5"/>
    <m/>
    <s v="Common"/>
    <d v="2004-01-01T00:00:00"/>
    <n v="7200.24"/>
    <n v="0"/>
    <n v="6840.2280000000001"/>
    <n v="360.01199999999972"/>
    <n v="360.012"/>
    <n v="5"/>
    <n v="16.263013698630136"/>
    <n v="3420.114"/>
    <n v="17.263013698630136"/>
    <n v="-5.6843418860808015E-14"/>
    <n v="3420.114"/>
    <n v="360.012"/>
  </r>
  <r>
    <n v="1565"/>
    <s v="Table Fan  1 Nos."/>
    <s v="Sugar Division"/>
    <x v="5"/>
    <m/>
    <s v="Common"/>
    <d v="2004-01-01T00:00:00"/>
    <n v="690"/>
    <n v="0"/>
    <n v="655.5"/>
    <n v="34.5"/>
    <n v="34.5"/>
    <n v="5"/>
    <n v="16.263013698630136"/>
    <n v="327.75"/>
    <n v="17.263013698630136"/>
    <n v="0"/>
    <n v="327.75"/>
    <n v="34.5"/>
  </r>
  <r>
    <n v="1566"/>
    <s v="Gyzer  1 Nos."/>
    <s v="Sugar Division"/>
    <x v="5"/>
    <m/>
    <s v="Common"/>
    <d v="2004-01-01T00:00:00"/>
    <n v="2680"/>
    <n v="0"/>
    <n v="2546"/>
    <n v="134"/>
    <n v="134"/>
    <n v="5"/>
    <n v="16.263013698630136"/>
    <n v="1273"/>
    <n v="17.263013698630136"/>
    <n v="0"/>
    <n v="1273"/>
    <n v="134"/>
  </r>
  <r>
    <n v="1567"/>
    <s v="Pump 1/2 Hp 2 Nos."/>
    <s v="Sugar Division"/>
    <x v="5"/>
    <m/>
    <s v="Common"/>
    <d v="2004-01-01T00:00:00"/>
    <n v="3960"/>
    <n v="0"/>
    <n v="3762"/>
    <n v="198"/>
    <n v="198"/>
    <n v="5"/>
    <n v="16.263013698630136"/>
    <n v="1881"/>
    <n v="17.263013698630136"/>
    <n v="0"/>
    <n v="1881"/>
    <n v="198"/>
  </r>
  <r>
    <n v="1568"/>
    <s v="Padestal Fan 1 Nos."/>
    <s v="Sugar Division"/>
    <x v="5"/>
    <m/>
    <s v="Common"/>
    <d v="2004-01-01T00:00:00"/>
    <n v="1645"/>
    <n v="0"/>
    <n v="1562.75"/>
    <n v="82.25"/>
    <n v="82.25"/>
    <n v="5"/>
    <n v="16.263013698630136"/>
    <n v="781.375"/>
    <n v="17.263013698630136"/>
    <n v="0"/>
    <n v="781.375"/>
    <n v="82.25"/>
  </r>
  <r>
    <n v="1569"/>
    <s v="Computer 2 Nos."/>
    <s v="Sugar Division"/>
    <x v="5"/>
    <m/>
    <s v="Common"/>
    <d v="2003-12-31T00:00:00"/>
    <n v="128500"/>
    <n v="0"/>
    <n v="122075"/>
    <n v="6425"/>
    <n v="6425"/>
    <n v="3"/>
    <n v="16.265753424657536"/>
    <n v="61037.5"/>
    <n v="17.265753424657536"/>
    <n v="0"/>
    <n v="61037.5"/>
    <n v="6425"/>
  </r>
  <r>
    <n v="1570"/>
    <s v="Hub 2 Nos."/>
    <s v="Sugar Division"/>
    <x v="5"/>
    <m/>
    <s v="Common"/>
    <d v="2003-12-30T00:00:00"/>
    <n v="10000"/>
    <n v="0"/>
    <n v="9500"/>
    <n v="500"/>
    <n v="500"/>
    <n v="3"/>
    <n v="16.268493150684932"/>
    <n v="4750"/>
    <n v="17.268493150684932"/>
    <n v="0"/>
    <n v="4750"/>
    <n v="500"/>
  </r>
  <r>
    <n v="1571"/>
    <s v="Safe(H.O)"/>
    <s v="Sugar Division"/>
    <x v="5"/>
    <m/>
    <s v="Common"/>
    <d v="2003-12-01T00:00:00"/>
    <n v="986"/>
    <n v="0"/>
    <n v="936.7"/>
    <n v="49.299999999999955"/>
    <n v="49.300000000000004"/>
    <n v="10"/>
    <n v="16.347945205479451"/>
    <n v="468.35"/>
    <n v="17.347945205479451"/>
    <n v="-4.9737991503207018E-15"/>
    <n v="468.35"/>
    <n v="49.300000000000004"/>
  </r>
  <r>
    <n v="1572"/>
    <s v="Ups 5 Kva 1 Nos."/>
    <s v="Sugar Division"/>
    <x v="5"/>
    <m/>
    <s v="Common"/>
    <d v="2003-11-30T00:00:00"/>
    <n v="93600"/>
    <n v="0"/>
    <n v="88920"/>
    <n v="4680"/>
    <n v="4680"/>
    <n v="3"/>
    <n v="16.350684931506848"/>
    <n v="44460"/>
    <n v="17.350684931506848"/>
    <n v="0"/>
    <n v="44460"/>
    <n v="4680"/>
  </r>
  <r>
    <n v="1573"/>
    <s v="Laptop 1 Nos."/>
    <s v="Sugar Division"/>
    <x v="5"/>
    <m/>
    <s v="Common"/>
    <d v="2003-08-30T00:00:00"/>
    <n v="98000"/>
    <n v="0"/>
    <n v="93100"/>
    <n v="4900"/>
    <n v="4900"/>
    <n v="3"/>
    <n v="16.602739726027398"/>
    <n v="46550"/>
    <n v="17.602739726027398"/>
    <n v="0"/>
    <n v="46550"/>
    <n v="4900"/>
  </r>
  <r>
    <n v="1574"/>
    <s v="Air Conditioner 1"/>
    <s v="Sugar Division"/>
    <x v="5"/>
    <m/>
    <s v="Common"/>
    <d v="2003-06-01T00:00:00"/>
    <n v="18580"/>
    <n v="0"/>
    <n v="17651"/>
    <n v="929"/>
    <n v="929"/>
    <n v="5"/>
    <n v="16.849315068493151"/>
    <n v="8825.5"/>
    <n v="17.849315068493151"/>
    <n v="0"/>
    <n v="8825.5"/>
    <n v="929"/>
  </r>
  <r>
    <n v="1575"/>
    <s v="Fax Machine 1 No."/>
    <s v="Sugar Division"/>
    <x v="5"/>
    <m/>
    <s v="Common"/>
    <d v="2003-05-12T00:00:00"/>
    <n v="13700"/>
    <n v="0"/>
    <n v="13015"/>
    <n v="685"/>
    <n v="685"/>
    <n v="5"/>
    <n v="16.904109589041095"/>
    <n v="6507.5"/>
    <n v="17.904109589041095"/>
    <n v="0"/>
    <n v="6507.5"/>
    <n v="685"/>
  </r>
  <r>
    <n v="1576"/>
    <s v="Air Conditioner(Delhi Office) "/>
    <s v="Sugar Division"/>
    <x v="5"/>
    <m/>
    <s v="Common"/>
    <d v="2003-04-26T00:00:00"/>
    <n v="28990"/>
    <n v="0"/>
    <n v="27540.5"/>
    <n v="1449.5"/>
    <n v="1449.5"/>
    <n v="5"/>
    <n v="16.947945205479453"/>
    <n v="13770.25"/>
    <n v="17.947945205479453"/>
    <n v="0"/>
    <n v="13770.25"/>
    <n v="1449.5"/>
  </r>
  <r>
    <n v="1577"/>
    <s v="Air Conditioner 2 No"/>
    <s v="Sugar Division"/>
    <x v="5"/>
    <m/>
    <s v="Common"/>
    <d v="2003-04-23T00:00:00"/>
    <n v="37249"/>
    <n v="0"/>
    <n v="35386.550000000003"/>
    <n v="1862.4499999999971"/>
    <n v="1862.45"/>
    <n v="5"/>
    <n v="16.956164383561642"/>
    <n v="17693.275000000001"/>
    <n v="17.956164383561642"/>
    <n v="-5.9117155615240337E-13"/>
    <n v="17693.275000000001"/>
    <n v="1862.45"/>
  </r>
  <r>
    <n v="1578"/>
    <s v="Air Conditioner 1"/>
    <s v="Sugar Division"/>
    <x v="5"/>
    <m/>
    <s v="Common"/>
    <d v="2003-04-07T00:00:00"/>
    <n v="25700"/>
    <n v="0"/>
    <n v="24415"/>
    <n v="1285"/>
    <n v="1285"/>
    <n v="5"/>
    <n v="17"/>
    <n v="12207.5"/>
    <n v="18"/>
    <n v="0"/>
    <n v="12207.5"/>
    <n v="1285"/>
  </r>
  <r>
    <n v="1579"/>
    <s v="Table Fan 1 No."/>
    <s v="Sugar Division"/>
    <x v="5"/>
    <m/>
    <s v="Common"/>
    <d v="2003-01-01T00:00:00"/>
    <n v="925"/>
    <n v="0"/>
    <n v="878.75"/>
    <n v="46.25"/>
    <n v="46.25"/>
    <n v="5"/>
    <n v="17.263013698630136"/>
    <n v="439.375"/>
    <n v="18.263013698630136"/>
    <n v="0"/>
    <n v="439.375"/>
    <n v="46.25"/>
  </r>
  <r>
    <n v="1580"/>
    <s v="Ceiling Fan 21 Nos."/>
    <s v="Sugar Division"/>
    <x v="5"/>
    <m/>
    <s v="Common"/>
    <d v="2003-01-01T00:00:00"/>
    <n v="13282"/>
    <n v="0"/>
    <n v="12617.9"/>
    <n v="664.10000000000036"/>
    <n v="664.1"/>
    <n v="5"/>
    <n v="17.263013698630136"/>
    <n v="6308.95"/>
    <n v="18.263013698630136"/>
    <n v="6.8212102632969628E-14"/>
    <n v="6308.95"/>
    <n v="664.1"/>
  </r>
  <r>
    <n v="1581"/>
    <s v="Padestal Fan 2 Nos."/>
    <s v="Sugar Division"/>
    <x v="5"/>
    <m/>
    <s v="Common"/>
    <d v="2003-01-01T00:00:00"/>
    <n v="3490"/>
    <n v="0"/>
    <n v="3315.5"/>
    <n v="174.5"/>
    <n v="174.5"/>
    <n v="5"/>
    <n v="17.263013698630136"/>
    <n v="1657.75"/>
    <n v="18.263013698630136"/>
    <n v="0"/>
    <n v="1657.75"/>
    <n v="174.5"/>
  </r>
  <r>
    <n v="1582"/>
    <s v="Exhaust Fan  14 Nos."/>
    <s v="Sugar Division"/>
    <x v="5"/>
    <m/>
    <s v="Common"/>
    <d v="2003-01-01T00:00:00"/>
    <n v="21357"/>
    <n v="0"/>
    <n v="20289.150000000001"/>
    <n v="1067.8499999999985"/>
    <n v="1067.8500000000001"/>
    <n v="5"/>
    <n v="17.263013698630136"/>
    <n v="10144.575000000001"/>
    <n v="18.263013698630136"/>
    <n v="-3.1832314562052491E-13"/>
    <n v="10144.575000000001"/>
    <n v="1067.8500000000001"/>
  </r>
  <r>
    <n v="1583"/>
    <s v="Stabilizer 2 Nos."/>
    <s v="Sugar Division"/>
    <x v="5"/>
    <m/>
    <s v="Common"/>
    <d v="2003-01-01T00:00:00"/>
    <n v="6873"/>
    <n v="0"/>
    <n v="6529.35"/>
    <n v="343.64999999999964"/>
    <n v="343.65000000000003"/>
    <n v="5"/>
    <n v="17.263013698630136"/>
    <n v="3264.6750000000002"/>
    <n v="18.263013698630136"/>
    <n v="-7.9580786405131228E-14"/>
    <n v="3264.6750000000002"/>
    <n v="343.65000000000003"/>
  </r>
  <r>
    <n v="1584"/>
    <s v="Geizer 4 Nos."/>
    <s v="Sugar Division"/>
    <x v="5"/>
    <m/>
    <s v="Common"/>
    <d v="2003-01-01T00:00:00"/>
    <n v="13895"/>
    <n v="0"/>
    <n v="13200.25"/>
    <n v="694.75"/>
    <n v="694.75"/>
    <n v="5"/>
    <n v="17.263013698630136"/>
    <n v="6600.125"/>
    <n v="18.263013698630136"/>
    <n v="0"/>
    <n v="6600.125"/>
    <n v="694.75"/>
  </r>
  <r>
    <n v="1585"/>
    <s v="Cabine Fan 12 Nos."/>
    <s v="Sugar Division"/>
    <x v="5"/>
    <m/>
    <s v="Common"/>
    <d v="2003-01-01T00:00:00"/>
    <n v="7027"/>
    <n v="0"/>
    <n v="6675.65"/>
    <n v="351.35000000000036"/>
    <n v="351.35"/>
    <n v="5"/>
    <n v="17.263013698630136"/>
    <n v="3337.8249999999998"/>
    <n v="18.263013698630136"/>
    <n v="6.8212102632969628E-14"/>
    <n v="3337.8249999999998"/>
    <n v="351.35"/>
  </r>
  <r>
    <n v="1586"/>
    <s v="Cooler 7 Nos."/>
    <s v="Sugar Division"/>
    <x v="5"/>
    <m/>
    <s v="Common"/>
    <d v="2003-01-01T00:00:00"/>
    <n v="18918"/>
    <n v="0"/>
    <n v="17972.099999999999"/>
    <n v="945.90000000000146"/>
    <n v="945.90000000000009"/>
    <n v="5"/>
    <n v="17.263013698630136"/>
    <n v="8986.0499999999993"/>
    <n v="18.263013698630136"/>
    <n v="2.7284841053187851E-13"/>
    <n v="8986.0499999999993"/>
    <n v="945.90000000000009"/>
  </r>
  <r>
    <n v="1587"/>
    <s v="Printer -Laser 1 No."/>
    <s v="Sugar Division"/>
    <x v="5"/>
    <m/>
    <s v="Common"/>
    <d v="2002-12-15T00:00:00"/>
    <n v="15750"/>
    <n v="0"/>
    <n v="14962.5"/>
    <n v="787.5"/>
    <n v="787.5"/>
    <n v="3"/>
    <n v="17.30958904109589"/>
    <n v="7481.25"/>
    <n v="18.30958904109589"/>
    <n v="0"/>
    <n v="7481.25"/>
    <n v="787.5"/>
  </r>
  <r>
    <n v="1588"/>
    <s v="Computer 3 Nos."/>
    <s v="Sugar Division"/>
    <x v="5"/>
    <m/>
    <s v="Common"/>
    <d v="2002-11-29T00:00:00"/>
    <n v="176297.41"/>
    <n v="0"/>
    <n v="167482.53950000001"/>
    <n v="8814.87049999999"/>
    <n v="8814.8705000000009"/>
    <n v="3"/>
    <n v="17.353424657534248"/>
    <n v="83741.269750000007"/>
    <n v="18.353424657534248"/>
    <n v="-3.637978807091713E-12"/>
    <n v="83741.269750000007"/>
    <n v="8814.8705000000009"/>
  </r>
  <r>
    <n v="1589"/>
    <s v="Printer-Dmp 1 No."/>
    <s v="Sugar Division"/>
    <x v="5"/>
    <m/>
    <s v="Common"/>
    <d v="2002-11-22T00:00:00"/>
    <n v="14615"/>
    <n v="0"/>
    <n v="13884.25"/>
    <n v="730.75"/>
    <n v="730.75"/>
    <n v="3"/>
    <n v="17.372602739726027"/>
    <n v="6942.125"/>
    <n v="18.372602739726027"/>
    <n v="0"/>
    <n v="6942.125"/>
    <n v="730.75"/>
  </r>
  <r>
    <n v="1590"/>
    <s v="Printer Lx 800 5 Nos."/>
    <s v="Sugar Division"/>
    <x v="5"/>
    <m/>
    <s v="Common"/>
    <d v="2002-11-22T00:00:00"/>
    <n v="35500"/>
    <n v="0"/>
    <n v="33725"/>
    <n v="1775"/>
    <n v="1775"/>
    <n v="3"/>
    <n v="17.372602739726027"/>
    <n v="16862.5"/>
    <n v="18.372602739726027"/>
    <n v="0"/>
    <n v="16862.5"/>
    <n v="1775"/>
  </r>
  <r>
    <n v="1591"/>
    <s v="Aquagaurd 1 No."/>
    <s v="Sugar Division"/>
    <x v="5"/>
    <m/>
    <s v="Common"/>
    <d v="2002-11-14T00:00:00"/>
    <n v="6490"/>
    <n v="0"/>
    <n v="6165.5"/>
    <n v="324.5"/>
    <n v="324.5"/>
    <n v="5"/>
    <n v="17.394520547945206"/>
    <n v="3082.75"/>
    <n v="18.394520547945206"/>
    <n v="0"/>
    <n v="3082.75"/>
    <n v="324.5"/>
  </r>
  <r>
    <n v="1592"/>
    <s v="Cooler  1 No."/>
    <s v="Sugar Division"/>
    <x v="5"/>
    <m/>
    <s v="Common"/>
    <d v="2002-06-30T00:00:00"/>
    <n v="6900"/>
    <n v="0"/>
    <n v="6555"/>
    <n v="345"/>
    <n v="345"/>
    <n v="5"/>
    <n v="17.769863013698629"/>
    <n v="3277.5"/>
    <n v="18.769863013698629"/>
    <n v="0"/>
    <n v="3277.5"/>
    <n v="345"/>
  </r>
  <r>
    <n v="1593"/>
    <s v="Air Conditioner 1"/>
    <s v="Sugar Division"/>
    <x v="5"/>
    <m/>
    <s v="Common"/>
    <d v="2002-06-30T00:00:00"/>
    <n v="18000"/>
    <n v="0"/>
    <n v="17100"/>
    <n v="900"/>
    <n v="900"/>
    <n v="5"/>
    <n v="17.769863013698629"/>
    <n v="8550"/>
    <n v="18.769863013698629"/>
    <n v="0"/>
    <n v="8550"/>
    <n v="900"/>
  </r>
  <r>
    <n v="1594"/>
    <s v="Air Conditioner 2 No"/>
    <s v="Sugar Division"/>
    <x v="5"/>
    <m/>
    <s v="Common"/>
    <d v="2002-05-31T00:00:00"/>
    <n v="36000"/>
    <n v="0"/>
    <n v="34200"/>
    <n v="1800"/>
    <n v="1800"/>
    <n v="5"/>
    <n v="17.852054794520548"/>
    <n v="17100"/>
    <n v="18.852054794520548"/>
    <n v="0"/>
    <n v="17100"/>
    <n v="1800"/>
  </r>
  <r>
    <n v="1595"/>
    <s v="Refrigerator  3 Nos."/>
    <s v="Sugar Division"/>
    <x v="5"/>
    <m/>
    <s v="Common"/>
    <d v="2002-05-31T00:00:00"/>
    <n v="134350"/>
    <n v="0"/>
    <n v="127632.5"/>
    <n v="6717.5"/>
    <n v="6717.5"/>
    <n v="5"/>
    <n v="17.852054794520548"/>
    <n v="63816.25"/>
    <n v="18.852054794520548"/>
    <n v="0"/>
    <n v="63816.25"/>
    <n v="6717.5"/>
  </r>
  <r>
    <n v="1596"/>
    <s v="Ceiling Fan  14 Nos."/>
    <s v="Sugar Division"/>
    <x v="5"/>
    <m/>
    <s v="Common"/>
    <d v="2002-01-01T00:00:00"/>
    <n v="18793"/>
    <n v="0"/>
    <n v="17853.349999999999"/>
    <n v="939.65000000000146"/>
    <n v="939.65000000000009"/>
    <n v="5"/>
    <n v="18.263013698630136"/>
    <n v="8926.6749999999993"/>
    <n v="19.263013698630136"/>
    <n v="2.7284841053187851E-13"/>
    <n v="8926.6749999999993"/>
    <n v="939.65000000000009"/>
  </r>
  <r>
    <n v="1597"/>
    <s v="Exhaust Fan 6 Nos."/>
    <s v="Sugar Division"/>
    <x v="5"/>
    <m/>
    <s v="Common"/>
    <d v="2002-01-01T00:00:00"/>
    <n v="7168"/>
    <n v="0"/>
    <n v="6809.6"/>
    <n v="358.39999999999964"/>
    <n v="358.40000000000003"/>
    <n v="5"/>
    <n v="18.263013698630136"/>
    <n v="3404.8"/>
    <n v="19.263013698630136"/>
    <n v="-7.9580786405131228E-14"/>
    <n v="3404.8"/>
    <n v="358.40000000000003"/>
  </r>
  <r>
    <n v="1598"/>
    <s v="Padestal Fan 1 No."/>
    <s v="Sugar Division"/>
    <x v="5"/>
    <m/>
    <s v="Common"/>
    <d v="2002-01-01T00:00:00"/>
    <n v="600"/>
    <n v="0"/>
    <n v="570"/>
    <n v="30"/>
    <n v="30"/>
    <n v="5"/>
    <n v="18.263013698630136"/>
    <n v="285"/>
    <n v="19.263013698630136"/>
    <n v="0"/>
    <n v="285"/>
    <n v="30"/>
  </r>
  <r>
    <n v="1599"/>
    <s v="Cabin Fan 1 No."/>
    <s v="Sugar Division"/>
    <x v="5"/>
    <m/>
    <s v="Common"/>
    <d v="2002-01-01T00:00:00"/>
    <n v="1085"/>
    <n v="0"/>
    <n v="1030.75"/>
    <n v="54.25"/>
    <n v="54.25"/>
    <n v="5"/>
    <n v="18.263013698630136"/>
    <n v="515.375"/>
    <n v="19.263013698630136"/>
    <n v="0"/>
    <n v="515.375"/>
    <n v="54.25"/>
  </r>
  <r>
    <n v="1600"/>
    <s v="Tullu Pump 1 No."/>
    <s v="Sugar Division"/>
    <x v="5"/>
    <m/>
    <s v="Common"/>
    <d v="2002-01-01T00:00:00"/>
    <n v="804"/>
    <n v="0"/>
    <n v="763.8"/>
    <n v="40.200000000000045"/>
    <n v="40.200000000000003"/>
    <n v="5"/>
    <n v="18.263013698630136"/>
    <n v="381.9"/>
    <n v="19.263013698630136"/>
    <n v="8.5265128291212035E-15"/>
    <n v="381.9"/>
    <n v="40.200000000000003"/>
  </r>
  <r>
    <n v="1601"/>
    <s v="Stabilizer 1 No."/>
    <s v="Sugar Division"/>
    <x v="5"/>
    <m/>
    <s v="Common"/>
    <d v="2002-01-01T00:00:00"/>
    <n v="3150"/>
    <n v="0"/>
    <n v="2992.5"/>
    <n v="157.5"/>
    <n v="157.5"/>
    <n v="5"/>
    <n v="18.263013698630136"/>
    <n v="1496.25"/>
    <n v="19.263013698630136"/>
    <n v="0"/>
    <n v="1496.25"/>
    <n v="157.5"/>
  </r>
  <r>
    <n v="1602"/>
    <s v="Cooler 9 Nos."/>
    <s v="Sugar Division"/>
    <x v="5"/>
    <m/>
    <s v="Common"/>
    <d v="2002-01-01T00:00:00"/>
    <n v="19800"/>
    <n v="0"/>
    <n v="18810"/>
    <n v="990"/>
    <n v="990"/>
    <n v="5"/>
    <n v="18.263013698630136"/>
    <n v="9405"/>
    <n v="19.263013698630136"/>
    <n v="0"/>
    <n v="9405"/>
    <n v="990"/>
  </r>
  <r>
    <n v="1603"/>
    <s v="Printer"/>
    <s v="Sugar Division"/>
    <x v="5"/>
    <m/>
    <s v="Common"/>
    <d v="2001-11-15T00:00:00"/>
    <n v="22325"/>
    <n v="0"/>
    <n v="21208.75"/>
    <n v="1116.25"/>
    <n v="1116.25"/>
    <n v="3"/>
    <n v="18.391780821917809"/>
    <n v="10604.375"/>
    <n v="19.391780821917809"/>
    <n v="0"/>
    <n v="10604.375"/>
    <n v="1116.25"/>
  </r>
  <r>
    <n v="1604"/>
    <s v="Computer"/>
    <s v="Sugar Division"/>
    <x v="5"/>
    <m/>
    <s v="Common"/>
    <d v="2001-11-15T00:00:00"/>
    <n v="249900"/>
    <n v="0"/>
    <n v="237405"/>
    <n v="12495"/>
    <n v="12495"/>
    <n v="3"/>
    <n v="18.391780821917809"/>
    <n v="118702.5"/>
    <n v="19.391780821917809"/>
    <n v="0"/>
    <n v="118702.5"/>
    <n v="12495"/>
  </r>
  <r>
    <n v="1605"/>
    <s v="Freeze 1"/>
    <s v="Sugar Division"/>
    <x v="5"/>
    <m/>
    <s v="Common"/>
    <d v="2001-05-05T00:00:00"/>
    <n v="10400"/>
    <n v="0"/>
    <n v="9880"/>
    <n v="520"/>
    <n v="520"/>
    <n v="5"/>
    <n v="18.923287671232877"/>
    <n v="4940"/>
    <n v="19.923287671232877"/>
    <n v="0"/>
    <n v="4940"/>
    <n v="520"/>
  </r>
  <r>
    <n v="1606"/>
    <s v="Intercom "/>
    <s v="Sugar Division"/>
    <x v="5"/>
    <m/>
    <s v="Common"/>
    <d v="2001-04-10T00:00:00"/>
    <n v="47785"/>
    <n v="0"/>
    <n v="45395.75"/>
    <n v="2389.25"/>
    <n v="2389.25"/>
    <n v="5"/>
    <n v="18.991780821917807"/>
    <n v="22697.875"/>
    <n v="19.991780821917807"/>
    <n v="0"/>
    <n v="22697.875"/>
    <n v="2389.25"/>
  </r>
  <r>
    <n v="1607"/>
    <s v="Vaccume Cleaner 1 No.(Shilong Guest House)"/>
    <s v="Sugar Division"/>
    <x v="5"/>
    <m/>
    <s v="Common"/>
    <d v="2001-03-31T00:00:00"/>
    <n v="340"/>
    <n v="0"/>
    <n v="323"/>
    <n v="17"/>
    <n v="17"/>
    <n v="5"/>
    <n v="19.019178082191782"/>
    <n v="161.5"/>
    <n v="20.019178082191782"/>
    <n v="0"/>
    <n v="161.5"/>
    <n v="17"/>
  </r>
  <r>
    <n v="1608"/>
    <s v="Celing Fan 8 Nos."/>
    <s v="Sugar Division"/>
    <x v="5"/>
    <m/>
    <s v="Common"/>
    <d v="2001-01-01T00:00:00"/>
    <n v="7495"/>
    <n v="0"/>
    <n v="7120.25"/>
    <n v="374.75"/>
    <n v="374.75"/>
    <n v="5"/>
    <n v="19.263013698630136"/>
    <n v="3560.125"/>
    <n v="20.263013698630136"/>
    <n v="0"/>
    <n v="3560.125"/>
    <n v="374.75"/>
  </r>
  <r>
    <n v="1609"/>
    <s v="Exhaust Fan 3 Nos."/>
    <s v="Sugar Division"/>
    <x v="5"/>
    <m/>
    <s v="Common"/>
    <d v="2001-01-01T00:00:00"/>
    <n v="4300"/>
    <n v="0"/>
    <n v="4085"/>
    <n v="215"/>
    <n v="215"/>
    <n v="5"/>
    <n v="19.263013698630136"/>
    <n v="2042.5"/>
    <n v="20.263013698630136"/>
    <n v="0"/>
    <n v="2042.5"/>
    <n v="215"/>
  </r>
  <r>
    <n v="1610"/>
    <s v="Cooler 4 Nos. "/>
    <s v="Sugar Division"/>
    <x v="5"/>
    <m/>
    <s v="Common"/>
    <d v="2001-01-01T00:00:00"/>
    <n v="8024"/>
    <n v="0"/>
    <n v="7622.8"/>
    <n v="401.19999999999982"/>
    <n v="401.20000000000005"/>
    <n v="5"/>
    <n v="19.263013698630136"/>
    <n v="3811.4"/>
    <n v="20.263013698630136"/>
    <n v="-4.5474735088646414E-14"/>
    <n v="3811.4"/>
    <n v="401.20000000000005"/>
  </r>
  <r>
    <n v="1611"/>
    <s v="Wireless System "/>
    <s v="Sugar Division"/>
    <x v="5"/>
    <m/>
    <s v="Common"/>
    <d v="2000-12-10T00:00:00"/>
    <n v="291362"/>
    <n v="0"/>
    <n v="175721.90000000002"/>
    <n v="115640.09999999998"/>
    <n v="14568.1"/>
    <n v="5"/>
    <n v="19.323287671232876"/>
    <n v="87860.950000000012"/>
    <n v="20.323287671232876"/>
    <n v="20214.399999999994"/>
    <n v="108075.35"/>
    <n v="14568.1"/>
  </r>
  <r>
    <n v="1612"/>
    <s v="Freeze 1"/>
    <s v="Sugar Division"/>
    <x v="5"/>
    <m/>
    <s v="Common"/>
    <d v="2000-06-20T00:00:00"/>
    <n v="14400"/>
    <n v="0"/>
    <n v="13680"/>
    <n v="720"/>
    <n v="720"/>
    <n v="5"/>
    <n v="19.797260273972604"/>
    <n v="6840"/>
    <n v="20.797260273972604"/>
    <n v="0"/>
    <n v="6840"/>
    <n v="720"/>
  </r>
  <r>
    <n v="1613"/>
    <s v="Air Conditioner 1"/>
    <s v="Sugar Division"/>
    <x v="5"/>
    <m/>
    <s v="Common"/>
    <d v="2000-06-20T00:00:00"/>
    <n v="24500"/>
    <n v="0"/>
    <n v="23275"/>
    <n v="1225"/>
    <n v="1225"/>
    <n v="5"/>
    <n v="19.797260273972604"/>
    <n v="11637.5"/>
    <n v="20.797260273972604"/>
    <n v="0"/>
    <n v="11637.5"/>
    <n v="1225"/>
  </r>
  <r>
    <n v="1614"/>
    <s v="Water Heater (Delhi Office)"/>
    <s v="Sugar Division"/>
    <x v="5"/>
    <m/>
    <s v="Common"/>
    <d v="2000-03-31T00:00:00"/>
    <n v="212"/>
    <n v="0"/>
    <n v="201.4"/>
    <n v="10.599999999999994"/>
    <n v="10.600000000000001"/>
    <n v="5"/>
    <n v="20.019178082191782"/>
    <n v="100.7"/>
    <n v="21.019178082191782"/>
    <n v="-1.4210854715202005E-15"/>
    <n v="100.7"/>
    <n v="10.600000000000001"/>
  </r>
  <r>
    <n v="1615"/>
    <s v="Satelite Receiver (Delhi Office)"/>
    <s v="Sugar Division"/>
    <x v="5"/>
    <m/>
    <s v="Common"/>
    <d v="2000-03-31T00:00:00"/>
    <n v="2879"/>
    <n v="0"/>
    <n v="2735.05"/>
    <n v="143.94999999999982"/>
    <n v="143.95000000000002"/>
    <n v="5"/>
    <n v="20.019178082191782"/>
    <n v="1367.5250000000001"/>
    <n v="21.019178082191782"/>
    <n v="-3.9790393202565614E-14"/>
    <n v="1367.5250000000001"/>
    <n v="143.95000000000002"/>
  </r>
  <r>
    <n v="1616"/>
    <s v="Ups 5 Kva      1 No."/>
    <s v="Sugar Division"/>
    <x v="5"/>
    <m/>
    <s v="Common"/>
    <d v="2000-02-15T00:00:00"/>
    <n v="128125"/>
    <n v="0"/>
    <n v="121718.75"/>
    <n v="6406.25"/>
    <n v="6406.25"/>
    <n v="5"/>
    <n v="20.142465753424659"/>
    <n v="60859.375"/>
    <n v="21.142465753424659"/>
    <n v="0"/>
    <n v="60859.375"/>
    <n v="6406.25"/>
  </r>
  <r>
    <n v="1617"/>
    <s v="Ceiling Fan  33 Nos."/>
    <s v="Sugar Division"/>
    <x v="5"/>
    <m/>
    <s v="Common"/>
    <d v="2000-01-01T00:00:00"/>
    <n v="31867"/>
    <n v="0"/>
    <n v="30273.65"/>
    <n v="1593.3499999999985"/>
    <n v="1593.3500000000001"/>
    <n v="5"/>
    <n v="20.265753424657536"/>
    <n v="15136.825000000001"/>
    <n v="21.265753424657536"/>
    <n v="-3.1832314562052491E-13"/>
    <n v="15136.825000000001"/>
    <n v="1593.3500000000001"/>
  </r>
  <r>
    <n v="1618"/>
    <s v="Geizer       1 No."/>
    <s v="Sugar Division"/>
    <x v="5"/>
    <m/>
    <s v="Common"/>
    <d v="2000-01-01T00:00:00"/>
    <n v="3230"/>
    <n v="0"/>
    <n v="3068.5"/>
    <n v="161.5"/>
    <n v="161.5"/>
    <n v="5"/>
    <n v="20.265753424657536"/>
    <n v="1534.25"/>
    <n v="21.265753424657536"/>
    <n v="0"/>
    <n v="1534.25"/>
    <n v="161.5"/>
  </r>
  <r>
    <n v="1619"/>
    <s v="Table Fan   12 Nos."/>
    <s v="Sugar Division"/>
    <x v="5"/>
    <m/>
    <s v="Common"/>
    <d v="2000-01-01T00:00:00"/>
    <n v="15105"/>
    <n v="0"/>
    <n v="14349.75"/>
    <n v="755.25"/>
    <n v="755.25"/>
    <n v="5"/>
    <n v="20.265753424657536"/>
    <n v="7174.875"/>
    <n v="21.265753424657536"/>
    <n v="0"/>
    <n v="7174.875"/>
    <n v="755.25"/>
  </r>
  <r>
    <n v="1620"/>
    <s v="Blower      3 Nos."/>
    <s v="Sugar Division"/>
    <x v="5"/>
    <m/>
    <s v="Common"/>
    <d v="2000-01-01T00:00:00"/>
    <n v="2355"/>
    <n v="0"/>
    <n v="2237.25"/>
    <n v="117.75"/>
    <n v="117.75"/>
    <n v="5"/>
    <n v="20.265753424657536"/>
    <n v="1118.625"/>
    <n v="21.265753424657536"/>
    <n v="0"/>
    <n v="1118.625"/>
    <n v="117.75"/>
  </r>
  <r>
    <n v="1621"/>
    <s v="Exhaust Fan  18 Nos."/>
    <s v="Sugar Division"/>
    <x v="5"/>
    <m/>
    <s v="Common"/>
    <d v="2000-01-01T00:00:00"/>
    <n v="28974"/>
    <n v="0"/>
    <n v="27525.3"/>
    <n v="1448.7000000000007"/>
    <n v="1448.7"/>
    <n v="5"/>
    <n v="20.265753424657536"/>
    <n v="13762.65"/>
    <n v="21.265753424657536"/>
    <n v="1.3642420526593926E-13"/>
    <n v="13762.65"/>
    <n v="1448.7"/>
  </r>
  <r>
    <n v="1622"/>
    <s v="Tullu  Pumps   11 Nos."/>
    <s v="Sugar Division"/>
    <x v="5"/>
    <m/>
    <s v="Common"/>
    <d v="2000-01-01T00:00:00"/>
    <n v="4420"/>
    <n v="0"/>
    <n v="4199"/>
    <n v="221"/>
    <n v="221"/>
    <n v="5"/>
    <n v="20.265753424657536"/>
    <n v="2099.5"/>
    <n v="21.265753424657536"/>
    <n v="0"/>
    <n v="2099.5"/>
    <n v="221"/>
  </r>
  <r>
    <n v="1623"/>
    <s v="Padestal Fan      2 Nos."/>
    <s v="Sugar Division"/>
    <x v="5"/>
    <m/>
    <s v="Common"/>
    <d v="2000-01-01T00:00:00"/>
    <n v="2560"/>
    <n v="0"/>
    <n v="2432"/>
    <n v="128"/>
    <n v="128"/>
    <n v="5"/>
    <n v="20.265753424657536"/>
    <n v="1216"/>
    <n v="21.265753424657536"/>
    <n v="0"/>
    <n v="1216"/>
    <n v="128"/>
  </r>
  <r>
    <n v="1624"/>
    <s v="Cabin Fan           4 Nos."/>
    <s v="Sugar Division"/>
    <x v="5"/>
    <m/>
    <s v="Common"/>
    <d v="2000-01-01T00:00:00"/>
    <n v="4225"/>
    <n v="0"/>
    <n v="4013.75"/>
    <n v="211.25"/>
    <n v="211.25"/>
    <n v="5"/>
    <n v="20.265753424657536"/>
    <n v="2006.875"/>
    <n v="21.265753424657536"/>
    <n v="0"/>
    <n v="2006.875"/>
    <n v="211.25"/>
  </r>
  <r>
    <n v="1625"/>
    <s v="Cooler  29 Nos."/>
    <s v="Sugar Division"/>
    <x v="5"/>
    <m/>
    <s v="Common"/>
    <d v="2000-01-01T00:00:00"/>
    <n v="63048"/>
    <n v="0"/>
    <n v="59895.6"/>
    <n v="3152.4000000000015"/>
    <n v="3152.4"/>
    <n v="5"/>
    <n v="20.265753424657536"/>
    <n v="29947.8"/>
    <n v="21.265753424657536"/>
    <n v="2.7284841053187851E-13"/>
    <n v="29947.8"/>
    <n v="3152.4"/>
  </r>
  <r>
    <n v="1626"/>
    <s v="Microphone 1 No."/>
    <s v="Sugar Division"/>
    <x v="5"/>
    <m/>
    <s v="Common"/>
    <d v="1999-12-31T00:00:00"/>
    <n v="5430"/>
    <n v="0"/>
    <n v="5158.5"/>
    <n v="271.5"/>
    <n v="271.5"/>
    <n v="5"/>
    <n v="20.268493150684932"/>
    <n v="2579.25"/>
    <n v="21.268493150684932"/>
    <n v="0"/>
    <n v="2579.25"/>
    <n v="271.5"/>
  </r>
  <r>
    <n v="1627"/>
    <s v="Aquagaurd"/>
    <s v="Sugar Division"/>
    <x v="5"/>
    <m/>
    <s v="Common"/>
    <d v="1999-12-31T00:00:00"/>
    <n v="5690"/>
    <n v="0"/>
    <n v="5405.5"/>
    <n v="284.5"/>
    <n v="284.5"/>
    <n v="5"/>
    <n v="20.268493150684932"/>
    <n v="2702.75"/>
    <n v="21.268493150684932"/>
    <n v="0"/>
    <n v="2702.75"/>
    <n v="284.5"/>
  </r>
  <r>
    <n v="1628"/>
    <s v="Wireless System "/>
    <s v="Sugar Division"/>
    <x v="5"/>
    <m/>
    <s v="Common"/>
    <d v="1999-12-31T00:00:00"/>
    <n v="325426"/>
    <n v="0"/>
    <n v="309154.7"/>
    <n v="16271.299999999988"/>
    <n v="16271.300000000001"/>
    <n v="5"/>
    <n v="20.268493150684932"/>
    <n v="154577.35"/>
    <n v="21.268493150684932"/>
    <n v="-2.5465851649641993E-12"/>
    <n v="154577.35"/>
    <n v="16271.300000000001"/>
  </r>
  <r>
    <n v="1629"/>
    <s v="Telephone Exchange(Calcutta Office)"/>
    <s v="Sugar Division"/>
    <x v="5"/>
    <m/>
    <s v="Common"/>
    <d v="1999-08-31T00:00:00"/>
    <n v="49670"/>
    <n v="0"/>
    <n v="47186.5"/>
    <n v="2483.5"/>
    <n v="2483.5"/>
    <n v="5"/>
    <n v="20.602739726027398"/>
    <n v="23593.25"/>
    <n v="21.602739726027398"/>
    <n v="0"/>
    <n v="23593.25"/>
    <n v="2483.5"/>
  </r>
  <r>
    <n v="1630"/>
    <s v="Colour T.V. 1 Set"/>
    <s v="Sugar Division"/>
    <x v="5"/>
    <m/>
    <s v="Common"/>
    <d v="1999-06-30T00:00:00"/>
    <n v="8590"/>
    <n v="0"/>
    <n v="8160.5"/>
    <n v="429.5"/>
    <n v="429.5"/>
    <n v="5"/>
    <n v="20.772602739726029"/>
    <n v="4080.25"/>
    <n v="21.772602739726029"/>
    <n v="0"/>
    <n v="4080.25"/>
    <n v="429.5"/>
  </r>
  <r>
    <n v="1631"/>
    <s v="Ceiling Fan    66 Nos."/>
    <s v="Sugar Division"/>
    <x v="5"/>
    <m/>
    <s v="Common"/>
    <d v="1999-01-01T00:00:00"/>
    <n v="71357"/>
    <n v="0"/>
    <n v="67789.149999999994"/>
    <n v="3567.8500000000058"/>
    <n v="3567.8500000000004"/>
    <n v="5"/>
    <n v="21.265753424657536"/>
    <n v="33894.574999999997"/>
    <n v="22.265753424657536"/>
    <n v="1.091393642127514E-12"/>
    <n v="33894.574999999997"/>
    <n v="3567.8500000000004"/>
  </r>
  <r>
    <n v="1632"/>
    <s v="Table Fan 7 Nos."/>
    <s v="Sugar Division"/>
    <x v="5"/>
    <m/>
    <s v="Common"/>
    <d v="1999-01-01T00:00:00"/>
    <n v="7844"/>
    <n v="0"/>
    <n v="7451.8"/>
    <n v="392.19999999999982"/>
    <n v="392.20000000000005"/>
    <n v="5"/>
    <n v="21.265753424657536"/>
    <n v="3725.9"/>
    <n v="22.265753424657536"/>
    <n v="-4.5474735088646414E-14"/>
    <n v="3725.9"/>
    <n v="392.20000000000005"/>
  </r>
  <r>
    <n v="1633"/>
    <s v="Furniture(Shilong Guest House )"/>
    <s v="Sugar Division"/>
    <x v="5"/>
    <m/>
    <s v="Common"/>
    <d v="1999-01-01T00:00:00"/>
    <n v="10821"/>
    <n v="0"/>
    <n v="10279.950000000001"/>
    <n v="541.04999999999927"/>
    <n v="541.05000000000007"/>
    <n v="10"/>
    <n v="21.265753424657536"/>
    <n v="5139.9750000000004"/>
    <n v="22.265753424657536"/>
    <n v="-7.9580786405131228E-14"/>
    <n v="5139.9750000000004"/>
    <n v="541.05000000000007"/>
  </r>
  <r>
    <n v="1634"/>
    <s v="Furniture(Shilong Guest House )"/>
    <s v="Sugar Division"/>
    <x v="5"/>
    <m/>
    <s v="Common"/>
    <d v="1999-01-01T00:00:00"/>
    <n v="1040"/>
    <n v="0"/>
    <n v="988"/>
    <n v="52"/>
    <n v="52"/>
    <n v="10"/>
    <n v="21.265753424657536"/>
    <n v="494"/>
    <n v="22.265753424657536"/>
    <n v="0"/>
    <n v="494"/>
    <n v="52"/>
  </r>
  <r>
    <n v="1635"/>
    <s v="Fridge  1 No."/>
    <s v="Sugar Division"/>
    <x v="5"/>
    <m/>
    <s v="Common"/>
    <d v="1998-09-15T00:00:00"/>
    <n v="8675"/>
    <n v="0"/>
    <n v="8241.25"/>
    <n v="433.75"/>
    <n v="433.75"/>
    <n v="5"/>
    <n v="21.561643835616437"/>
    <n v="4120.625"/>
    <n v="22.561643835616437"/>
    <n v="0"/>
    <n v="4120.625"/>
    <n v="433.75"/>
  </r>
  <r>
    <n v="1636"/>
    <s v="Air Conditioner 1"/>
    <s v="Sugar Division"/>
    <x v="5"/>
    <m/>
    <s v="Common"/>
    <d v="1998-09-05T00:00:00"/>
    <n v="34572"/>
    <n v="0"/>
    <n v="32843.4"/>
    <n v="1728.5999999999985"/>
    <n v="1728.6000000000001"/>
    <n v="5"/>
    <n v="21.589041095890412"/>
    <n v="16421.7"/>
    <n v="22.589041095890412"/>
    <n v="-3.1832314562052491E-13"/>
    <n v="16421.7"/>
    <n v="1728.6000000000001"/>
  </r>
  <r>
    <n v="1637"/>
    <s v="Fridge  3 Nos."/>
    <s v="Sugar Division"/>
    <x v="5"/>
    <m/>
    <s v="Common"/>
    <d v="1998-09-02T00:00:00"/>
    <n v="29475"/>
    <n v="0"/>
    <n v="28001.25"/>
    <n v="1473.75"/>
    <n v="1473.75"/>
    <n v="5"/>
    <n v="21.597260273972601"/>
    <n v="14000.625"/>
    <n v="22.597260273972601"/>
    <n v="0"/>
    <n v="14000.625"/>
    <n v="1473.75"/>
  </r>
  <r>
    <n v="1638"/>
    <s v="Air Conditioner 4 No"/>
    <s v="Sugar Division"/>
    <x v="5"/>
    <m/>
    <s v="Common"/>
    <d v="1998-05-24T00:00:00"/>
    <n v="108570"/>
    <n v="0"/>
    <n v="103141.5"/>
    <n v="5428.5"/>
    <n v="5428.5"/>
    <n v="5"/>
    <n v="21.873972602739727"/>
    <n v="51570.75"/>
    <n v="22.873972602739727"/>
    <n v="0"/>
    <n v="51570.75"/>
    <n v="5428.5"/>
  </r>
  <r>
    <n v="1639"/>
    <s v="Cooler 21 Nos."/>
    <s v="Sugar Division"/>
    <x v="5"/>
    <m/>
    <s v="Common"/>
    <d v="1998-05-15T00:00:00"/>
    <n v="44205"/>
    <n v="0"/>
    <n v="41994.75"/>
    <n v="2210.25"/>
    <n v="2210.25"/>
    <n v="5"/>
    <n v="21.898630136986302"/>
    <n v="20997.375"/>
    <n v="22.898630136986302"/>
    <n v="0"/>
    <n v="20997.375"/>
    <n v="2210.25"/>
  </r>
  <r>
    <n v="1640"/>
    <s v="Amplifier 1"/>
    <s v="Sugar Division"/>
    <x v="5"/>
    <m/>
    <s v="Common"/>
    <d v="1998-03-31T00:00:00"/>
    <n v="11630"/>
    <n v="0"/>
    <n v="11048.5"/>
    <n v="581.5"/>
    <n v="581.5"/>
    <n v="5"/>
    <n v="22.021917808219179"/>
    <n v="5524.25"/>
    <n v="23.021917808219179"/>
    <n v="0"/>
    <n v="5524.25"/>
    <n v="581.5"/>
  </r>
  <r>
    <n v="1641"/>
    <s v="Air Conditioner 2 No"/>
    <s v="Sugar Division"/>
    <x v="5"/>
    <m/>
    <s v="Common"/>
    <d v="1998-03-31T00:00:00"/>
    <n v="50900"/>
    <n v="0"/>
    <n v="48355"/>
    <n v="2545"/>
    <n v="2545"/>
    <n v="5"/>
    <n v="22.021917808219179"/>
    <n v="24177.5"/>
    <n v="23.021917808219179"/>
    <n v="0"/>
    <n v="24177.5"/>
    <n v="2545"/>
  </r>
  <r>
    <n v="1642"/>
    <s v="Ceiling Fan 30"/>
    <s v="Sugar Division"/>
    <x v="5"/>
    <m/>
    <s v="Common"/>
    <d v="1998-01-01T00:00:00"/>
    <n v="31822"/>
    <n v="0"/>
    <n v="30230.9"/>
    <n v="1591.0999999999985"/>
    <n v="1591.1000000000001"/>
    <n v="5"/>
    <n v="22.265753424657536"/>
    <n v="15115.45"/>
    <n v="23.265753424657536"/>
    <n v="-3.1832314562052491E-13"/>
    <n v="15115.45"/>
    <n v="1591.1000000000001"/>
  </r>
  <r>
    <n v="1643"/>
    <s v="Battery &amp; Catges"/>
    <s v="Sugar Division"/>
    <x v="5"/>
    <m/>
    <s v="Common"/>
    <d v="1998-01-01T00:00:00"/>
    <n v="7715"/>
    <n v="0"/>
    <n v="7329.25"/>
    <n v="385.75"/>
    <n v="385.75"/>
    <n v="5"/>
    <n v="22.265753424657536"/>
    <n v="3664.625"/>
    <n v="23.265753424657536"/>
    <n v="0"/>
    <n v="3664.625"/>
    <n v="385.75"/>
  </r>
  <r>
    <n v="1644"/>
    <s v="Table Fan 7"/>
    <s v="Sugar Division"/>
    <x v="5"/>
    <m/>
    <s v="Common"/>
    <d v="1998-01-01T00:00:00"/>
    <n v="6689"/>
    <n v="0"/>
    <n v="6354.55"/>
    <n v="334.44999999999982"/>
    <n v="334.45000000000005"/>
    <n v="5"/>
    <n v="22.265753424657536"/>
    <n v="3177.2750000000001"/>
    <n v="23.265753424657536"/>
    <n v="-4.5474735088646414E-14"/>
    <n v="3177.2750000000001"/>
    <n v="334.45000000000005"/>
  </r>
  <r>
    <n v="1645"/>
    <s v="Cooler 4"/>
    <s v="Sugar Division"/>
    <x v="5"/>
    <m/>
    <s v="Common"/>
    <d v="1998-01-01T00:00:00"/>
    <n v="13510"/>
    <n v="0"/>
    <n v="12834.5"/>
    <n v="675.5"/>
    <n v="675.5"/>
    <n v="5"/>
    <n v="22.265753424657536"/>
    <n v="6417.25"/>
    <n v="23.265753424657536"/>
    <n v="0"/>
    <n v="6417.25"/>
    <n v="675.5"/>
  </r>
  <r>
    <n v="1646"/>
    <s v="Exhaust Fan 3"/>
    <s v="Sugar Division"/>
    <x v="5"/>
    <m/>
    <s v="Common"/>
    <d v="1998-01-01T00:00:00"/>
    <n v="4480"/>
    <n v="0"/>
    <n v="4256"/>
    <n v="224"/>
    <n v="224"/>
    <n v="5"/>
    <n v="22.265753424657536"/>
    <n v="2128"/>
    <n v="23.265753424657536"/>
    <n v="0"/>
    <n v="2128"/>
    <n v="224"/>
  </r>
  <r>
    <n v="1647"/>
    <s v="Geizer 4"/>
    <s v="Sugar Division"/>
    <x v="5"/>
    <m/>
    <s v="Common"/>
    <d v="1998-01-01T00:00:00"/>
    <n v="13968"/>
    <n v="0"/>
    <n v="13269.6"/>
    <n v="698.39999999999964"/>
    <n v="698.40000000000009"/>
    <n v="5"/>
    <n v="22.265753424657536"/>
    <n v="6634.8"/>
    <n v="23.265753424657536"/>
    <n v="-9.0949470177292829E-14"/>
    <n v="6634.8"/>
    <n v="698.40000000000009"/>
  </r>
  <r>
    <n v="1648"/>
    <s v="Sabilizer 2"/>
    <s v="Sugar Division"/>
    <x v="5"/>
    <m/>
    <s v="Common"/>
    <d v="1998-01-01T00:00:00"/>
    <n v="1844"/>
    <n v="0"/>
    <n v="1751.8"/>
    <n v="92.200000000000045"/>
    <n v="92.2"/>
    <n v="5"/>
    <n v="22.265753424657536"/>
    <n v="875.9"/>
    <n v="23.265753424657536"/>
    <n v="8.5265128291212035E-15"/>
    <n v="875.9"/>
    <n v="92.2"/>
  </r>
  <r>
    <n v="1649"/>
    <s v="Amplifier 1"/>
    <s v="Sugar Division"/>
    <x v="5"/>
    <m/>
    <s v="Common"/>
    <d v="1998-01-01T00:00:00"/>
    <n v="3775"/>
    <n v="0"/>
    <n v="3586.25"/>
    <n v="188.75"/>
    <n v="188.75"/>
    <n v="5"/>
    <n v="22.265753424657536"/>
    <n v="1793.125"/>
    <n v="23.265753424657536"/>
    <n v="0"/>
    <n v="1793.125"/>
    <n v="188.75"/>
  </r>
  <r>
    <n v="1650"/>
    <s v="Water Heater Tank 1"/>
    <s v="Sugar Division"/>
    <x v="5"/>
    <m/>
    <s v="Common"/>
    <d v="1998-01-01T00:00:00"/>
    <n v="3800"/>
    <n v="0"/>
    <n v="3610"/>
    <n v="190"/>
    <n v="190"/>
    <n v="5"/>
    <n v="22.265753424657536"/>
    <n v="1805"/>
    <n v="23.265753424657536"/>
    <n v="0"/>
    <n v="1805"/>
    <n v="190"/>
  </r>
  <r>
    <n v="1651"/>
    <s v="Freeze 1"/>
    <s v="Sugar Division"/>
    <x v="5"/>
    <m/>
    <s v="Common"/>
    <d v="1997-11-30T00:00:00"/>
    <n v="14235"/>
    <n v="0"/>
    <n v="13523.25"/>
    <n v="711.75"/>
    <n v="711.75"/>
    <n v="5"/>
    <n v="22.353424657534248"/>
    <n v="6761.625"/>
    <n v="23.353424657534248"/>
    <n v="0"/>
    <n v="6761.625"/>
    <n v="711.75"/>
  </r>
  <r>
    <n v="1652"/>
    <s v="Exhaust Fan 9"/>
    <s v="Sugar Division"/>
    <x v="5"/>
    <m/>
    <s v="Common"/>
    <d v="1997-01-01T00:00:00"/>
    <n v="10373"/>
    <n v="0"/>
    <n v="9854.35"/>
    <n v="518.64999999999964"/>
    <n v="518.65"/>
    <n v="5"/>
    <n v="23.265753424657536"/>
    <n v="4927.1750000000002"/>
    <n v="24.265753424657536"/>
    <n v="-6.8212102632969628E-14"/>
    <n v="4927.1750000000002"/>
    <n v="518.65"/>
  </r>
  <r>
    <n v="1653"/>
    <s v="Table Fan 4"/>
    <s v="Sugar Division"/>
    <x v="5"/>
    <m/>
    <s v="Common"/>
    <d v="1997-01-01T00:00:00"/>
    <n v="3780"/>
    <n v="0"/>
    <n v="3591"/>
    <n v="189"/>
    <n v="189"/>
    <n v="5"/>
    <n v="23.265753424657536"/>
    <n v="1795.5"/>
    <n v="24.265753424657536"/>
    <n v="0"/>
    <n v="1795.5"/>
    <n v="189"/>
  </r>
  <r>
    <n v="1654"/>
    <s v="Ceiling Fan 47"/>
    <s v="Sugar Division"/>
    <x v="5"/>
    <m/>
    <s v="Common"/>
    <d v="1997-01-01T00:00:00"/>
    <n v="41819"/>
    <n v="0"/>
    <n v="39728.050000000003"/>
    <n v="2090.9499999999971"/>
    <n v="2090.9500000000003"/>
    <n v="5"/>
    <n v="23.265753424657536"/>
    <n v="19864.025000000001"/>
    <n v="24.265753424657536"/>
    <n v="-6.3664629124104983E-13"/>
    <n v="19864.025000000001"/>
    <n v="2090.9500000000003"/>
  </r>
  <r>
    <n v="1655"/>
    <s v="Geizer 2"/>
    <s v="Sugar Division"/>
    <x v="5"/>
    <m/>
    <s v="Common"/>
    <d v="1997-01-01T00:00:00"/>
    <n v="5074"/>
    <n v="0"/>
    <n v="4820.3"/>
    <n v="253.69999999999982"/>
    <n v="253.70000000000002"/>
    <n v="5"/>
    <n v="23.265753424657536"/>
    <n v="2410.15"/>
    <n v="24.265753424657536"/>
    <n v="-3.9790393202565614E-14"/>
    <n v="2410.15"/>
    <n v="253.70000000000002"/>
  </r>
  <r>
    <n v="1656"/>
    <s v="Cooler 9"/>
    <s v="Sugar Division"/>
    <x v="5"/>
    <m/>
    <s v="Common"/>
    <d v="1997-01-01T00:00:00"/>
    <n v="25686"/>
    <n v="0"/>
    <n v="24401.7"/>
    <n v="1284.2999999999993"/>
    <n v="1284.3000000000002"/>
    <n v="5"/>
    <n v="23.265753424657536"/>
    <n v="12200.85"/>
    <n v="24.265753424657536"/>
    <n v="-1.8189894035458566E-13"/>
    <n v="12200.85"/>
    <n v="1284.3000000000002"/>
  </r>
  <r>
    <n v="1657"/>
    <s v="Aquagard Water Filter  1"/>
    <s v="Sugar Division"/>
    <x v="5"/>
    <m/>
    <s v="Common"/>
    <d v="1996-10-15T00:00:00"/>
    <n v="5290"/>
    <n v="0"/>
    <n v="5025.5"/>
    <n v="264.5"/>
    <n v="264.5"/>
    <n v="5"/>
    <n v="23.479452054794521"/>
    <n v="2512.75"/>
    <n v="24.479452054794521"/>
    <n v="0"/>
    <n v="2512.75"/>
    <n v="264.5"/>
  </r>
  <r>
    <n v="1658"/>
    <s v="Misc Small "/>
    <s v="Sugar Division"/>
    <x v="5"/>
    <m/>
    <s v="Common"/>
    <d v="1996-06-30T00:00:00"/>
    <n v="49825"/>
    <n v="0"/>
    <n v="47333.75"/>
    <n v="2491.25"/>
    <n v="2491.25"/>
    <n v="5"/>
    <n v="23.772602739726029"/>
    <n v="23666.875"/>
    <n v="24.772602739726029"/>
    <n v="0"/>
    <n v="23666.875"/>
    <n v="2491.25"/>
  </r>
  <r>
    <n v="1659"/>
    <s v="Air Conditioner 1"/>
    <s v="Sugar Division"/>
    <x v="5"/>
    <m/>
    <s v="Common"/>
    <d v="1996-06-29T00:00:00"/>
    <n v="26417"/>
    <n v="0"/>
    <n v="25096.15"/>
    <n v="1320.8499999999985"/>
    <n v="1320.8500000000001"/>
    <n v="5"/>
    <n v="23.775342465753425"/>
    <n v="12548.075000000001"/>
    <n v="24.775342465753425"/>
    <n v="-3.1832314562052491E-13"/>
    <n v="12548.075000000001"/>
    <n v="1320.8500000000001"/>
  </r>
  <r>
    <n v="1660"/>
    <s v="Freidge 1"/>
    <s v="Sugar Division"/>
    <x v="5"/>
    <m/>
    <s v="Common"/>
    <d v="1996-05-01T00:00:00"/>
    <n v="9300"/>
    <n v="0"/>
    <n v="8835"/>
    <n v="465"/>
    <n v="465"/>
    <n v="5"/>
    <n v="23.936986301369863"/>
    <n v="4417.5"/>
    <n v="24.936986301369863"/>
    <n v="0"/>
    <n v="4417.5"/>
    <n v="465"/>
  </r>
  <r>
    <n v="1661"/>
    <s v="Coolers"/>
    <s v="Sugar Division"/>
    <x v="5"/>
    <m/>
    <s v="Common"/>
    <d v="1996-03-31T00:00:00"/>
    <n v="35005"/>
    <n v="0"/>
    <n v="33254.75"/>
    <n v="1750.25"/>
    <n v="1750.25"/>
    <n v="5"/>
    <n v="24.021917808219179"/>
    <n v="16627.375"/>
    <n v="25.021917808219179"/>
    <n v="0"/>
    <n v="16627.375"/>
    <n v="1750.25"/>
  </r>
  <r>
    <n v="1662"/>
    <s v="Ceiling Fan 37"/>
    <s v="Sugar Division"/>
    <x v="5"/>
    <m/>
    <s v="Common"/>
    <d v="1996-01-01T00:00:00"/>
    <n v="30150"/>
    <n v="0"/>
    <n v="28642.5"/>
    <n v="1507.5"/>
    <n v="1507.5"/>
    <n v="5"/>
    <n v="24.268493150684932"/>
    <n v="14321.25"/>
    <n v="25.268493150684932"/>
    <n v="0"/>
    <n v="14321.25"/>
    <n v="1507.5"/>
  </r>
  <r>
    <n v="1663"/>
    <s v="Table Fan  4"/>
    <s v="Sugar Division"/>
    <x v="5"/>
    <m/>
    <s v="Common"/>
    <d v="1996-01-01T00:00:00"/>
    <n v="3563"/>
    <n v="0"/>
    <n v="3384.85"/>
    <n v="178.15000000000009"/>
    <n v="178.15"/>
    <n v="5"/>
    <n v="24.268493150684932"/>
    <n v="1692.425"/>
    <n v="25.268493150684932"/>
    <n v="1.7053025658242407E-14"/>
    <n v="1692.425"/>
    <n v="178.15"/>
  </r>
  <r>
    <n v="1664"/>
    <s v="Tullu Pump 1"/>
    <s v="Sugar Division"/>
    <x v="5"/>
    <m/>
    <s v="Common"/>
    <d v="1996-01-01T00:00:00"/>
    <n v="1350"/>
    <n v="0"/>
    <n v="1282.5"/>
    <n v="67.5"/>
    <n v="67.5"/>
    <n v="5"/>
    <n v="24.268493150684932"/>
    <n v="641.25"/>
    <n v="25.268493150684932"/>
    <n v="0"/>
    <n v="641.25"/>
    <n v="67.5"/>
  </r>
  <r>
    <n v="1665"/>
    <s v="Geizer 5"/>
    <s v="Sugar Division"/>
    <x v="5"/>
    <m/>
    <s v="Common"/>
    <d v="1996-01-01T00:00:00"/>
    <n v="17751"/>
    <n v="0"/>
    <n v="16863.45"/>
    <n v="887.54999999999927"/>
    <n v="887.55000000000007"/>
    <n v="5"/>
    <n v="24.268493150684932"/>
    <n v="8431.7250000000004"/>
    <n v="25.268493150684932"/>
    <n v="-1.5916157281026246E-13"/>
    <n v="8431.7250000000004"/>
    <n v="887.55000000000007"/>
  </r>
  <r>
    <n v="1666"/>
    <s v="Stabilizer 1"/>
    <s v="Sugar Division"/>
    <x v="5"/>
    <m/>
    <s v="Common"/>
    <d v="1996-01-01T00:00:00"/>
    <n v="1550"/>
    <n v="0"/>
    <n v="1472.5"/>
    <n v="77.5"/>
    <n v="77.5"/>
    <n v="5"/>
    <n v="24.268493150684932"/>
    <n v="736.25"/>
    <n v="25.268493150684932"/>
    <n v="0"/>
    <n v="736.25"/>
    <n v="77.5"/>
  </r>
  <r>
    <n v="1667"/>
    <s v="Exhaust Fan 5"/>
    <s v="Sugar Division"/>
    <x v="5"/>
    <m/>
    <s v="Common"/>
    <d v="1996-01-01T00:00:00"/>
    <n v="6861"/>
    <n v="0"/>
    <n v="6517.95"/>
    <n v="343.05000000000018"/>
    <n v="343.05"/>
    <n v="5"/>
    <n v="24.268493150684932"/>
    <n v="3258.9749999999999"/>
    <n v="25.268493150684932"/>
    <n v="3.4106051316484814E-14"/>
    <n v="3258.9749999999999"/>
    <n v="343.05"/>
  </r>
  <r>
    <n v="1668"/>
    <s v="Pedastal Fan 1"/>
    <s v="Sugar Division"/>
    <x v="5"/>
    <m/>
    <s v="Common"/>
    <d v="1996-01-01T00:00:00"/>
    <n v="1580"/>
    <n v="0"/>
    <n v="1501"/>
    <n v="79"/>
    <n v="79"/>
    <n v="5"/>
    <n v="24.268493150684932"/>
    <n v="750.5"/>
    <n v="25.268493150684932"/>
    <n v="0"/>
    <n v="750.5"/>
    <n v="79"/>
  </r>
  <r>
    <n v="1669"/>
    <s v="Hot Air Blower 4"/>
    <s v="Sugar Division"/>
    <x v="5"/>
    <m/>
    <s v="Common"/>
    <d v="1996-01-01T00:00:00"/>
    <n v="4198"/>
    <n v="0"/>
    <n v="3988.1"/>
    <n v="209.90000000000009"/>
    <n v="209.9"/>
    <n v="5"/>
    <n v="24.268493150684932"/>
    <n v="1994.05"/>
    <n v="25.268493150684932"/>
    <n v="1.7053025658242407E-14"/>
    <n v="1994.05"/>
    <n v="209.9"/>
  </r>
  <r>
    <n v="1670"/>
    <s v="Lko-Table Fan"/>
    <s v="Sugar Division"/>
    <x v="5"/>
    <m/>
    <s v="Common"/>
    <d v="1996-01-01T00:00:00"/>
    <n v="228"/>
    <n v="0"/>
    <n v="216.6"/>
    <n v="11.400000000000006"/>
    <n v="11.4"/>
    <n v="5"/>
    <n v="24.268493150684932"/>
    <n v="108.3"/>
    <n v="25.268493150684932"/>
    <n v="1.0658141036401504E-15"/>
    <n v="108.3"/>
    <n v="11.4"/>
  </r>
  <r>
    <n v="1671"/>
    <s v="Lko-Fresh Air Fan"/>
    <s v="Sugar Division"/>
    <x v="5"/>
    <m/>
    <s v="Common"/>
    <d v="1996-01-01T00:00:00"/>
    <n v="1025"/>
    <n v="0"/>
    <n v="973.75"/>
    <n v="51.25"/>
    <n v="51.25"/>
    <n v="5"/>
    <n v="24.268493150684932"/>
    <n v="486.875"/>
    <n v="25.268493150684932"/>
    <n v="0"/>
    <n v="486.875"/>
    <n v="51.25"/>
  </r>
  <r>
    <n v="1672"/>
    <s v="Lko-Pump With Shp Motor"/>
    <s v="Sugar Division"/>
    <x v="5"/>
    <m/>
    <s v="Common"/>
    <d v="1996-01-01T00:00:00"/>
    <n v="1118"/>
    <n v="0"/>
    <n v="1062.0999999999999"/>
    <n v="55.900000000000091"/>
    <n v="55.900000000000006"/>
    <n v="5"/>
    <n v="24.268493150684932"/>
    <n v="531.04999999999995"/>
    <n v="25.268493150684932"/>
    <n v="1.7053025658242407E-14"/>
    <n v="531.04999999999995"/>
    <n v="55.900000000000006"/>
  </r>
  <r>
    <n v="1673"/>
    <s v="Lko-Geysers"/>
    <s v="Sugar Division"/>
    <x v="5"/>
    <m/>
    <s v="Common"/>
    <d v="1996-01-01T00:00:00"/>
    <n v="6000"/>
    <n v="0"/>
    <n v="5700"/>
    <n v="300"/>
    <n v="300"/>
    <n v="5"/>
    <n v="24.268493150684932"/>
    <n v="2850"/>
    <n v="25.268493150684932"/>
    <n v="0"/>
    <n v="2850"/>
    <n v="300"/>
  </r>
  <r>
    <n v="1674"/>
    <s v="Lko-Exhaust Fan"/>
    <s v="Sugar Division"/>
    <x v="5"/>
    <m/>
    <s v="Common"/>
    <d v="1996-01-01T00:00:00"/>
    <n v="750"/>
    <n v="0"/>
    <n v="712.5"/>
    <n v="37.5"/>
    <n v="37.5"/>
    <n v="5"/>
    <n v="24.268493150684932"/>
    <n v="356.25"/>
    <n v="25.268493150684932"/>
    <n v="0"/>
    <n v="356.25"/>
    <n v="393.75"/>
  </r>
  <r>
    <n v="1675"/>
    <s v="Lko-Heat Convertor"/>
    <s v="Sugar Division"/>
    <x v="5"/>
    <m/>
    <s v="Common"/>
    <d v="1996-01-01T00:00:00"/>
    <n v="1200"/>
    <n v="0"/>
    <n v="1140"/>
    <n v="60"/>
    <n v="60"/>
    <n v="5"/>
    <n v="24.268493150684932"/>
    <n v="570"/>
    <n v="25.268493150684932"/>
    <n v="0"/>
    <n v="570"/>
    <n v="60"/>
  </r>
  <r>
    <n v="1676"/>
    <s v="Lko-Stabilizer"/>
    <s v="Sugar Division"/>
    <x v="5"/>
    <m/>
    <s v="Common"/>
    <d v="1996-01-01T00:00:00"/>
    <n v="1350"/>
    <n v="0"/>
    <n v="1282.5"/>
    <n v="67.5"/>
    <n v="67.5"/>
    <n v="5"/>
    <n v="24.268493150684932"/>
    <n v="641.25"/>
    <n v="25.268493150684932"/>
    <n v="0"/>
    <n v="641.25"/>
    <n v="67.5"/>
  </r>
  <r>
    <n v="1677"/>
    <s v="Cooler 9"/>
    <s v="Sugar Division"/>
    <x v="5"/>
    <m/>
    <s v="Common"/>
    <d v="1996-01-01T00:00:00"/>
    <n v="24690"/>
    <n v="0"/>
    <n v="23455.5"/>
    <n v="1234.5"/>
    <n v="1234.5"/>
    <n v="5"/>
    <n v="24.268493150684932"/>
    <n v="11727.75"/>
    <n v="25.268493150684932"/>
    <n v="0"/>
    <n v="11727.75"/>
    <n v="1234.5"/>
  </r>
  <r>
    <n v="1678"/>
    <s v="Cooler 1"/>
    <s v="Sugar Division"/>
    <x v="5"/>
    <m/>
    <s v="Common"/>
    <d v="1995-10-19T00:00:00"/>
    <n v="5400"/>
    <n v="0"/>
    <n v="5130"/>
    <n v="270"/>
    <n v="270"/>
    <n v="5"/>
    <n v="24.471232876712328"/>
    <n v="2565"/>
    <n v="25.471232876712328"/>
    <n v="0"/>
    <n v="2565"/>
    <n v="270"/>
  </r>
  <r>
    <n v="1679"/>
    <s v="Refrigerator 1"/>
    <s v="Sugar Division"/>
    <x v="5"/>
    <m/>
    <s v="Common"/>
    <d v="1995-09-16T00:00:00"/>
    <n v="13175"/>
    <n v="0"/>
    <n v="12516.25"/>
    <n v="658.75"/>
    <n v="658.75"/>
    <n v="5"/>
    <n v="24.561643835616437"/>
    <n v="6258.125"/>
    <n v="25.561643835616437"/>
    <n v="0"/>
    <n v="6258.125"/>
    <n v="658.75"/>
  </r>
  <r>
    <n v="1680"/>
    <s v="Air Conditioner At Lucknow "/>
    <s v="Sugar Division"/>
    <x v="5"/>
    <m/>
    <s v="Common"/>
    <d v="1995-06-15T00:00:00"/>
    <n v="16500"/>
    <n v="0"/>
    <n v="15675"/>
    <n v="825"/>
    <n v="825"/>
    <n v="5"/>
    <n v="24.816438356164383"/>
    <n v="7837.5"/>
    <n v="25.816438356164383"/>
    <n v="0"/>
    <n v="7837.5"/>
    <n v="825"/>
  </r>
  <r>
    <n v="1681"/>
    <s v="Air Conditioner 4"/>
    <s v="Sugar Division"/>
    <x v="5"/>
    <m/>
    <s v="Common"/>
    <d v="1995-03-15T00:00:00"/>
    <n v="95200"/>
    <n v="0"/>
    <n v="90440"/>
    <n v="4760"/>
    <n v="4760"/>
    <n v="5"/>
    <n v="25.068493150684933"/>
    <n v="45220"/>
    <n v="26.068493150684933"/>
    <n v="0"/>
    <n v="45220"/>
    <n v="4760"/>
  </r>
  <r>
    <n v="1682"/>
    <s v="Ceiling Fan 5"/>
    <s v="Sugar Division"/>
    <x v="5"/>
    <m/>
    <s v="Common"/>
    <d v="1995-01-01T00:00:00"/>
    <n v="4351"/>
    <n v="0"/>
    <n v="4133.45"/>
    <n v="217.55000000000018"/>
    <n v="217.55"/>
    <n v="5"/>
    <n v="25.268493150684932"/>
    <n v="2066.7249999999999"/>
    <n v="26.268493150684932"/>
    <n v="3.4106051316484814E-14"/>
    <n v="2066.7249999999999"/>
    <n v="217.55"/>
  </r>
  <r>
    <n v="1683"/>
    <s v="Sabilizer 1"/>
    <s v="Sugar Division"/>
    <x v="5"/>
    <m/>
    <s v="Common"/>
    <d v="1995-01-01T00:00:00"/>
    <n v="683"/>
    <n v="0"/>
    <n v="648.85"/>
    <n v="34.149999999999977"/>
    <n v="34.15"/>
    <n v="5"/>
    <n v="25.268493150684932"/>
    <n v="324.42500000000001"/>
    <n v="26.268493150684932"/>
    <n v="-4.2632564145606017E-15"/>
    <n v="324.42500000000001"/>
    <n v="34.15"/>
  </r>
  <r>
    <n v="1684"/>
    <s v="Exhaust Fan 1"/>
    <s v="Sugar Division"/>
    <x v="5"/>
    <m/>
    <s v="Common"/>
    <d v="1995-01-01T00:00:00"/>
    <n v="2169"/>
    <n v="0"/>
    <n v="2060.5500000000002"/>
    <n v="108.44999999999982"/>
    <n v="108.45"/>
    <n v="5"/>
    <n v="25.268493150684932"/>
    <n v="1030.2750000000001"/>
    <n v="26.268493150684932"/>
    <n v="-3.6948222259525211E-14"/>
    <n v="1030.2750000000001"/>
    <n v="108.45"/>
  </r>
  <r>
    <n v="1685"/>
    <s v="Geizer 1"/>
    <s v="Sugar Division"/>
    <x v="5"/>
    <m/>
    <s v="Common"/>
    <d v="1995-01-01T00:00:00"/>
    <n v="2574"/>
    <n v="0"/>
    <n v="2445.3000000000002"/>
    <n v="128.69999999999982"/>
    <n v="128.70000000000002"/>
    <n v="5"/>
    <n v="25.268493150684932"/>
    <n v="1222.6500000000001"/>
    <n v="26.268493150684932"/>
    <n v="-3.9790393202565614E-14"/>
    <n v="1222.6500000000001"/>
    <n v="128.70000000000002"/>
  </r>
  <r>
    <n v="1686"/>
    <s v="Desert Cooler 4"/>
    <s v="Sugar Division"/>
    <x v="5"/>
    <m/>
    <s v="Common"/>
    <d v="1995-01-01T00:00:00"/>
    <n v="10125"/>
    <n v="0"/>
    <n v="9618.75"/>
    <n v="506.25"/>
    <n v="506.25"/>
    <n v="5"/>
    <n v="25.268493150684932"/>
    <n v="4809.375"/>
    <n v="26.268493150684932"/>
    <n v="0"/>
    <n v="4809.375"/>
    <n v="506.25"/>
  </r>
  <r>
    <n v="1687"/>
    <s v="Metal Detectors Doors At H.O."/>
    <s v="Sugar Division"/>
    <x v="5"/>
    <m/>
    <s v="Common"/>
    <d v="1994-03-31T00:00:00"/>
    <n v="1303"/>
    <n v="0"/>
    <n v="1237.8499999999999"/>
    <n v="65.150000000000091"/>
    <n v="65.150000000000006"/>
    <n v="5"/>
    <n v="26.024657534246575"/>
    <n v="618.92499999999995"/>
    <n v="27.024657534246575"/>
    <n v="1.7053025658242407E-14"/>
    <n v="618.92499999999995"/>
    <n v="65.150000000000006"/>
  </r>
  <r>
    <n v="1688"/>
    <s v="Auto Stabilizers 3"/>
    <s v="Sugar Division"/>
    <x v="5"/>
    <m/>
    <s v="Common"/>
    <d v="1994-03-15T00:00:00"/>
    <n v="3087"/>
    <n v="0"/>
    <n v="2932.65"/>
    <n v="154.34999999999991"/>
    <n v="154.35000000000002"/>
    <n v="5"/>
    <n v="26.068493150684933"/>
    <n v="1466.325"/>
    <n v="27.068493150684933"/>
    <n v="-2.2737367544323207E-14"/>
    <n v="1466.325"/>
    <n v="154.35000000000002"/>
  </r>
  <r>
    <n v="1689"/>
    <s v="Refrigerators 3"/>
    <s v="Sugar Division"/>
    <x v="5"/>
    <m/>
    <s v="Common"/>
    <d v="1993-12-22T00:00:00"/>
    <n v="29360"/>
    <n v="0"/>
    <n v="27892"/>
    <n v="1468"/>
    <n v="1468"/>
    <n v="5"/>
    <n v="26.295890410958904"/>
    <n v="13946"/>
    <n v="27.295890410958904"/>
    <n v="0"/>
    <n v="13946"/>
    <n v="1468"/>
  </r>
  <r>
    <n v="1690"/>
    <s v="Ceiling Fans 7"/>
    <s v="Sugar Division"/>
    <x v="5"/>
    <m/>
    <s v="Common"/>
    <d v="1993-12-15T00:00:00"/>
    <n v="5292"/>
    <n v="0"/>
    <n v="5027.3999999999996"/>
    <n v="264.60000000000036"/>
    <n v="264.60000000000002"/>
    <n v="5"/>
    <n v="26.315068493150687"/>
    <n v="2513.6999999999998"/>
    <n v="27.315068493150687"/>
    <n v="6.8212102632969628E-14"/>
    <n v="2513.6999999999998"/>
    <n v="264.60000000000002"/>
  </r>
  <r>
    <n v="1691"/>
    <s v="Geizer 1"/>
    <s v="Sugar Division"/>
    <x v="5"/>
    <m/>
    <s v="Common"/>
    <d v="1993-12-13T00:00:00"/>
    <n v="3600"/>
    <n v="0"/>
    <n v="3420"/>
    <n v="180"/>
    <n v="180"/>
    <n v="5"/>
    <n v="26.32054794520548"/>
    <n v="1710"/>
    <n v="27.32054794520548"/>
    <n v="0"/>
    <n v="1710"/>
    <n v="180"/>
  </r>
  <r>
    <n v="1692"/>
    <s v="Desert Cooler 7"/>
    <s v="Sugar Division"/>
    <x v="5"/>
    <m/>
    <s v="Common"/>
    <d v="1993-11-20T00:00:00"/>
    <n v="20810"/>
    <n v="0"/>
    <n v="19769.5"/>
    <n v="1040.5"/>
    <n v="1040.5"/>
    <n v="5"/>
    <n v="26.383561643835616"/>
    <n v="9884.75"/>
    <n v="27.383561643835616"/>
    <n v="0"/>
    <n v="9884.75"/>
    <n v="1040.5"/>
  </r>
  <r>
    <n v="1693"/>
    <s v="Exhaust Fans 12&quot;   3"/>
    <s v="Sugar Division"/>
    <x v="5"/>
    <m/>
    <s v="Common"/>
    <d v="1993-10-31T00:00:00"/>
    <n v="5912"/>
    <n v="0"/>
    <n v="5616.4"/>
    <n v="295.60000000000036"/>
    <n v="295.60000000000002"/>
    <n v="5"/>
    <n v="26.438356164383563"/>
    <n v="2808.2"/>
    <n v="27.438356164383563"/>
    <n v="6.8212102632969628E-14"/>
    <n v="2808.2"/>
    <n v="295.60000000000002"/>
  </r>
  <r>
    <n v="1694"/>
    <s v="Air Conditioner For Bungalow &amp;Office 4"/>
    <s v="Sugar Division"/>
    <x v="5"/>
    <m/>
    <s v="Common"/>
    <d v="1993-09-15T00:00:00"/>
    <n v="112657"/>
    <n v="0"/>
    <n v="107024.15"/>
    <n v="5632.8500000000058"/>
    <n v="5632.85"/>
    <n v="5"/>
    <n v="26.564383561643837"/>
    <n v="53512.074999999997"/>
    <n v="27.564383561643837"/>
    <n v="1.091393642127514E-12"/>
    <n v="53512.074999999997"/>
    <n v="5632.85"/>
  </r>
  <r>
    <n v="1695"/>
    <s v="Table Fan 2"/>
    <s v="Sugar Division"/>
    <x v="5"/>
    <m/>
    <s v="Common"/>
    <d v="1993-03-15T00:00:00"/>
    <n v="2151"/>
    <n v="0"/>
    <n v="2043.45"/>
    <n v="107.54999999999995"/>
    <n v="107.55000000000001"/>
    <n v="5"/>
    <n v="27.068493150684933"/>
    <n v="1021.725"/>
    <n v="28.068493150684933"/>
    <n v="-1.1368683772161604E-14"/>
    <n v="1021.725"/>
    <n v="107.55000000000001"/>
  </r>
  <r>
    <n v="1696"/>
    <s v="Ceiling Fans 8"/>
    <s v="Sugar Division"/>
    <x v="5"/>
    <m/>
    <s v="Common"/>
    <d v="1993-03-15T00:00:00"/>
    <n v="6090"/>
    <n v="0"/>
    <n v="5785.5"/>
    <n v="304.5"/>
    <n v="304.5"/>
    <n v="5"/>
    <n v="27.068493150684933"/>
    <n v="2892.75"/>
    <n v="28.068493150684933"/>
    <n v="0"/>
    <n v="2892.75"/>
    <n v="304.5"/>
  </r>
  <r>
    <n v="1697"/>
    <s v="Stabilizer 3"/>
    <s v="Sugar Division"/>
    <x v="5"/>
    <m/>
    <s v="Common"/>
    <d v="1992-12-31T00:00:00"/>
    <n v="4083"/>
    <n v="0"/>
    <n v="3878.85"/>
    <n v="204.15000000000009"/>
    <n v="204.15"/>
    <n v="5"/>
    <n v="27.271232876712329"/>
    <n v="1939.425"/>
    <n v="28.271232876712329"/>
    <n v="1.7053025658242407E-14"/>
    <n v="1939.425"/>
    <n v="204.15"/>
  </r>
  <r>
    <n v="1698"/>
    <s v="Exhaust Fans 3"/>
    <s v="Sugar Division"/>
    <x v="5"/>
    <m/>
    <s v="Common"/>
    <d v="1992-12-31T00:00:00"/>
    <n v="4782"/>
    <n v="0"/>
    <n v="4542.8999999999996"/>
    <n v="239.10000000000036"/>
    <n v="239.10000000000002"/>
    <n v="5"/>
    <n v="27.271232876712329"/>
    <n v="2271.4499999999998"/>
    <n v="28.271232876712329"/>
    <n v="6.8212102632969628E-14"/>
    <n v="2271.4499999999998"/>
    <n v="239.10000000000002"/>
  </r>
  <r>
    <n v="1699"/>
    <s v="Geizer 2"/>
    <s v="Sugar Division"/>
    <x v="5"/>
    <m/>
    <s v="Common"/>
    <d v="1992-10-30T00:00:00"/>
    <n v="7598"/>
    <n v="0"/>
    <n v="7218.1"/>
    <n v="379.89999999999964"/>
    <n v="379.90000000000003"/>
    <n v="5"/>
    <n v="27.44109589041096"/>
    <n v="3609.05"/>
    <n v="28.44109589041096"/>
    <n v="-7.9580786405131228E-14"/>
    <n v="3609.05"/>
    <n v="379.90000000000003"/>
  </r>
  <r>
    <n v="1700"/>
    <s v="Cooler 3"/>
    <s v="Sugar Division"/>
    <x v="5"/>
    <m/>
    <s v="Common"/>
    <d v="1992-09-30T00:00:00"/>
    <n v="10590"/>
    <n v="0"/>
    <n v="10060.5"/>
    <n v="529.5"/>
    <n v="529.5"/>
    <n v="5"/>
    <n v="27.523287671232875"/>
    <n v="5030.25"/>
    <n v="28.523287671232875"/>
    <n v="0"/>
    <n v="5030.25"/>
    <n v="529.5"/>
  </r>
  <r>
    <n v="1701"/>
    <s v="Stabilizer "/>
    <s v="Sugar Division"/>
    <x v="5"/>
    <m/>
    <s v="Common"/>
    <d v="1992-06-15T00:00:00"/>
    <n v="1475"/>
    <n v="0"/>
    <n v="1401.25"/>
    <n v="73.75"/>
    <n v="73.75"/>
    <n v="5"/>
    <n v="27.816438356164383"/>
    <n v="700.625"/>
    <n v="28.816438356164383"/>
    <n v="0"/>
    <n v="700.625"/>
    <n v="73.75"/>
  </r>
  <r>
    <n v="1702"/>
    <s v="Tulloo Pump "/>
    <s v="Sugar Division"/>
    <x v="5"/>
    <m/>
    <s v="Common"/>
    <d v="1992-06-15T00:00:00"/>
    <n v="875"/>
    <n v="0"/>
    <n v="831.25"/>
    <n v="43.75"/>
    <n v="43.75"/>
    <n v="5"/>
    <n v="27.816438356164383"/>
    <n v="415.625"/>
    <n v="28.816438356164383"/>
    <n v="0"/>
    <n v="415.625"/>
    <n v="43.75"/>
  </r>
  <r>
    <n v="1703"/>
    <s v="Exhaust Fan "/>
    <s v="Sugar Division"/>
    <x v="5"/>
    <m/>
    <s v="Common"/>
    <d v="1992-05-31T00:00:00"/>
    <n v="973"/>
    <n v="0"/>
    <n v="924.35"/>
    <n v="48.649999999999977"/>
    <n v="48.650000000000006"/>
    <n v="5"/>
    <n v="27.857534246575341"/>
    <n v="462.17500000000001"/>
    <n v="28.857534246575341"/>
    <n v="-5.6843418860808018E-15"/>
    <n v="462.17500000000001"/>
    <n v="48.650000000000006"/>
  </r>
  <r>
    <n v="1704"/>
    <s v="Cooler "/>
    <s v="Sugar Division"/>
    <x v="5"/>
    <m/>
    <s v="Common"/>
    <d v="1992-05-31T00:00:00"/>
    <n v="6567"/>
    <n v="0"/>
    <n v="6238.65"/>
    <n v="328.35000000000036"/>
    <n v="328.35"/>
    <n v="5"/>
    <n v="27.857534246575341"/>
    <n v="3119.3249999999998"/>
    <n v="28.857534246575341"/>
    <n v="6.8212102632969628E-14"/>
    <n v="3119.3249999999998"/>
    <n v="328.35"/>
  </r>
  <r>
    <n v="1705"/>
    <s v="Cooler "/>
    <s v="Sugar Division"/>
    <x v="5"/>
    <m/>
    <s v="Common"/>
    <d v="1992-05-31T00:00:00"/>
    <n v="6000"/>
    <n v="0"/>
    <n v="5700"/>
    <n v="300"/>
    <n v="300"/>
    <n v="5"/>
    <n v="27.857534246575341"/>
    <n v="2850"/>
    <n v="28.857534246575341"/>
    <n v="0"/>
    <n v="2850"/>
    <n v="300"/>
  </r>
  <r>
    <n v="1706"/>
    <s v="Ceiling Fan "/>
    <s v="Sugar Division"/>
    <x v="5"/>
    <m/>
    <s v="Common"/>
    <d v="1992-03-31T00:00:00"/>
    <n v="4826"/>
    <n v="0"/>
    <n v="4584.7"/>
    <n v="241.30000000000018"/>
    <n v="241.3"/>
    <n v="5"/>
    <n v="28.024657534246575"/>
    <n v="2292.35"/>
    <n v="29.024657534246575"/>
    <n v="3.4106051316484814E-14"/>
    <n v="2292.35"/>
    <n v="241.3"/>
  </r>
  <r>
    <n v="1707"/>
    <s v="Loud Speaker "/>
    <s v="Sugar Division"/>
    <x v="5"/>
    <m/>
    <s v="Common"/>
    <d v="1992-03-28T00:00:00"/>
    <n v="2115"/>
    <n v="0"/>
    <n v="2009.25"/>
    <n v="105.75"/>
    <n v="105.75"/>
    <n v="5"/>
    <n v="28.032876712328768"/>
    <n v="1004.625"/>
    <n v="29.032876712328768"/>
    <n v="0"/>
    <n v="1004.625"/>
    <n v="105.75"/>
  </r>
  <r>
    <n v="1708"/>
    <s v="Geizers 2"/>
    <s v="Sugar Division"/>
    <x v="5"/>
    <m/>
    <s v="Common"/>
    <d v="1992-02-29T00:00:00"/>
    <n v="6760"/>
    <n v="0"/>
    <n v="6422"/>
    <n v="338"/>
    <n v="338"/>
    <n v="5"/>
    <n v="28.109589041095891"/>
    <n v="3211"/>
    <n v="29.109589041095891"/>
    <n v="0"/>
    <n v="3211"/>
    <n v="338"/>
  </r>
  <r>
    <n v="1709"/>
    <s v="Table Fan "/>
    <s v="Sugar Division"/>
    <x v="5"/>
    <m/>
    <s v="Common"/>
    <d v="1991-07-31T00:00:00"/>
    <n v="1621"/>
    <n v="0"/>
    <n v="1539.95"/>
    <n v="81.049999999999955"/>
    <n v="81.050000000000011"/>
    <n v="5"/>
    <n v="28.693150684931506"/>
    <n v="769.97500000000002"/>
    <n v="29.693150684931506"/>
    <n v="-1.1368683772161604E-14"/>
    <n v="769.97500000000002"/>
    <n v="81.050000000000011"/>
  </r>
  <r>
    <n v="1710"/>
    <s v="Refrigerator 1"/>
    <s v="Sugar Division"/>
    <x v="5"/>
    <m/>
    <s v="Common"/>
    <d v="1991-04-19T00:00:00"/>
    <n v="7500"/>
    <n v="0"/>
    <n v="7125"/>
    <n v="375"/>
    <n v="375"/>
    <n v="5"/>
    <n v="28.975342465753425"/>
    <n v="3562.5"/>
    <n v="29.975342465753425"/>
    <n v="0"/>
    <n v="3562.5"/>
    <n v="375"/>
  </r>
  <r>
    <n v="1711"/>
    <s v="Ceiling Fans 15"/>
    <s v="Sugar Division"/>
    <x v="5"/>
    <m/>
    <s v="Common"/>
    <d v="1991-03-31T00:00:00"/>
    <n v="9197"/>
    <n v="0"/>
    <n v="8737.15"/>
    <n v="459.85000000000036"/>
    <n v="459.85"/>
    <n v="5"/>
    <n v="29.027397260273972"/>
    <n v="4368.5749999999998"/>
    <n v="30.027397260273972"/>
    <n v="6.8212102632969628E-14"/>
    <n v="4368.5749999999998"/>
    <n v="459.85"/>
  </r>
  <r>
    <n v="1712"/>
    <s v="Table Fans 4"/>
    <s v="Sugar Division"/>
    <x v="5"/>
    <m/>
    <s v="Common"/>
    <d v="1991-03-15T00:00:00"/>
    <n v="3082"/>
    <n v="0"/>
    <n v="2927.9"/>
    <n v="154.09999999999991"/>
    <n v="154.10000000000002"/>
    <n v="5"/>
    <n v="29.07123287671233"/>
    <n v="1463.95"/>
    <n v="30.07123287671233"/>
    <n v="-2.2737367544323207E-14"/>
    <n v="1463.95"/>
    <n v="154.10000000000002"/>
  </r>
  <r>
    <n v="1713"/>
    <s v="Exhaust Fan 1"/>
    <s v="Sugar Division"/>
    <x v="5"/>
    <m/>
    <s v="Common"/>
    <d v="1991-03-15T00:00:00"/>
    <n v="736"/>
    <n v="0"/>
    <n v="699.2"/>
    <n v="36.799999999999955"/>
    <n v="36.800000000000004"/>
    <n v="5"/>
    <n v="29.07123287671233"/>
    <n v="349.6"/>
    <n v="30.07123287671233"/>
    <n v="-9.9475983006414035E-15"/>
    <n v="349.6"/>
    <n v="36.800000000000004"/>
  </r>
  <r>
    <n v="1714"/>
    <s v="Room Coolers 3"/>
    <s v="Sugar Division"/>
    <x v="5"/>
    <m/>
    <s v="Common"/>
    <d v="1991-03-15T00:00:00"/>
    <n v="5990"/>
    <n v="0"/>
    <n v="5690.5"/>
    <n v="299.5"/>
    <n v="299.5"/>
    <n v="5"/>
    <n v="29.07123287671233"/>
    <n v="2845.25"/>
    <n v="30.07123287671233"/>
    <n v="0"/>
    <n v="2845.25"/>
    <n v="299.5"/>
  </r>
  <r>
    <n v="1715"/>
    <s v="Voltage Stabilizer 1"/>
    <s v="Sugar Division"/>
    <x v="5"/>
    <m/>
    <s v="Common"/>
    <d v="1991-02-28T00:00:00"/>
    <n v="566"/>
    <n v="0"/>
    <n v="537.70000000000005"/>
    <n v="28.299999999999955"/>
    <n v="28.3"/>
    <n v="5"/>
    <n v="29.112328767123287"/>
    <n v="268.85000000000002"/>
    <n v="30.112328767123287"/>
    <n v="-9.2370555648813027E-15"/>
    <n v="268.85000000000002"/>
    <n v="28.3"/>
  </r>
  <r>
    <n v="1716"/>
    <s v="Tullu Pump 1"/>
    <s v="Sugar Division"/>
    <x v="5"/>
    <m/>
    <s v="Common"/>
    <d v="1991-02-28T00:00:00"/>
    <n v="330"/>
    <n v="0"/>
    <n v="313.5"/>
    <n v="16.5"/>
    <n v="16.5"/>
    <n v="5"/>
    <n v="29.112328767123287"/>
    <n v="156.75"/>
    <n v="30.112328767123287"/>
    <n v="0"/>
    <n v="156.75"/>
    <n v="16.5"/>
  </r>
  <r>
    <n v="1717"/>
    <s v="Geizers 2"/>
    <s v="Sugar Division"/>
    <x v="5"/>
    <m/>
    <s v="Common"/>
    <d v="1991-02-28T00:00:00"/>
    <n v="13334"/>
    <n v="0"/>
    <n v="12667.3"/>
    <n v="666.70000000000073"/>
    <n v="666.7"/>
    <n v="5"/>
    <n v="29.112328767123287"/>
    <n v="6333.65"/>
    <n v="30.112328767123287"/>
    <n v="1.3642420526593926E-13"/>
    <n v="6333.65"/>
    <n v="666.7"/>
  </r>
  <r>
    <n v="1718"/>
    <s v="Pedastal Fan 1"/>
    <s v="Sugar Division"/>
    <x v="5"/>
    <m/>
    <s v="Common"/>
    <d v="1990-09-30T00:00:00"/>
    <n v="982"/>
    <n v="0"/>
    <n v="932.9"/>
    <n v="49.100000000000023"/>
    <n v="49.1"/>
    <n v="5"/>
    <n v="29.526027397260275"/>
    <n v="466.45"/>
    <n v="30.526027397260275"/>
    <n v="4.2632564145606017E-15"/>
    <n v="466.45"/>
    <n v="49.1"/>
  </r>
  <r>
    <n v="1719"/>
    <s v="Wall Fan 1"/>
    <s v="Sugar Division"/>
    <x v="5"/>
    <m/>
    <s v="Common"/>
    <d v="1990-01-01T00:00:00"/>
    <n v="836"/>
    <n v="0"/>
    <n v="794.2"/>
    <n v="41.799999999999955"/>
    <n v="41.800000000000004"/>
    <n v="5"/>
    <n v="30.271232876712329"/>
    <n v="397.1"/>
    <n v="31.271232876712329"/>
    <n v="-9.9475983006414035E-15"/>
    <n v="397.1"/>
    <n v="41.800000000000004"/>
  </r>
  <r>
    <n v="1720"/>
    <s v="Ceiling Fans 14"/>
    <s v="Sugar Division"/>
    <x v="5"/>
    <m/>
    <s v="Common"/>
    <d v="1990-01-01T00:00:00"/>
    <n v="7682"/>
    <n v="0"/>
    <n v="7297.9"/>
    <n v="384.10000000000036"/>
    <n v="384.1"/>
    <n v="5"/>
    <n v="30.271232876712329"/>
    <n v="3648.95"/>
    <n v="31.271232876712329"/>
    <n v="6.8212102632969628E-14"/>
    <n v="3648.95"/>
    <n v="384.1"/>
  </r>
  <r>
    <n v="1721"/>
    <s v="Pedastal Fan 2"/>
    <s v="Sugar Division"/>
    <x v="5"/>
    <m/>
    <s v="Common"/>
    <d v="1990-01-01T00:00:00"/>
    <n v="2140"/>
    <n v="0"/>
    <n v="2033"/>
    <n v="107"/>
    <n v="107"/>
    <n v="5"/>
    <n v="30.271232876712329"/>
    <n v="1016.5"/>
    <n v="31.271232876712329"/>
    <n v="0"/>
    <n v="1016.5"/>
    <n v="107"/>
  </r>
  <r>
    <n v="1722"/>
    <s v="Exhaust Fan 1"/>
    <s v="Sugar Division"/>
    <x v="5"/>
    <m/>
    <s v="Common"/>
    <d v="1990-01-01T00:00:00"/>
    <n v="958"/>
    <n v="0"/>
    <n v="910.1"/>
    <n v="47.899999999999977"/>
    <n v="47.900000000000006"/>
    <n v="5"/>
    <n v="30.271232876712329"/>
    <n v="455.05"/>
    <n v="31.271232876712329"/>
    <n v="-5.6843418860808018E-15"/>
    <n v="455.05"/>
    <n v="47.900000000000006"/>
  </r>
  <r>
    <n v="1723"/>
    <s v="Cooler 1"/>
    <s v="Sugar Division"/>
    <x v="5"/>
    <m/>
    <s v="Common"/>
    <d v="1990-01-01T00:00:00"/>
    <n v="2550"/>
    <n v="0"/>
    <n v="2422.5"/>
    <n v="127.5"/>
    <n v="127.5"/>
    <n v="5"/>
    <n v="30.271232876712329"/>
    <n v="1211.25"/>
    <n v="31.271232876712329"/>
    <n v="0"/>
    <n v="1211.25"/>
    <n v="127.5"/>
  </r>
  <r>
    <n v="1724"/>
    <s v="Refrigerator 1"/>
    <s v="Sugar Division"/>
    <x v="5"/>
    <m/>
    <s v="Common"/>
    <d v="1990-01-01T00:00:00"/>
    <n v="6200"/>
    <n v="0"/>
    <n v="5890"/>
    <n v="310"/>
    <n v="310"/>
    <n v="5"/>
    <n v="30.271232876712329"/>
    <n v="2945"/>
    <n v="31.271232876712329"/>
    <n v="0"/>
    <n v="2945"/>
    <n v="310"/>
  </r>
  <r>
    <n v="1725"/>
    <s v="Ceiling Fan "/>
    <s v="Sugar Division"/>
    <x v="5"/>
    <m/>
    <s v="Common"/>
    <d v="1989-01-01T00:00:00"/>
    <n v="4541"/>
    <n v="0"/>
    <n v="4313.95"/>
    <n v="227.05000000000018"/>
    <n v="227.05"/>
    <n v="5"/>
    <n v="31.271232876712329"/>
    <n v="2156.9749999999999"/>
    <n v="32.271232876712325"/>
    <n v="3.4106051316484688E-14"/>
    <n v="2156.9749999999999"/>
    <n v="227.05"/>
  </r>
  <r>
    <n v="1726"/>
    <s v="Geizer "/>
    <s v="Sugar Division"/>
    <x v="5"/>
    <m/>
    <s v="Common"/>
    <d v="1989-01-01T00:00:00"/>
    <n v="1475"/>
    <n v="0"/>
    <n v="1401.25"/>
    <n v="73.75"/>
    <n v="73.75"/>
    <n v="5"/>
    <n v="31.271232876712329"/>
    <n v="700.625"/>
    <n v="32.271232876712325"/>
    <n v="0"/>
    <n v="700.625"/>
    <n v="73.75"/>
  </r>
  <r>
    <n v="1727"/>
    <s v="Table Fans "/>
    <s v="Sugar Division"/>
    <x v="5"/>
    <m/>
    <s v="Common"/>
    <d v="1989-01-01T00:00:00"/>
    <n v="3310"/>
    <n v="0"/>
    <n v="3144.5"/>
    <n v="165.5"/>
    <n v="165.5"/>
    <n v="5"/>
    <n v="31.271232876712329"/>
    <n v="1572.25"/>
    <n v="32.271232876712325"/>
    <n v="0"/>
    <n v="1572.25"/>
    <n v="165.5"/>
  </r>
  <r>
    <n v="1728"/>
    <s v="Exhaust Fans"/>
    <s v="Sugar Division"/>
    <x v="5"/>
    <m/>
    <s v="Common"/>
    <d v="1989-01-01T00:00:00"/>
    <n v="2200"/>
    <n v="0"/>
    <n v="2090"/>
    <n v="110"/>
    <n v="110"/>
    <n v="5"/>
    <n v="31.271232876712329"/>
    <n v="1045"/>
    <n v="32.271232876712325"/>
    <n v="0"/>
    <n v="1045"/>
    <n v="110"/>
  </r>
  <r>
    <n v="1729"/>
    <s v="Table Fan 5"/>
    <s v="Sugar Division"/>
    <x v="5"/>
    <m/>
    <s v="Common"/>
    <d v="1988-01-01T00:00:00"/>
    <n v="2750"/>
    <n v="0"/>
    <n v="2612.5"/>
    <n v="137.5"/>
    <n v="137.5"/>
    <n v="5"/>
    <n v="32.273972602739725"/>
    <n v="1306.25"/>
    <n v="33.273972602739725"/>
    <n v="0"/>
    <n v="1306.25"/>
    <n v="137.5"/>
  </r>
  <r>
    <n v="1730"/>
    <s v="Ceiling Fans 10"/>
    <s v="Sugar Division"/>
    <x v="5"/>
    <m/>
    <s v="Common"/>
    <d v="1988-01-01T00:00:00"/>
    <n v="5617"/>
    <n v="0"/>
    <n v="5336.15"/>
    <n v="280.85000000000036"/>
    <n v="280.85000000000002"/>
    <n v="5"/>
    <n v="32.273972602739725"/>
    <n v="2668.0749999999998"/>
    <n v="33.273972602739725"/>
    <n v="6.8212102632969628E-14"/>
    <n v="2668.0749999999998"/>
    <n v="280.85000000000002"/>
  </r>
  <r>
    <n v="1731"/>
    <s v="Reception Counter 1(Delhi Office)"/>
    <s v="Sugar Division"/>
    <x v="5"/>
    <m/>
    <s v="Common"/>
    <d v="1988-01-01T00:00:00"/>
    <n v="447"/>
    <n v="0"/>
    <n v="424.65"/>
    <n v="22.350000000000023"/>
    <n v="22.35"/>
    <n v="10"/>
    <n v="32.273972602739725"/>
    <n v="212.32499999999999"/>
    <n v="33.273972602739725"/>
    <n v="2.1316282072803009E-15"/>
    <n v="212.32499999999999"/>
    <n v="22.35"/>
  </r>
  <r>
    <n v="1732"/>
    <s v="Portable Typewriter(Delhi Office)"/>
    <s v="Sugar Division"/>
    <x v="5"/>
    <m/>
    <s v="Common"/>
    <d v="1988-01-01T00:00:00"/>
    <n v="314"/>
    <n v="0"/>
    <n v="298.3"/>
    <n v="15.699999999999989"/>
    <n v="15.700000000000001"/>
    <n v="5"/>
    <n v="32.273972602739725"/>
    <n v="149.15"/>
    <n v="33.273972602739725"/>
    <n v="-2.4868995751603509E-15"/>
    <n v="149.15"/>
    <n v="15.700000000000001"/>
  </r>
  <r>
    <n v="1733"/>
    <s v="Table And Chair (Delhi Office)"/>
    <s v="Sugar Division"/>
    <x v="5"/>
    <m/>
    <s v="Common"/>
    <d v="1988-01-01T00:00:00"/>
    <n v="603"/>
    <n v="0"/>
    <n v="572.85"/>
    <n v="30.149999999999977"/>
    <n v="30.150000000000002"/>
    <n v="5"/>
    <n v="32.273972602739725"/>
    <n v="286.42500000000001"/>
    <n v="33.273972602739725"/>
    <n v="-4.9737991503207018E-15"/>
    <n v="286.42500000000001"/>
    <n v="30.150000000000002"/>
  </r>
  <r>
    <n v="1734"/>
    <s v="Referigerator 2 New"/>
    <s v="Sugar Division"/>
    <x v="5"/>
    <m/>
    <s v="Common"/>
    <d v="1988-01-01T00:00:00"/>
    <n v="14455"/>
    <n v="0"/>
    <n v="13732.25"/>
    <n v="722.75"/>
    <n v="722.75"/>
    <n v="5"/>
    <n v="32.273972602739725"/>
    <n v="6866.125"/>
    <n v="33.273972602739725"/>
    <n v="0"/>
    <n v="6866.125"/>
    <n v="722.75"/>
  </r>
  <r>
    <n v="1735"/>
    <s v="Table Fan 1"/>
    <s v="Sugar Division"/>
    <x v="5"/>
    <m/>
    <s v="Common"/>
    <d v="1987-01-01T00:00:00"/>
    <n v="446"/>
    <n v="0"/>
    <n v="423.7"/>
    <n v="22.300000000000011"/>
    <n v="22.3"/>
    <n v="5"/>
    <n v="33.273972602739725"/>
    <n v="211.85"/>
    <n v="34.273972602739725"/>
    <n v="2.1316282072803009E-15"/>
    <n v="211.85"/>
    <n v="22.3"/>
  </r>
  <r>
    <n v="1736"/>
    <s v="Ceiling Fan 2"/>
    <s v="Sugar Division"/>
    <x v="5"/>
    <m/>
    <s v="Common"/>
    <d v="1987-01-01T00:00:00"/>
    <n v="1050"/>
    <n v="0"/>
    <n v="997.5"/>
    <n v="52.5"/>
    <n v="52.5"/>
    <n v="5"/>
    <n v="33.273972602739725"/>
    <n v="498.75"/>
    <n v="34.273972602739725"/>
    <n v="0"/>
    <n v="498.75"/>
    <n v="52.5"/>
  </r>
  <r>
    <n v="1737"/>
    <s v="Exhust Fan 1No."/>
    <s v="Sugar Division"/>
    <x v="5"/>
    <m/>
    <s v="Common"/>
    <d v="1987-01-01T00:00:00"/>
    <n v="700"/>
    <n v="0"/>
    <n v="665"/>
    <n v="35"/>
    <n v="35"/>
    <n v="5"/>
    <n v="33.273972602739725"/>
    <n v="332.5"/>
    <n v="34.273972602739725"/>
    <n v="0"/>
    <n v="332.5"/>
    <n v="35"/>
  </r>
  <r>
    <n v="1738"/>
    <s v="Table Fan 6"/>
    <s v="Sugar Division"/>
    <x v="5"/>
    <m/>
    <s v="Common"/>
    <d v="1986-01-01T00:00:00"/>
    <n v="2231"/>
    <n v="0"/>
    <n v="2119.4499999999998"/>
    <n v="111.55000000000018"/>
    <n v="111.55000000000001"/>
    <n v="5"/>
    <n v="34.273972602739725"/>
    <n v="1059.7249999999999"/>
    <n v="35.273972602739725"/>
    <n v="3.4106051316484814E-14"/>
    <n v="1059.7249999999999"/>
    <n v="111.55000000000001"/>
  </r>
  <r>
    <n v="1739"/>
    <s v="Ceiling Fan 6"/>
    <s v="Sugar Division"/>
    <x v="5"/>
    <m/>
    <s v="Common"/>
    <d v="1986-01-01T00:00:00"/>
    <n v="2640"/>
    <n v="0"/>
    <n v="2508"/>
    <n v="132"/>
    <n v="132"/>
    <n v="5"/>
    <n v="34.273972602739725"/>
    <n v="1254"/>
    <n v="35.273972602739725"/>
    <n v="0"/>
    <n v="1254"/>
    <n v="132"/>
  </r>
  <r>
    <n v="1740"/>
    <s v="Exhaust Fan 1"/>
    <s v="Sugar Division"/>
    <x v="5"/>
    <m/>
    <s v="Common"/>
    <d v="1986-01-01T00:00:00"/>
    <n v="795"/>
    <n v="0"/>
    <n v="755.25"/>
    <n v="39.75"/>
    <n v="39.75"/>
    <n v="5"/>
    <n v="34.273972602739725"/>
    <n v="377.625"/>
    <n v="35.273972602739725"/>
    <n v="0"/>
    <n v="377.625"/>
    <n v="39.75"/>
  </r>
  <r>
    <n v="1741"/>
    <s v="Godrej Firniture (H.O)"/>
    <s v="Sugar Division"/>
    <x v="5"/>
    <m/>
    <s v="Common"/>
    <d v="1986-01-01T00:00:00"/>
    <n v="853"/>
    <n v="0"/>
    <n v="810.35"/>
    <n v="42.649999999999977"/>
    <n v="42.650000000000006"/>
    <n v="10"/>
    <n v="34.273972602739725"/>
    <n v="405.17500000000001"/>
    <n v="35.273972602739725"/>
    <n v="-2.8421709430404009E-15"/>
    <n v="405.17500000000001"/>
    <n v="42.650000000000006"/>
  </r>
  <r>
    <n v="1742"/>
    <s v="Ceiling Fans 8"/>
    <s v="Sugar Division"/>
    <x v="5"/>
    <m/>
    <s v="Common"/>
    <d v="1985-01-01T00:00:00"/>
    <n v="3033"/>
    <n v="0"/>
    <n v="2881.35"/>
    <n v="151.65000000000009"/>
    <n v="151.65"/>
    <n v="5"/>
    <n v="35.273972602739725"/>
    <n v="1440.675"/>
    <n v="36.273972602739725"/>
    <n v="1.7053025658242407E-14"/>
    <n v="1440.675"/>
    <n v="151.65"/>
  </r>
  <r>
    <n v="1743"/>
    <s v="Mixer 1"/>
    <s v="Sugar Division"/>
    <x v="5"/>
    <m/>
    <s v="Common"/>
    <d v="1985-01-01T00:00:00"/>
    <n v="955"/>
    <n v="0"/>
    <n v="907.25"/>
    <n v="47.75"/>
    <n v="47.75"/>
    <n v="5"/>
    <n v="35.273972602739725"/>
    <n v="453.625"/>
    <n v="36.273972602739725"/>
    <n v="0"/>
    <n v="453.625"/>
    <n v="47.75"/>
  </r>
  <r>
    <n v="1744"/>
    <s v="Unit,Refiex Horn Maicron,Mike Voltage Regulater For H.M. Connection Set  1"/>
    <s v="Sugar Division"/>
    <x v="5"/>
    <m/>
    <s v="Common"/>
    <d v="1985-01-01T00:00:00"/>
    <n v="3171"/>
    <n v="0"/>
    <n v="3012.45"/>
    <n v="158.55000000000018"/>
    <n v="158.55000000000001"/>
    <n v="5"/>
    <n v="35.273972602739725"/>
    <n v="1506.2249999999999"/>
    <n v="36.273972602739725"/>
    <n v="3.4106051316484814E-14"/>
    <n v="1506.2249999999999"/>
    <n v="158.55000000000001"/>
  </r>
  <r>
    <n v="1745"/>
    <s v="Stablliser 1"/>
    <s v="Sugar Division"/>
    <x v="5"/>
    <m/>
    <s v="Common"/>
    <d v="1985-01-01T00:00:00"/>
    <n v="590"/>
    <n v="0"/>
    <n v="560.5"/>
    <n v="29.5"/>
    <n v="29.5"/>
    <n v="5"/>
    <n v="35.273972602739725"/>
    <n v="280.25"/>
    <n v="36.273972602739725"/>
    <n v="0"/>
    <n v="280.25"/>
    <n v="29.5"/>
  </r>
  <r>
    <n v="1746"/>
    <s v="Table Fan 1"/>
    <s v="Sugar Division"/>
    <x v="5"/>
    <m/>
    <s v="Common"/>
    <d v="1985-01-01T00:00:00"/>
    <n v="446"/>
    <n v="0"/>
    <n v="423.7"/>
    <n v="22.300000000000011"/>
    <n v="22.3"/>
    <n v="5"/>
    <n v="35.273972602739725"/>
    <n v="211.85"/>
    <n v="36.273972602739725"/>
    <n v="2.1316282072803009E-15"/>
    <n v="211.85"/>
    <n v="22.3"/>
  </r>
  <r>
    <n v="1747"/>
    <s v="Godrej Firniture (H.O)"/>
    <s v="Sugar Division"/>
    <x v="5"/>
    <m/>
    <s v="Common"/>
    <d v="1985-01-01T00:00:00"/>
    <n v="306"/>
    <n v="0"/>
    <n v="290.7"/>
    <n v="15.300000000000011"/>
    <n v="15.3"/>
    <n v="10"/>
    <n v="35.273972602739725"/>
    <n v="145.35"/>
    <n v="36.273972602739725"/>
    <n v="1.0658141036401504E-15"/>
    <n v="145.35"/>
    <n v="15.3"/>
  </r>
  <r>
    <n v="1748"/>
    <s v="Colour T.V. 1 Set"/>
    <s v="Sugar Division"/>
    <x v="5"/>
    <m/>
    <s v="Common"/>
    <d v="1985-01-01T00:00:00"/>
    <n v="10760"/>
    <n v="0"/>
    <n v="10222"/>
    <n v="538"/>
    <n v="538"/>
    <n v="5"/>
    <n v="35.273972602739725"/>
    <n v="5111"/>
    <n v="36.273972602739725"/>
    <n v="0"/>
    <n v="5111"/>
    <n v="538"/>
  </r>
  <r>
    <n v="1749"/>
    <s v="Ceiling Fans"/>
    <s v="Sugar Division"/>
    <x v="5"/>
    <m/>
    <s v="Common"/>
    <d v="1984-01-01T00:00:00"/>
    <n v="5131"/>
    <n v="0"/>
    <n v="4874.45"/>
    <n v="256.55000000000018"/>
    <n v="256.55"/>
    <n v="5"/>
    <n v="36.276712328767125"/>
    <n v="2437.2249999999999"/>
    <n v="37.276712328767125"/>
    <n v="3.4106051316484814E-14"/>
    <n v="2437.2249999999999"/>
    <n v="256.55"/>
  </r>
  <r>
    <n v="1750"/>
    <s v="Tiltiling Fan"/>
    <s v="Sugar Division"/>
    <x v="5"/>
    <m/>
    <s v="Common"/>
    <d v="1984-01-01T00:00:00"/>
    <n v="177"/>
    <n v="0"/>
    <n v="168.15"/>
    <n v="8.8499999999999943"/>
    <n v="8.85"/>
    <n v="5"/>
    <n v="36.276712328767125"/>
    <n v="84.075000000000003"/>
    <n v="37.276712328767125"/>
    <n v="-1.0658141036401504E-15"/>
    <n v="84.075000000000003"/>
    <n v="8.85"/>
  </r>
  <r>
    <n v="1751"/>
    <s v="Table Fans"/>
    <s v="Sugar Division"/>
    <x v="5"/>
    <m/>
    <s v="Common"/>
    <d v="1984-01-01T00:00:00"/>
    <n v="1465"/>
    <n v="0"/>
    <n v="1391.75"/>
    <n v="73.25"/>
    <n v="73.25"/>
    <n v="5"/>
    <n v="36.276712328767125"/>
    <n v="695.875"/>
    <n v="37.276712328767125"/>
    <n v="0"/>
    <n v="695.875"/>
    <n v="73.25"/>
  </r>
  <r>
    <n v="1752"/>
    <s v="Godrej Firniture (H.O)"/>
    <s v="Sugar Division"/>
    <x v="5"/>
    <m/>
    <s v="Common"/>
    <d v="1984-01-01T00:00:00"/>
    <n v="2331"/>
    <n v="0"/>
    <n v="2214.4499999999998"/>
    <n v="116.55000000000018"/>
    <n v="116.55000000000001"/>
    <n v="10"/>
    <n v="36.276712328767125"/>
    <n v="1107.2249999999999"/>
    <n v="37.276712328767125"/>
    <n v="1.7053025658242407E-14"/>
    <n v="1107.2249999999999"/>
    <n v="116.55000000000001"/>
  </r>
  <r>
    <n v="1753"/>
    <s v="Pedastal Fan 1"/>
    <s v="Sugar Division"/>
    <x v="5"/>
    <m/>
    <s v="Common"/>
    <d v="1983-01-01T00:00:00"/>
    <n v="868"/>
    <n v="0"/>
    <n v="824.6"/>
    <n v="43.399999999999977"/>
    <n v="43.400000000000006"/>
    <n v="5"/>
    <n v="37.276712328767125"/>
    <n v="412.3"/>
    <n v="38.276712328767125"/>
    <n v="-5.6843418860808018E-15"/>
    <n v="412.3"/>
    <n v="43.400000000000006"/>
  </r>
  <r>
    <n v="1754"/>
    <s v="Table Fan 5"/>
    <s v="Sugar Division"/>
    <x v="5"/>
    <m/>
    <s v="Common"/>
    <d v="1983-01-01T00:00:00"/>
    <n v="2115"/>
    <n v="0"/>
    <n v="2009.25"/>
    <n v="105.75"/>
    <n v="105.75"/>
    <n v="5"/>
    <n v="37.276712328767125"/>
    <n v="1004.625"/>
    <n v="38.276712328767125"/>
    <n v="0"/>
    <n v="1004.625"/>
    <n v="105.75"/>
  </r>
  <r>
    <n v="1755"/>
    <s v="Ceiling Fans Sixteen"/>
    <s v="Sugar Division"/>
    <x v="5"/>
    <m/>
    <s v="Common"/>
    <d v="1983-01-01T00:00:00"/>
    <n v="5471"/>
    <n v="0"/>
    <n v="5197.45"/>
    <n v="273.55000000000018"/>
    <n v="273.55"/>
    <n v="5"/>
    <n v="37.276712328767125"/>
    <n v="2598.7249999999999"/>
    <n v="38.276712328767125"/>
    <n v="3.4106051316484814E-14"/>
    <n v="2598.7249999999999"/>
    <n v="273.55"/>
  </r>
  <r>
    <n v="1756"/>
    <s v="Exhaust Fan One "/>
    <s v="Sugar Division"/>
    <x v="5"/>
    <m/>
    <s v="Common"/>
    <d v="1983-01-01T00:00:00"/>
    <n v="400"/>
    <n v="0"/>
    <n v="380"/>
    <n v="20"/>
    <n v="20"/>
    <n v="5"/>
    <n v="37.276712328767125"/>
    <n v="190"/>
    <n v="38.276712328767125"/>
    <n v="0"/>
    <n v="190"/>
    <n v="20"/>
  </r>
  <r>
    <n v="1757"/>
    <s v="Godrej Firniture (H.O)"/>
    <s v="Sugar Division"/>
    <x v="5"/>
    <m/>
    <s v="Common"/>
    <d v="1983-01-01T00:00:00"/>
    <n v="520"/>
    <n v="0"/>
    <n v="494"/>
    <n v="26"/>
    <n v="26"/>
    <n v="10"/>
    <n v="37.276712328767125"/>
    <n v="247"/>
    <n v="38.276712328767125"/>
    <n v="0"/>
    <n v="247"/>
    <n v="26"/>
  </r>
  <r>
    <n v="1758"/>
    <s v="Record Player One"/>
    <s v="Sugar Division"/>
    <x v="5"/>
    <m/>
    <s v="Common"/>
    <d v="1982-01-01T00:00:00"/>
    <n v="285"/>
    <n v="0"/>
    <n v="270.75"/>
    <n v="14.25"/>
    <n v="14.25"/>
    <n v="5"/>
    <n v="38.276712328767125"/>
    <n v="135.375"/>
    <n v="39.276712328767125"/>
    <n v="0"/>
    <n v="135.375"/>
    <n v="14.25"/>
  </r>
  <r>
    <n v="1759"/>
    <s v="Amplifier One Set"/>
    <s v="Sugar Division"/>
    <x v="5"/>
    <m/>
    <s v="Common"/>
    <d v="1982-01-01T00:00:00"/>
    <n v="1441"/>
    <n v="0"/>
    <n v="1368.95"/>
    <n v="72.049999999999955"/>
    <n v="72.05"/>
    <n v="5"/>
    <n v="38.276712328767125"/>
    <n v="684.47500000000002"/>
    <n v="39.276712328767125"/>
    <n v="-8.5265128291212035E-15"/>
    <n v="684.47500000000002"/>
    <n v="72.05"/>
  </r>
  <r>
    <n v="1760"/>
    <s v="Ceiling Fans 12 Nos."/>
    <s v="Sugar Division"/>
    <x v="5"/>
    <m/>
    <s v="Common"/>
    <d v="1982-01-01T00:00:00"/>
    <n v="4413"/>
    <n v="0"/>
    <n v="4192.3500000000004"/>
    <n v="220.64999999999964"/>
    <n v="220.65"/>
    <n v="5"/>
    <n v="38.276712328767125"/>
    <n v="2096.1750000000002"/>
    <n v="39.276712328767125"/>
    <n v="-7.3896444519050422E-14"/>
    <n v="2096.1750000000002"/>
    <n v="220.65"/>
  </r>
  <r>
    <n v="1761"/>
    <s v="Room Heater 3"/>
    <s v="Sugar Division"/>
    <x v="5"/>
    <m/>
    <s v="Common"/>
    <d v="1982-01-01T00:00:00"/>
    <n v="344"/>
    <n v="0"/>
    <n v="326.8"/>
    <n v="17.199999999999989"/>
    <n v="17.2"/>
    <n v="5"/>
    <n v="38.276712328767125"/>
    <n v="163.4"/>
    <n v="39.276712328767125"/>
    <n v="-2.1316282072803009E-15"/>
    <n v="163.4"/>
    <n v="17.2"/>
  </r>
  <r>
    <n v="1762"/>
    <s v="Godrej Firniture (H.O)"/>
    <s v="Sugar Division"/>
    <x v="5"/>
    <m/>
    <s v="Common"/>
    <d v="1982-01-01T00:00:00"/>
    <n v="585"/>
    <n v="0"/>
    <n v="555.75"/>
    <n v="29.25"/>
    <n v="29.25"/>
    <n v="10"/>
    <n v="38.276712328767125"/>
    <n v="277.875"/>
    <n v="39.276712328767125"/>
    <n v="0"/>
    <n v="277.875"/>
    <n v="29.25"/>
  </r>
  <r>
    <n v="1763"/>
    <s v="Ceiling Fans 3"/>
    <s v="Sugar Division"/>
    <x v="5"/>
    <m/>
    <s v="Common"/>
    <d v="1981-01-01T00:00:00"/>
    <n v="1215"/>
    <n v="0"/>
    <n v="1154.25"/>
    <n v="60.75"/>
    <n v="60.75"/>
    <n v="5"/>
    <n v="39.276712328767125"/>
    <n v="577.125"/>
    <n v="40.276712328767125"/>
    <n v="0"/>
    <n v="577.125"/>
    <n v="60.75"/>
  </r>
  <r>
    <n v="1764"/>
    <s v="Water Heater 1"/>
    <s v="Sugar Division"/>
    <x v="5"/>
    <m/>
    <s v="Common"/>
    <d v="1981-01-01T00:00:00"/>
    <n v="1876"/>
    <n v="0"/>
    <n v="1782.2"/>
    <n v="93.799999999999955"/>
    <n v="93.800000000000011"/>
    <n v="5"/>
    <n v="39.276712328767125"/>
    <n v="891.1"/>
    <n v="40.276712328767125"/>
    <n v="-1.1368683772161604E-14"/>
    <n v="891.1"/>
    <n v="93.800000000000011"/>
  </r>
  <r>
    <n v="1765"/>
    <s v="Room Heaters 3"/>
    <s v="Sugar Division"/>
    <x v="5"/>
    <m/>
    <s v="Common"/>
    <d v="1981-01-01T00:00:00"/>
    <n v="320"/>
    <n v="0"/>
    <n v="304"/>
    <n v="16"/>
    <n v="16"/>
    <n v="5"/>
    <n v="39.276712328767125"/>
    <n v="152"/>
    <n v="40.276712328767125"/>
    <n v="0"/>
    <n v="152"/>
    <n v="16"/>
  </r>
  <r>
    <n v="1766"/>
    <s v="Table Fan 1"/>
    <s v="Sugar Division"/>
    <x v="5"/>
    <m/>
    <s v="Common"/>
    <d v="1981-01-01T00:00:00"/>
    <n v="422"/>
    <n v="0"/>
    <n v="400.9"/>
    <n v="21.100000000000023"/>
    <n v="21.1"/>
    <n v="5"/>
    <n v="39.276712328767125"/>
    <n v="200.45"/>
    <n v="40.276712328767125"/>
    <n v="4.2632564145606017E-15"/>
    <n v="200.45"/>
    <n v="21.1"/>
  </r>
  <r>
    <n v="1767"/>
    <s v="Table Fan One"/>
    <s v="Sugar Division"/>
    <x v="5"/>
    <m/>
    <s v="Common"/>
    <d v="1980-01-01T00:00:00"/>
    <n v="400"/>
    <n v="0"/>
    <n v="380"/>
    <n v="20"/>
    <n v="20"/>
    <n v="5"/>
    <n v="40.279452054794518"/>
    <n v="190"/>
    <n v="41.279452054794518"/>
    <n v="0"/>
    <n v="190"/>
    <n v="20"/>
  </r>
  <r>
    <n v="1768"/>
    <s v="Ceiling Fans 2"/>
    <s v="Sugar Division"/>
    <x v="5"/>
    <m/>
    <s v="Common"/>
    <d v="1980-01-01T00:00:00"/>
    <n v="812"/>
    <n v="0"/>
    <n v="771.4"/>
    <n v="40.600000000000023"/>
    <n v="40.6"/>
    <n v="5"/>
    <n v="40.279452054794518"/>
    <n v="385.7"/>
    <n v="41.279452054794518"/>
    <n v="4.2632564145606017E-15"/>
    <n v="385.7"/>
    <n v="40.6"/>
  </r>
  <r>
    <n v="1769"/>
    <s v="Room Heaters 4"/>
    <s v="Sugar Division"/>
    <x v="5"/>
    <m/>
    <s v="Common"/>
    <d v="1980-01-01T00:00:00"/>
    <n v="402"/>
    <n v="0"/>
    <n v="381.9"/>
    <n v="20.100000000000023"/>
    <n v="20.100000000000001"/>
    <n v="5"/>
    <n v="40.279452054794518"/>
    <n v="190.95"/>
    <n v="41.279452054794518"/>
    <n v="4.2632564145606017E-15"/>
    <n v="190.95"/>
    <n v="20.100000000000001"/>
  </r>
  <r>
    <n v="1770"/>
    <s v="Water Heater 1"/>
    <s v="Sugar Division"/>
    <x v="5"/>
    <m/>
    <s v="Common"/>
    <d v="1980-01-01T00:00:00"/>
    <n v="73"/>
    <n v="0"/>
    <n v="69.349999999999994"/>
    <n v="3.6500000000000057"/>
    <n v="3.6500000000000004"/>
    <n v="5"/>
    <n v="40.279452054794518"/>
    <n v="34.674999999999997"/>
    <n v="41.279452054794518"/>
    <n v="1.0658141036401504E-15"/>
    <n v="34.674999999999997"/>
    <n v="3.6500000000000004"/>
  </r>
  <r>
    <n v="1771"/>
    <s v="Ceiling Fan 48&quot; -4"/>
    <s v="Sugar Division"/>
    <x v="5"/>
    <m/>
    <s v="Common"/>
    <d v="1979-01-01T00:00:00"/>
    <n v="1432"/>
    <n v="0"/>
    <n v="1360.4"/>
    <n v="71.599999999999909"/>
    <n v="71.600000000000009"/>
    <n v="5"/>
    <n v="41.279452054794518"/>
    <n v="680.2"/>
    <n v="42.279452054794518"/>
    <n v="-1.9895196601282807E-14"/>
    <n v="680.2"/>
    <n v="71.600000000000009"/>
  </r>
  <r>
    <n v="1772"/>
    <s v="Table Fan 16&quot; -1"/>
    <s v="Sugar Division"/>
    <x v="5"/>
    <m/>
    <s v="Common"/>
    <d v="1979-01-01T00:00:00"/>
    <n v="360"/>
    <n v="0"/>
    <n v="342"/>
    <n v="18"/>
    <n v="18"/>
    <n v="5"/>
    <n v="41.279452054794518"/>
    <n v="171"/>
    <n v="42.279452054794518"/>
    <n v="0"/>
    <n v="171"/>
    <n v="18"/>
  </r>
  <r>
    <n v="1773"/>
    <s v="Room Heater 2"/>
    <s v="Sugar Division"/>
    <x v="5"/>
    <m/>
    <s v="Common"/>
    <d v="1979-01-01T00:00:00"/>
    <n v="255"/>
    <n v="0"/>
    <n v="242.25"/>
    <n v="12.75"/>
    <n v="12.75"/>
    <n v="5"/>
    <n v="41.279452054794518"/>
    <n v="121.125"/>
    <n v="42.279452054794518"/>
    <n v="0"/>
    <n v="121.125"/>
    <n v="12.75"/>
  </r>
  <r>
    <n v="1774"/>
    <s v="Godrej Firniture (H.O)"/>
    <s v="Sugar Division"/>
    <x v="5"/>
    <m/>
    <s v="Common"/>
    <d v="1979-01-01T00:00:00"/>
    <n v="2613"/>
    <n v="0"/>
    <n v="2482.35"/>
    <n v="130.65000000000009"/>
    <n v="130.65"/>
    <n v="10"/>
    <n v="41.279452054794518"/>
    <n v="1241.175"/>
    <n v="42.279452054794518"/>
    <n v="8.5265128291212035E-15"/>
    <n v="1241.175"/>
    <n v="130.65"/>
  </r>
  <r>
    <n v="1775"/>
    <s v="Ceiling Fan 36&quot; 10 No."/>
    <s v="Sugar Division"/>
    <x v="5"/>
    <m/>
    <s v="Common"/>
    <d v="1978-01-01T00:00:00"/>
    <n v="3012"/>
    <n v="0"/>
    <n v="2861.4"/>
    <n v="150.59999999999991"/>
    <n v="150.6"/>
    <n v="5"/>
    <n v="42.279452054794518"/>
    <n v="1430.7"/>
    <n v="43.279452054794518"/>
    <n v="-1.7053025658242407E-14"/>
    <n v="1430.7"/>
    <n v="150.6"/>
  </r>
  <r>
    <n v="1776"/>
    <s v="Ceiling Fan 42&quot; 1 No."/>
    <s v="Sugar Division"/>
    <x v="5"/>
    <m/>
    <s v="Common"/>
    <d v="1978-01-01T00:00:00"/>
    <n v="431"/>
    <n v="0"/>
    <n v="409.45"/>
    <n v="21.550000000000011"/>
    <n v="21.55"/>
    <n v="5"/>
    <n v="42.279452054794518"/>
    <n v="204.72499999999999"/>
    <n v="43.279452054794518"/>
    <n v="2.1316282072803009E-15"/>
    <n v="204.72499999999999"/>
    <n v="21.55"/>
  </r>
  <r>
    <n v="1777"/>
    <s v="Ceiling Fan 48&quot; 1 No."/>
    <s v="Sugar Division"/>
    <x v="5"/>
    <m/>
    <s v="Common"/>
    <d v="1978-01-01T00:00:00"/>
    <n v="289"/>
    <n v="0"/>
    <n v="274.55"/>
    <n v="14.449999999999989"/>
    <n v="14.450000000000001"/>
    <n v="5"/>
    <n v="42.279452054794518"/>
    <n v="137.27500000000001"/>
    <n v="43.279452054794518"/>
    <n v="-2.4868995751603509E-15"/>
    <n v="137.27500000000001"/>
    <n v="14.450000000000001"/>
  </r>
  <r>
    <n v="1778"/>
    <s v="Table Fan         1 No."/>
    <s v="Sugar Division"/>
    <x v="5"/>
    <m/>
    <s v="Common"/>
    <d v="1978-01-01T00:00:00"/>
    <n v="275"/>
    <n v="0"/>
    <n v="261.25"/>
    <n v="13.75"/>
    <n v="13.75"/>
    <n v="5"/>
    <n v="42.279452054794518"/>
    <n v="130.625"/>
    <n v="43.279452054794518"/>
    <n v="0"/>
    <n v="130.625"/>
    <n v="13.75"/>
  </r>
  <r>
    <n v="1779"/>
    <s v="Exhust Fan 1No."/>
    <s v="Sugar Division"/>
    <x v="5"/>
    <m/>
    <s v="Common"/>
    <d v="1978-01-01T00:00:00"/>
    <n v="797"/>
    <n v="0"/>
    <n v="757.15"/>
    <n v="39.850000000000023"/>
    <n v="39.85"/>
    <n v="5"/>
    <n v="42.279452054794518"/>
    <n v="378.57499999999999"/>
    <n v="43.279452054794518"/>
    <n v="4.2632564145606017E-15"/>
    <n v="378.57499999999999"/>
    <n v="39.85"/>
  </r>
  <r>
    <n v="1780"/>
    <s v="Air Conditioner(H.O.) "/>
    <s v="Sugar Division"/>
    <x v="5"/>
    <m/>
    <s v="Common"/>
    <d v="1978-01-01T00:00:00"/>
    <n v="1410"/>
    <n v="0"/>
    <n v="1339.5"/>
    <n v="70.5"/>
    <n v="70.5"/>
    <n v="5"/>
    <n v="42.279452054794518"/>
    <n v="669.75"/>
    <n v="43.279452054794518"/>
    <n v="0"/>
    <n v="669.75"/>
    <n v="70.5"/>
  </r>
  <r>
    <n v="1781"/>
    <s v="Furniture(H.O.) "/>
    <s v="Sugar Division"/>
    <x v="5"/>
    <m/>
    <s v="Common"/>
    <d v="1978-01-01T00:00:00"/>
    <n v="449"/>
    <n v="0"/>
    <n v="426.55"/>
    <n v="22.449999999999989"/>
    <n v="22.450000000000003"/>
    <n v="10"/>
    <n v="42.279452054794518"/>
    <n v="213.27500000000001"/>
    <n v="43.279452054794518"/>
    <n v="-1.4210854715202005E-15"/>
    <n v="213.27500000000001"/>
    <n v="22.450000000000003"/>
  </r>
  <r>
    <n v="1782"/>
    <s v="Room Cooler(Delhi Office)"/>
    <s v="Sugar Division"/>
    <x v="5"/>
    <m/>
    <s v="Common"/>
    <d v="1978-01-01T00:00:00"/>
    <n v="239"/>
    <n v="0"/>
    <n v="227.05"/>
    <n v="11.949999999999989"/>
    <n v="11.950000000000001"/>
    <n v="5"/>
    <n v="42.279452054794518"/>
    <n v="113.52500000000001"/>
    <n v="43.279452054794518"/>
    <n v="-2.4868995751603509E-15"/>
    <n v="113.52500000000001"/>
    <n v="11.950000000000001"/>
  </r>
  <r>
    <n v="1783"/>
    <s v="Fan (H.O.)"/>
    <s v="Sugar Division"/>
    <x v="5"/>
    <m/>
    <s v="Common"/>
    <d v="1978-01-01T00:00:00"/>
    <n v="53"/>
    <n v="0"/>
    <n v="50.35"/>
    <n v="2.6499999999999986"/>
    <n v="2.6500000000000004"/>
    <n v="5"/>
    <n v="42.279452054794518"/>
    <n v="25.175000000000001"/>
    <n v="43.279452054794518"/>
    <n v="-3.5527136788005011E-16"/>
    <n v="25.175000000000001"/>
    <n v="2.6500000000000004"/>
  </r>
  <r>
    <n v="1784"/>
    <s v="Dunlop Pillow Matresses 2"/>
    <s v="Sugar Division"/>
    <x v="5"/>
    <m/>
    <s v="Common"/>
    <d v="1978-01-01T00:00:00"/>
    <n v="82"/>
    <n v="0"/>
    <n v="77.900000000000006"/>
    <n v="4.0999999999999943"/>
    <n v="4.1000000000000005"/>
    <n v="10"/>
    <n v="42.279452054794518"/>
    <n v="38.950000000000003"/>
    <n v="43.279452054794518"/>
    <n v="-6.2172489379008772E-16"/>
    <n v="38.950000000000003"/>
    <n v="4.1000000000000005"/>
  </r>
  <r>
    <n v="1785"/>
    <s v="Heater"/>
    <s v="Sugar Division"/>
    <x v="5"/>
    <m/>
    <s v="Common"/>
    <d v="1978-01-01T00:00:00"/>
    <n v="28"/>
    <n v="0"/>
    <n v="26.6"/>
    <n v="1.3999999999999986"/>
    <n v="1.4000000000000001"/>
    <n v="5"/>
    <n v="42.279452054794518"/>
    <n v="13.3"/>
    <n v="43.279452054794518"/>
    <n v="-3.1086244689504386E-16"/>
    <n v="13.3"/>
    <n v="1.4000000000000001"/>
  </r>
  <r>
    <n v="1786"/>
    <s v="Hotplate"/>
    <s v="Sugar Division"/>
    <x v="5"/>
    <m/>
    <s v="Common"/>
    <d v="1978-01-01T00:00:00"/>
    <n v="14"/>
    <n v="0"/>
    <n v="13.3"/>
    <n v="0.69999999999999929"/>
    <n v="0.70000000000000007"/>
    <n v="10"/>
    <n v="42.279452054794518"/>
    <n v="6.65"/>
    <n v="43.279452054794518"/>
    <n v="-7.7715611723760965E-17"/>
    <n v="6.65"/>
    <n v="0.70000000000000007"/>
  </r>
  <r>
    <n v="1787"/>
    <s v="Ceiling Fans 5"/>
    <s v="Sugar Division"/>
    <x v="5"/>
    <m/>
    <s v="Common"/>
    <d v="1977-01-01T00:00:00"/>
    <n v="1558"/>
    <n v="0"/>
    <n v="1480.1"/>
    <n v="77.900000000000091"/>
    <n v="77.900000000000006"/>
    <n v="5"/>
    <n v="43.279452054794518"/>
    <n v="740.05"/>
    <n v="44.279452054794518"/>
    <n v="1.7053025658242407E-14"/>
    <n v="740.05"/>
    <n v="77.900000000000006"/>
  </r>
  <r>
    <n v="1788"/>
    <s v="Exhaust Fans 5"/>
    <s v="Sugar Division"/>
    <x v="5"/>
    <m/>
    <s v="Common"/>
    <d v="1977-01-01T00:00:00"/>
    <n v="4004"/>
    <n v="0"/>
    <n v="3803.8"/>
    <n v="200.19999999999982"/>
    <n v="200.20000000000002"/>
    <n v="5"/>
    <n v="43.279452054794518"/>
    <n v="1901.9"/>
    <n v="44.279452054794518"/>
    <n v="-3.9790393202565614E-14"/>
    <n v="1901.9"/>
    <n v="200.20000000000002"/>
  </r>
  <r>
    <n v="1789"/>
    <s v="Water Heater"/>
    <s v="Sugar Division"/>
    <x v="5"/>
    <m/>
    <s v="Common"/>
    <d v="1977-01-01T00:00:00"/>
    <n v="1147"/>
    <n v="0"/>
    <n v="1089.6500000000001"/>
    <n v="57.349999999999909"/>
    <n v="57.35"/>
    <n v="5"/>
    <n v="43.279452054794518"/>
    <n v="544.82500000000005"/>
    <n v="44.279452054794518"/>
    <n v="-1.8474111129762605E-14"/>
    <n v="544.82500000000005"/>
    <n v="57.35"/>
  </r>
  <r>
    <n v="1790"/>
    <s v="Table Fan 1"/>
    <s v="Sugar Division"/>
    <x v="5"/>
    <m/>
    <s v="Common"/>
    <d v="1977-01-01T00:00:00"/>
    <n v="255"/>
    <n v="0"/>
    <n v="242.25"/>
    <n v="12.75"/>
    <n v="12.75"/>
    <n v="5"/>
    <n v="43.279452054794518"/>
    <n v="121.125"/>
    <n v="44.279452054794518"/>
    <n v="0"/>
    <n v="121.125"/>
    <n v="12.75"/>
  </r>
  <r>
    <n v="1791"/>
    <s v="Air Conditioner "/>
    <s v="Sugar Division"/>
    <x v="5"/>
    <m/>
    <s v="Common"/>
    <d v="1977-01-01T00:00:00"/>
    <n v="23"/>
    <n v="0"/>
    <n v="21.85"/>
    <n v="1.1499999999999986"/>
    <n v="1.1500000000000001"/>
    <n v="5"/>
    <n v="43.279452054794518"/>
    <n v="10.925000000000001"/>
    <n v="44.279452054794518"/>
    <n v="-3.1086244689504386E-16"/>
    <n v="10.925000000000001"/>
    <n v="1.1500000000000001"/>
  </r>
  <r>
    <n v="1792"/>
    <s v="Office Equipments"/>
    <s v="Sugar Division"/>
    <x v="5"/>
    <m/>
    <s v="Common"/>
    <d v="1977-01-01T00:00:00"/>
    <n v="1082"/>
    <n v="0"/>
    <n v="1027.9000000000001"/>
    <n v="54.099999999999909"/>
    <n v="54.1"/>
    <n v="5"/>
    <n v="43.279452054794518"/>
    <n v="513.95000000000005"/>
    <n v="44.279452054794518"/>
    <n v="-1.8474111129762605E-14"/>
    <n v="513.95000000000005"/>
    <n v="54.1"/>
  </r>
  <r>
    <n v="1793"/>
    <s v=" Furniture (Delhi Office)"/>
    <s v="Sugar Division"/>
    <x v="5"/>
    <m/>
    <s v="Common"/>
    <d v="1977-01-01T00:00:00"/>
    <n v="1483"/>
    <n v="0"/>
    <n v="1408.85"/>
    <n v="74.150000000000091"/>
    <n v="74.150000000000006"/>
    <n v="10"/>
    <n v="43.279452054794518"/>
    <n v="704.42499999999995"/>
    <n v="44.279452054794518"/>
    <n v="8.5265128291212035E-15"/>
    <n v="704.42499999999995"/>
    <n v="74.150000000000006"/>
  </r>
  <r>
    <n v="1794"/>
    <s v="Water Heater(H.O.)"/>
    <s v="Sugar Division"/>
    <x v="5"/>
    <m/>
    <s v="Common"/>
    <d v="1977-01-01T00:00:00"/>
    <n v="356"/>
    <n v="0"/>
    <n v="338.2"/>
    <n v="17.800000000000011"/>
    <n v="17.8"/>
    <n v="5"/>
    <n v="43.279452054794518"/>
    <n v="169.1"/>
    <n v="44.279452054794518"/>
    <n v="2.1316282072803009E-15"/>
    <n v="169.1"/>
    <n v="17.8"/>
  </r>
  <r>
    <n v="1795"/>
    <s v="Plastic Sheets"/>
    <s v="Sugar Division"/>
    <x v="5"/>
    <m/>
    <s v="Common"/>
    <d v="1977-01-01T00:00:00"/>
    <n v="77"/>
    <n v="0"/>
    <n v="73.150000000000006"/>
    <n v="3.8499999999999943"/>
    <n v="3.85"/>
    <n v="10"/>
    <n v="43.279452054794518"/>
    <n v="36.575000000000003"/>
    <n v="44.279452054794518"/>
    <n v="-5.7731597280508142E-16"/>
    <n v="36.575000000000003"/>
    <n v="3.85"/>
  </r>
  <r>
    <n v="1796"/>
    <s v="Table Fans 3 [Cost]"/>
    <s v="Sugar Division"/>
    <x v="5"/>
    <m/>
    <s v="Common"/>
    <d v="1976-01-01T00:00:00"/>
    <n v="640"/>
    <n v="0"/>
    <n v="608"/>
    <n v="32"/>
    <n v="32"/>
    <n v="5"/>
    <n v="44.282191780821918"/>
    <n v="304"/>
    <n v="45.282191780821918"/>
    <n v="0"/>
    <n v="304"/>
    <n v="32"/>
  </r>
  <r>
    <n v="1797"/>
    <s v="Ceiling Fans 13 [Cost]"/>
    <s v="Sugar Division"/>
    <x v="5"/>
    <m/>
    <s v="Common"/>
    <d v="1976-01-01T00:00:00"/>
    <n v="4121"/>
    <n v="0"/>
    <n v="3914.95"/>
    <n v="206.05000000000018"/>
    <n v="206.05"/>
    <n v="5"/>
    <n v="44.282191780821918"/>
    <n v="1957.4749999999999"/>
    <n v="45.282191780821918"/>
    <n v="3.4106051316484814E-14"/>
    <n v="1957.4749999999999"/>
    <n v="206.05"/>
  </r>
  <r>
    <n v="1798"/>
    <s v="Room Heaters 8 [Cost]"/>
    <s v="Sugar Division"/>
    <x v="5"/>
    <m/>
    <s v="Common"/>
    <d v="1976-01-01T00:00:00"/>
    <n v="636"/>
    <n v="0"/>
    <n v="604.20000000000005"/>
    <n v="31.799999999999955"/>
    <n v="31.8"/>
    <n v="5"/>
    <n v="44.282191780821918"/>
    <n v="302.10000000000002"/>
    <n v="45.282191780821918"/>
    <n v="-9.2370555648813027E-15"/>
    <n v="302.10000000000002"/>
    <n v="31.8"/>
  </r>
  <r>
    <n v="1799"/>
    <s v="Ceiling Fans 7"/>
    <s v="Sugar Division"/>
    <x v="5"/>
    <m/>
    <s v="Common"/>
    <d v="1975-01-01T00:00:00"/>
    <n v="2266"/>
    <n v="0"/>
    <n v="2152.6999999999998"/>
    <n v="113.30000000000018"/>
    <n v="113.30000000000001"/>
    <n v="5"/>
    <n v="45.282191780821918"/>
    <n v="1076.3499999999999"/>
    <n v="46.282191780821918"/>
    <n v="3.4106051316484814E-14"/>
    <n v="1076.3499999999999"/>
    <n v="113.30000000000001"/>
  </r>
  <r>
    <n v="1800"/>
    <s v="Pedastal Fan 1"/>
    <s v="Sugar Division"/>
    <x v="5"/>
    <m/>
    <s v="Common"/>
    <d v="1975-01-01T00:00:00"/>
    <n v="506"/>
    <n v="0"/>
    <n v="480.7"/>
    <n v="25.300000000000011"/>
    <n v="25.3"/>
    <n v="5"/>
    <n v="45.282191780821918"/>
    <n v="240.35"/>
    <n v="46.282191780821918"/>
    <n v="2.1316282072803009E-15"/>
    <n v="240.35"/>
    <n v="25.3"/>
  </r>
  <r>
    <n v="1801"/>
    <s v="Table Fan 1"/>
    <s v="Sugar Division"/>
    <x v="5"/>
    <m/>
    <s v="Common"/>
    <d v="1975-01-01T00:00:00"/>
    <n v="270"/>
    <n v="0"/>
    <n v="256.5"/>
    <n v="13.5"/>
    <n v="13.5"/>
    <n v="5"/>
    <n v="45.282191780821918"/>
    <n v="128.25"/>
    <n v="46.282191780821918"/>
    <n v="0"/>
    <n v="128.25"/>
    <n v="13.5"/>
  </r>
  <r>
    <n v="1802"/>
    <s v="Room Heaters 2 "/>
    <s v="Sugar Division"/>
    <x v="5"/>
    <m/>
    <s v="Common"/>
    <d v="1975-01-01T00:00:00"/>
    <n v="116"/>
    <n v="0"/>
    <n v="110.2"/>
    <n v="5.7999999999999972"/>
    <n v="5.8000000000000007"/>
    <n v="5"/>
    <n v="45.282191780821918"/>
    <n v="55.1"/>
    <n v="46.282191780821918"/>
    <n v="-7.1054273576010023E-16"/>
    <n v="55.1"/>
    <n v="5.8000000000000007"/>
  </r>
  <r>
    <n v="1803"/>
    <s v="Water Heater 1"/>
    <s v="Sugar Division"/>
    <x v="5"/>
    <m/>
    <s v="Common"/>
    <d v="1975-01-01T00:00:00"/>
    <n v="17"/>
    <n v="0"/>
    <n v="16.149999999999999"/>
    <n v="0.85000000000000142"/>
    <n v="0.85000000000000009"/>
    <n v="5"/>
    <n v="45.282191780821918"/>
    <n v="8.0749999999999993"/>
    <n v="46.282191780821918"/>
    <n v="2.6645352591003761E-16"/>
    <n v="8.0749999999999993"/>
    <n v="0.85000000000000009"/>
  </r>
  <r>
    <n v="1804"/>
    <s v="Electrification At Lakhimpur Godown"/>
    <s v="Sugar Division"/>
    <x v="5"/>
    <m/>
    <s v="Common"/>
    <d v="1975-01-01T00:00:00"/>
    <n v="15194"/>
    <n v="0"/>
    <n v="14434.3"/>
    <n v="759.70000000000073"/>
    <n v="759.7"/>
    <n v="10"/>
    <n v="45.282191780821918"/>
    <n v="7217.15"/>
    <n v="46.282191780821918"/>
    <n v="6.8212102632969628E-14"/>
    <n v="7217.15"/>
    <n v="759.7"/>
  </r>
  <r>
    <n v="1805"/>
    <s v="A Type Cabin"/>
    <s v="Sugar Division"/>
    <x v="5"/>
    <m/>
    <s v="Common"/>
    <d v="1974-01-01T00:00:00"/>
    <n v="5952"/>
    <n v="0"/>
    <n v="5654.4"/>
    <n v="297.60000000000036"/>
    <n v="297.60000000000002"/>
    <n v="10"/>
    <n v="46.282191780821918"/>
    <n v="2827.2"/>
    <n v="47.282191780821918"/>
    <n v="3.4106051316484814E-14"/>
    <n v="2827.2"/>
    <n v="297.60000000000002"/>
  </r>
  <r>
    <n v="1806"/>
    <s v="A Type Cabin"/>
    <s v="Sugar Division"/>
    <x v="5"/>
    <m/>
    <s v="Common"/>
    <d v="1973-01-01T00:00:00"/>
    <n v="5135"/>
    <n v="0"/>
    <n v="4878.25"/>
    <n v="256.75"/>
    <n v="256.75"/>
    <n v="10"/>
    <n v="47.282191780821918"/>
    <n v="2439.125"/>
    <n v="48.282191780821918"/>
    <n v="0"/>
    <n v="2439.125"/>
    <n v="256.75"/>
  </r>
  <r>
    <n v="1807"/>
    <s v="Godrej Firniture (H.O)"/>
    <s v="Sugar Division"/>
    <x v="5"/>
    <m/>
    <s v="Common"/>
    <d v="1973-01-01T00:00:00"/>
    <n v="18694"/>
    <n v="0"/>
    <n v="17759.3"/>
    <n v="934.70000000000073"/>
    <n v="934.7"/>
    <n v="10"/>
    <n v="47.282191780821918"/>
    <n v="8879.65"/>
    <n v="48.282191780821918"/>
    <n v="6.8212102632969628E-14"/>
    <n v="8879.65"/>
    <n v="934.7"/>
  </r>
  <r>
    <n v="1808"/>
    <s v="Air Coditioner [Delhi Office] "/>
    <s v="Sugar Division"/>
    <x v="5"/>
    <m/>
    <s v="Common"/>
    <d v="1972-01-01T00:00:00"/>
    <n v="221"/>
    <n v="0"/>
    <n v="209.95"/>
    <n v="11.050000000000011"/>
    <n v="11.05"/>
    <n v="5"/>
    <n v="48.284931506849318"/>
    <n v="104.97499999999999"/>
    <n v="49.284931506849318"/>
    <n v="2.1316282072803009E-15"/>
    <n v="104.97499999999999"/>
    <n v="11.05"/>
  </r>
  <r>
    <n v="1809"/>
    <s v="Model   Embroiding[H.O.]"/>
    <s v="Sugar Division"/>
    <x v="5"/>
    <m/>
    <s v="Common"/>
    <d v="1972-01-01T00:00:00"/>
    <n v="1760"/>
    <n v="0"/>
    <n v="1672"/>
    <n v="88"/>
    <n v="88"/>
    <n v="10"/>
    <n v="48.284931506849318"/>
    <n v="836"/>
    <n v="49.284931506849318"/>
    <n v="0"/>
    <n v="836"/>
    <n v="88"/>
  </r>
  <r>
    <n v="1810"/>
    <s v="Cash Box [H.O.] "/>
    <s v="Sugar Division"/>
    <x v="5"/>
    <m/>
    <s v="Common"/>
    <d v="1972-01-01T00:00:00"/>
    <n v="7"/>
    <n v="0"/>
    <n v="6.65"/>
    <n v="0.34999999999999964"/>
    <n v="0.35000000000000003"/>
    <n v="10"/>
    <n v="48.284931506849318"/>
    <n v="3.3250000000000002"/>
    <n v="49.284931506849318"/>
    <n v="-3.8857805861880483E-17"/>
    <n v="3.3250000000000002"/>
    <n v="0.35000000000000003"/>
  </r>
  <r>
    <n v="1811"/>
    <s v="Almirah [H.O.] "/>
    <s v="Sugar Division"/>
    <x v="5"/>
    <m/>
    <s v="Common"/>
    <d v="1972-01-01T00:00:00"/>
    <n v="11"/>
    <n v="0"/>
    <n v="10.45"/>
    <n v="0.55000000000000071"/>
    <n v="0.55000000000000004"/>
    <n v="10"/>
    <n v="48.284931506849318"/>
    <n v="5.2249999999999996"/>
    <n v="49.284931506849318"/>
    <n v="6.6613381477509402E-17"/>
    <n v="5.2249999999999996"/>
    <n v="0.55000000000000004"/>
  </r>
  <r>
    <n v="1812"/>
    <s v="Refrigerator [H.O.]"/>
    <s v="Sugar Division"/>
    <x v="5"/>
    <m/>
    <s v="Common"/>
    <d v="1972-01-01T00:00:00"/>
    <n v="56"/>
    <n v="0"/>
    <n v="53.2"/>
    <n v="2.7999999999999972"/>
    <n v="2.8000000000000003"/>
    <n v="5"/>
    <n v="48.284931506849318"/>
    <n v="26.6"/>
    <n v="49.284931506849318"/>
    <n v="-6.2172489379008772E-16"/>
    <n v="26.6"/>
    <n v="2.8000000000000003"/>
  </r>
  <r>
    <n v="1813"/>
    <s v="Cooler [H.O.]"/>
    <s v="Sugar Division"/>
    <x v="5"/>
    <m/>
    <s v="Common"/>
    <d v="1972-01-01T00:00:00"/>
    <n v="61"/>
    <n v="0"/>
    <n v="57.95"/>
    <n v="3.0499999999999972"/>
    <n v="3.0500000000000003"/>
    <n v="5"/>
    <n v="48.284931506849318"/>
    <n v="28.975000000000001"/>
    <n v="49.284931506849318"/>
    <n v="-6.2172489379008772E-16"/>
    <n v="28.975000000000001"/>
    <n v="3.0500000000000003"/>
  </r>
  <r>
    <n v="1814"/>
    <s v="Airconditioners ( Delhi Office)"/>
    <s v="Sugar Division"/>
    <x v="5"/>
    <m/>
    <s v="Common"/>
    <d v="1971-01-01T00:00:00"/>
    <n v="161"/>
    <n v="0"/>
    <n v="152.94999999999999"/>
    <n v="8.0500000000000114"/>
    <n v="8.0500000000000007"/>
    <n v="5"/>
    <n v="49.284931506849318"/>
    <n v="76.474999999999994"/>
    <n v="50.284931506849318"/>
    <n v="2.1316282072803009E-15"/>
    <n v="76.474999999999994"/>
    <n v="8.0500000000000007"/>
  </r>
  <r>
    <n v="1815"/>
    <s v="A Type Cabin(H.O.)"/>
    <s v="Sugar Division"/>
    <x v="5"/>
    <m/>
    <s v="Common"/>
    <d v="1970-01-01T00:00:00"/>
    <n v="4252"/>
    <n v="0"/>
    <n v="4039.4"/>
    <n v="212.59999999999991"/>
    <n v="212.60000000000002"/>
    <n v="10"/>
    <n v="50.284931506849318"/>
    <n v="2019.7"/>
    <n v="51.284931506849318"/>
    <n v="-1.1368683772161604E-14"/>
    <n v="2019.7"/>
    <n v="212.60000000000002"/>
  </r>
  <r>
    <n v="1816"/>
    <s v="Telephone Set 1 New"/>
    <s v="Sugar Division"/>
    <x v="5"/>
    <m/>
    <s v="Common"/>
    <d v="1969-01-01T00:00:00"/>
    <n v="116"/>
    <n v="0"/>
    <n v="110.2"/>
    <n v="5.7999999999999972"/>
    <n v="5.8000000000000007"/>
    <n v="5"/>
    <n v="51.284931506849318"/>
    <n v="55.1"/>
    <n v="52.284931506849318"/>
    <n v="-7.1054273576010023E-16"/>
    <n v="55.1"/>
    <n v="5.8000000000000007"/>
  </r>
  <r>
    <n v="1817"/>
    <s v="Air Conditioner(H.O.) "/>
    <s v="Sugar Division"/>
    <x v="5"/>
    <m/>
    <s v="Common"/>
    <d v="1969-01-01T00:00:00"/>
    <n v="19"/>
    <n v="0"/>
    <n v="18.05"/>
    <n v="0.94999999999999929"/>
    <n v="0.95000000000000007"/>
    <n v="5"/>
    <n v="51.284931506849318"/>
    <n v="9.0250000000000004"/>
    <n v="52.284931506849318"/>
    <n v="-1.5543122344752193E-16"/>
    <n v="9.0250000000000004"/>
    <n v="0.95000000000000007"/>
  </r>
  <r>
    <n v="1818"/>
    <s v="A Type Cabin(Delhi Office)"/>
    <s v="Sugar Division"/>
    <x v="5"/>
    <m/>
    <s v="Common"/>
    <d v="1966-01-01T00:00:00"/>
    <n v="1072"/>
    <n v="0"/>
    <n v="1018.4"/>
    <n v="53.600000000000023"/>
    <n v="53.6"/>
    <n v="10"/>
    <n v="54.287671232876711"/>
    <n v="509.2"/>
    <n v="55.287671232876711"/>
    <n v="2.1316282072803009E-15"/>
    <n v="509.2"/>
    <n v="53.6"/>
  </r>
  <r>
    <n v="1819"/>
    <s v="Telephone Material"/>
    <s v="Sugar Division"/>
    <x v="5"/>
    <m/>
    <s v="Common"/>
    <d v="1965-01-01T00:00:00"/>
    <n v="569"/>
    <n v="0"/>
    <n v="540.54999999999995"/>
    <n v="28.450000000000045"/>
    <n v="28.450000000000003"/>
    <n v="5"/>
    <n v="55.287671232876711"/>
    <n v="270.27499999999998"/>
    <n v="56.287671232876711"/>
    <n v="8.5265128291212035E-15"/>
    <n v="270.27499999999998"/>
    <n v="28.450000000000003"/>
  </r>
  <r>
    <n v="1820"/>
    <s v="Telephone Installation"/>
    <s v="Sugar Division"/>
    <x v="5"/>
    <m/>
    <s v="Common"/>
    <d v="1964-01-01T00:00:00"/>
    <n v="452"/>
    <n v="0"/>
    <n v="429.4"/>
    <n v="22.600000000000023"/>
    <n v="22.6"/>
    <n v="5"/>
    <n v="56.290410958904111"/>
    <n v="214.7"/>
    <n v="57.290410958904111"/>
    <n v="4.2632564145606017E-15"/>
    <n v="214.7"/>
    <n v="22.6"/>
  </r>
  <r>
    <n v="1821"/>
    <s v="Single Barrel Guns - 5"/>
    <s v="Sugar Division"/>
    <x v="5"/>
    <m/>
    <s v="Common"/>
    <d v="1963-04-01T00:00:00"/>
    <n v="2674"/>
    <n v="0"/>
    <n v="2540.3000000000002"/>
    <n v="133.69999999999982"/>
    <n v="133.70000000000002"/>
    <n v="5"/>
    <n v="57.043835616438358"/>
    <n v="1270.1500000000001"/>
    <n v="58.043835616438358"/>
    <n v="-3.9790393202565614E-14"/>
    <n v="1270.1500000000001"/>
    <n v="133.70000000000002"/>
  </r>
  <r>
    <n v="1822"/>
    <s v="Air Conditioner(Delhi Office.) "/>
    <s v="Sugar Division"/>
    <x v="5"/>
    <m/>
    <s v="Common"/>
    <d v="1963-01-01T00:00:00"/>
    <n v="126"/>
    <n v="0"/>
    <n v="119.7"/>
    <n v="6.2999999999999972"/>
    <n v="6.3000000000000007"/>
    <n v="5"/>
    <n v="57.290410958904111"/>
    <n v="59.85"/>
    <n v="58.290410958904111"/>
    <n v="-7.1054273576010023E-16"/>
    <n v="59.85"/>
    <n v="6.3000000000000007"/>
  </r>
  <r>
    <n v="1823"/>
    <s v="Air Conditioner(H.O.) "/>
    <s v="Sugar Division"/>
    <x v="5"/>
    <m/>
    <s v="Common"/>
    <d v="1962-01-01T00:00:00"/>
    <n v="344"/>
    <n v="0"/>
    <n v="326.8"/>
    <n v="17.199999999999989"/>
    <n v="17.2"/>
    <n v="5"/>
    <n v="58.290410958904111"/>
    <n v="163.4"/>
    <n v="59.290410958904111"/>
    <n v="-2.1316282072803009E-15"/>
    <n v="163.4"/>
    <n v="17.2"/>
  </r>
  <r>
    <n v="1824"/>
    <s v="A Type Cabin(H.O.)"/>
    <s v="Sugar Division"/>
    <x v="5"/>
    <m/>
    <s v="Common"/>
    <d v="1961-01-01T00:00:00"/>
    <n v="2803"/>
    <n v="0"/>
    <n v="2662.85"/>
    <n v="140.15000000000009"/>
    <n v="140.15"/>
    <n v="10"/>
    <n v="59.290410958904111"/>
    <n v="1331.425"/>
    <n v="60.290410958904111"/>
    <n v="8.5265128291212035E-15"/>
    <n v="1331.425"/>
    <n v="140.15"/>
  </r>
  <r>
    <n v="1825"/>
    <s v="Guns 3 "/>
    <s v="Sugar Division"/>
    <x v="5"/>
    <m/>
    <s v="Common"/>
    <d v="1957-04-01T00:00:00"/>
    <n v="701"/>
    <n v="0"/>
    <n v="665.95"/>
    <n v="35.049999999999955"/>
    <n v="35.050000000000004"/>
    <n v="5"/>
    <n v="63.046575342465751"/>
    <n v="0"/>
    <n v="64.046575342465758"/>
    <n v="-9.947598300641473E-15"/>
    <n v="-9.947598300641473E-15"/>
    <n v="35.050000000000004"/>
  </r>
  <r>
    <n v="1826"/>
    <s v="Monitor Tft"/>
    <s v="Sugar Division"/>
    <x v="5"/>
    <m/>
    <s v="Common"/>
    <d v="2016-04-15T00:00:00"/>
    <n v="5699.98"/>
    <n v="0"/>
    <n v="0"/>
    <n v="5699.98"/>
    <n v="284.99899999999997"/>
    <n v="5"/>
    <n v="3.967123287671233"/>
    <n v="4296.3794454794524"/>
    <n v="4.9671232876712326"/>
    <n v="1082.9961999999994"/>
    <n v="5379.375645479452"/>
    <n v="284.99899999999997"/>
  </r>
  <r>
    <n v="1827"/>
    <s v="Lesser Printer 2"/>
    <s v="Sugar Division"/>
    <x v="5"/>
    <m/>
    <s v="Common"/>
    <d v="2016-05-15T00:00:00"/>
    <n v="15669.86"/>
    <n v="0"/>
    <n v="0"/>
    <n v="15669.86"/>
    <n v="783.49300000000005"/>
    <n v="5"/>
    <n v="3.8849315068493149"/>
    <n v="11566.503236164383"/>
    <n v="4.8849315068493153"/>
    <n v="2977.2734000000014"/>
    <n v="14543.776636164384"/>
    <n v="783.49300000000005"/>
  </r>
  <r>
    <n v="1828"/>
    <s v="Lessr Jet Printer 2"/>
    <s v="Sugar Division"/>
    <x v="5"/>
    <m/>
    <s v="Common"/>
    <d v="2016-05-15T00:00:00"/>
    <n v="23400"/>
    <n v="0"/>
    <n v="0"/>
    <n v="23400"/>
    <n v="1170"/>
    <n v="5"/>
    <n v="3.8849315068493149"/>
    <n v="17272.405479452053"/>
    <n v="4.8849315068493153"/>
    <n v="4446.0000000000018"/>
    <n v="21718.405479452056"/>
    <n v="1170"/>
  </r>
  <r>
    <n v="1829"/>
    <s v="Printer "/>
    <s v="Sugar Division"/>
    <x v="5"/>
    <m/>
    <s v="Common"/>
    <d v="2016-06-15T00:00:00"/>
    <n v="7834.93"/>
    <n v="0"/>
    <n v="0"/>
    <n v="7834.93"/>
    <n v="391.74650000000003"/>
    <n v="5"/>
    <n v="3.8"/>
    <n v="5656.8194599999997"/>
    <n v="4.8"/>
    <n v="1488.6367"/>
    <n v="7145.4561599999997"/>
    <n v="391.74650000000003"/>
  </r>
  <r>
    <n v="1830"/>
    <s v="Mobile"/>
    <s v="Sugar Division"/>
    <x v="5"/>
    <m/>
    <s v="Common"/>
    <d v="2016-06-15T00:00:00"/>
    <n v="25000"/>
    <n v="0"/>
    <n v="0"/>
    <n v="25000"/>
    <n v="1250"/>
    <n v="5"/>
    <n v="3.8"/>
    <n v="18050"/>
    <n v="4.8"/>
    <n v="4750"/>
    <n v="22800"/>
    <n v="1250"/>
  </r>
  <r>
    <n v="1831"/>
    <s v="Mobile"/>
    <s v="Sugar Division"/>
    <x v="5"/>
    <m/>
    <s v="Common"/>
    <d v="2016-06-22T00:00:00"/>
    <n v="12600"/>
    <n v="0"/>
    <n v="0"/>
    <n v="12600"/>
    <n v="630"/>
    <n v="5"/>
    <n v="3.7808219178082192"/>
    <n v="9051.2876712328762"/>
    <n v="4.7808219178082192"/>
    <n v="2394"/>
    <n v="11445.287671232876"/>
    <n v="630"/>
  </r>
  <r>
    <n v="1832"/>
    <s v="Vacum Cleaner"/>
    <s v="Sugar Division"/>
    <x v="5"/>
    <m/>
    <s v="Common"/>
    <d v="2016-07-15T00:00:00"/>
    <n v="8490"/>
    <n v="0"/>
    <n v="0"/>
    <n v="8490"/>
    <n v="424.5"/>
    <n v="5"/>
    <n v="3.7178082191780821"/>
    <n v="5997.1964383561635"/>
    <n v="4.7178082191780826"/>
    <n v="1613.1000000000008"/>
    <n v="7610.2964383561648"/>
    <n v="424.5"/>
  </r>
  <r>
    <n v="1833"/>
    <s v="Meghaphone "/>
    <s v="Sugar Division"/>
    <x v="5"/>
    <m/>
    <s v="Common"/>
    <d v="2016-07-15T00:00:00"/>
    <n v="2865"/>
    <n v="0"/>
    <n v="0"/>
    <n v="2865"/>
    <n v="143.25"/>
    <n v="5"/>
    <n v="3.7178082191780821"/>
    <n v="2023.7889041095891"/>
    <n v="4.7178082191780826"/>
    <n v="544.35000000000025"/>
    <n v="2568.1389041095895"/>
    <n v="143.25"/>
  </r>
  <r>
    <n v="1834"/>
    <s v="Wi Fi Equipments"/>
    <s v="Sugar Division"/>
    <x v="5"/>
    <m/>
    <s v="Common"/>
    <d v="2016-07-15T00:00:00"/>
    <n v="435000"/>
    <n v="0"/>
    <n v="0"/>
    <n v="435000"/>
    <n v="21750"/>
    <n v="5"/>
    <n v="3.7178082191780821"/>
    <n v="307276.84931506851"/>
    <n v="4.7178082191780826"/>
    <n v="82650.000000000044"/>
    <n v="389926.84931506857"/>
    <n v="21750"/>
  </r>
  <r>
    <n v="1835"/>
    <s v="Scnner"/>
    <s v="Sugar Division"/>
    <x v="5"/>
    <m/>
    <s v="Common"/>
    <d v="2016-07-15T00:00:00"/>
    <n v="3900"/>
    <n v="0"/>
    <n v="0"/>
    <n v="3900"/>
    <n v="195"/>
    <n v="5"/>
    <n v="3.7178082191780821"/>
    <n v="2754.8958904109591"/>
    <n v="4.7178082191780826"/>
    <n v="741.00000000000034"/>
    <n v="3495.8958904109595"/>
    <n v="195"/>
  </r>
  <r>
    <n v="1836"/>
    <s v="Ledger Copier Printer"/>
    <s v="Sugar Division"/>
    <x v="5"/>
    <m/>
    <s v="Common"/>
    <d v="2016-09-15T00:00:00"/>
    <n v="65000"/>
    <n v="0"/>
    <n v="0"/>
    <n v="65000"/>
    <n v="3250"/>
    <n v="5"/>
    <n v="3.547945205479452"/>
    <n v="43817.123287671231"/>
    <n v="4.5479452054794525"/>
    <n v="12350.000000000005"/>
    <n v="56167.123287671238"/>
    <n v="3250"/>
  </r>
  <r>
    <n v="1837"/>
    <s v="Computer (3)"/>
    <s v="Sugar Division"/>
    <x v="5"/>
    <m/>
    <s v="Common"/>
    <d v="2016-09-15T00:00:00"/>
    <n v="149850"/>
    <n v="0"/>
    <n v="0"/>
    <n v="149850"/>
    <n v="7492.5"/>
    <n v="5"/>
    <n v="3.547945205479452"/>
    <n v="101015.32191780822"/>
    <n v="4.5479452054794525"/>
    <n v="28471.500000000015"/>
    <n v="129486.82191780824"/>
    <n v="7492.5"/>
  </r>
  <r>
    <n v="1838"/>
    <s v="Smart Weighment Systems At Gate"/>
    <s v="Sugar Division"/>
    <x v="5"/>
    <m/>
    <s v="Common"/>
    <d v="2016-11-15T00:00:00"/>
    <n v="364322.37000000011"/>
    <n v="0"/>
    <n v="0"/>
    <n v="364322.37000000011"/>
    <n v="18216.118500000008"/>
    <n v="5"/>
    <n v="3.3808219178082193"/>
    <n v="234024.72019232888"/>
    <n v="4.3808219178082188"/>
    <n v="69221.250299999985"/>
    <n v="303245.97049232887"/>
    <n v="18216.118500000008"/>
  </r>
  <r>
    <n v="1839"/>
    <s v="Stablizer"/>
    <s v="Sugar Division"/>
    <x v="5"/>
    <m/>
    <s v="Common"/>
    <d v="2017-02-21T00:00:00"/>
    <n v="18585.650000000001"/>
    <n v="0"/>
    <n v="0"/>
    <n v="18585.650000000001"/>
    <n v="929.28250000000014"/>
    <n v="5"/>
    <n v="3.1123287671232878"/>
    <n v="10990.484098630139"/>
    <n v="4.1123287671232873"/>
    <n v="3531.2734999999984"/>
    <n v="14521.757598630138"/>
    <n v="929.28250000000014"/>
  </r>
  <r>
    <n v="1840"/>
    <s v="Air Conditioner 1.5 Ton"/>
    <s v="Sugar Division"/>
    <x v="5"/>
    <m/>
    <s v="Common"/>
    <d v="2017-02-21T00:00:00"/>
    <n v="152703.70000000001"/>
    <n v="0"/>
    <n v="0"/>
    <n v="152703.70000000001"/>
    <n v="7635.1850000000013"/>
    <n v="5"/>
    <n v="3.1123287671232878"/>
    <n v="90300.182487671234"/>
    <n v="4.1123287671232873"/>
    <n v="29013.702999999987"/>
    <n v="119313.88548767121"/>
    <n v="7635.1850000000013"/>
  </r>
  <r>
    <n v="1841"/>
    <s v="Air Conditioner 2 Ton"/>
    <s v="Sugar Division"/>
    <x v="5"/>
    <m/>
    <s v="Common"/>
    <d v="2017-02-21T00:00:00"/>
    <n v="45710.65"/>
    <n v="0"/>
    <n v="0"/>
    <n v="45710.65"/>
    <n v="2285.5325000000003"/>
    <n v="5"/>
    <n v="3.1123287671232878"/>
    <n v="27030.64848219178"/>
    <n v="4.1123287671232873"/>
    <n v="8685.0234999999957"/>
    <n v="35715.67198219178"/>
    <n v="2285.5325000000003"/>
  </r>
  <r>
    <n v="1842"/>
    <s v="Refrigratior"/>
    <s v="Sugar Division"/>
    <x v="5"/>
    <m/>
    <s v="Common"/>
    <d v="2017-03-21T00:00:00"/>
    <n v="20300"/>
    <n v="0"/>
    <n v="0"/>
    <n v="20300"/>
    <n v="1015"/>
    <n v="5"/>
    <n v="3.0356164383561643"/>
    <n v="11708.372602739726"/>
    <n v="4.0356164383561648"/>
    <n v="3857.0000000000018"/>
    <n v="15565.372602739728"/>
    <n v="1015"/>
  </r>
  <r>
    <n v="1843"/>
    <s v="Projector"/>
    <s v="Sugar Division"/>
    <x v="5"/>
    <m/>
    <s v="Common"/>
    <d v="2017-03-21T00:00:00"/>
    <n v="77402"/>
    <n v="0"/>
    <n v="0"/>
    <n v="77402"/>
    <n v="3870.1000000000004"/>
    <n v="5"/>
    <n v="3.0356164383561643"/>
    <n v="44642.928876712329"/>
    <n v="4.0356164383561648"/>
    <n v="14706.380000000006"/>
    <n v="59349.308876712334"/>
    <n v="3870.1000000000004"/>
  </r>
  <r>
    <n v="1844"/>
    <s v="Projector Screen"/>
    <s v="Sugar Division"/>
    <x v="5"/>
    <m/>
    <s v="Common"/>
    <d v="2017-03-21T00:00:00"/>
    <n v="25190"/>
    <n v="0"/>
    <n v="0"/>
    <n v="25190"/>
    <n v="1259.5"/>
    <n v="5"/>
    <n v="3.0356164383561643"/>
    <n v="14528.763835616439"/>
    <n v="4.0356164383561648"/>
    <n v="4786.1000000000022"/>
    <n v="19314.863835616441"/>
    <n v="1259.5"/>
  </r>
  <r>
    <n v="1845"/>
    <s v="Vga Cable"/>
    <s v="Sugar Division"/>
    <x v="5"/>
    <m/>
    <s v="Common"/>
    <d v="2017-03-21T00:00:00"/>
    <n v="4293.75"/>
    <n v="0"/>
    <n v="0"/>
    <n v="4293.75"/>
    <n v="214.6875"/>
    <n v="5"/>
    <n v="3.0356164383561643"/>
    <n v="2476.4938356164384"/>
    <n v="4.0356164383561648"/>
    <n v="815.81250000000034"/>
    <n v="3292.3063356164389"/>
    <n v="214.6875"/>
  </r>
  <r>
    <n v="1846"/>
    <s v="Led"/>
    <s v="Sugar Division"/>
    <x v="5"/>
    <m/>
    <s v="Common"/>
    <d v="2017-03-21T00:00:00"/>
    <n v="126650"/>
    <n v="0"/>
    <n v="0"/>
    <n v="126650"/>
    <n v="6332.5"/>
    <n v="5"/>
    <n v="3.0356164383561643"/>
    <n v="73047.556164383554"/>
    <n v="4.0356164383561648"/>
    <n v="24063.500000000011"/>
    <n v="97111.056164383568"/>
    <n v="6332.5"/>
  </r>
  <r>
    <n v="1847"/>
    <s v="Printer "/>
    <s v="Sugar Division"/>
    <x v="5"/>
    <m/>
    <s v="Common"/>
    <d v="2017-04-15T00:00:00"/>
    <n v="12700"/>
    <n v="0"/>
    <n v="0"/>
    <n v="12700"/>
    <n v="635"/>
    <n v="5"/>
    <n v="2.967123287671233"/>
    <n v="7159.6684931506852"/>
    <n v="3.967123287671233"/>
    <n v="2413"/>
    <n v="9572.6684931506861"/>
    <n v="635"/>
  </r>
  <r>
    <n v="1848"/>
    <s v="Mobile Xiaomi"/>
    <s v="Sugar Division"/>
    <x v="5"/>
    <m/>
    <s v="Common"/>
    <d v="2017-04-15T00:00:00"/>
    <n v="13999"/>
    <n v="0"/>
    <n v="0"/>
    <n v="13999"/>
    <n v="699.95"/>
    <n v="5"/>
    <n v="2.967123287671233"/>
    <n v="7891.9841917808217"/>
    <n v="3.967123287671233"/>
    <n v="2659.81"/>
    <n v="10551.794191780822"/>
    <n v="699.95"/>
  </r>
  <r>
    <n v="1849"/>
    <s v="Laptop"/>
    <s v="Sugar Division"/>
    <x v="5"/>
    <m/>
    <s v="Common"/>
    <d v="2017-05-15T00:00:00"/>
    <n v="79200"/>
    <n v="0"/>
    <n v="0"/>
    <n v="79200"/>
    <n v="3960"/>
    <n v="5"/>
    <n v="2.8849315068493149"/>
    <n v="43412.449315068487"/>
    <n v="3.8849315068493149"/>
    <n v="15048"/>
    <n v="58460.449315068487"/>
    <n v="3960"/>
  </r>
  <r>
    <n v="1850"/>
    <s v="Laptop 3 Nos"/>
    <s v="Sugar Division"/>
    <x v="5"/>
    <m/>
    <s v="Common"/>
    <d v="2017-06-15T00:00:00"/>
    <n v="168000"/>
    <n v="0"/>
    <n v="0"/>
    <n v="168000"/>
    <n v="8400"/>
    <n v="5"/>
    <n v="2.8"/>
    <n v="89376"/>
    <n v="3.8"/>
    <n v="31920"/>
    <n v="121296"/>
    <n v="8400"/>
  </r>
  <r>
    <n v="1851"/>
    <s v="Almirah 2 Nos."/>
    <s v="Sugar Division"/>
    <x v="5"/>
    <m/>
    <s v="Common"/>
    <d v="2017-06-15T00:00:00"/>
    <n v="22900"/>
    <n v="0"/>
    <n v="0"/>
    <n v="22900"/>
    <n v="1145"/>
    <n v="5"/>
    <n v="2.8"/>
    <n v="12182.8"/>
    <n v="3.8"/>
    <n v="4351"/>
    <n v="16533.8"/>
    <n v="1145"/>
  </r>
  <r>
    <n v="1852"/>
    <s v="Ceiling Fan 12 Nos"/>
    <s v="Sugar Division"/>
    <x v="5"/>
    <m/>
    <s v="Common"/>
    <d v="2017-07-15T00:00:00"/>
    <n v="23000"/>
    <n v="0"/>
    <n v="0"/>
    <n v="23000"/>
    <n v="1150"/>
    <n v="5"/>
    <n v="2.7178082191780821"/>
    <n v="11876.821917808218"/>
    <n v="3.7178082191780821"/>
    <n v="4370"/>
    <n v="16246.821917808218"/>
    <n v="1150"/>
  </r>
  <r>
    <n v="1853"/>
    <s v="Pedestal Fan"/>
    <s v="Sugar Division"/>
    <x v="5"/>
    <m/>
    <s v="Common"/>
    <d v="2017-07-15T00:00:00"/>
    <n v="2900"/>
    <n v="0"/>
    <n v="0"/>
    <n v="2900"/>
    <n v="145"/>
    <n v="5"/>
    <n v="2.7178082191780821"/>
    <n v="1497.5123287671233"/>
    <n v="3.7178082191780821"/>
    <n v="551"/>
    <n v="2048.5123287671231"/>
    <n v="145"/>
  </r>
  <r>
    <n v="1854"/>
    <s v="Chair Plastic Supreme"/>
    <s v="Sugar Division"/>
    <x v="5"/>
    <m/>
    <s v="Common"/>
    <d v="2017-07-15T00:00:00"/>
    <n v="23640"/>
    <n v="0"/>
    <n v="0"/>
    <n v="23640"/>
    <n v="1182"/>
    <n v="5"/>
    <n v="2.7178082191780821"/>
    <n v="12207.307397260274"/>
    <n v="3.7178082191780821"/>
    <n v="4491.6000000000004"/>
    <n v="16698.907397260275"/>
    <n v="1182"/>
  </r>
  <r>
    <n v="1855"/>
    <s v="Laptop"/>
    <s v="Sugar Division"/>
    <x v="5"/>
    <m/>
    <s v="Common"/>
    <d v="2017-07-15T00:00:00"/>
    <n v="280000"/>
    <n v="0"/>
    <n v="0"/>
    <n v="280000"/>
    <n v="14000"/>
    <n v="5"/>
    <n v="2.7178082191780821"/>
    <n v="144587.39726027398"/>
    <n v="3.7178082191780821"/>
    <n v="53200"/>
    <n v="197787.39726027398"/>
    <n v="14000"/>
  </r>
  <r>
    <n v="1856"/>
    <s v="Air Conditioner 2 Nos"/>
    <s v="Sugar Division"/>
    <x v="5"/>
    <m/>
    <s v="Common"/>
    <d v="2017-08-15T00:00:00"/>
    <n v="92000"/>
    <n v="0"/>
    <n v="0"/>
    <n v="92000"/>
    <n v="4600"/>
    <n v="5"/>
    <n v="2.6328767123287671"/>
    <n v="46022.684931506847"/>
    <n v="3.6328767123287671"/>
    <n v="17480"/>
    <n v="63502.684931506847"/>
    <n v="4600"/>
  </r>
  <r>
    <n v="1857"/>
    <s v="Mobile Phone"/>
    <s v="Sugar Division"/>
    <x v="5"/>
    <m/>
    <s v="Common"/>
    <d v="2017-09-15T00:00:00"/>
    <n v="11000"/>
    <n v="0"/>
    <n v="0"/>
    <n v="11000"/>
    <n v="550"/>
    <n v="3"/>
    <n v="2.547945205479452"/>
    <n v="8875.3424657534251"/>
    <n v="3.547945205479452"/>
    <n v="3483.333333333333"/>
    <n v="12358.675799086759"/>
    <n v="550"/>
  </r>
  <r>
    <n v="1858"/>
    <s v="Almirah Steel 7 Nos"/>
    <s v="Sugar Division"/>
    <x v="5"/>
    <m/>
    <s v="Common"/>
    <d v="2017-09-15T00:00:00"/>
    <n v="26630"/>
    <n v="0"/>
    <n v="0"/>
    <n v="26630"/>
    <n v="1331.5"/>
    <n v="5"/>
    <n v="2.547945205479452"/>
    <n v="12891.838356164382"/>
    <n v="3.547945205479452"/>
    <n v="5059.7000000000007"/>
    <n v="17951.538356164383"/>
    <n v="1331.5"/>
  </r>
  <r>
    <n v="1859"/>
    <s v="Steel Almirah"/>
    <s v="Sugar Division"/>
    <x v="5"/>
    <m/>
    <s v="Common"/>
    <d v="2017-09-15T00:00:00"/>
    <n v="6000"/>
    <n v="0"/>
    <n v="0"/>
    <n v="6000"/>
    <n v="300"/>
    <n v="5"/>
    <n v="2.547945205479452"/>
    <n v="2904.6575342465753"/>
    <n v="3.547945205479452"/>
    <n v="1140"/>
    <n v="4044.6575342465753"/>
    <n v="300"/>
  </r>
  <r>
    <n v="1860"/>
    <s v="Laptop"/>
    <s v="Sugar Division"/>
    <x v="5"/>
    <m/>
    <s v="Common"/>
    <d v="2017-09-15T00:00:00"/>
    <n v="112000"/>
    <n v="0"/>
    <n v="0"/>
    <n v="112000"/>
    <n v="5600"/>
    <n v="5"/>
    <n v="2.547945205479452"/>
    <n v="54220.273972602736"/>
    <n v="3.547945205479452"/>
    <n v="21280"/>
    <n v="75500.273972602736"/>
    <n v="5600"/>
  </r>
  <r>
    <n v="1861"/>
    <s v="450 Mbps Wireless"/>
    <s v="Sugar Division"/>
    <x v="5"/>
    <m/>
    <s v="Common"/>
    <d v="2017-09-15T00:00:00"/>
    <n v="8135.6"/>
    <n v="0"/>
    <n v="0"/>
    <n v="8135.6"/>
    <n v="406.78000000000003"/>
    <n v="5"/>
    <n v="2.547945205479452"/>
    <n v="3938.5219726027399"/>
    <n v="3.547945205479452"/>
    <n v="1545.7640000000001"/>
    <n v="5484.28597260274"/>
    <n v="406.78000000000003"/>
  </r>
  <r>
    <n v="1862"/>
    <s v="Mobile Phone"/>
    <s v="Sugar Division"/>
    <x v="5"/>
    <m/>
    <s v="Common"/>
    <d v="2017-10-15T00:00:00"/>
    <n v="10000"/>
    <n v="0"/>
    <n v="0"/>
    <n v="10000"/>
    <n v="500"/>
    <n v="3"/>
    <n v="2.4657534246575343"/>
    <n v="7808.2191780821913"/>
    <n v="3.4657534246575343"/>
    <n v="3166.6666666666665"/>
    <n v="10974.885844748858"/>
    <n v="500"/>
  </r>
  <r>
    <n v="1863"/>
    <s v="Chair Plastic 150Nos"/>
    <s v="Sugar Division"/>
    <x v="5"/>
    <m/>
    <s v="Common"/>
    <d v="2017-10-15T00:00:00"/>
    <n v="74100.5"/>
    <n v="0"/>
    <n v="0"/>
    <n v="74100.5"/>
    <n v="3705.0250000000001"/>
    <n v="5"/>
    <n v="2.4657534246575343"/>
    <n v="34715.576712328773"/>
    <n v="3.4657534246575343"/>
    <n v="14079.095000000001"/>
    <n v="48794.671712328774"/>
    <n v="3705.0250000000001"/>
  </r>
  <r>
    <n v="1864"/>
    <s v="Battery 12 Voult"/>
    <s v="Sugar Division"/>
    <x v="5"/>
    <m/>
    <s v="Common"/>
    <d v="2017-10-15T00:00:00"/>
    <n v="8266.02"/>
    <n v="0"/>
    <n v="0"/>
    <n v="8266.02"/>
    <n v="413.30100000000004"/>
    <n v="5"/>
    <n v="2.4657534246575343"/>
    <n v="3872.5737534246573"/>
    <n v="3.4657534246575343"/>
    <n v="1570.5438000000001"/>
    <n v="5443.1175534246577"/>
    <n v="413.30100000000004"/>
  </r>
  <r>
    <n v="1865"/>
    <s v="Solar Panel 2 Nos &amp; Controller"/>
    <s v="Sugar Division"/>
    <x v="5"/>
    <m/>
    <s v="Common"/>
    <d v="2017-10-15T00:00:00"/>
    <n v="12588.099999999999"/>
    <n v="0"/>
    <n v="0"/>
    <n v="12588.099999999999"/>
    <n v="629.40499999999997"/>
    <n v="5"/>
    <n v="2.4657534246575343"/>
    <n v="5897.438630136985"/>
    <n v="3.4657534246575343"/>
    <n v="2391.7389999999996"/>
    <n v="8289.1776301369846"/>
    <n v="629.40499999999997"/>
  </r>
  <r>
    <n v="1866"/>
    <s v="Hp Laptop &amp; Carry Case"/>
    <s v="Sugar Division"/>
    <x v="5"/>
    <m/>
    <s v="Common"/>
    <d v="2017-11-15T00:00:00"/>
    <n v="53050.84"/>
    <n v="0"/>
    <n v="0"/>
    <n v="53050.84"/>
    <n v="2652.5419999999999"/>
    <n v="5"/>
    <n v="2.3808219178082193"/>
    <n v="23997.874499726026"/>
    <n v="3.3808219178082193"/>
    <n v="10079.659599999999"/>
    <n v="34077.534099726021"/>
    <n v="2652.5419999999999"/>
  </r>
  <r>
    <n v="1867"/>
    <s v="Mobile Phone"/>
    <s v="Sugar Division"/>
    <x v="5"/>
    <m/>
    <s v="Common"/>
    <d v="2017-11-15T00:00:00"/>
    <n v="6696.42"/>
    <n v="0"/>
    <n v="0"/>
    <n v="6696.42"/>
    <n v="334.82100000000003"/>
    <n v="3"/>
    <n v="2.3808219178082193"/>
    <n v="5048.6114438356162"/>
    <n v="3.3808219178082193"/>
    <n v="2120.5329999999999"/>
    <n v="7169.1444438356157"/>
    <n v="334.82100000000003"/>
  </r>
  <r>
    <n v="1868"/>
    <s v="Wirless Handset 9 Nos."/>
    <s v="Sugar Division"/>
    <x v="5"/>
    <m/>
    <s v="Common"/>
    <d v="2017-11-15T00:00:00"/>
    <n v="113932.88"/>
    <n v="0"/>
    <n v="0"/>
    <n v="113932.88"/>
    <n v="5696.6440000000002"/>
    <n v="5"/>
    <n v="2.3808219178082193"/>
    <n v="51538.240593972609"/>
    <n v="3.3808219178082193"/>
    <n v="21647.247200000002"/>
    <n v="73185.487793972614"/>
    <n v="5696.6440000000002"/>
  </r>
  <r>
    <n v="1869"/>
    <s v="Mobile Phone"/>
    <s v="Sugar Division"/>
    <x v="5"/>
    <m/>
    <s v="Common"/>
    <d v="2017-12-15T00:00:00"/>
    <n v="6000"/>
    <n v="0"/>
    <n v="0"/>
    <n v="6000"/>
    <n v="300"/>
    <n v="3"/>
    <n v="2.2986301369863016"/>
    <n v="4367.3972602739732"/>
    <n v="3.2986301369863016"/>
    <n v="1900"/>
    <n v="6267.3972602739732"/>
    <n v="300"/>
  </r>
  <r>
    <n v="1870"/>
    <s v="Mobile Phone Redmi-4"/>
    <s v="Sugar Division"/>
    <x v="5"/>
    <m/>
    <s v="Common"/>
    <d v="2017-12-15T00:00:00"/>
    <n v="11000"/>
    <n v="0"/>
    <n v="0"/>
    <n v="11000"/>
    <n v="550"/>
    <n v="3"/>
    <n v="2.2986301369863016"/>
    <n v="8006.8949771689513"/>
    <n v="3.2986301369863016"/>
    <n v="3483.333333333333"/>
    <n v="11490.228310502283"/>
    <n v="550"/>
  </r>
  <r>
    <n v="1871"/>
    <s v="Almerah"/>
    <s v="Sugar Division"/>
    <x v="5"/>
    <m/>
    <s v="Common"/>
    <d v="2018-01-15T00:00:00"/>
    <n v="5500"/>
    <n v="0"/>
    <n v="0"/>
    <n v="5500"/>
    <n v="275"/>
    <n v="5"/>
    <n v="2.2136986301369861"/>
    <n v="2313.3150684931506"/>
    <n v="3.2136986301369861"/>
    <n v="1045"/>
    <n v="3358.3150684931506"/>
    <n v="275"/>
  </r>
  <r>
    <n v="1872"/>
    <s v="Wireless Hand Gp 3 Ola Make 5 Nos"/>
    <s v="Sugar Division"/>
    <x v="5"/>
    <m/>
    <s v="Common"/>
    <d v="2018-01-15T00:00:00"/>
    <n v="63347.46"/>
    <n v="0"/>
    <n v="0"/>
    <n v="63347.46"/>
    <n v="3167.373"/>
    <n v="3"/>
    <n v="2.2136986301369861"/>
    <n v="44406.858717808209"/>
    <n v="3.2136986301369861"/>
    <n v="20060.028999999999"/>
    <n v="64466.887717808204"/>
    <n v="3167.373"/>
  </r>
  <r>
    <n v="1873"/>
    <s v="Room Heater-1No."/>
    <s v="Sugar Division"/>
    <x v="5"/>
    <m/>
    <s v="Common"/>
    <d v="2018-02-15T00:00:00"/>
    <n v="6875"/>
    <n v="0"/>
    <n v="0"/>
    <n v="6875"/>
    <n v="343.75"/>
    <n v="5"/>
    <n v="2.128767123287671"/>
    <n v="2780.7020547945203"/>
    <n v="3.128767123287671"/>
    <n v="1306.25"/>
    <n v="4086.9520547945203"/>
    <n v="343.75"/>
  </r>
  <r>
    <n v="1874"/>
    <s v="Cooler"/>
    <s v="Sugar Division"/>
    <x v="5"/>
    <m/>
    <s v="Common"/>
    <d v="2018-02-15T00:00:00"/>
    <n v="6500"/>
    <n v="0"/>
    <n v="0"/>
    <n v="6500"/>
    <n v="325"/>
    <n v="5"/>
    <n v="2.128767123287671"/>
    <n v="2629.0273972602736"/>
    <n v="3.128767123287671"/>
    <n v="1235"/>
    <n v="3864.0273972602736"/>
    <n v="325"/>
  </r>
  <r>
    <n v="1875"/>
    <s v="Hydeaulic Chafer Drum Stick 4.Nos"/>
    <s v="Sugar Division"/>
    <x v="5"/>
    <m/>
    <s v="Common"/>
    <d v="2018-03-15T00:00:00"/>
    <n v="47465.38"/>
    <n v="0"/>
    <n v="0"/>
    <n v="47465.38"/>
    <n v="2373.2689999999998"/>
    <n v="5"/>
    <n v="2.0520547945205481"/>
    <n v="18506.296514520545"/>
    <n v="3.0520547945205481"/>
    <n v="9018.4221999999991"/>
    <n v="27524.718714520546"/>
    <n v="2373.2689999999998"/>
  </r>
  <r>
    <n v="1876"/>
    <s v="Heat Regulator"/>
    <s v="Sugar Division"/>
    <x v="5"/>
    <m/>
    <s v="Common"/>
    <d v="2018-03-15T00:00:00"/>
    <n v="10318.56"/>
    <n v="0"/>
    <n v="0"/>
    <n v="10318.56"/>
    <n v="515.928"/>
    <n v="5"/>
    <n v="2.0520547945205481"/>
    <n v="4023.1075989041096"/>
    <n v="3.0520547945205481"/>
    <n v="1960.5264"/>
    <n v="5983.6339989041098"/>
    <n v="515.928"/>
  </r>
  <r>
    <n v="1877"/>
    <s v="Chafing Dish-2 Nos."/>
    <s v="Sugar Division"/>
    <x v="5"/>
    <m/>
    <s v="Common"/>
    <d v="2018-03-15T00:00:00"/>
    <n v="2416.06"/>
    <n v="0"/>
    <n v="0"/>
    <n v="2416.06"/>
    <n v="120.803"/>
    <n v="5"/>
    <n v="2.0520547945205481"/>
    <n v="941.99862630136988"/>
    <n v="3.0520547945205481"/>
    <n v="459.05140000000006"/>
    <n v="1401.0500263013701"/>
    <n v="120.803"/>
  </r>
  <r>
    <n v="1878"/>
    <s v="Mobile Redmi 1 No."/>
    <s v="Sugar Division"/>
    <x v="5"/>
    <m/>
    <s v="Common"/>
    <d v="2018-07-15T00:00:00"/>
    <n v="11999"/>
    <n v="0"/>
    <n v="0"/>
    <n v="11999"/>
    <n v="599.95000000000005"/>
    <n v="3"/>
    <n v="1.7178082191780821"/>
    <n v="6527.1272602739718"/>
    <n v="2.7178082191780821"/>
    <n v="3799.6833333333329"/>
    <n v="10326.810593607304"/>
    <n v="599.95000000000005"/>
  </r>
  <r>
    <n v="1879"/>
    <s v="Mobile Samsung J810Gg"/>
    <s v="Sugar Division"/>
    <x v="5"/>
    <m/>
    <s v="Common"/>
    <d v="2018-08-15T00:00:00"/>
    <n v="18990"/>
    <n v="0"/>
    <n v="0"/>
    <n v="18990"/>
    <n v="949.5"/>
    <n v="3"/>
    <n v="1.6328767123287671"/>
    <n v="9819.3041095890403"/>
    <n v="2.6328767123287671"/>
    <n v="6013.5"/>
    <n v="15832.80410958904"/>
    <n v="949.5"/>
  </r>
  <r>
    <n v="1880"/>
    <s v="Mac Book Air 13 Inch 1 No.256 Gb"/>
    <s v="Sugar Division"/>
    <x v="5"/>
    <m/>
    <s v="Common"/>
    <d v="2018-10-15T00:00:00"/>
    <n v="65169.49"/>
    <n v="0"/>
    <n v="0"/>
    <n v="65169.49"/>
    <n v="3258.4745000000003"/>
    <n v="5"/>
    <n v="1.4657534246575343"/>
    <n v="18149.256598630138"/>
    <n v="2.4657534246575343"/>
    <n v="12382.203099999999"/>
    <n v="30531.459698630137"/>
    <n v="3258.4745000000003"/>
  </r>
  <r>
    <n v="1881"/>
    <s v="Ms Off Home Zbusiness 1Pk2016"/>
    <s v="Sugar Division"/>
    <x v="5"/>
    <m/>
    <s v="Common"/>
    <d v="2018-10-15T00:00:00"/>
    <n v="15677.12"/>
    <n v="0"/>
    <n v="0"/>
    <n v="15677.12"/>
    <n v="783.85600000000011"/>
    <n v="5"/>
    <n v="1.4657534246575343"/>
    <n v="4365.9705424657541"/>
    <n v="2.4657534246575343"/>
    <n v="2978.6528000000003"/>
    <n v="7344.6233424657548"/>
    <n v="783.85600000000011"/>
  </r>
  <r>
    <n v="1882"/>
    <s v="Mobile Redmi 1 No."/>
    <s v="Sugar Division"/>
    <x v="5"/>
    <m/>
    <s v="Common"/>
    <d v="2018-11-15T00:00:00"/>
    <n v="14999"/>
    <n v="0"/>
    <n v="0"/>
    <n v="14999"/>
    <n v="749.95"/>
    <n v="3"/>
    <n v="1.3808219178082193"/>
    <n v="6558.4668493150693"/>
    <n v="2.3808219178082193"/>
    <n v="4749.6833333333325"/>
    <n v="11308.150182648402"/>
    <n v="749.95"/>
  </r>
  <r>
    <n v="1883"/>
    <s v="Mobile Redmi 6(1 No.)"/>
    <s v="Sugar Division"/>
    <x v="5"/>
    <m/>
    <s v="Common"/>
    <d v="2018-11-15T00:00:00"/>
    <n v="12999"/>
    <n v="0"/>
    <n v="0"/>
    <n v="12999"/>
    <n v="649.95000000000005"/>
    <n v="3"/>
    <n v="1.3808219178082193"/>
    <n v="5683.9463013698623"/>
    <n v="2.3808219178082193"/>
    <n v="4116.3499999999995"/>
    <n v="9800.2963013698609"/>
    <n v="649.95000000000005"/>
  </r>
  <r>
    <n v="1884"/>
    <s v="Mobile Vivo Y 95 1 No."/>
    <s v="Sugar Division"/>
    <x v="5"/>
    <m/>
    <s v="Common"/>
    <d v="2018-12-15T00:00:00"/>
    <n v="16000"/>
    <n v="0"/>
    <n v="0"/>
    <n v="16000"/>
    <n v="800"/>
    <n v="3"/>
    <n v="1.2986301369863014"/>
    <n v="6579.7260273972606"/>
    <n v="2.2986301369863016"/>
    <n v="5066.6666666666679"/>
    <n v="11646.392694063929"/>
    <n v="800"/>
  </r>
  <r>
    <n v="1885"/>
    <s v="Leser Jet Printer Mfp M 226Dw 1 No."/>
    <s v="Sugar Division"/>
    <x v="5"/>
    <m/>
    <s v="Common"/>
    <d v="2018-12-15T00:00:00"/>
    <n v="23728.81"/>
    <n v="0"/>
    <n v="0"/>
    <n v="23728.81"/>
    <n v="1186.4405000000002"/>
    <n v="5"/>
    <n v="1.2986301369863014"/>
    <n v="5854.8400783561647"/>
    <n v="2.2986301369863016"/>
    <n v="4508.4739000000009"/>
    <n v="10363.313978356166"/>
    <n v="1186.4405000000002"/>
  </r>
  <r>
    <n v="1886"/>
    <s v="Wire Less Hand Set 4 Nos."/>
    <s v="Sugar Division"/>
    <x v="5"/>
    <m/>
    <s v="Common"/>
    <d v="2018-12-15T00:00:00"/>
    <n v="50847.46"/>
    <n v="0"/>
    <n v="0"/>
    <n v="50847.46"/>
    <n v="2542.373"/>
    <n v="5"/>
    <n v="1.2986301369863014"/>
    <n v="12546.088349589041"/>
    <n v="2.2986301369863016"/>
    <n v="9661.0174000000025"/>
    <n v="22207.105749589042"/>
    <n v="2542.373"/>
  </r>
  <r>
    <n v="1887"/>
    <s v="Mobile Samsung (1 No.)"/>
    <s v="Sugar Division"/>
    <x v="5"/>
    <m/>
    <s v="Common"/>
    <d v="2019-01-15T00:00:00"/>
    <n v="14999"/>
    <n v="0"/>
    <n v="0"/>
    <n v="14999"/>
    <n v="749.95"/>
    <n v="3"/>
    <n v="1.2136986301369863"/>
    <n v="5764.6841552511414"/>
    <n v="2.2136986301369861"/>
    <n v="4749.6833333333325"/>
    <n v="10514.367488584474"/>
    <n v="749.95"/>
  </r>
  <r>
    <n v="1888"/>
    <s v="Mobile Vivo Y711 (1No.)"/>
    <s v="Sugar Division"/>
    <x v="5"/>
    <m/>
    <s v="Common"/>
    <d v="2019-01-15T00:00:00"/>
    <n v="5000"/>
    <n v="0"/>
    <n v="0"/>
    <n v="5000"/>
    <n v="250"/>
    <n v="3"/>
    <n v="1.2136986301369863"/>
    <n v="1921.6894977168949"/>
    <n v="2.2136986301369861"/>
    <n v="1583.333333333333"/>
    <n v="3505.022831050228"/>
    <n v="250"/>
  </r>
  <r>
    <n v="1889"/>
    <s v="Laptop Wth Bag I Phone Xr Gb Black 1No"/>
    <s v="Sugar Division"/>
    <x v="5"/>
    <m/>
    <s v="Common"/>
    <d v="2019-01-15T00:00:00"/>
    <n v="74766.039999999994"/>
    <n v="0"/>
    <n v="0"/>
    <n v="74766.039999999994"/>
    <n v="3738.3019999999997"/>
    <n v="3"/>
    <n v="1.2136986301369863"/>
    <n v="28735.422770776255"/>
    <n v="2.2136986301369861"/>
    <n v="23675.91266666666"/>
    <n v="52411.335437442918"/>
    <n v="3738.3019999999997"/>
  </r>
  <r>
    <n v="1890"/>
    <s v="Mobile Redmi Note 6 Imei (1 No.)"/>
    <s v="Sugar Division"/>
    <x v="5"/>
    <m/>
    <s v="Common"/>
    <d v="2019-02-15T00:00:00"/>
    <n v="12499.11"/>
    <n v="0"/>
    <n v="12499.11"/>
    <n v="0"/>
    <n v="0"/>
    <n v="3"/>
    <n v="1.1287671232876713"/>
    <n v="-12499.11"/>
    <n v="2.128767123287671"/>
    <n v="0"/>
    <n v="-12499.11"/>
    <n v="0"/>
  </r>
  <r>
    <n v="1891"/>
    <s v="H P Laptop (1 No.)"/>
    <s v="Sugar Division"/>
    <x v="5"/>
    <m/>
    <s v="Common"/>
    <d v="2019-02-15T00:00:00"/>
    <n v="63801"/>
    <n v="0"/>
    <n v="0"/>
    <n v="63801"/>
    <n v="3190.05"/>
    <n v="3"/>
    <n v="1.1287671232876713"/>
    <n v="22805.215890410956"/>
    <n v="2.128767123287671"/>
    <n v="20203.649999999994"/>
    <n v="43008.865890410947"/>
    <n v="3190.05"/>
  </r>
  <r>
    <n v="1892"/>
    <s v="Mobile Mi Y2 (1No.)"/>
    <s v="Sugar Division"/>
    <x v="5"/>
    <m/>
    <s v="Common"/>
    <d v="2019-03-15T00:00:00"/>
    <n v="8200"/>
    <n v="0"/>
    <n v="0"/>
    <n v="8200"/>
    <n v="410"/>
    <n v="3"/>
    <n v="1.0520547945205478"/>
    <n v="2731.8356164383558"/>
    <n v="2.0520547945205481"/>
    <n v="2596.6666666666674"/>
    <n v="5328.5022831050228"/>
    <n v="410"/>
  </r>
  <r>
    <n v="1893"/>
    <s v="Wire Less Hand Set Gp3 2 Nos."/>
    <s v="Sugar Division"/>
    <x v="5"/>
    <m/>
    <s v="Common"/>
    <d v="2019-03-15T00:00:00"/>
    <n v="25593.22"/>
    <n v="0"/>
    <n v="0"/>
    <n v="25593.22"/>
    <n v="1279.6610000000001"/>
    <n v="5"/>
    <n v="1.0520547945205478"/>
    <n v="5115.8392635616437"/>
    <n v="2.0520547945205481"/>
    <n v="4862.7118000000009"/>
    <n v="9978.5510635616447"/>
    <n v="1279.6610000000001"/>
  </r>
  <r>
    <n v="1894"/>
    <s v="Wireless Set Base Radi 1 No."/>
    <s v="Sugar Division"/>
    <x v="5"/>
    <m/>
    <s v="Common"/>
    <d v="2019-03-15T00:00:00"/>
    <n v="28566.67"/>
    <n v="0"/>
    <n v="0"/>
    <n v="28566.67"/>
    <n v="1428.3335"/>
    <n v="5"/>
    <n v="1.0520547945205478"/>
    <n v="5710.2034060273954"/>
    <n v="2.0520547945205481"/>
    <n v="5427.667300000001"/>
    <n v="11137.870706027395"/>
    <n v="1428.3335"/>
  </r>
  <r>
    <n v="1895"/>
    <s v="Cooler"/>
    <s v="Sugar Division"/>
    <x v="5"/>
    <m/>
    <s v="Common"/>
    <d v="2019-06-15T00:00:00"/>
    <n v="8100"/>
    <n v="0"/>
    <n v="0"/>
    <n v="8100"/>
    <n v="405"/>
    <n v="5"/>
    <n v="0.8"/>
    <n v="1231.2"/>
    <n v="1.8"/>
    <n v="1539"/>
    <n v="2770.2"/>
    <n v="405"/>
  </r>
  <r>
    <n v="1896"/>
    <s v="Mobile"/>
    <s v="Sugar Division"/>
    <x v="5"/>
    <m/>
    <s v="Common"/>
    <d v="2019-04-15T00:00:00"/>
    <n v="5000"/>
    <n v="0"/>
    <n v="0"/>
    <n v="5000"/>
    <n v="250"/>
    <n v="3"/>
    <n v="0.9671232876712329"/>
    <n v="1531.2785388127854"/>
    <n v="1.9671232876712328"/>
    <n v="1583.3333333333333"/>
    <n v="3114.6118721461189"/>
    <n v="250"/>
  </r>
  <r>
    <n v="1897"/>
    <s v="Printer Hp Lj Pro M 126 -1 No."/>
    <s v="Sugar Division"/>
    <x v="5"/>
    <m/>
    <s v="Common"/>
    <d v="2019-04-15T00:00:00"/>
    <n v="12457.63"/>
    <n v="0"/>
    <n v="0"/>
    <n v="12457.63"/>
    <n v="622.88149999999996"/>
    <n v="5"/>
    <n v="0.9671232876712329"/>
    <n v="2289.1321756164384"/>
    <n v="1.9671232876712328"/>
    <n v="2366.9496999999997"/>
    <n v="4656.0818756164381"/>
    <n v="622.88149999999996"/>
  </r>
  <r>
    <n v="1898"/>
    <s v="Ups Tuff Power"/>
    <s v="Sugar Division"/>
    <x v="5"/>
    <m/>
    <s v="Common"/>
    <d v="2019-04-15T00:00:00"/>
    <n v="1822.03"/>
    <n v="0"/>
    <n v="0"/>
    <n v="1822.03"/>
    <n v="91.101500000000001"/>
    <n v="5"/>
    <n v="0.9671232876712329"/>
    <n v="334.80425232876712"/>
    <n v="1.9671232876712328"/>
    <n v="346.18569999999994"/>
    <n v="680.989952328767"/>
    <n v="91.101500000000001"/>
  </r>
  <r>
    <n v="1899"/>
    <s v="Data Processing Machine"/>
    <s v="Sugar Division"/>
    <x v="5"/>
    <m/>
    <s v="Common"/>
    <d v="2019-04-15T00:00:00"/>
    <n v="108054.23"/>
    <n v="0"/>
    <n v="0"/>
    <n v="108054.23"/>
    <n v="5402.7115000000003"/>
    <n v="5"/>
    <n v="0.9671232876712329"/>
    <n v="19855.334811232875"/>
    <n v="1.9671232876712328"/>
    <n v="20530.303699999997"/>
    <n v="40385.638511232872"/>
    <n v="5402.7115000000003"/>
  </r>
  <r>
    <n v="1900"/>
    <s v="Wireless Handset-1"/>
    <s v="Sugar Division"/>
    <x v="5"/>
    <m/>
    <s v="Common"/>
    <d v="2019-04-15T00:00:00"/>
    <n v="12904"/>
    <n v="0"/>
    <n v="0"/>
    <n v="12904"/>
    <n v="645.20000000000005"/>
    <n v="5"/>
    <n v="0.9671232876712329"/>
    <n v="2371.1541917808217"/>
    <n v="1.9671232876712328"/>
    <n v="2451.7599999999998"/>
    <n v="4822.9141917808211"/>
    <n v="645.20000000000005"/>
  </r>
  <r>
    <n v="1901"/>
    <s v="1-Mac "/>
    <s v="Sugar Division"/>
    <x v="5"/>
    <m/>
    <s v="Common"/>
    <d v="2019-05-15T00:00:00"/>
    <n v="4955"/>
    <n v="0"/>
    <n v="0"/>
    <n v="4955"/>
    <n v="247.75"/>
    <n v="5"/>
    <n v="0.8849315068493151"/>
    <n v="833.11876712328774"/>
    <n v="1.8849315068493151"/>
    <n v="941.45"/>
    <n v="1774.5687671232877"/>
    <n v="247.75"/>
  </r>
  <r>
    <n v="1902"/>
    <s v="Ac 1.50 Ton-1 No."/>
    <s v="Sugar Division"/>
    <x v="5"/>
    <m/>
    <s v="Common"/>
    <d v="2019-05-15T00:00:00"/>
    <n v="27343.74"/>
    <n v="0"/>
    <n v="0"/>
    <n v="27343.74"/>
    <n v="1367.1870000000001"/>
    <n v="5"/>
    <n v="0.8849315068493151"/>
    <n v="4597.4940378082192"/>
    <n v="1.8849315068493151"/>
    <n v="5195.3106000000007"/>
    <n v="9792.8046378082199"/>
    <n v="1367.1870000000001"/>
  </r>
  <r>
    <n v="1903"/>
    <s v="Mobile Mi India-1 No."/>
    <s v="Sugar Division"/>
    <x v="5"/>
    <m/>
    <s v="Common"/>
    <d v="2019-06-15T00:00:00"/>
    <n v="14000"/>
    <n v="0"/>
    <n v="0"/>
    <n v="14000"/>
    <n v="700"/>
    <n v="3"/>
    <n v="0.8"/>
    <n v="3546.6666666666665"/>
    <n v="1.8"/>
    <n v="4433.333333333333"/>
    <n v="7980"/>
    <n v="700"/>
  </r>
  <r>
    <n v="1904"/>
    <s v="Laptop H.P. Elitebook 830G5-1 No."/>
    <s v="Sugar Division"/>
    <x v="5"/>
    <m/>
    <s v="Common"/>
    <d v="2019-06-15T00:00:00"/>
    <n v="106500"/>
    <n v="0"/>
    <n v="0"/>
    <n v="106500"/>
    <n v="5325"/>
    <n v="3"/>
    <n v="0.8"/>
    <n v="26980"/>
    <n v="1.8"/>
    <n v="33725"/>
    <n v="60705"/>
    <n v="5325"/>
  </r>
  <r>
    <n v="1905"/>
    <s v="Oppo A5 S Mobile"/>
    <s v="Sugar Division"/>
    <x v="5"/>
    <m/>
    <s v="Common"/>
    <d v="2019-07-15T00:00:00"/>
    <n v="11990"/>
    <n v="0"/>
    <n v="0"/>
    <n v="11990"/>
    <n v="599.5"/>
    <n v="3"/>
    <n v="0.71780821917808224"/>
    <n v="2725.3981735159819"/>
    <n v="1.7178082191780821"/>
    <n v="3796.833333333333"/>
    <n v="6522.2315068493153"/>
    <n v="599.5"/>
  </r>
  <r>
    <n v="1906"/>
    <s v="Lap Top H.P.-1 No."/>
    <s v="Sugar Division"/>
    <x v="5"/>
    <m/>
    <s v="Common"/>
    <d v="2019-07-15T00:00:00"/>
    <n v="62033.9"/>
    <n v="0"/>
    <n v="0"/>
    <n v="62033.9"/>
    <n v="3101.6950000000002"/>
    <n v="3"/>
    <n v="0.71780821917808224"/>
    <n v="14100.673707762558"/>
    <n v="1.7178082191780821"/>
    <n v="19644.068333333333"/>
    <n v="33744.742041095888"/>
    <n v="3101.6950000000002"/>
  </r>
  <r>
    <n v="1907"/>
    <s v="Mobile I Phone With Power Bsnl-1 No."/>
    <s v="Sugar Division"/>
    <x v="5"/>
    <m/>
    <s v="Common"/>
    <d v="2019-07-15T00:00:00"/>
    <n v="57810.240000000005"/>
    <n v="0"/>
    <n v="0"/>
    <n v="57810.240000000005"/>
    <n v="2890.5120000000006"/>
    <n v="3"/>
    <n v="0.71780821917808224"/>
    <n v="13140.61071780822"/>
    <n v="1.7178082191780821"/>
    <n v="18306.576000000001"/>
    <n v="31447.186717808221"/>
    <n v="2890.5120000000006"/>
  </r>
  <r>
    <n v="1908"/>
    <s v="Stablizer For A/C-4 Nos"/>
    <s v="Sugar Division"/>
    <x v="5"/>
    <m/>
    <s v="Common"/>
    <d v="2019-07-15T00:00:00"/>
    <n v="2966.1"/>
    <n v="0"/>
    <n v="0"/>
    <n v="2966.1"/>
    <n v="148.30500000000001"/>
    <n v="5"/>
    <n v="0.71780821917808224"/>
    <n v="404.52728219178084"/>
    <n v="1.7178082191780821"/>
    <n v="563.55899999999997"/>
    <n v="968.08628219178081"/>
    <n v="148.30500000000001"/>
  </r>
  <r>
    <n v="1909"/>
    <s v="Air Conditioner-1 No 1 Ton"/>
    <s v="Sugar Division"/>
    <x v="5"/>
    <m/>
    <s v="Common"/>
    <d v="2019-07-15T00:00:00"/>
    <n v="24609.38"/>
    <n v="0"/>
    <n v="0"/>
    <n v="24609.38"/>
    <n v="1230.4690000000001"/>
    <n v="5"/>
    <n v="0.71780821917808224"/>
    <n v="3356.3148942465755"/>
    <n v="1.7178082191780821"/>
    <n v="4675.7821999999996"/>
    <n v="8032.0970942465756"/>
    <n v="1230.4690000000001"/>
  </r>
  <r>
    <n v="1910"/>
    <s v="Lap Top -1 No."/>
    <s v="Sugar Division"/>
    <x v="5"/>
    <m/>
    <s v="Common"/>
    <d v="2019-08-15T00:00:00"/>
    <n v="60084.75"/>
    <n v="0"/>
    <n v="0"/>
    <n v="60084.75"/>
    <n v="3004.2375000000002"/>
    <n v="3"/>
    <n v="0.63287671232876708"/>
    <n v="12041.642363013696"/>
    <n v="1.6328767123287671"/>
    <n v="19026.837499999998"/>
    <n v="31068.479863013694"/>
    <n v="3004.2375000000002"/>
  </r>
  <r>
    <n v="1911"/>
    <s v="Mobile Set -1No."/>
    <s v="Sugar Division"/>
    <x v="5"/>
    <m/>
    <s v="Common"/>
    <d v="2019-08-15T00:00:00"/>
    <n v="10000"/>
    <n v="0"/>
    <n v="10000"/>
    <n v="0"/>
    <n v="0"/>
    <n v="3"/>
    <n v="0.63287671232876708"/>
    <n v="-10000"/>
    <n v="1.6328767123287671"/>
    <n v="0"/>
    <n v="-10000"/>
    <n v="0"/>
  </r>
  <r>
    <n v="1912"/>
    <s v="Mobile Samsung Galaxy M20-1 No"/>
    <s v="Sugar Division"/>
    <x v="5"/>
    <m/>
    <s v="Common"/>
    <d v="2019-08-15T00:00:00"/>
    <n v="8000"/>
    <n v="0"/>
    <n v="0"/>
    <n v="8000"/>
    <n v="400"/>
    <n v="3"/>
    <n v="0.63287671232876708"/>
    <n v="1603.2876712328766"/>
    <n v="1.6328767123287671"/>
    <n v="2533.333333333333"/>
    <n v="4136.6210045662101"/>
    <n v="400"/>
  </r>
  <r>
    <n v="1913"/>
    <s v="Mobile-1 No. Chamanlal"/>
    <s v="Sugar Division"/>
    <x v="5"/>
    <m/>
    <s v="Common"/>
    <d v="2019-10-15T00:00:00"/>
    <n v="5000"/>
    <n v="0"/>
    <n v="0"/>
    <n v="5000"/>
    <n v="250"/>
    <n v="3"/>
    <n v="0.46575342465753422"/>
    <n v="737.44292237442914"/>
    <n v="1.4657534246575343"/>
    <n v="1583.3333333333333"/>
    <n v="2320.7762557077622"/>
    <n v="250"/>
  </r>
  <r>
    <n v="1914"/>
    <s v="Mobile-1 No. S.N.Mishraji"/>
    <s v="Sugar Division"/>
    <x v="5"/>
    <m/>
    <s v="Common"/>
    <d v="2019-10-15T00:00:00"/>
    <n v="29999"/>
    <n v="0"/>
    <n v="0"/>
    <n v="29999"/>
    <n v="1499.95"/>
    <n v="3"/>
    <n v="0.46575342465753422"/>
    <n v="4424.5100456620994"/>
    <n v="1.4657534246575343"/>
    <n v="9499.6833333333325"/>
    <n v="13924.193378995431"/>
    <n v="1499.95"/>
  </r>
  <r>
    <n v="1915"/>
    <s v="Mobile-1 No. Arpit Srivastava"/>
    <s v="Sugar Division"/>
    <x v="5"/>
    <m/>
    <s v="Common"/>
    <d v="2019-11-15T00:00:00"/>
    <n v="5000"/>
    <n v="0"/>
    <n v="0"/>
    <n v="5000"/>
    <n v="250"/>
    <n v="3"/>
    <n v="0.38082191780821917"/>
    <n v="602.96803652968038"/>
    <n v="1.3808219178082193"/>
    <n v="1583.3333333333333"/>
    <n v="2186.3013698630139"/>
    <n v="250"/>
  </r>
  <r>
    <n v="1916"/>
    <s v="Mobile-1 No. Pankaj Bhardwaj"/>
    <s v="Sugar Division"/>
    <x v="5"/>
    <m/>
    <s v="Common"/>
    <d v="2019-11-15T00:00:00"/>
    <n v="5000"/>
    <n v="0"/>
    <n v="0"/>
    <n v="5000"/>
    <n v="250"/>
    <n v="3"/>
    <n v="0.38082191780821917"/>
    <n v="602.96803652968038"/>
    <n v="1.3808219178082193"/>
    <n v="1583.3333333333333"/>
    <n v="2186.3013698630139"/>
    <n v="250"/>
  </r>
  <r>
    <n v="1917"/>
    <s v="Samsung Tv Led"/>
    <s v="Sugar Division"/>
    <x v="5"/>
    <m/>
    <s v="Common"/>
    <d v="2019-11-15T00:00:00"/>
    <n v="50000"/>
    <n v="0"/>
    <n v="0"/>
    <n v="50000"/>
    <n v="2500"/>
    <n v="5"/>
    <n v="0.38082191780821917"/>
    <n v="3617.8082191780823"/>
    <n v="1.3808219178082193"/>
    <n v="9500"/>
    <n v="13117.808219178081"/>
    <n v="2500"/>
  </r>
  <r>
    <n v="1918"/>
    <s v="Wireless Handset-3"/>
    <s v="Sugar Division"/>
    <x v="5"/>
    <m/>
    <s v="Common"/>
    <d v="2019-12-15T00:00:00"/>
    <n v="32100"/>
    <n v="0"/>
    <n v="0"/>
    <n v="32100"/>
    <n v="1605"/>
    <n v="5"/>
    <n v="0.29863013698630136"/>
    <n v="1821.345205479452"/>
    <n v="1.2986301369863014"/>
    <n v="6099"/>
    <n v="7920.3452054794525"/>
    <n v="1605"/>
  </r>
  <r>
    <n v="1919"/>
    <s v="Mobile-1No.Oppo A9 Satyjeet Chauhan"/>
    <s v="Sugar Division"/>
    <x v="5"/>
    <m/>
    <s v="Common"/>
    <d v="2020-01-15T00:00:00"/>
    <n v="10000"/>
    <n v="0"/>
    <n v="0"/>
    <n v="10000"/>
    <n v="500"/>
    <n v="3"/>
    <n v="0.21369863013698631"/>
    <n v="676.71232876712327"/>
    <n v="1.2136986301369863"/>
    <n v="3166.6666666666665"/>
    <n v="3843.3789954337899"/>
    <n v="500"/>
  </r>
  <r>
    <n v="1920"/>
    <s v="Wireless Hand Set-1 No."/>
    <s v="Sugar Division"/>
    <x v="5"/>
    <m/>
    <s v="Common"/>
    <d v="2020-01-15T00:00:00"/>
    <n v="10700"/>
    <n v="0"/>
    <n v="0"/>
    <n v="10700"/>
    <n v="535"/>
    <n v="5"/>
    <n v="0.21369863013698631"/>
    <n v="434.44931506849315"/>
    <n v="1.2136986301369863"/>
    <n v="2033"/>
    <n v="2467.449315068493"/>
    <n v="535"/>
  </r>
  <r>
    <n v="1921"/>
    <s v="Wireless Set 1 No."/>
    <s v="Sugar Division"/>
    <x v="5"/>
    <m/>
    <s v="Common"/>
    <d v="2020-01-15T00:00:00"/>
    <n v="28566.66"/>
    <n v="0"/>
    <n v="0"/>
    <n v="28566.66"/>
    <n v="1428.3330000000001"/>
    <n v="5"/>
    <n v="0.21369863013698631"/>
    <n v="1159.8846608219178"/>
    <n v="1.2136986301369863"/>
    <n v="5427.6654000000008"/>
    <n v="6587.550060821919"/>
    <n v="1428.3330000000001"/>
  </r>
  <r>
    <n v="1922"/>
    <s v="Mobile Mi A3 1 No.Ramesh Kumar Tiwari"/>
    <s v="Sugar Division"/>
    <x v="5"/>
    <m/>
    <s v="Common"/>
    <d v="2020-02-15T00:00:00"/>
    <n v="14999"/>
    <n v="0"/>
    <n v="0"/>
    <n v="14999"/>
    <n v="749.95"/>
    <n v="3"/>
    <n v="0.12876712328767123"/>
    <n v="611.60305936073064"/>
    <n v="1.1287671232876713"/>
    <n v="4749.6833333333325"/>
    <n v="5361.2863926940627"/>
    <n v="749.95"/>
  </r>
  <r>
    <n v="1923"/>
    <s v="Mobile Vivo No.-1 Brij Nandan"/>
    <s v="Sugar Division"/>
    <x v="5"/>
    <m/>
    <s v="Common"/>
    <d v="2020-02-15T00:00:00"/>
    <n v="6000"/>
    <n v="0"/>
    <n v="0"/>
    <n v="6000"/>
    <n v="300"/>
    <n v="3"/>
    <n v="0.12876712328767123"/>
    <n v="244.65753424657535"/>
    <n v="1.1287671232876713"/>
    <n v="1900"/>
    <n v="2144.6575342465753"/>
    <n v="300"/>
  </r>
  <r>
    <n v="1924"/>
    <s v="Tablat Lenovo 10 Nos. H.O."/>
    <s v="Sugar Division"/>
    <x v="5"/>
    <m/>
    <s v="Common"/>
    <d v="2020-02-15T00:00:00"/>
    <n v="130000"/>
    <n v="0"/>
    <n v="0"/>
    <n v="130000"/>
    <n v="6500"/>
    <n v="3"/>
    <n v="0.12876712328767123"/>
    <n v="5300.9132420091319"/>
    <n v="1.1287671232876713"/>
    <n v="41166.666666666664"/>
    <n v="46467.579908675798"/>
    <n v="6500"/>
  </r>
  <r>
    <n v="1925"/>
    <s v="Cabin Table Z9 2 Nos."/>
    <s v="Sugar Division"/>
    <x v="5"/>
    <m/>
    <s v="Common"/>
    <d v="2020-02-15T00:00:00"/>
    <n v="28000"/>
    <n v="0"/>
    <n v="0"/>
    <n v="28000"/>
    <n v="1400"/>
    <n v="5"/>
    <n v="0.12876712328767123"/>
    <n v="685.04109589041093"/>
    <n v="1.1287671232876713"/>
    <n v="5320"/>
    <n v="6005.0410958904113"/>
    <n v="1400"/>
  </r>
  <r>
    <n v="1926"/>
    <s v="Excutive Chair 2 Nos"/>
    <s v="Sugar Division"/>
    <x v="5"/>
    <m/>
    <s v="Common"/>
    <d v="2020-02-15T00:00:00"/>
    <n v="16260"/>
    <n v="0"/>
    <n v="0"/>
    <n v="16260"/>
    <n v="813"/>
    <n v="5"/>
    <n v="0.12876712328767123"/>
    <n v="397.81315068493149"/>
    <n v="1.1287671232876713"/>
    <n v="3089.4"/>
    <n v="3487.2131506849314"/>
    <n v="813"/>
  </r>
  <r>
    <n v="1927"/>
    <s v="Medium Chair 8 Nos"/>
    <s v="Sugar Division"/>
    <x v="5"/>
    <m/>
    <s v="Common"/>
    <d v="2020-02-15T00:00:00"/>
    <n v="63880"/>
    <n v="0"/>
    <n v="0"/>
    <n v="63880"/>
    <n v="3194"/>
    <n v="5"/>
    <n v="0.12876712328767123"/>
    <n v="1562.8723287671235"/>
    <n v="1.1287671232876713"/>
    <n v="12137.2"/>
    <n v="13700.072328767124"/>
    <n v="3194"/>
  </r>
  <r>
    <n v="1928"/>
    <s v="Office Table 8 Nos"/>
    <s v="Sugar Division"/>
    <x v="5"/>
    <m/>
    <s v="Common"/>
    <d v="2020-02-15T00:00:00"/>
    <n v="74000"/>
    <n v="0"/>
    <n v="0"/>
    <n v="74000"/>
    <n v="3700"/>
    <n v="5"/>
    <n v="0.12876712328767123"/>
    <n v="1810.4657534246576"/>
    <n v="1.1287671232876713"/>
    <n v="14060"/>
    <n v="15870.465753424658"/>
    <n v="3700"/>
  </r>
  <r>
    <n v="1929"/>
    <s v="Mobile Samsung A51 1 No.(Royji)"/>
    <s v="Sugar Division"/>
    <x v="5"/>
    <m/>
    <s v="Common"/>
    <d v="2020-05-15T00:00:00"/>
    <n v="0"/>
    <n v="24800"/>
    <n v="0"/>
    <n v="24800"/>
    <n v="1240"/>
    <n v="3"/>
    <n v="0"/>
    <n v="0"/>
    <n v="0.88219178082191785"/>
    <n v="6928.1461187214609"/>
    <n v="6928.1461187214609"/>
    <n v="1240"/>
  </r>
  <r>
    <n v="1930"/>
    <s v="Mobile-1 No."/>
    <s v="Sugar Division"/>
    <x v="5"/>
    <m/>
    <s v="Common"/>
    <d v="2020-05-15T00:00:00"/>
    <n v="0"/>
    <n v="2000"/>
    <n v="0"/>
    <n v="2000"/>
    <n v="100"/>
    <n v="3"/>
    <n v="0"/>
    <n v="0"/>
    <n v="0.88219178082191785"/>
    <n v="558.72146118721457"/>
    <n v="558.72146118721457"/>
    <n v="100"/>
  </r>
  <r>
    <n v="1931"/>
    <s v="Printer Laser Jet1 No."/>
    <s v="Sugar Division"/>
    <x v="5"/>
    <m/>
    <s v="Common"/>
    <d v="2020-07-15T00:00:00"/>
    <n v="0"/>
    <n v="14350"/>
    <n v="0"/>
    <n v="14350"/>
    <n v="717.5"/>
    <n v="5"/>
    <n v="0"/>
    <n v="0"/>
    <n v="0.71506849315068488"/>
    <n v="1949.6342465753421"/>
    <n v="1949.6342465753421"/>
    <n v="717.5"/>
  </r>
  <r>
    <n v="1932"/>
    <s v="A.C. 1.5 Ton 1 No."/>
    <s v="Sugar Division"/>
    <x v="5"/>
    <m/>
    <s v="Common"/>
    <d v="2020-07-15T00:00:00"/>
    <n v="0"/>
    <n v="41600"/>
    <n v="0"/>
    <n v="41600"/>
    <n v="2080"/>
    <n v="5"/>
    <n v="0"/>
    <n v="0"/>
    <n v="0.71506849315068488"/>
    <n v="5651.9013698630124"/>
    <n v="5651.9013698630124"/>
    <n v="2080"/>
  </r>
  <r>
    <n v="1933"/>
    <s v="Realme 6 Pro -1 Mobile(Jabar Singh))"/>
    <s v="Sugar Division"/>
    <x v="5"/>
    <m/>
    <s v="Common"/>
    <d v="2020-08-15T00:00:00"/>
    <n v="0"/>
    <n v="10000"/>
    <n v="0"/>
    <n v="10000"/>
    <n v="500"/>
    <n v="3"/>
    <n v="0"/>
    <n v="0"/>
    <n v="0.63013698630136983"/>
    <n v="1995.4337899543377"/>
    <n v="1995.4337899543377"/>
    <n v="500"/>
  </r>
  <r>
    <n v="1934"/>
    <s v="Mobile 1 No. (Balvinder)"/>
    <s v="Sugar Division"/>
    <x v="5"/>
    <m/>
    <s v="Common"/>
    <d v="2020-09-04T00:00:00"/>
    <n v="0"/>
    <n v="5000"/>
    <n v="0"/>
    <n v="5000"/>
    <n v="250"/>
    <n v="3"/>
    <n v="0"/>
    <n v="0"/>
    <n v="0.57534246575342463"/>
    <n v="910.95890410958896"/>
    <n v="910.95890410958896"/>
    <n v="250"/>
  </r>
  <r>
    <n v="1935"/>
    <s v="Laptop H.P.1 No (Royji)"/>
    <s v="Sugar Division"/>
    <x v="5"/>
    <m/>
    <s v="Common"/>
    <d v="2020-09-14T00:00:00"/>
    <n v="0"/>
    <n v="125700"/>
    <n v="0"/>
    <n v="125700"/>
    <n v="6285"/>
    <n v="3"/>
    <n v="0"/>
    <n v="0"/>
    <n v="0.54794520547945202"/>
    <n v="21810.95890410959"/>
    <n v="21810.95890410959"/>
    <n v="6285"/>
  </r>
  <r>
    <n v="1936"/>
    <s v="Mobile Realme-1 No.(Vishal Mishra)"/>
    <s v="Sugar Division"/>
    <x v="5"/>
    <m/>
    <s v="Common"/>
    <d v="2020-09-14T00:00:00"/>
    <n v="0"/>
    <n v="5000"/>
    <n v="0"/>
    <n v="5000"/>
    <n v="250"/>
    <n v="3"/>
    <n v="0"/>
    <n v="0"/>
    <n v="0.54794520547945202"/>
    <n v="867.57990867579906"/>
    <n v="867.57990867579906"/>
    <n v="250"/>
  </r>
  <r>
    <n v="1937"/>
    <s v="Mobile 1 No.(Satyajeet Tripathi)"/>
    <s v="Sugar Division"/>
    <x v="5"/>
    <m/>
    <s v="Common"/>
    <d v="2020-07-01T00:00:00"/>
    <n v="0"/>
    <n v="15000"/>
    <n v="0"/>
    <n v="15000"/>
    <n v="750"/>
    <n v="3"/>
    <n v="0"/>
    <n v="0"/>
    <n v="0.75342465753424659"/>
    <n v="3578.767123287671"/>
    <n v="3578.767123287671"/>
    <n v="750"/>
  </r>
  <r>
    <n v="1938"/>
    <s v="Mobile 1 No.(Devendra Singh)"/>
    <s v="Sugar Division"/>
    <x v="5"/>
    <m/>
    <s v="Common"/>
    <d v="2020-09-23T00:00:00"/>
    <n v="0"/>
    <n v="14450"/>
    <n v="0"/>
    <n v="14450"/>
    <n v="722.5"/>
    <n v="3"/>
    <n v="0"/>
    <n v="0"/>
    <n v="0.52328767123287667"/>
    <n v="2394.4771689497716"/>
    <n v="2394.4771689497716"/>
    <n v="722.5"/>
  </r>
  <r>
    <n v="1939"/>
    <s v="Wall Fan 1 No."/>
    <s v="Sugar Division"/>
    <x v="5"/>
    <m/>
    <s v="Common"/>
    <d v="2020-09-15T00:00:00"/>
    <n v="0"/>
    <n v="1867"/>
    <n v="0"/>
    <n v="1867"/>
    <n v="93.350000000000009"/>
    <n v="3"/>
    <n v="0"/>
    <n v="0"/>
    <n v="0.54520547945205478"/>
    <n v="322.33456621004564"/>
    <n v="322.33456621004564"/>
    <n v="93.350000000000009"/>
  </r>
  <r>
    <n v="1940"/>
    <s v="Mobile 1 No. Vivo Y(Anuj Visnoi)"/>
    <s v="Sugar Division"/>
    <x v="5"/>
    <m/>
    <s v="Common"/>
    <d v="2020-10-11T00:00:00"/>
    <n v="0"/>
    <n v="10000"/>
    <n v="0"/>
    <n v="10000"/>
    <n v="500"/>
    <n v="3"/>
    <n v="0"/>
    <n v="0"/>
    <n v="0.47397260273972602"/>
    <n v="1500.9132420091325"/>
    <n v="1500.9132420091325"/>
    <n v="500"/>
  </r>
  <r>
    <n v="1941"/>
    <s v="Lap Toph.P. Elite Book"/>
    <s v="Sugar Division"/>
    <x v="5"/>
    <m/>
    <s v="Common"/>
    <d v="2020-10-16T00:00:00"/>
    <n v="0"/>
    <n v="125700"/>
    <n v="0"/>
    <n v="125700"/>
    <n v="6285"/>
    <n v="3"/>
    <n v="0"/>
    <n v="0"/>
    <n v="0.46027397260273972"/>
    <n v="18321.205479452055"/>
    <n v="18321.205479452055"/>
    <n v="6285"/>
  </r>
  <r>
    <n v="1942"/>
    <s v="Mobile No.1 (Vinay Agrahari)"/>
    <s v="Sugar Division"/>
    <x v="5"/>
    <m/>
    <s v="Common"/>
    <d v="2020-09-05T00:00:00"/>
    <n v="0"/>
    <n v="8300"/>
    <n v="0"/>
    <n v="8300"/>
    <n v="415"/>
    <n v="3"/>
    <n v="0"/>
    <n v="0"/>
    <n v="0.57260273972602738"/>
    <n v="1504.9908675799086"/>
    <n v="1504.9908675799086"/>
    <n v="415"/>
  </r>
  <r>
    <n v="1943"/>
    <s v="Mobile No.1 (Dileep Kumar)"/>
    <s v="Sugar Division"/>
    <x v="5"/>
    <m/>
    <s v="Common"/>
    <d v="2020-10-25T00:00:00"/>
    <n v="0"/>
    <n v="7199"/>
    <n v="0"/>
    <n v="7199"/>
    <n v="359.95000000000005"/>
    <n v="3"/>
    <n v="0"/>
    <n v="0"/>
    <n v="0.43561643835616437"/>
    <n v="993.06753424657529"/>
    <n v="993.06753424657529"/>
    <n v="359.95000000000005"/>
  </r>
  <r>
    <n v="1944"/>
    <s v="All In One Printer"/>
    <s v="Sugar Division"/>
    <x v="5"/>
    <m/>
    <s v="Common"/>
    <d v="2020-10-07T00:00:00"/>
    <n v="0"/>
    <n v="14350"/>
    <n v="0"/>
    <n v="14350"/>
    <n v="717.5"/>
    <n v="5"/>
    <n v="0"/>
    <n v="0"/>
    <n v="0.48493150684931507"/>
    <n v="1322.1657534246576"/>
    <n v="1322.1657534246576"/>
    <n v="717.5"/>
  </r>
  <r>
    <n v="1945"/>
    <s v="Mobile-1(Vijay Singh Maan)"/>
    <s v="Sugar Division"/>
    <x v="5"/>
    <m/>
    <s v="Common"/>
    <d v="2020-10-30T00:00:00"/>
    <n v="0"/>
    <n v="15000"/>
    <n v="0"/>
    <n v="15000"/>
    <n v="750"/>
    <n v="3"/>
    <n v="0"/>
    <n v="0"/>
    <n v="0.42191780821917807"/>
    <n v="2004.1095890410957"/>
    <n v="2004.1095890410957"/>
    <n v="750"/>
  </r>
  <r>
    <n v="1946"/>
    <s v="Mobile-1 Redmi (Rajesh Tripathi)"/>
    <s v="Sugar Division"/>
    <x v="5"/>
    <m/>
    <s v="Common"/>
    <d v="2020-11-26T00:00:00"/>
    <n v="0"/>
    <n v="15000"/>
    <n v="0"/>
    <n v="15000"/>
    <n v="750"/>
    <n v="3"/>
    <n v="0"/>
    <n v="0"/>
    <n v="0.34794520547945207"/>
    <n v="1652.7397260273974"/>
    <n v="1652.7397260273974"/>
    <n v="750"/>
  </r>
  <r>
    <n v="1947"/>
    <s v="Lap Top Dell 3410"/>
    <s v="Sugar Division"/>
    <x v="5"/>
    <m/>
    <s v="Common"/>
    <d v="2020-11-10T00:00:00"/>
    <n v="0"/>
    <n v="60624.85"/>
    <n v="0"/>
    <n v="60624.85"/>
    <n v="3031.2425000000003"/>
    <n v="3"/>
    <n v="0"/>
    <n v="0"/>
    <n v="0.39178082191780822"/>
    <n v="7521.3569611872153"/>
    <n v="7521.3569611872153"/>
    <n v="3031.2425000000003"/>
  </r>
  <r>
    <n v="1948"/>
    <s v="Wireless Set-1"/>
    <s v="Sugar Division"/>
    <x v="5"/>
    <m/>
    <s v="Common"/>
    <d v="2020-11-15T00:00:00"/>
    <n v="0"/>
    <n v="10700"/>
    <n v="0"/>
    <n v="10700"/>
    <n v="535"/>
    <n v="5"/>
    <n v="0"/>
    <n v="0"/>
    <n v="0.37808219178082192"/>
    <n v="768.64109589041095"/>
    <n v="768.64109589041095"/>
    <n v="535"/>
  </r>
  <r>
    <n v="1949"/>
    <s v="Lap Top H.P. 1 No."/>
    <s v="Sugar Division"/>
    <x v="5"/>
    <m/>
    <s v="Common"/>
    <d v="2020-12-17T00:00:00"/>
    <n v="0"/>
    <n v="66949.149999999994"/>
    <n v="0"/>
    <n v="66949.149999999994"/>
    <n v="3347.4575"/>
    <n v="3"/>
    <n v="0"/>
    <n v="0"/>
    <n v="0.29041095890410956"/>
    <n v="6156.8761689497705"/>
    <n v="6156.8761689497705"/>
    <n v="3347.4575"/>
  </r>
  <r>
    <n v="1950"/>
    <s v="A.C.Fitting"/>
    <s v="Sugar Division"/>
    <x v="5"/>
    <m/>
    <s v="Common"/>
    <d v="2020-12-19T00:00:00"/>
    <n v="0"/>
    <n v="29234"/>
    <n v="0"/>
    <n v="29234"/>
    <n v="1461.7"/>
    <n v="5"/>
    <n v="0"/>
    <n v="0"/>
    <n v="0.28493150684931506"/>
    <n v="1582.6406575342464"/>
    <n v="1582.6406575342464"/>
    <n v="1461.7"/>
  </r>
  <r>
    <n v="1951"/>
    <s v="Heat Convector 2 Nos"/>
    <s v="Sugar Division"/>
    <x v="5"/>
    <m/>
    <s v="Common"/>
    <d v="2020-12-15T00:00:00"/>
    <n v="0"/>
    <n v="4466"/>
    <n v="0"/>
    <n v="4466"/>
    <n v="223.3"/>
    <n v="5"/>
    <n v="0"/>
    <n v="0"/>
    <n v="0.29589041095890412"/>
    <n v="251.07484931506846"/>
    <n v="251.07484931506846"/>
    <n v="223.3"/>
  </r>
  <r>
    <n v="1952"/>
    <s v="Hhc Machines 10 Nos"/>
    <s v="Sugar Division"/>
    <x v="5"/>
    <m/>
    <s v="Upto gate"/>
    <d v="2020-12-15T00:00:00"/>
    <n v="0"/>
    <n v="215000"/>
    <n v="0"/>
    <n v="215000"/>
    <n v="10750"/>
    <n v="5"/>
    <n v="0"/>
    <n v="0"/>
    <n v="0.29589041095890412"/>
    <n v="12087.123287671233"/>
    <n v="12087.123287671233"/>
    <n v="10750"/>
  </r>
  <r>
    <n v="1953"/>
    <s v="Laptop 1 No.Aditya Sharma"/>
    <s v="Sugar Division"/>
    <x v="5"/>
    <m/>
    <s v="Common"/>
    <d v="2021-01-27T00:00:00"/>
    <n v="0"/>
    <n v="101118.64"/>
    <n v="0"/>
    <n v="101118.64"/>
    <n v="5055.9320000000007"/>
    <n v="3"/>
    <n v="0"/>
    <n v="0"/>
    <n v="0.17808219178082191"/>
    <n v="5702.3525296803646"/>
    <n v="5702.3525296803646"/>
    <n v="5055.9320000000007"/>
  </r>
  <r>
    <n v="1954"/>
    <s v="Wireless Set-1"/>
    <s v="Sugar Division"/>
    <x v="5"/>
    <m/>
    <s v="Common"/>
    <d v="2021-01-15T00:00:00"/>
    <n v="0"/>
    <n v="10700"/>
    <n v="0"/>
    <n v="10700"/>
    <n v="535"/>
    <n v="5"/>
    <n v="0"/>
    <n v="0"/>
    <n v="0.21095890410958903"/>
    <n v="428.87945205479451"/>
    <n v="428.87945205479451"/>
    <n v="535"/>
  </r>
  <r>
    <n v="1955"/>
    <s v="Amplifier 1 Full Set For Hannuman Mandir"/>
    <s v="Sugar Division"/>
    <x v="5"/>
    <m/>
    <s v="Common"/>
    <d v="2021-01-15T00:00:00"/>
    <n v="0"/>
    <n v="66000"/>
    <n v="0"/>
    <n v="66000"/>
    <n v="3300"/>
    <n v="5"/>
    <n v="0"/>
    <n v="0"/>
    <n v="0.21095890410958903"/>
    <n v="2645.4246575342468"/>
    <n v="2645.4246575342468"/>
    <n v="3300"/>
  </r>
  <r>
    <n v="1956"/>
    <s v="Printer Laser Jet1 No."/>
    <s v="Sugar Division"/>
    <x v="5"/>
    <m/>
    <s v="Common"/>
    <d v="2021-01-15T00:00:00"/>
    <n v="0"/>
    <n v="15500"/>
    <n v="0"/>
    <n v="15500"/>
    <n v="775"/>
    <n v="5"/>
    <n v="0"/>
    <n v="0"/>
    <n v="0.21095890410958903"/>
    <n v="621.27397260273972"/>
    <n v="621.27397260273972"/>
    <n v="775"/>
  </r>
  <r>
    <n v="1957"/>
    <s v="Speaker For Computer 3 Nos."/>
    <s v="Sugar Division"/>
    <x v="5"/>
    <m/>
    <s v="Common"/>
    <d v="2021-01-15T00:00:00"/>
    <n v="0"/>
    <n v="4695.1499999999996"/>
    <n v="0"/>
    <n v="4695.1499999999996"/>
    <n v="234.75749999999999"/>
    <n v="5"/>
    <n v="0"/>
    <n v="0"/>
    <n v="0.21095890410958903"/>
    <n v="188.19190273972603"/>
    <n v="188.19190273972603"/>
    <n v="234.75749999999999"/>
  </r>
  <r>
    <n v="1958"/>
    <s v="New Hand Held Computer 10 Nos."/>
    <s v="Sugar Division"/>
    <x v="5"/>
    <m/>
    <s v="Upto gate"/>
    <d v="2021-01-15T00:00:00"/>
    <n v="0"/>
    <n v="215000"/>
    <n v="0"/>
    <n v="215000"/>
    <n v="10750"/>
    <n v="5"/>
    <n v="0"/>
    <n v="0"/>
    <n v="0.21095890410958903"/>
    <n v="8617.6712328767135"/>
    <n v="8617.6712328767135"/>
    <n v="6382.3287671232829"/>
  </r>
  <r>
    <n v="1959"/>
    <s v="Room Heater 3 Nos"/>
    <s v="Sugar Division"/>
    <x v="5"/>
    <m/>
    <s v="Common"/>
    <d v="2021-01-15T00:00:00"/>
    <n v="0"/>
    <n v="2507.52"/>
    <n v="0"/>
    <n v="2507.52"/>
    <n v="125.376"/>
    <n v="5"/>
    <n v="0"/>
    <n v="0"/>
    <n v="0.21095890410958903"/>
    <n v="100.50689753424658"/>
    <n v="100.50689753424658"/>
    <n v="2407.0131024657535"/>
  </r>
  <r>
    <n v="1960"/>
    <s v="Mobile 1 No. -Shashi Bushan"/>
    <s v="Sugar Division"/>
    <x v="5"/>
    <m/>
    <s v="Common"/>
    <d v="2021-02-15T00:00:00"/>
    <n v="0"/>
    <n v="5000"/>
    <n v="0"/>
    <n v="5000"/>
    <n v="250"/>
    <n v="3"/>
    <n v="0"/>
    <n v="0"/>
    <n v="0.12602739726027398"/>
    <n v="199.54337899543381"/>
    <n v="199.54337899543381"/>
    <n v="4800.4566210045659"/>
  </r>
  <r>
    <n v="1961"/>
    <s v="Charger For Hand Hold-15 Nos"/>
    <s v="Sugar Division"/>
    <x v="5"/>
    <m/>
    <s v="Upto gate"/>
    <d v="2021-02-15T00:00:00"/>
    <n v="0"/>
    <n v="7500"/>
    <n v="0"/>
    <n v="7500"/>
    <n v="375"/>
    <n v="5"/>
    <n v="0"/>
    <n v="0"/>
    <n v="0.12602739726027398"/>
    <n v="179.58904109589042"/>
    <n v="179.58904109589042"/>
    <n v="7320.41095890411"/>
  </r>
  <r>
    <n v="1962"/>
    <s v="Mobile -1No Anil Sehoran"/>
    <s v="Sugar Division"/>
    <x v="5"/>
    <m/>
    <s v="Common"/>
    <d v="2021-03-15T00:00:00"/>
    <n v="0"/>
    <n v="5000"/>
    <n v="0"/>
    <n v="5000"/>
    <n v="250"/>
    <n v="3"/>
    <n v="0"/>
    <n v="0"/>
    <n v="4.9315068493150684E-2"/>
    <n v="78.082191780821915"/>
    <n v="78.082191780821915"/>
    <n v="4921.9178082191784"/>
  </r>
  <r>
    <n v="1963"/>
    <s v="Mobile -1No P.K.Vyas"/>
    <s v="Sugar Division"/>
    <x v="5"/>
    <m/>
    <s v="Common"/>
    <d v="2021-03-15T00:00:00"/>
    <n v="0"/>
    <n v="10000"/>
    <n v="0"/>
    <n v="10000"/>
    <n v="500"/>
    <n v="3"/>
    <n v="0"/>
    <n v="0"/>
    <n v="4.9315068493150684E-2"/>
    <n v="156.16438356164383"/>
    <n v="156.16438356164383"/>
    <n v="9843.8356164383567"/>
  </r>
  <r>
    <n v="1964"/>
    <s v="Wireless Hand Set-1"/>
    <s v="Sugar Division"/>
    <x v="5"/>
    <m/>
    <s v="Common"/>
    <d v="2021-03-15T00:00:00"/>
    <n v="0"/>
    <n v="10700"/>
    <n v="0"/>
    <n v="10700"/>
    <n v="535"/>
    <n v="5"/>
    <n v="0"/>
    <n v="0"/>
    <n v="4.9315068493150684E-2"/>
    <n v="100.25753424657535"/>
    <n v="100.25753424657535"/>
    <n v="10599.742465753425"/>
  </r>
  <r>
    <n v="1965"/>
    <s v="Fans (2)"/>
    <s v="Sugar Division"/>
    <x v="6"/>
    <m/>
    <s v="Common"/>
    <d v="2015-04-15T00:00:00"/>
    <n v="5529.73"/>
    <n v="0"/>
    <n v="508.05341246575341"/>
    <n v="5021.6765875342462"/>
    <n v="276.48649999999998"/>
    <n v="10"/>
    <n v="4.9698630136986299"/>
    <n v="2102.7366447945205"/>
    <n v="5.9698630136986299"/>
    <n v="474.51900875342466"/>
    <n v="2577.2556535479453"/>
    <n v="0"/>
  </r>
  <r>
    <n v="1966"/>
    <s v="Fans (2)"/>
    <s v="Sugar Division"/>
    <x v="6"/>
    <m/>
    <s v="Common"/>
    <d v="2015-05-15T00:00:00"/>
    <n v="3940.7799999999997"/>
    <n v="0"/>
    <n v="331.29543643835615"/>
    <n v="3609.4845635616434"/>
    <n v="197.03899999999999"/>
    <n v="10"/>
    <n v="4.8876712328767127"/>
    <n v="1498.5220824657536"/>
    <n v="5.8876712328767127"/>
    <n v="341.24455635616437"/>
    <n v="1839.7666388219179"/>
    <n v="0"/>
  </r>
  <r>
    <n v="1967"/>
    <s v="Mattress (2)"/>
    <s v="Sugar Division"/>
    <x v="6"/>
    <m/>
    <s v="Common"/>
    <d v="2015-05-15T00:00:00"/>
    <n v="680"/>
    <n v="0"/>
    <n v="57.166575342465748"/>
    <n v="622.83342465753424"/>
    <n v="34"/>
    <n v="10"/>
    <n v="4.8876712328767127"/>
    <n v="258.57698630136986"/>
    <n v="5.8876712328767127"/>
    <n v="58.883342465753429"/>
    <n v="317.46032876712331"/>
    <n v="0"/>
  </r>
  <r>
    <n v="1968"/>
    <s v="Cooler"/>
    <s v="Sugar Division"/>
    <x v="6"/>
    <m/>
    <s v="Common"/>
    <d v="2015-05-15T00:00:00"/>
    <n v="9400"/>
    <n v="0"/>
    <n v="1580.4876712328767"/>
    <n v="7819.5123287671231"/>
    <n v="470"/>
    <n v="5"/>
    <n v="4.8876712328767127"/>
    <n v="7148.8931506849312"/>
    <n v="5.8876712328767127"/>
    <n v="1469.9024657534246"/>
    <n v="8618.7956164383559"/>
    <n v="0"/>
  </r>
  <r>
    <n v="1969"/>
    <s v="Bed (2)"/>
    <s v="Sugar Division"/>
    <x v="6"/>
    <m/>
    <s v="Common"/>
    <d v="2015-05-15T00:00:00"/>
    <n v="3228"/>
    <n v="0"/>
    <n v="271.37309589041092"/>
    <n v="2956.6269041095893"/>
    <n v="161.4"/>
    <n v="10"/>
    <n v="4.8876712328767127"/>
    <n v="1227.4801643835617"/>
    <n v="5.8876712328767127"/>
    <n v="279.52269041095894"/>
    <n v="1507.0028547945208"/>
    <n v="0"/>
  </r>
  <r>
    <n v="1970"/>
    <s v="Batry Trally"/>
    <s v="Sugar Division"/>
    <x v="6"/>
    <m/>
    <s v="Common"/>
    <d v="2015-05-15T00:00:00"/>
    <n v="603.5"/>
    <n v="0"/>
    <n v="50.735335616438363"/>
    <n v="552.76466438356169"/>
    <n v="30.175000000000001"/>
    <n v="10"/>
    <n v="4.8876712328767127"/>
    <n v="229.4870753424658"/>
    <n v="5.8876712328767127"/>
    <n v="52.258966438356175"/>
    <n v="281.746041780822"/>
    <n v="0"/>
  </r>
  <r>
    <n v="1971"/>
    <s v="Fans (2)"/>
    <s v="Sugar Division"/>
    <x v="6"/>
    <m/>
    <s v="Common"/>
    <d v="2015-06-15T00:00:00"/>
    <n v="2842.98"/>
    <n v="0"/>
    <n v="216.06648000000001"/>
    <n v="2626.9135200000001"/>
    <n v="142.149"/>
    <n v="10"/>
    <n v="4.8027397260273972"/>
    <n v="1081.0723536986302"/>
    <n v="5.8027397260273972"/>
    <n v="248.47645200000002"/>
    <n v="1329.5488056986303"/>
    <n v="0"/>
  </r>
  <r>
    <n v="1972"/>
    <s v="Exaust Fan"/>
    <s v="Sugar Division"/>
    <x v="6"/>
    <m/>
    <s v="Common"/>
    <d v="2015-07-15T00:00:00"/>
    <n v="2196.2600000000002"/>
    <n v="0"/>
    <n v="149.76688054794522"/>
    <n v="2046.493119452055"/>
    <n v="109.81300000000002"/>
    <n v="10"/>
    <n v="4.720547945205479"/>
    <n v="835.15042931506844"/>
    <n v="5.720547945205479"/>
    <n v="193.66801194520551"/>
    <n v="1028.8184412602739"/>
    <n v="0"/>
  </r>
  <r>
    <n v="1973"/>
    <s v="Ceiling Fan"/>
    <s v="Sugar Division"/>
    <x v="6"/>
    <m/>
    <s v="Common"/>
    <d v="2015-08-15T00:00:00"/>
    <n v="4163.1400000000003"/>
    <n v="0"/>
    <n v="250.30166383561644"/>
    <n v="3912.8383361643837"/>
    <n v="208.15700000000004"/>
    <n v="10"/>
    <n v="4.6356164383561644"/>
    <n v="1583.0767569863015"/>
    <n v="5.6356164383561644"/>
    <n v="370.46813361643837"/>
    <n v="1953.5448906027398"/>
    <n v="0"/>
  </r>
  <r>
    <n v="1974"/>
    <s v="Exaust Fan"/>
    <s v="Sugar Division"/>
    <x v="6"/>
    <m/>
    <s v="Common"/>
    <d v="2015-08-15T00:00:00"/>
    <n v="904.1"/>
    <n v="0"/>
    <n v="54.357464383561641"/>
    <n v="849.74253561643843"/>
    <n v="45.205000000000005"/>
    <n v="10"/>
    <n v="4.6356164383561644"/>
    <n v="343.79331369863013"/>
    <n v="5.6356164383561644"/>
    <n v="80.45375356164385"/>
    <n v="424.24706726027398"/>
    <n v="0"/>
  </r>
  <r>
    <n v="1975"/>
    <s v="Steel Compartment"/>
    <s v="Sugar Division"/>
    <x v="6"/>
    <m/>
    <s v="Common"/>
    <d v="2015-09-15T00:00:00"/>
    <n v="17915"/>
    <n v="0"/>
    <n v="932.56164383561634"/>
    <n v="16982.438356164384"/>
    <n v="895.75"/>
    <n v="10"/>
    <n v="4.5506849315068489"/>
    <n v="6812.3628082191772"/>
    <n v="5.5506849315068489"/>
    <n v="1608.6688356164386"/>
    <n v="8421.0316438356167"/>
    <n v="0"/>
  </r>
  <r>
    <n v="1976"/>
    <s v="Ceiling Fan 2"/>
    <s v="Sugar Division"/>
    <x v="6"/>
    <m/>
    <s v="Common"/>
    <d v="2015-10-15T00:00:00"/>
    <n v="1876.1"/>
    <n v="0"/>
    <n v="83.010999999999981"/>
    <n v="1793.0889999999999"/>
    <n v="93.805000000000007"/>
    <n v="10"/>
    <n v="4.4684931506849317"/>
    <n v="713.40629999999999"/>
    <n v="5.4684931506849317"/>
    <n v="169.92840000000001"/>
    <n v="883.3347"/>
    <n v="0"/>
  </r>
  <r>
    <n v="1977"/>
    <s v="Plastic Chair - 4"/>
    <s v="Sugar Division"/>
    <x v="6"/>
    <m/>
    <s v="Common"/>
    <d v="2015-11-15T00:00:00"/>
    <n v="7800"/>
    <n v="0"/>
    <n v="282.18904109589039"/>
    <n v="7517.8109589041096"/>
    <n v="390"/>
    <n v="10"/>
    <n v="4.3835616438356162"/>
    <n v="2966.0301369863014"/>
    <n v="5.3835616438356162"/>
    <n v="712.78109589041105"/>
    <n v="3678.8112328767124"/>
    <n v="0"/>
  </r>
  <r>
    <n v="1978"/>
    <s v="Almirah"/>
    <s v="Sugar Division"/>
    <x v="6"/>
    <m/>
    <s v="Common"/>
    <d v="2015-11-15T00:00:00"/>
    <n v="12376"/>
    <n v="0"/>
    <n v="447.73994520547944"/>
    <n v="11928.26005479452"/>
    <n v="618.80000000000007"/>
    <n v="10"/>
    <n v="4.3835616438356162"/>
    <n v="4706.1011506849309"/>
    <n v="5.3835616438356162"/>
    <n v="1130.9460054794522"/>
    <n v="5837.0471561643826"/>
    <n v="0"/>
  </r>
  <r>
    <n v="1979"/>
    <s v="Oil Room Heater - 3"/>
    <s v="Sugar Division"/>
    <x v="6"/>
    <m/>
    <s v="Common"/>
    <d v="2015-12-15T00:00:00"/>
    <n v="20912"/>
    <n v="0"/>
    <n v="593.2705753424658"/>
    <n v="20318.729424657533"/>
    <n v="1045.6000000000001"/>
    <n v="10"/>
    <n v="4.3013698630136989"/>
    <n v="7952.0028493150685"/>
    <n v="5.3013698630136989"/>
    <n v="1927.3129424657536"/>
    <n v="9879.3157917808221"/>
    <n v="0"/>
  </r>
  <r>
    <n v="1980"/>
    <s v="Wooden Chair - 90"/>
    <s v="Sugar Division"/>
    <x v="6"/>
    <m/>
    <s v="Common"/>
    <d v="2015-12-15T00:00:00"/>
    <n v="21150"/>
    <n v="0"/>
    <n v="600.02260273972604"/>
    <n v="20549.977397260274"/>
    <n v="1057.5"/>
    <n v="10"/>
    <n v="4.3013698630136989"/>
    <n v="8042.5047945205497"/>
    <n v="5.3013698630136989"/>
    <n v="1949.2477397260275"/>
    <n v="9991.7525342465779"/>
    <n v="0"/>
  </r>
  <r>
    <n v="1981"/>
    <s v="Chair Revolving -5"/>
    <s v="Sugar Division"/>
    <x v="6"/>
    <m/>
    <s v="Common"/>
    <d v="2015-12-15T00:00:00"/>
    <n v="40762.5"/>
    <n v="0"/>
    <n v="1156.4265410958903"/>
    <n v="39606.073458904109"/>
    <n v="2038.125"/>
    <n v="10"/>
    <n v="4.3013698630136989"/>
    <n v="15500.35941780822"/>
    <n v="5.3013698630136989"/>
    <n v="3756.7948458904111"/>
    <n v="19257.154263698631"/>
    <n v="0"/>
  </r>
  <r>
    <n v="1982"/>
    <s v="Table Computer - 3"/>
    <s v="Sugar Division"/>
    <x v="6"/>
    <m/>
    <s v="Common"/>
    <d v="2015-12-15T00:00:00"/>
    <n v="16445"/>
    <n v="0"/>
    <n v="466.54239726027402"/>
    <n v="15978.457602739725"/>
    <n v="822.25"/>
    <n v="10"/>
    <n v="4.3013698630136989"/>
    <n v="6253.3802054794533"/>
    <n v="5.3013698630136989"/>
    <n v="1515.6207602739726"/>
    <n v="7769.0009657534256"/>
    <n v="0"/>
  </r>
  <r>
    <n v="1983"/>
    <s v="Table Wooden -8+8"/>
    <s v="Sugar Division"/>
    <x v="6"/>
    <m/>
    <s v="Common"/>
    <d v="2015-12-15T00:00:00"/>
    <n v="5040"/>
    <n v="0"/>
    <n v="142.98410958904108"/>
    <n v="4897.0158904109585"/>
    <n v="252"/>
    <n v="10"/>
    <n v="4.3013698630136989"/>
    <n v="1916.5117808219179"/>
    <n v="5.3013698630136989"/>
    <n v="464.50158904109588"/>
    <n v="2381.0133698630138"/>
    <n v="0"/>
  </r>
  <r>
    <n v="1984"/>
    <s v="Wooden Takhat - 41"/>
    <s v="Sugar Division"/>
    <x v="6"/>
    <m/>
    <s v="Common"/>
    <d v="2015-12-15T00:00:00"/>
    <n v="27330"/>
    <n v="0"/>
    <n v="775.34835616438352"/>
    <n v="26554.651643835616"/>
    <n v="1366.5"/>
    <n v="10"/>
    <n v="4.3013698630136989"/>
    <n v="10392.513287671232"/>
    <n v="5.3013698630136989"/>
    <n v="2518.8151643835618"/>
    <n v="12911.328452054793"/>
    <n v="0"/>
  </r>
  <r>
    <n v="1985"/>
    <s v="Chair Armed Model - 6"/>
    <s v="Sugar Division"/>
    <x v="6"/>
    <m/>
    <s v="Common"/>
    <d v="2015-12-15T00:00:00"/>
    <n v="16968.900000000001"/>
    <n v="0"/>
    <n v="481.40536849315072"/>
    <n v="16487.494631506852"/>
    <n v="848.44500000000016"/>
    <n v="10"/>
    <n v="4.3013698630136989"/>
    <n v="6452.5985630137002"/>
    <n v="5.3013698630136989"/>
    <n v="1563.9049631506853"/>
    <n v="8016.5035261643852"/>
    <n v="0"/>
  </r>
  <r>
    <n v="1986"/>
    <s v="Chair Plastic - 4"/>
    <s v="Sugar Division"/>
    <x v="6"/>
    <m/>
    <s v="Common"/>
    <d v="2015-12-15T00:00:00"/>
    <n v="7800"/>
    <n v="0"/>
    <n v="221.28493150684932"/>
    <n v="7578.7150684931503"/>
    <n v="390"/>
    <n v="10"/>
    <n v="4.3013698630136989"/>
    <n v="2966.0301369863018"/>
    <n v="5.3013698630136989"/>
    <n v="718.8715068493151"/>
    <n v="3684.9016438356171"/>
    <n v="0"/>
  </r>
  <r>
    <n v="1987"/>
    <s v="Table Computer-1"/>
    <s v="Sugar Division"/>
    <x v="6"/>
    <m/>
    <s v="Common"/>
    <d v="2016-01-15T00:00:00"/>
    <n v="4409.1000000000004"/>
    <n v="0"/>
    <n v="89.510769863013707"/>
    <n v="4319.5892301369868"/>
    <n v="220.45500000000004"/>
    <n v="10"/>
    <n v="4.2164383561643834"/>
    <n v="1676.605573972603"/>
    <n v="5.2164383561643834"/>
    <n v="409.91342301369872"/>
    <n v="2086.5189969863018"/>
    <n v="0"/>
  </r>
  <r>
    <n v="1988"/>
    <s v="Table Office Wooden-30"/>
    <s v="Sugar Division"/>
    <x v="6"/>
    <m/>
    <s v="Common"/>
    <d v="2016-01-15T00:00:00"/>
    <n v="13700"/>
    <n v="0"/>
    <n v="278.12876712328767"/>
    <n v="13421.871232876712"/>
    <n v="685"/>
    <n v="10"/>
    <n v="4.2164383561643834"/>
    <n v="5209.5657534246575"/>
    <n v="5.2164383561643834"/>
    <n v="1273.6871232876713"/>
    <n v="6483.2528767123285"/>
    <n v="0"/>
  </r>
  <r>
    <n v="1989"/>
    <s v="Table Wooden (Tea)-31"/>
    <s v="Sugar Division"/>
    <x v="6"/>
    <m/>
    <s v="Common"/>
    <d v="2016-01-15T00:00:00"/>
    <n v="7440"/>
    <n v="0"/>
    <n v="151.04219178082192"/>
    <n v="7288.9578082191783"/>
    <n v="372"/>
    <n v="10"/>
    <n v="4.2164383561643834"/>
    <n v="2829.136438356164"/>
    <n v="5.2164383561643834"/>
    <n v="691.69578082191788"/>
    <n v="3520.8322191780817"/>
    <n v="0"/>
  </r>
  <r>
    <n v="1990"/>
    <s v="Wooden Thankhat-24"/>
    <s v="Sugar Division"/>
    <x v="6"/>
    <m/>
    <s v="Common"/>
    <d v="2016-01-15T00:00:00"/>
    <n v="16120"/>
    <n v="0"/>
    <n v="327.25808219178083"/>
    <n v="15792.74191780822"/>
    <n v="806"/>
    <n v="10"/>
    <n v="4.2164383561643834"/>
    <n v="6129.7956164383559"/>
    <n v="5.2164383561643834"/>
    <n v="1498.6741917808222"/>
    <n v="7628.469808219178"/>
    <n v="0"/>
  </r>
  <r>
    <n v="1991"/>
    <s v="Chair Plastic-6"/>
    <s v="Sugar Division"/>
    <x v="6"/>
    <m/>
    <s v="Common"/>
    <d v="2016-01-15T00:00:00"/>
    <n v="3450"/>
    <n v="0"/>
    <n v="70.039726027397265"/>
    <n v="3379.9602739726029"/>
    <n v="172.5"/>
    <n v="10"/>
    <n v="4.2164383561643834"/>
    <n v="1311.8979452054793"/>
    <n v="5.2164383561643834"/>
    <n v="320.74602739726032"/>
    <n v="1632.6439726027397"/>
    <n v="0"/>
  </r>
  <r>
    <n v="1992"/>
    <s v="Doric 90 Coffee Table -1"/>
    <s v="Sugar Division"/>
    <x v="6"/>
    <m/>
    <s v="Common"/>
    <d v="2016-01-15T00:00:00"/>
    <n v="10271"/>
    <n v="0"/>
    <n v="208.51536986301375"/>
    <n v="10062.484630136987"/>
    <n v="513.55000000000007"/>
    <n v="10"/>
    <n v="4.2164383561643834"/>
    <n v="3905.6532739726026"/>
    <n v="5.2164383561643834"/>
    <n v="954.89346301369881"/>
    <n v="4860.5467369863018"/>
    <n v="0"/>
  </r>
  <r>
    <n v="1993"/>
    <s v="Exhaust Fan Sweep Size-1"/>
    <s v="Sugar Division"/>
    <x v="6"/>
    <m/>
    <s v="Common"/>
    <d v="2016-02-15T00:00:00"/>
    <n v="901.1"/>
    <n v="0"/>
    <n v="11.023045205479452"/>
    <n v="890.07695479452059"/>
    <n v="45.055000000000007"/>
    <n v="10"/>
    <n v="4.1315068493150688"/>
    <n v="342.65253287671237"/>
    <n v="5.1315068493150688"/>
    <n v="84.502195479452055"/>
    <n v="427.15472835616441"/>
    <n v="0"/>
  </r>
  <r>
    <n v="1994"/>
    <s v="Almirah Steel-10"/>
    <s v="Sugar Division"/>
    <x v="6"/>
    <m/>
    <s v="Common"/>
    <d v="2016-02-15T00:00:00"/>
    <n v="116500"/>
    <n v="0"/>
    <n v="1425.1301369863013"/>
    <n v="115074.86986301369"/>
    <n v="5825"/>
    <n v="10"/>
    <n v="4.1315068493150688"/>
    <n v="44300.321917808222"/>
    <n v="5.1315068493150688"/>
    <n v="10924.98698630137"/>
    <n v="55225.308904109595"/>
    <n v="0"/>
  </r>
  <r>
    <n v="1995"/>
    <s v="Celling Fan-1"/>
    <s v="Sugar Division"/>
    <x v="6"/>
    <m/>
    <s v="Common"/>
    <d v="2016-03-15T00:00:00"/>
    <n v="1150"/>
    <n v="0"/>
    <n v="5.3876712328767118"/>
    <n v="1144.6123287671232"/>
    <n v="57.5"/>
    <n v="10"/>
    <n v="4.0520547945205481"/>
    <n v="437.29931506849317"/>
    <n v="5.0520547945205481"/>
    <n v="108.71123287671233"/>
    <n v="546.01054794520553"/>
    <n v="0"/>
  </r>
  <r>
    <n v="1996"/>
    <s v="Fan Cabin -1"/>
    <s v="Sugar Division"/>
    <x v="6"/>
    <m/>
    <s v="Common"/>
    <d v="2016-03-15T00:00:00"/>
    <n v="1580.89"/>
    <n v="0"/>
    <n v="7.4063613698630135"/>
    <n v="1573.4836386301372"/>
    <n v="79.044500000000014"/>
    <n v="10"/>
    <n v="4.0520547945205481"/>
    <n v="601.14966452054796"/>
    <n v="5.0520547945205481"/>
    <n v="149.44391386301373"/>
    <n v="750.59357838356163"/>
    <n v="0"/>
  </r>
  <r>
    <n v="1997"/>
    <s v="Exhaust Fan-3"/>
    <s v="Sugar Division"/>
    <x v="6"/>
    <m/>
    <s v="Common"/>
    <d v="2016-03-15T00:00:00"/>
    <n v="2703.3"/>
    <n v="0"/>
    <n v="12.664775342465754"/>
    <n v="2690.6352246575343"/>
    <n v="135.16500000000002"/>
    <n v="10"/>
    <n v="4.0520547945205481"/>
    <n v="1027.9575986301372"/>
    <n v="5.0520547945205481"/>
    <n v="255.54702246575346"/>
    <n v="1283.5046210958908"/>
    <n v="0"/>
  </r>
  <r>
    <n v="1998"/>
    <s v="Almirah Steel-1"/>
    <s v="Sugar Division"/>
    <x v="6"/>
    <m/>
    <s v="Common"/>
    <d v="2016-03-15T00:00:00"/>
    <n v="7070"/>
    <n v="0"/>
    <n v="33.122465753424656"/>
    <n v="7036.8775342465751"/>
    <n v="353.5"/>
    <n v="10"/>
    <n v="4.0520547945205481"/>
    <n v="2688.4401369863012"/>
    <n v="5.0520547945205481"/>
    <n v="668.33775342465754"/>
    <n v="3356.7778904109587"/>
    <n v="0"/>
  </r>
  <r>
    <n v="1999"/>
    <s v="Chairarmed -4"/>
    <s v="Sugar Division"/>
    <x v="6"/>
    <m/>
    <s v="Common"/>
    <d v="2016-03-15T00:00:00"/>
    <n v="11312.6"/>
    <n v="0"/>
    <n v="52.998756164383565"/>
    <n v="11259.601243835617"/>
    <n v="565.63"/>
    <n v="10"/>
    <n v="4.0520547945205481"/>
    <n v="4301.7323753424662"/>
    <n v="5.0520547945205481"/>
    <n v="1069.397124383562"/>
    <n v="5371.1294997260284"/>
    <n v="0"/>
  </r>
  <r>
    <n v="2000"/>
    <s v="Almirah 1"/>
    <s v="Sugar Division"/>
    <x v="6"/>
    <m/>
    <s v="Common"/>
    <d v="2016-03-15T00:00:00"/>
    <n v="12180"/>
    <n v="0"/>
    <n v="57.062465753424654"/>
    <n v="12122.937534246576"/>
    <n v="609"/>
    <n v="10"/>
    <n v="4.0520547945205481"/>
    <n v="4631.5701369863009"/>
    <n v="5.0520547945205481"/>
    <n v="1151.3937534246577"/>
    <n v="5782.9638904109588"/>
    <n v="0"/>
  </r>
  <r>
    <n v="2001"/>
    <s v="Led Television -2"/>
    <s v="Sugar Division"/>
    <x v="6"/>
    <m/>
    <s v="Common"/>
    <d v="2016-03-15T00:00:00"/>
    <n v="46000"/>
    <n v="0"/>
    <n v="215.50684931506848"/>
    <n v="45784.493150684932"/>
    <n v="2300"/>
    <n v="10"/>
    <n v="4.0520547945205481"/>
    <n v="17491.972602739726"/>
    <n v="5.0520547945205481"/>
    <n v="4348.449315068493"/>
    <n v="21840.42191780822"/>
    <n v="0"/>
  </r>
  <r>
    <n v="2002"/>
    <s v="Set Up Box For Television-1"/>
    <s v="Sugar Division"/>
    <x v="6"/>
    <m/>
    <s v="Common"/>
    <d v="2016-03-15T00:00:00"/>
    <n v="1850"/>
    <n v="0"/>
    <n v="8.6671232876712327"/>
    <n v="1841.3328767123287"/>
    <n v="92.5"/>
    <n v="10"/>
    <n v="4.0520547945205481"/>
    <n v="703.48150684931511"/>
    <n v="5.0520547945205481"/>
    <n v="174.88328767123289"/>
    <n v="878.364794520548"/>
    <n v="0"/>
  </r>
  <r>
    <n v="2003"/>
    <s v="Stablizer-2"/>
    <s v="Sugar Division"/>
    <x v="6"/>
    <m/>
    <s v="Common"/>
    <d v="2016-03-15T00:00:00"/>
    <n v="1080"/>
    <n v="0"/>
    <n v="5.05972602739726"/>
    <n v="1074.9402739726027"/>
    <n v="54"/>
    <n v="10"/>
    <n v="4.0520547945205481"/>
    <n v="410.68109589041097"/>
    <n v="5.0520547945205481"/>
    <n v="102.09402739726028"/>
    <n v="512.77512328767125"/>
    <n v="0"/>
  </r>
  <r>
    <n v="2004"/>
    <s v="Stablizer For Ac-2"/>
    <s v="Sugar Division"/>
    <x v="6"/>
    <m/>
    <s v="Common"/>
    <d v="2016-03-15T00:00:00"/>
    <n v="6000"/>
    <n v="0"/>
    <n v="28.109589041095891"/>
    <n v="5971.8904109589039"/>
    <n v="300"/>
    <n v="10"/>
    <n v="4.0520547945205481"/>
    <n v="2281.5616438356165"/>
    <n v="5.0520547945205481"/>
    <n v="567.18904109589039"/>
    <n v="2848.7506849315068"/>
    <n v="0"/>
  </r>
  <r>
    <n v="2005"/>
    <s v="Air Conditioner-2"/>
    <s v="Sugar Division"/>
    <x v="6"/>
    <m/>
    <s v="Common"/>
    <d v="2016-03-15T00:00:00"/>
    <n v="80800"/>
    <n v="0"/>
    <n v="378.54246575342466"/>
    <n v="80421.457534246569"/>
    <n v="4040"/>
    <n v="10"/>
    <n v="4.0520547945205481"/>
    <n v="30725.030136986305"/>
    <n v="5.0520547945205481"/>
    <n v="7638.1457534246574"/>
    <n v="38363.175890410959"/>
    <n v="0"/>
  </r>
  <r>
    <n v="2006"/>
    <s v="Bed (14+2)"/>
    <s v="Sugar Division"/>
    <x v="6"/>
    <m/>
    <s v="Common"/>
    <d v="2015-03-15T00:00:00"/>
    <n v="516901.19999999995"/>
    <n v="0"/>
    <n v="196735.91061917809"/>
    <n v="320165.28938082187"/>
    <n v="25845.059999999998"/>
    <n v="10"/>
    <n v="5.0547945205479454"/>
    <n v="158902.87795616436"/>
    <n v="6.0547945205479454"/>
    <n v="29432.022938082187"/>
    <n v="188334.90089424656"/>
    <n v="0"/>
  </r>
  <r>
    <n v="2007"/>
    <s v="Trinidad Bed (42)"/>
    <s v="Sugar Division"/>
    <x v="6"/>
    <m/>
    <s v="Common"/>
    <d v="2015-03-15T00:00:00"/>
    <n v="520852.26"/>
    <n v="0"/>
    <n v="37056.686150137"/>
    <n v="483795.57384986302"/>
    <n v="26042.613000000001"/>
    <n v="10"/>
    <n v="5.0547945205479454"/>
    <n v="355785.42308684927"/>
    <n v="6.0547945205479454"/>
    <n v="45775.296084986301"/>
    <n v="401560.71917183558"/>
    <n v="0"/>
  </r>
  <r>
    <n v="2008"/>
    <s v="Mattress (40+7)"/>
    <s v="Sugar Division"/>
    <x v="6"/>
    <m/>
    <s v="Common"/>
    <d v="2015-03-15T00:00:00"/>
    <n v="506425.13"/>
    <n v="0"/>
    <n v="50614.763677808209"/>
    <n v="455810.36632219178"/>
    <n v="25321.256500000003"/>
    <n v="10"/>
    <n v="5.0547945205479454"/>
    <n v="323934.35868041095"/>
    <n v="6.0547945205479454"/>
    <n v="43048.910982219182"/>
    <n v="366983.26966263016"/>
    <n v="0"/>
  </r>
  <r>
    <n v="2009"/>
    <s v="Trinidad 3 Door Wardrobe With Mirrer(12)"/>
    <s v="Sugar Division"/>
    <x v="6"/>
    <m/>
    <s v="Common"/>
    <d v="2015-03-15T00:00:00"/>
    <n v="377054.44"/>
    <n v="0"/>
    <n v="37684.783482739716"/>
    <n v="339369.6565172603"/>
    <n v="18852.722000000002"/>
    <n v="10"/>
    <n v="5.0547945205479454"/>
    <n v="143378.82465698628"/>
    <n v="6.0547945205479454"/>
    <n v="32051.693451726031"/>
    <n v="175430.51810871231"/>
    <n v="0"/>
  </r>
  <r>
    <n v="2010"/>
    <s v="Arm Chair (42)"/>
    <s v="Sugar Division"/>
    <x v="6"/>
    <m/>
    <s v="Common"/>
    <d v="2015-03-15T00:00:00"/>
    <n v="314846.63"/>
    <n v="0"/>
    <n v="31467.411129863016"/>
    <n v="283379.218870137"/>
    <n v="15742.3315"/>
    <n v="10"/>
    <n v="5.0547945205479454"/>
    <n v="119723.66578315072"/>
    <n v="6.0547945205479454"/>
    <n v="26763.688737013705"/>
    <n v="146487.35452016443"/>
    <n v="0"/>
  </r>
  <r>
    <n v="2011"/>
    <s v="V2 Desk (28)"/>
    <s v="Sugar Division"/>
    <x v="6"/>
    <m/>
    <s v="Common"/>
    <d v="2015-03-15T00:00:00"/>
    <n v="277518.46000000002"/>
    <n v="0"/>
    <n v="27736.639509041095"/>
    <n v="249781.82049095893"/>
    <n v="13875.923000000003"/>
    <n v="10"/>
    <n v="5.0547945205479454"/>
    <n v="105529.24563205481"/>
    <n v="6.0547945205479454"/>
    <n v="23590.589749095892"/>
    <n v="129119.8353811507"/>
    <n v="0"/>
  </r>
  <r>
    <n v="2012"/>
    <s v="Chair (32)"/>
    <s v="Sugar Division"/>
    <x v="6"/>
    <m/>
    <s v="Common"/>
    <d v="2015-03-15T00:00:00"/>
    <n v="236040.29"/>
    <n v="0"/>
    <n v="23591.095285479452"/>
    <n v="212449.19471452056"/>
    <n v="11802.014500000001"/>
    <n v="10"/>
    <n v="5.0547945205479454"/>
    <n v="89756.745343972609"/>
    <n v="6.0547945205479454"/>
    <n v="20064.718021452059"/>
    <n v="109821.46336542467"/>
    <n v="0"/>
  </r>
  <r>
    <n v="2013"/>
    <s v="Trinidad 2 Door Wardrobe With Mirrer(6)"/>
    <s v="Sugar Division"/>
    <x v="6"/>
    <m/>
    <s v="Common"/>
    <d v="2015-03-15T00:00:00"/>
    <n v="133492.29999999999"/>
    <n v="0"/>
    <n v="13341.915353424654"/>
    <n v="120150.38464657533"/>
    <n v="6674.6149999999998"/>
    <n v="10"/>
    <n v="5.0547945205479454"/>
    <n v="50761.81857123287"/>
    <n v="6.0547945205479454"/>
    <n v="11347.576964657534"/>
    <n v="62109.395535890406"/>
    <n v="0"/>
  </r>
  <r>
    <n v="2014"/>
    <s v="Table (4+2)"/>
    <s v="Sugar Division"/>
    <x v="6"/>
    <m/>
    <s v="Common"/>
    <d v="2015-03-15T00:00:00"/>
    <n v="111075.79000000001"/>
    <n v="0"/>
    <n v="11101.492655342467"/>
    <n v="99974.297344657534"/>
    <n v="5553.7895000000008"/>
    <n v="10"/>
    <n v="5.0547945205479454"/>
    <n v="42237.710337123295"/>
    <n v="6.0547945205479454"/>
    <n v="9442.0507844657532"/>
    <n v="51679.76112158905"/>
    <n v="0"/>
  </r>
  <r>
    <n v="2015"/>
    <s v="R.O. (4)"/>
    <s v="Sugar Division"/>
    <x v="6"/>
    <m/>
    <s v="Common"/>
    <d v="2015-03-15T00:00:00"/>
    <n v="100000"/>
    <n v="0"/>
    <n v="9994.5205479452052"/>
    <n v="90005.479452054802"/>
    <n v="5000"/>
    <n v="10"/>
    <n v="5.0547945205479454"/>
    <n v="38026.027397260274"/>
    <n v="6.0547945205479454"/>
    <n v="8500.5479452054806"/>
    <n v="46526.575342465752"/>
    <n v="0"/>
  </r>
  <r>
    <n v="2016"/>
    <s v="Pillow (56)"/>
    <s v="Sugar Division"/>
    <x v="6"/>
    <m/>
    <s v="Common"/>
    <d v="2015-03-15T00:00:00"/>
    <n v="98909.52"/>
    <n v="0"/>
    <n v="9885.5323002739733"/>
    <n v="89023.987699726029"/>
    <n v="4945.4760000000006"/>
    <n v="10"/>
    <n v="5.0547945205479454"/>
    <n v="37611.361173698635"/>
    <n v="6.0547945205479454"/>
    <n v="8407.8511699726041"/>
    <n v="46019.212343671243"/>
    <n v="0"/>
  </r>
  <r>
    <n v="2017"/>
    <s v="Trinidad Bed Side Table (42)"/>
    <s v="Sugar Division"/>
    <x v="6"/>
    <m/>
    <s v="Common"/>
    <d v="2015-03-15T00:00:00"/>
    <n v="90877.06"/>
    <n v="0"/>
    <n v="9082.7264350684927"/>
    <n v="81794.333564931498"/>
    <n v="4543.8530000000001"/>
    <n v="10"/>
    <n v="5.0547945205479454"/>
    <n v="34556.93573342466"/>
    <n v="6.0547945205479454"/>
    <n v="7725.0480564931495"/>
    <n v="42281.983789917809"/>
    <n v="0"/>
  </r>
  <r>
    <n v="2018"/>
    <s v="Bed (14)"/>
    <s v="Sugar Division"/>
    <x v="6"/>
    <m/>
    <s v="Common"/>
    <d v="2015-03-15T00:00:00"/>
    <n v="51817.25"/>
    <n v="0"/>
    <n v="5178.8856986301362"/>
    <n v="46638.36430136986"/>
    <n v="2590.8625000000002"/>
    <n v="10"/>
    <n v="5.0547945205479454"/>
    <n v="19704.041681506853"/>
    <n v="6.0547945205479454"/>
    <n v="4404.7501801369863"/>
    <n v="24108.79186164384"/>
    <n v="0"/>
  </r>
  <r>
    <n v="2019"/>
    <s v="Geyster, 15 Ltr (10)"/>
    <s v="Sugar Division"/>
    <x v="6"/>
    <m/>
    <s v="Common"/>
    <d v="2014-12-15T00:00:00"/>
    <n v="38293"/>
    <n v="0"/>
    <n v="4724.2021643835615"/>
    <n v="33568.797835616439"/>
    <n v="1914.65"/>
    <n v="10"/>
    <n v="5.3013698630136989"/>
    <n v="14561.30667123288"/>
    <n v="6.3013698630136989"/>
    <n v="3165.4147835616441"/>
    <n v="17726.721454794526"/>
    <n v="0"/>
  </r>
  <r>
    <n v="2020"/>
    <s v="A.C."/>
    <s v="Sugar Division"/>
    <x v="6"/>
    <m/>
    <s v="Common"/>
    <d v="2015-03-15T00:00:00"/>
    <n v="32000"/>
    <n v="0"/>
    <n v="3198.2465753424653"/>
    <n v="28801.753424657534"/>
    <n v="1600"/>
    <n v="10"/>
    <n v="5.0547945205479454"/>
    <n v="12168.328767123288"/>
    <n v="6.0547945205479454"/>
    <n v="2720.1753424657536"/>
    <n v="14888.504109589041"/>
    <n v="0"/>
  </r>
  <r>
    <n v="2021"/>
    <s v="Ceiling Fan (24+1)"/>
    <s v="Sugar Division"/>
    <x v="6"/>
    <m/>
    <s v="Common"/>
    <d v="2015-02-15T00:00:00"/>
    <n v="26019.57"/>
    <n v="0"/>
    <n v="2790.1533419178081"/>
    <n v="23229.416658082191"/>
    <n v="1300.9785000000002"/>
    <n v="10"/>
    <n v="5.1315068493150688"/>
    <n v="9894.2088168493137"/>
    <n v="6.1315068493150688"/>
    <n v="2192.843815808219"/>
    <n v="12087.052632657533"/>
    <n v="0"/>
  </r>
  <r>
    <n v="2022"/>
    <s v="Chair Plastic (8)"/>
    <s v="Sugar Division"/>
    <x v="6"/>
    <m/>
    <s v="Common"/>
    <d v="2015-03-15T00:00:00"/>
    <n v="15960"/>
    <n v="0"/>
    <n v="1595.1254794520546"/>
    <n v="14364.874520547946"/>
    <n v="798"/>
    <n v="10"/>
    <n v="5.0547945205479454"/>
    <n v="6068.9539726027406"/>
    <n v="6.0547945205479454"/>
    <n v="1356.6874520547947"/>
    <n v="7425.641424657535"/>
    <n v="0"/>
  </r>
  <r>
    <n v="2023"/>
    <s v="M.F.V.I. Sofa"/>
    <s v="Sugar Division"/>
    <x v="6"/>
    <m/>
    <s v="Common"/>
    <d v="2015-01-15T00:00:00"/>
    <n v="55564.27"/>
    <n v="0"/>
    <n v="6406.636446438356"/>
    <n v="49157.633553561638"/>
    <n v="2778.2134999999998"/>
    <n v="10"/>
    <n v="5.2164383561643834"/>
    <n v="21128.88453328767"/>
    <n v="6.2164383561643834"/>
    <n v="4637.9420053561644"/>
    <n v="25766.826538643836"/>
    <n v="0"/>
  </r>
  <r>
    <n v="2024"/>
    <s v="Ceiling Fan 22 Nos."/>
    <s v="Sugar Division"/>
    <x v="6"/>
    <m/>
    <s v="Common"/>
    <d v="2014-06-15T00:00:00"/>
    <n v="22897.200000000001"/>
    <n v="0"/>
    <n v="21752.34"/>
    <n v="1144.8600000000006"/>
    <n v="1144.8600000000001"/>
    <n v="5"/>
    <n v="5.8027397260273972"/>
    <n v="10876.17"/>
    <n v="6.8027397260273972"/>
    <n v="9.0949470177292829E-14"/>
    <n v="10876.17"/>
    <n v="0"/>
  </r>
  <r>
    <n v="2025"/>
    <s v="Cooler  -12 Nos"/>
    <s v="Sugar Division"/>
    <x v="6"/>
    <m/>
    <s v="Common"/>
    <d v="2014-05-15T00:00:00"/>
    <n v="36784.730000000003"/>
    <n v="0"/>
    <n v="34945.493500000004"/>
    <n v="1839.2364999999991"/>
    <n v="1839.2365000000002"/>
    <n v="5"/>
    <n v="5.8876712328767127"/>
    <n v="17472.746750000002"/>
    <n v="6.8876712328767127"/>
    <n v="-2.2737367544323206E-13"/>
    <n v="17472.746750000002"/>
    <n v="0"/>
  </r>
  <r>
    <n v="2026"/>
    <s v="Mobile - Gurgaon Office - 3"/>
    <s v="Sugar Division"/>
    <x v="6"/>
    <m/>
    <s v="Common"/>
    <d v="2013-11-30T00:00:00"/>
    <n v="28550"/>
    <n v="0"/>
    <n v="27122.5"/>
    <n v="1427.5"/>
    <n v="1427.5"/>
    <n v="5"/>
    <n v="6.3424657534246576"/>
    <n v="13561.25"/>
    <n v="7.3424657534246576"/>
    <n v="0"/>
    <n v="13561.25"/>
    <n v="0"/>
  </r>
  <r>
    <n v="2027"/>
    <s v="Dining Chair (6)"/>
    <s v="Sugar Division"/>
    <x v="6"/>
    <m/>
    <s v="Common"/>
    <d v="2015-01-15T00:00:00"/>
    <n v="43156.36"/>
    <n v="0"/>
    <n v="4975.9874263013699"/>
    <n v="38180.372573698631"/>
    <n v="2157.8180000000002"/>
    <n v="10"/>
    <n v="5.2164383561643834"/>
    <n v="16410.649277260272"/>
    <n v="6.2164383561643834"/>
    <n v="3602.2554573698635"/>
    <n v="20012.904734630138"/>
    <n v="0"/>
  </r>
  <r>
    <n v="2028"/>
    <s v="Exaust Fan (4)"/>
    <s v="Sugar Division"/>
    <x v="6"/>
    <m/>
    <s v="Common"/>
    <d v="2015-03-15T00:00:00"/>
    <n v="8797.07"/>
    <n v="0"/>
    <n v="879.2249687671233"/>
    <n v="7917.8450312328769"/>
    <n v="439.8535"/>
    <n v="10"/>
    <n v="5.0547945205479454"/>
    <n v="3345.1762483561647"/>
    <n v="6.0547945205479454"/>
    <n v="747.79915312328774"/>
    <n v="4092.9754014794526"/>
    <n v="0"/>
  </r>
  <r>
    <n v="2029"/>
    <s v="Double Blower (4+13)"/>
    <s v="Sugar Division"/>
    <x v="6"/>
    <m/>
    <s v="Common"/>
    <d v="2015-01-15T00:00:00"/>
    <n v="34304"/>
    <n v="0"/>
    <n v="3955.298191780822"/>
    <n v="30348.701808219179"/>
    <n v="1715.2"/>
    <n v="10"/>
    <n v="5.2164383561643834"/>
    <n v="13044.448438356165"/>
    <n v="6.2164383561643834"/>
    <n v="2863.350180821918"/>
    <n v="15907.798619178084"/>
    <n v="0"/>
  </r>
  <r>
    <n v="2030"/>
    <s v="Montina King Bed "/>
    <s v="Sugar Division"/>
    <x v="6"/>
    <m/>
    <s v="Common"/>
    <d v="2015-01-15T00:00:00"/>
    <n v="34031.57"/>
    <n v="0"/>
    <n v="3923.8866395890414"/>
    <n v="30107.68336041096"/>
    <n v="1701.5785000000001"/>
    <n v="10"/>
    <n v="5.2164383561643834"/>
    <n v="12940.854131917809"/>
    <n v="6.2164383561643834"/>
    <n v="2840.610486041096"/>
    <n v="15781.464617958905"/>
    <n v="0"/>
  </r>
  <r>
    <n v="2031"/>
    <s v="Table (3)"/>
    <s v="Sugar Division"/>
    <x v="6"/>
    <m/>
    <s v="Common"/>
    <d v="2015-01-15T00:00:00"/>
    <n v="32759"/>
    <n v="0"/>
    <n v="3777.1575753424659"/>
    <n v="28981.842424657534"/>
    <n v="1637.95"/>
    <n v="10"/>
    <n v="5.2164383561643834"/>
    <n v="12456.946315068493"/>
    <n v="6.2164383561643834"/>
    <n v="2734.3892424657533"/>
    <n v="15191.335557534247"/>
    <n v="0"/>
  </r>
  <r>
    <n v="2032"/>
    <s v="Refrigerator"/>
    <s v="Sugar Division"/>
    <x v="6"/>
    <m/>
    <s v="Common"/>
    <d v="2015-01-15T00:00:00"/>
    <n v="30400"/>
    <n v="0"/>
    <n v="3505.1616438356164"/>
    <n v="26894.838356164382"/>
    <n v="1520"/>
    <n v="10"/>
    <n v="5.2164383561643834"/>
    <n v="11559.912328767123"/>
    <n v="6.2164383561643834"/>
    <n v="2537.4838356164382"/>
    <n v="14097.396164383561"/>
    <n v="0"/>
  </r>
  <r>
    <n v="2033"/>
    <s v="Mobile  - 2"/>
    <s v="Sugar Division"/>
    <x v="6"/>
    <m/>
    <s v="Common"/>
    <d v="2013-11-30T00:00:00"/>
    <n v="16198"/>
    <n v="0"/>
    <n v="15388.1"/>
    <n v="809.89999999999964"/>
    <n v="809.90000000000009"/>
    <n v="5"/>
    <n v="6.3424657534246576"/>
    <n v="7694.05"/>
    <n v="7.3424657534246576"/>
    <n v="-9.0949470177292829E-14"/>
    <n v="7694.05"/>
    <n v="0"/>
  </r>
  <r>
    <n v="2034"/>
    <s v="Chair Plastic (!2)"/>
    <s v="Sugar Division"/>
    <x v="6"/>
    <m/>
    <s v="Common"/>
    <d v="2015-01-15T00:00:00"/>
    <n v="23940"/>
    <n v="0"/>
    <n v="2760.3147945205483"/>
    <n v="21179.685205479451"/>
    <n v="1197"/>
    <n v="10"/>
    <n v="5.2164383561643834"/>
    <n v="9103.4309589041113"/>
    <n v="6.2164383561643834"/>
    <n v="1998.2685205479452"/>
    <n v="11101.699479452056"/>
    <n v="0"/>
  </r>
  <r>
    <n v="2035"/>
    <s v="Dining Table"/>
    <s v="Sugar Division"/>
    <x v="6"/>
    <m/>
    <s v="Common"/>
    <d v="2015-01-15T00:00:00"/>
    <n v="23447.24"/>
    <n v="0"/>
    <n v="2703.4988915068493"/>
    <n v="20743.741108493152"/>
    <n v="1172.3620000000001"/>
    <n v="10"/>
    <n v="5.2164383561643834"/>
    <n v="8916.0539063013694"/>
    <n v="6.2164383561643834"/>
    <n v="1957.1379108493152"/>
    <n v="10873.191817150684"/>
    <n v="0"/>
  </r>
  <r>
    <n v="2036"/>
    <s v="Geyser (5)"/>
    <s v="Sugar Division"/>
    <x v="6"/>
    <m/>
    <s v="Common"/>
    <d v="2015-01-15T00:00:00"/>
    <n v="22875"/>
    <n v="0"/>
    <n v="2637.5188356164385"/>
    <n v="20237.48116438356"/>
    <n v="1143.75"/>
    <n v="10"/>
    <n v="5.2164383561643834"/>
    <n v="8698.4537671232883"/>
    <n v="6.2164383561643834"/>
    <n v="1909.3731164383562"/>
    <n v="10607.826883561644"/>
    <n v="0"/>
  </r>
  <r>
    <n v="2037"/>
    <s v="Chair"/>
    <s v="Sugar Division"/>
    <x v="6"/>
    <m/>
    <s v="Common"/>
    <d v="2015-02-15T00:00:00"/>
    <n v="6840.07"/>
    <n v="0"/>
    <n v="733.48038301369866"/>
    <n v="6106.5896169863008"/>
    <n v="342.00350000000003"/>
    <n v="10"/>
    <n v="5.1315068493150688"/>
    <n v="2601.0068921917809"/>
    <n v="6.1315068493150688"/>
    <n v="576.45861169863008"/>
    <n v="3177.4655038904111"/>
    <n v="0"/>
  </r>
  <r>
    <n v="2038"/>
    <s v="Mobile Nokia (Guargaon)-1 No."/>
    <s v="Sugar Division"/>
    <x v="6"/>
    <m/>
    <s v="Common"/>
    <d v="2014-01-20T00:00:00"/>
    <n v="12885"/>
    <n v="0"/>
    <n v="12240.75"/>
    <n v="644.25"/>
    <n v="644.25"/>
    <n v="5"/>
    <n v="6.2027397260273975"/>
    <n v="6120.375"/>
    <n v="7.2027397260273975"/>
    <n v="0"/>
    <n v="6120.375"/>
    <n v="0"/>
  </r>
  <r>
    <n v="2039"/>
    <s v="Exaust Fan (3)"/>
    <s v="Sugar Division"/>
    <x v="6"/>
    <m/>
    <s v="Common"/>
    <d v="2015-02-15T00:00:00"/>
    <n v="6597.8"/>
    <n v="0"/>
    <n v="707.50107397260274"/>
    <n v="5890.2989260273971"/>
    <n v="329.89000000000004"/>
    <n v="10"/>
    <n v="5.1315068493150688"/>
    <n v="2508.8812356164385"/>
    <n v="6.1315068493150688"/>
    <n v="556.04089260273975"/>
    <n v="3064.9221282191784"/>
    <n v="0"/>
  </r>
  <r>
    <n v="2040"/>
    <s v="Geyser (2)"/>
    <s v="Sugar Division"/>
    <x v="6"/>
    <m/>
    <s v="Common"/>
    <d v="2015-01-15T00:00:00"/>
    <n v="16550"/>
    <n v="0"/>
    <n v="1908.2376712328767"/>
    <n v="14641.762328767123"/>
    <n v="827.5"/>
    <n v="10"/>
    <n v="5.2164383561643834"/>
    <n v="6293.3075342465745"/>
    <n v="6.2164383561643834"/>
    <n v="1381.4262328767124"/>
    <n v="7674.7337671232872"/>
    <n v="0"/>
  </r>
  <r>
    <n v="2041"/>
    <s v="Mobile-1"/>
    <s v="Sugar Division"/>
    <x v="6"/>
    <m/>
    <s v="Common"/>
    <d v="2014-01-15T00:00:00"/>
    <n v="9700"/>
    <n v="0"/>
    <n v="9215"/>
    <n v="485"/>
    <n v="485"/>
    <n v="5"/>
    <n v="6.2164383561643834"/>
    <n v="4607.5"/>
    <n v="7.2164383561643834"/>
    <n v="0"/>
    <n v="4607.5"/>
    <n v="0"/>
  </r>
  <r>
    <n v="2042"/>
    <s v="Mobile "/>
    <s v="Sugar Division"/>
    <x v="6"/>
    <m/>
    <s v="Common"/>
    <d v="2013-12-31T00:00:00"/>
    <n v="9500"/>
    <n v="0"/>
    <n v="9025"/>
    <n v="475"/>
    <n v="475"/>
    <n v="5"/>
    <n v="6.2575342465753421"/>
    <n v="4512.5"/>
    <n v="7.2575342465753421"/>
    <n v="0"/>
    <n v="4512.5"/>
    <n v="0"/>
  </r>
  <r>
    <n v="2043"/>
    <s v="Mattress"/>
    <s v="Sugar Division"/>
    <x v="6"/>
    <m/>
    <s v="Common"/>
    <d v="2015-03-15T00:00:00"/>
    <n v="2400"/>
    <n v="0"/>
    <n v="239.86849315068491"/>
    <n v="2160.131506849315"/>
    <n v="120"/>
    <n v="10"/>
    <n v="5.0547945205479454"/>
    <n v="912.62465753424669"/>
    <n v="6.0547945205479454"/>
    <n v="204.0131506849315"/>
    <n v="1116.6378082191782"/>
    <n v="0"/>
  </r>
  <r>
    <n v="2044"/>
    <s v="Montina Bed (2)"/>
    <s v="Sugar Division"/>
    <x v="6"/>
    <m/>
    <s v="Common"/>
    <d v="2015-01-15T00:00:00"/>
    <n v="10507.33"/>
    <n v="0"/>
    <n v="1211.5095426027397"/>
    <n v="9295.8204573972598"/>
    <n v="525.36649999999997"/>
    <n v="10"/>
    <n v="5.2164383561643834"/>
    <n v="3995.5201845205479"/>
    <n v="6.2164383561643834"/>
    <n v="877.04539573972602"/>
    <n v="4872.5655802602741"/>
    <n v="0"/>
  </r>
  <r>
    <n v="2045"/>
    <s v="Mobile Samsung Glaxy-1 No."/>
    <s v="Sugar Division"/>
    <x v="6"/>
    <m/>
    <s v="Common"/>
    <d v="2014-02-17T00:00:00"/>
    <n v="6600"/>
    <n v="0"/>
    <n v="6270"/>
    <n v="330"/>
    <n v="330"/>
    <n v="5"/>
    <n v="6.1260273972602741"/>
    <n v="3135"/>
    <n v="7.1260273972602741"/>
    <n v="0"/>
    <n v="3135"/>
    <n v="0"/>
  </r>
  <r>
    <n v="2046"/>
    <s v="Eden Bed (2)"/>
    <s v="Sugar Division"/>
    <x v="6"/>
    <m/>
    <s v="Common"/>
    <d v="2015-01-15T00:00:00"/>
    <n v="7413.23"/>
    <n v="0"/>
    <n v="854.75557410958902"/>
    <n v="6558.4744258904102"/>
    <n v="370.66149999999999"/>
    <n v="10"/>
    <n v="5.2164383561643834"/>
    <n v="2818.9568708219176"/>
    <n v="6.2164383561643834"/>
    <n v="618.78129258904107"/>
    <n v="3437.7381634109588"/>
    <n v="0"/>
  </r>
  <r>
    <n v="2047"/>
    <s v="Aquagaurd"/>
    <s v="Sugar Division"/>
    <x v="6"/>
    <m/>
    <s v="Common"/>
    <d v="2015-01-15T00:00:00"/>
    <n v="7400"/>
    <n v="0"/>
    <n v="853.23013698630143"/>
    <n v="6546.7698630136983"/>
    <n v="370"/>
    <n v="10"/>
    <n v="5.2164383561643834"/>
    <n v="2813.9260273972604"/>
    <n v="6.2164383561643834"/>
    <n v="617.67698630136988"/>
    <n v="3431.6030136986301"/>
    <n v="0"/>
  </r>
  <r>
    <n v="2048"/>
    <s v="Ceiling Fan 10 Nos."/>
    <s v="Sugar Division"/>
    <x v="6"/>
    <m/>
    <s v="Common"/>
    <d v="2014-04-15T00:00:00"/>
    <n v="10392.83"/>
    <n v="0"/>
    <n v="9873.1885000000002"/>
    <n v="519.64149999999972"/>
    <n v="519.64150000000006"/>
    <n v="5"/>
    <n v="5.9698630136986299"/>
    <n v="4936.5942500000001"/>
    <n v="6.9698630136986299"/>
    <n v="-6.8212102632969628E-14"/>
    <n v="4936.5942500000001"/>
    <n v="0"/>
  </r>
  <r>
    <n v="2049"/>
    <s v="Exhaust Fan"/>
    <s v="Sugar Division"/>
    <x v="6"/>
    <m/>
    <s v="Common"/>
    <d v="2014-05-15T00:00:00"/>
    <n v="2199.27"/>
    <n v="0"/>
    <n v="2089.3065000000001"/>
    <n v="109.96349999999984"/>
    <n v="109.96350000000001"/>
    <n v="5"/>
    <n v="5.8876712328767127"/>
    <n v="1044.6532500000001"/>
    <n v="6.8876712328767127"/>
    <n v="-3.4106051316484814E-14"/>
    <n v="1044.6532500000001"/>
    <n v="0"/>
  </r>
  <r>
    <n v="2050"/>
    <s v="Ceiling Fan 10 Nos."/>
    <s v="Sugar Division"/>
    <x v="6"/>
    <m/>
    <s v="Common"/>
    <d v="2014-06-15T00:00:00"/>
    <n v="1040.78"/>
    <n v="0"/>
    <n v="988.74099999999999"/>
    <n v="52.038999999999987"/>
    <n v="52.039000000000001"/>
    <n v="5"/>
    <n v="5.8027397260273972"/>
    <n v="494.37049999999999"/>
    <n v="6.8027397260273972"/>
    <n v="-2.8421709430404009E-15"/>
    <n v="494.37049999999999"/>
    <n v="0"/>
  </r>
  <r>
    <n v="2051"/>
    <s v="Furniture Of M.D.Residence"/>
    <s v="Sugar Division"/>
    <x v="6"/>
    <m/>
    <s v="Common"/>
    <d v="2012-11-15T00:00:00"/>
    <n v="463420.03"/>
    <n v="0"/>
    <n v="98840.356484657997"/>
    <n v="364579.67351534206"/>
    <n v="23171.001500000002"/>
    <n v="10"/>
    <n v="7.3835616438356162"/>
    <n v="226220.2275721913"/>
    <n v="8.3835616438356162"/>
    <n v="34140.867201534209"/>
    <n v="260361.09477372552"/>
    <n v="0"/>
  </r>
  <r>
    <n v="2052"/>
    <s v="Exhaust Fan"/>
    <s v="Sugar Division"/>
    <x v="6"/>
    <m/>
    <s v="Common"/>
    <d v="2014-05-15T00:00:00"/>
    <n v="901.1"/>
    <n v="0"/>
    <n v="856.04500000000007"/>
    <n v="45.05499999999995"/>
    <n v="45.055000000000007"/>
    <n v="5"/>
    <n v="5.8876712328767127"/>
    <n v="428.02250000000004"/>
    <n v="6.8876712328767127"/>
    <n v="-1.1368683772161604E-14"/>
    <n v="428.02250000000004"/>
    <n v="0"/>
  </r>
  <r>
    <n v="2053"/>
    <s v="Furniture Sets - G.M.Residence"/>
    <s v="Sugar Division"/>
    <x v="6"/>
    <m/>
    <s v="Common"/>
    <d v="2013-05-15T00:00:00"/>
    <n v="214130.6"/>
    <n v="0"/>
    <n v="58686.450879452052"/>
    <n v="155444.14912054795"/>
    <n v="10706.53"/>
    <n v="10"/>
    <n v="6.8876712328767127"/>
    <n v="81425.360621917818"/>
    <n v="7.8876712328767127"/>
    <n v="14473.761912054797"/>
    <n v="95899.122533972608"/>
    <n v="0"/>
  </r>
  <r>
    <n v="2054"/>
    <s v="Furniture Sets - Lucknow Office"/>
    <s v="Sugar Division"/>
    <x v="6"/>
    <m/>
    <s v="Common"/>
    <d v="2013-03-15T00:00:00"/>
    <n v="43320"/>
    <n v="0"/>
    <n v="12560.426301369862"/>
    <n v="30759.573698630138"/>
    <n v="2166"/>
    <n v="10"/>
    <n v="7.0547945205479454"/>
    <n v="16472.875068493151"/>
    <n v="8.0547945205479454"/>
    <n v="2859.3573698630139"/>
    <n v="19332.232438356164"/>
    <n v="0"/>
  </r>
  <r>
    <n v="2055"/>
    <s v="Air Conditioner"/>
    <s v="Sugar Division"/>
    <x v="6"/>
    <m/>
    <s v="Common"/>
    <d v="2013-04-15T00:00:00"/>
    <n v="47691"/>
    <n v="0"/>
    <n v="45306.45"/>
    <n v="2384.5500000000029"/>
    <n v="2384.5500000000002"/>
    <n v="5"/>
    <n v="6.9698630136986299"/>
    <n v="22653.224999999999"/>
    <n v="7.9698630136986299"/>
    <n v="5.4569682106375702E-13"/>
    <n v="22653.224999999999"/>
    <n v="0"/>
  </r>
  <r>
    <n v="2056"/>
    <s v="Bed &amp; Dressing Table (Lucknow Office)"/>
    <s v="Sugar Division"/>
    <x v="6"/>
    <m/>
    <s v="Common"/>
    <d v="2013-05-15T00:00:00"/>
    <n v="21000"/>
    <n v="0"/>
    <n v="5755.4383561643835"/>
    <n v="15244.561643835616"/>
    <n v="1050"/>
    <n v="10"/>
    <n v="6.8876712328767127"/>
    <n v="7985.4657534246589"/>
    <n v="7.8876712328767127"/>
    <n v="1419.4561643835616"/>
    <n v="9404.9219178082203"/>
    <n v="0"/>
  </r>
  <r>
    <n v="2057"/>
    <s v="Gyzer (3)"/>
    <s v="Sugar Division"/>
    <x v="6"/>
    <m/>
    <s v="Common"/>
    <d v="2013-04-15T00:00:00"/>
    <n v="19482.16"/>
    <n v="0"/>
    <n v="18508.052"/>
    <n v="974.10800000000017"/>
    <n v="974.10800000000006"/>
    <n v="5"/>
    <n v="6.9698630136986299"/>
    <n v="9254.0259999999998"/>
    <n v="7.9698630136986299"/>
    <n v="2.2737367544323207E-14"/>
    <n v="9254.0259999999998"/>
    <n v="0"/>
  </r>
  <r>
    <n v="2058"/>
    <s v="Almirah - 2"/>
    <s v="Sugar Division"/>
    <x v="6"/>
    <m/>
    <s v="Common"/>
    <d v="2013-12-15T00:00:00"/>
    <n v="15520"/>
    <n v="0"/>
    <n v="3389.1002739726032"/>
    <n v="12130.899726027397"/>
    <n v="776"/>
    <n v="10"/>
    <n v="6.3013698630136989"/>
    <n v="5901.6394520547947"/>
    <n v="7.3013698630136989"/>
    <n v="1135.4899726027397"/>
    <n v="7037.1294246575344"/>
    <n v="0"/>
  </r>
  <r>
    <n v="2059"/>
    <s v="Chair Revolving-2 Nos"/>
    <s v="Sugar Division"/>
    <x v="6"/>
    <m/>
    <s v="Common"/>
    <d v="2014-02-15T00:00:00"/>
    <n v="14348.48"/>
    <n v="0"/>
    <n v="2901.7343868493149"/>
    <n v="11446.745613150684"/>
    <n v="717.42399999999998"/>
    <n v="10"/>
    <n v="6.1315068493150688"/>
    <n v="5456.1569358904126"/>
    <n v="7.1315068493150688"/>
    <n v="1072.9321613150685"/>
    <n v="6529.0890972054813"/>
    <n v="0"/>
  </r>
  <r>
    <n v="2060"/>
    <s v="Toshiba T.V.(Lcd )"/>
    <s v="Sugar Division"/>
    <x v="6"/>
    <m/>
    <s v="Common"/>
    <d v="2012-02-10T00:00:00"/>
    <n v="21900"/>
    <n v="0"/>
    <n v="20805"/>
    <n v="1095"/>
    <n v="1095"/>
    <n v="5"/>
    <n v="8.1479452054794521"/>
    <n v="10402.5"/>
    <n v="9.1479452054794521"/>
    <n v="0"/>
    <n v="10402.5"/>
    <n v="0"/>
  </r>
  <r>
    <n v="2061"/>
    <s v="Double Bed (2)"/>
    <s v="Sugar Division"/>
    <x v="6"/>
    <m/>
    <s v="Common"/>
    <d v="2012-12-15T00:00:00"/>
    <n v="14000"/>
    <n v="0"/>
    <n v="4387.178082191781"/>
    <n v="9612.8219178082181"/>
    <n v="700"/>
    <n v="10"/>
    <n v="7.3013698630136989"/>
    <n v="5323.643835616439"/>
    <n v="8.3013698630136989"/>
    <n v="891.2821917808219"/>
    <n v="6214.9260273972614"/>
    <n v="0"/>
  </r>
  <r>
    <n v="2062"/>
    <s v="Table &amp; Chair G.M.Office"/>
    <s v="Sugar Division"/>
    <x v="6"/>
    <m/>
    <s v="Common"/>
    <d v="2006-03-31T00:00:00"/>
    <n v="41600.03"/>
    <n v="0"/>
    <n v="39520.0285"/>
    <n v="2080.0014999999985"/>
    <n v="2080.0014999999999"/>
    <n v="10"/>
    <n v="14.016438356164384"/>
    <n v="19760.01425"/>
    <n v="15.016438356164384"/>
    <n v="-1.3642420526593926E-13"/>
    <n v="19760.01425"/>
    <n v="0"/>
  </r>
  <r>
    <n v="2063"/>
    <s v="Chairs "/>
    <s v="Sugar Division"/>
    <x v="6"/>
    <m/>
    <s v="Common"/>
    <d v="2013-11-30T00:00:00"/>
    <n v="12731.94"/>
    <n v="0"/>
    <n v="2829.978882739726"/>
    <n v="9901.9611172602745"/>
    <n v="636.59700000000009"/>
    <n v="10"/>
    <n v="6.3424657534246576"/>
    <n v="1372.1560860273976"/>
    <n v="7.3424657534246576"/>
    <n v="926.5364117260275"/>
    <n v="2298.692497753425"/>
    <n v="0"/>
  </r>
  <r>
    <n v="2064"/>
    <s v="Almirah"/>
    <s v="Sugar Division"/>
    <x v="6"/>
    <m/>
    <s v="Common"/>
    <d v="2010-03-15T00:00:00"/>
    <n v="16995"/>
    <n v="0"/>
    <n v="16145.25"/>
    <n v="849.75"/>
    <n v="849.75"/>
    <n v="10"/>
    <n v="10.057534246575342"/>
    <n v="8072.625"/>
    <n v="11.057534246575342"/>
    <n v="0"/>
    <n v="8072.625"/>
    <n v="0"/>
  </r>
  <r>
    <n v="2065"/>
    <s v="Aquaguard"/>
    <s v="Sugar Division"/>
    <x v="6"/>
    <m/>
    <s v="Common"/>
    <d v="2013-04-15T00:00:00"/>
    <n v="14450"/>
    <n v="0"/>
    <n v="13727.5"/>
    <n v="722.5"/>
    <n v="722.5"/>
    <n v="5"/>
    <n v="6.9698630136986299"/>
    <n v="6863.75"/>
    <n v="7.9698630136986299"/>
    <n v="0"/>
    <n v="6863.75"/>
    <n v="0"/>
  </r>
  <r>
    <n v="2066"/>
    <s v="Gyzer -2"/>
    <s v="Sugar Division"/>
    <x v="6"/>
    <m/>
    <s v="Common"/>
    <d v="2013-12-15T00:00:00"/>
    <n v="12837.31"/>
    <n v="0"/>
    <n v="12195.4445"/>
    <n v="641.86549999999988"/>
    <n v="641.8655"/>
    <n v="5"/>
    <n v="6.3013698630136989"/>
    <n v="6097.7222499999998"/>
    <n v="7.3013698630136989"/>
    <n v="-2.2737367544323207E-14"/>
    <n v="6097.7222499999998"/>
    <n v="0"/>
  </r>
  <r>
    <n v="2067"/>
    <s v="Gyzer-2 Nos"/>
    <s v="Sugar Division"/>
    <x v="6"/>
    <m/>
    <s v="Common"/>
    <d v="2014-02-15T00:00:00"/>
    <n v="12360.2"/>
    <n v="0"/>
    <n v="11742.19"/>
    <n v="618.01000000000022"/>
    <n v="618.0100000000001"/>
    <n v="5"/>
    <n v="6.1315068493150688"/>
    <n v="5871.0950000000003"/>
    <n v="7.1315068493150688"/>
    <n v="2.2737367544323207E-14"/>
    <n v="5871.0950000000003"/>
    <n v="0"/>
  </r>
  <r>
    <n v="2068"/>
    <s v="Kitchen Furniture - Gm"/>
    <s v="Sugar Division"/>
    <x v="6"/>
    <m/>
    <s v="Common"/>
    <d v="2013-09-30T00:00:00"/>
    <n v="10000"/>
    <n v="0"/>
    <n v="2381.5068493150684"/>
    <n v="7618.4931506849316"/>
    <n v="500"/>
    <n v="10"/>
    <n v="6.5095890410958903"/>
    <n v="36204.630136986299"/>
    <n v="7.5095890410958903"/>
    <n v="711.84931506849318"/>
    <n v="36916.479452054795"/>
    <n v="0"/>
  </r>
  <r>
    <n v="2069"/>
    <s v="Sofa Set"/>
    <s v="Sugar Division"/>
    <x v="6"/>
    <m/>
    <s v="Common"/>
    <d v="2011-05-15T00:00:00"/>
    <n v="12020"/>
    <n v="0"/>
    <n v="5581.2317808219186"/>
    <n v="6438.7682191780814"/>
    <n v="601"/>
    <n v="10"/>
    <n v="8.8904109589041092"/>
    <n v="11069.126712328769"/>
    <n v="9.8904109589041092"/>
    <n v="583.77682191780821"/>
    <n v="11652.903534246578"/>
    <n v="0"/>
  </r>
  <r>
    <n v="2070"/>
    <s v="Dining Table (2 Nos)"/>
    <s v="Sugar Division"/>
    <x v="6"/>
    <m/>
    <s v="Common"/>
    <d v="2012-02-15T00:00:00"/>
    <n v="11000"/>
    <n v="0"/>
    <n v="4317.4246575342468"/>
    <n v="6682.5753424657532"/>
    <n v="550"/>
    <n v="10"/>
    <n v="8.1342465753424662"/>
    <n v="4853.8493150684935"/>
    <n v="9.1342465753424662"/>
    <n v="613.25753424657535"/>
    <n v="5467.1068493150688"/>
    <n v="0"/>
  </r>
  <r>
    <n v="2071"/>
    <s v="Almirah Steel"/>
    <s v="Sugar Division"/>
    <x v="6"/>
    <m/>
    <s v="Common"/>
    <d v="2013-01-15T00:00:00"/>
    <n v="8672"/>
    <n v="0"/>
    <n v="2647.5734794520545"/>
    <n v="6024.426520547946"/>
    <n v="433.6"/>
    <n v="10"/>
    <n v="7.2164383561643834"/>
    <n v="4354.4056849315057"/>
    <n v="8.2164383561643834"/>
    <n v="559.08265205479461"/>
    <n v="4913.4883369863001"/>
    <n v="0"/>
  </r>
  <r>
    <n v="2072"/>
    <s v="Almirah Steel"/>
    <s v="Sugar Division"/>
    <x v="6"/>
    <m/>
    <s v="Common"/>
    <d v="2012-12-15T00:00:00"/>
    <n v="8672"/>
    <n v="0"/>
    <n v="2717.5434520547942"/>
    <n v="5954.4565479452058"/>
    <n v="433.6"/>
    <n v="10"/>
    <n v="7.3013698630136989"/>
    <n v="13859.784246575342"/>
    <n v="8.3013698630136989"/>
    <n v="552.08565479452056"/>
    <n v="14411.869901369862"/>
    <n v="0"/>
  </r>
  <r>
    <n v="2073"/>
    <s v="Cooler"/>
    <s v="Sugar Division"/>
    <x v="6"/>
    <m/>
    <s v="Common"/>
    <d v="2013-04-15T00:00:00"/>
    <n v="8780"/>
    <n v="0"/>
    <n v="8341"/>
    <n v="439"/>
    <n v="439"/>
    <n v="5"/>
    <n v="6.9698630136986299"/>
    <n v="4170.5"/>
    <n v="7.9698630136986299"/>
    <n v="0"/>
    <n v="4170.5"/>
    <n v="0"/>
  </r>
  <r>
    <n v="2074"/>
    <s v="Double Bed"/>
    <s v="Sugar Division"/>
    <x v="6"/>
    <m/>
    <s v="Common"/>
    <d v="2013-03-15T00:00:00"/>
    <n v="7000"/>
    <n v="0"/>
    <n v="2029.6164383561645"/>
    <n v="4970.3835616438355"/>
    <n v="350"/>
    <n v="10"/>
    <n v="7.0547945205479454"/>
    <n v="5962.263376712328"/>
    <n v="8.0547945205479454"/>
    <n v="462.03835616438357"/>
    <n v="6424.3017328767119"/>
    <n v="0"/>
  </r>
  <r>
    <n v="2075"/>
    <s v="Double Bed "/>
    <s v="Sugar Division"/>
    <x v="6"/>
    <m/>
    <s v="Common"/>
    <d v="2013-01-15T00:00:00"/>
    <n v="7000"/>
    <n v="0"/>
    <n v="2137.1095890410957"/>
    <n v="4862.8904109589039"/>
    <n v="350"/>
    <n v="10"/>
    <n v="7.2164383561643834"/>
    <n v="4724.2849315068497"/>
    <n v="8.2164383561643834"/>
    <n v="451.28904109589041"/>
    <n v="5175.5739726027405"/>
    <n v="0"/>
  </r>
  <r>
    <n v="2076"/>
    <s v="Sofa Set"/>
    <s v="Sugar Division"/>
    <x v="6"/>
    <m/>
    <s v="Common"/>
    <d v="2007-11-15T00:00:00"/>
    <n v="12091.67"/>
    <n v="0"/>
    <n v="11487.086499999999"/>
    <n v="604.58350000000064"/>
    <n v="604.58350000000007"/>
    <n v="10"/>
    <n v="12.389041095890411"/>
    <n v="5743.5432499999997"/>
    <n v="13.389041095890411"/>
    <n v="5.6843418860808015E-14"/>
    <n v="5743.5432499999997"/>
    <n v="0"/>
  </r>
  <r>
    <n v="2077"/>
    <s v="Sofa Set"/>
    <s v="Sugar Division"/>
    <x v="6"/>
    <m/>
    <s v="Common"/>
    <d v="2006-09-15T00:00:00"/>
    <n v="15958.06"/>
    <n v="0"/>
    <n v="15160.156999999999"/>
    <n v="797.90300000000025"/>
    <n v="797.90300000000002"/>
    <n v="10"/>
    <n v="13.556164383561644"/>
    <n v="7580.0784999999996"/>
    <n v="14.556164383561644"/>
    <n v="2.2737367544323207E-14"/>
    <n v="7580.0784999999996"/>
    <n v="0"/>
  </r>
  <r>
    <n v="2078"/>
    <s v="Gyzer"/>
    <s v="Sugar Division"/>
    <x v="6"/>
    <m/>
    <s v="Common"/>
    <d v="2013-11-30T00:00:00"/>
    <n v="6497.03"/>
    <n v="0"/>
    <n v="6172.1785"/>
    <n v="324.85149999999976"/>
    <n v="324.85149999999999"/>
    <n v="5"/>
    <n v="6.3424657534246576"/>
    <n v="3086.08925"/>
    <n v="7.3424657534246576"/>
    <n v="-4.5474735088646414E-14"/>
    <n v="3086.08925"/>
    <n v="0"/>
  </r>
  <r>
    <n v="2079"/>
    <s v="Almirah"/>
    <s v="Sugar Division"/>
    <x v="6"/>
    <m/>
    <s v="Common"/>
    <d v="2011-02-15T00:00:00"/>
    <n v="7055"/>
    <n v="0"/>
    <n v="3439.2641780821923"/>
    <n v="3615.7358219178077"/>
    <n v="352.75"/>
    <n v="10"/>
    <n v="9.1342465753424662"/>
    <n v="4314.3971506849321"/>
    <n v="10.134246575342466"/>
    <n v="326.29858219178078"/>
    <n v="4640.695732876713"/>
    <n v="0"/>
  </r>
  <r>
    <n v="2080"/>
    <s v="Almirah"/>
    <s v="Sugar Division"/>
    <x v="6"/>
    <m/>
    <s v="Common"/>
    <d v="2011-04-15T00:00:00"/>
    <n v="6487.5"/>
    <n v="0"/>
    <n v="3062.9886986301367"/>
    <n v="3424.5113013698633"/>
    <n v="324.375"/>
    <n v="10"/>
    <n v="8.9726027397260282"/>
    <n v="3535.82191780822"/>
    <n v="9.9726027397260282"/>
    <n v="310.01363013698636"/>
    <n v="3845.8355479452061"/>
    <n v="0"/>
  </r>
  <r>
    <n v="2081"/>
    <s v="Sofa Set"/>
    <s v="Sugar Division"/>
    <x v="6"/>
    <m/>
    <s v="Common"/>
    <d v="2007-12-15T00:00:00"/>
    <n v="7582.5"/>
    <n v="0"/>
    <n v="7203.375"/>
    <n v="379.125"/>
    <n v="379.125"/>
    <n v="10"/>
    <n v="12.306849315068494"/>
    <n v="3601.6875"/>
    <n v="13.306849315068494"/>
    <n v="0"/>
    <n v="3601.6875"/>
    <n v="0"/>
  </r>
  <r>
    <n v="2082"/>
    <s v="Sofa Set1 No."/>
    <s v="Sugar Division"/>
    <x v="6"/>
    <m/>
    <s v="Common"/>
    <d v="2006-06-15T00:00:00"/>
    <n v="13000"/>
    <n v="0"/>
    <n v="12350"/>
    <n v="650"/>
    <n v="650"/>
    <n v="10"/>
    <n v="13.808219178082192"/>
    <n v="6175"/>
    <n v="14.808219178082192"/>
    <n v="0"/>
    <n v="6175"/>
    <n v="0"/>
  </r>
  <r>
    <n v="2083"/>
    <s v="Almirah"/>
    <s v="Sugar Division"/>
    <x v="6"/>
    <m/>
    <s v="Common"/>
    <d v="2010-01-15T00:00:00"/>
    <n v="6077"/>
    <n v="0"/>
    <n v="5773.15"/>
    <n v="303.85000000000036"/>
    <n v="303.85000000000002"/>
    <n v="10"/>
    <n v="10.219178082191782"/>
    <n v="2886.5749999999998"/>
    <n v="11.219178082191782"/>
    <n v="3.4106051316484814E-14"/>
    <n v="2886.5749999999998"/>
    <n v="0"/>
  </r>
  <r>
    <n v="2084"/>
    <s v="Gyzer"/>
    <s v="Sugar Division"/>
    <x v="6"/>
    <m/>
    <s v="Common"/>
    <d v="2013-02-15T00:00:00"/>
    <n v="5005.2299999999996"/>
    <n v="0"/>
    <n v="4754.9684999999999"/>
    <n v="250.26149999999961"/>
    <n v="250.26149999999998"/>
    <n v="5"/>
    <n v="7.1315068493150688"/>
    <n v="2377.48425"/>
    <n v="8.131506849315068"/>
    <n v="-7.3896444519050346E-14"/>
    <n v="2377.48425"/>
    <n v="0"/>
  </r>
  <r>
    <n v="2085"/>
    <s v="Almirah"/>
    <s v="Sugar Division"/>
    <x v="6"/>
    <m/>
    <s v="Common"/>
    <d v="2010-03-15T00:00:00"/>
    <n v="5658"/>
    <n v="0"/>
    <n v="5375.1"/>
    <n v="282.89999999999964"/>
    <n v="282.90000000000003"/>
    <n v="10"/>
    <n v="10.057534246575342"/>
    <n v="2687.55"/>
    <n v="11.057534246575342"/>
    <n v="-3.9790393202565614E-14"/>
    <n v="2687.55"/>
    <n v="0"/>
  </r>
  <r>
    <n v="2086"/>
    <s v="Gyzer"/>
    <s v="Sugar Division"/>
    <x v="6"/>
    <m/>
    <s v="Common"/>
    <d v="2013-01-15T00:00:00"/>
    <n v="5005.22"/>
    <n v="0"/>
    <n v="4754.9589999999998"/>
    <n v="250.26100000000042"/>
    <n v="250.26100000000002"/>
    <n v="5"/>
    <n v="7.2164383561643834"/>
    <n v="2377.4794999999999"/>
    <n v="8.2164383561643834"/>
    <n v="7.9580786405131228E-14"/>
    <n v="2377.4794999999999"/>
    <n v="0"/>
  </r>
  <r>
    <n v="2087"/>
    <s v="Almirah"/>
    <s v="Sugar Division"/>
    <x v="6"/>
    <m/>
    <s v="Common"/>
    <d v="2009-06-15T00:00:00"/>
    <n v="5623"/>
    <n v="0"/>
    <n v="5341.85"/>
    <n v="281.14999999999964"/>
    <n v="281.15000000000003"/>
    <n v="10"/>
    <n v="10.805479452054794"/>
    <n v="2670.9250000000002"/>
    <n v="11.805479452054794"/>
    <n v="-3.9790393202565614E-14"/>
    <n v="2670.9250000000002"/>
    <n v="0"/>
  </r>
  <r>
    <n v="2088"/>
    <s v="Almirah"/>
    <s v="Sugar Division"/>
    <x v="6"/>
    <m/>
    <s v="Common"/>
    <d v="2009-05-15T00:00:00"/>
    <n v="5575"/>
    <n v="0"/>
    <n v="5296.25"/>
    <n v="278.75"/>
    <n v="278.75"/>
    <n v="10"/>
    <n v="10.890410958904109"/>
    <n v="2648.125"/>
    <n v="11.890410958904109"/>
    <n v="0"/>
    <n v="2648.125"/>
    <n v="0"/>
  </r>
  <r>
    <n v="2089"/>
    <s v="Sofa Set"/>
    <s v="Sugar Division"/>
    <x v="6"/>
    <m/>
    <s v="Common"/>
    <d v="2008-02-15T00:00:00"/>
    <n v="6700"/>
    <n v="0"/>
    <n v="6365"/>
    <n v="335"/>
    <n v="335"/>
    <n v="10"/>
    <n v="12.136986301369863"/>
    <n v="3182.5"/>
    <n v="13.136986301369863"/>
    <n v="0"/>
    <n v="3182.5"/>
    <n v="0"/>
  </r>
  <r>
    <n v="2090"/>
    <s v="Sofa Set 4"/>
    <s v="Sugar Division"/>
    <x v="6"/>
    <m/>
    <s v="Common"/>
    <d v="1997-11-30T00:00:00"/>
    <n v="52900"/>
    <n v="0"/>
    <n v="50255"/>
    <n v="2645"/>
    <n v="2645"/>
    <n v="10"/>
    <n v="22.353424657534248"/>
    <n v="25127.5"/>
    <n v="23.353424657534248"/>
    <n v="0"/>
    <n v="25127.5"/>
    <n v="0"/>
  </r>
  <r>
    <n v="2091"/>
    <s v="Dressing Table With Chair"/>
    <s v="Sugar Division"/>
    <x v="6"/>
    <m/>
    <s v="Common"/>
    <d v="2006-07-15T00:00:00"/>
    <n v="7032.19"/>
    <n v="0"/>
    <n v="6680.5805"/>
    <n v="351.60949999999957"/>
    <n v="351.60950000000003"/>
    <n v="10"/>
    <n v="13.726027397260275"/>
    <n v="3340.29025"/>
    <n v="14.726027397260275"/>
    <n v="-4.5474735088646414E-14"/>
    <n v="3340.29025"/>
    <n v="0"/>
  </r>
  <r>
    <n v="2092"/>
    <s v="Sofa Set"/>
    <s v="Sugar Division"/>
    <x v="6"/>
    <m/>
    <s v="Common"/>
    <d v="2006-08-15T00:00:00"/>
    <n v="6706.12"/>
    <n v="0"/>
    <n v="6370.8140000000003"/>
    <n v="335.30599999999959"/>
    <n v="335.30600000000004"/>
    <n v="10"/>
    <n v="13.641095890410959"/>
    <n v="3185.4070000000002"/>
    <n v="14.641095890410959"/>
    <n v="-4.5474735088646414E-14"/>
    <n v="3185.4070000000002"/>
    <n v="0"/>
  </r>
  <r>
    <n v="2093"/>
    <s v="Sofa Set                    5 Nos."/>
    <s v="Sugar Division"/>
    <x v="6"/>
    <m/>
    <s v="Common"/>
    <d v="1998-11-14T00:00:00"/>
    <n v="40825"/>
    <n v="0"/>
    <n v="38783.75"/>
    <n v="2041.25"/>
    <n v="2041.25"/>
    <n v="10"/>
    <n v="21.397260273972602"/>
    <n v="19391.875"/>
    <n v="22.397260273972602"/>
    <n v="0"/>
    <n v="19391.875"/>
    <n v="0"/>
  </r>
  <r>
    <n v="2094"/>
    <s v="Double Bed 2"/>
    <s v="Sugar Division"/>
    <x v="6"/>
    <m/>
    <s v="Common"/>
    <d v="1997-11-30T00:00:00"/>
    <n v="26220"/>
    <n v="0"/>
    <n v="24909"/>
    <n v="1311"/>
    <n v="1311"/>
    <n v="10"/>
    <n v="22.353424657534248"/>
    <n v="12454.5"/>
    <n v="23.353424657534248"/>
    <n v="0"/>
    <n v="12454.5"/>
    <n v="0"/>
  </r>
  <r>
    <n v="2095"/>
    <s v="Steel Almirah 2"/>
    <s v="Sugar Division"/>
    <x v="6"/>
    <m/>
    <s v="Common"/>
    <d v="1997-11-30T00:00:00"/>
    <n v="25165"/>
    <n v="0"/>
    <n v="23906.75"/>
    <n v="1258.25"/>
    <n v="1258.25"/>
    <n v="10"/>
    <n v="22.353424657534248"/>
    <n v="11953.375"/>
    <n v="23.353424657534248"/>
    <n v="0"/>
    <n v="11953.375"/>
    <n v="0"/>
  </r>
  <r>
    <n v="2096"/>
    <s v="Dining Table               3 Nos."/>
    <s v="Sugar Division"/>
    <x v="6"/>
    <m/>
    <s v="Common"/>
    <d v="1998-11-16T00:00:00"/>
    <n v="18975"/>
    <n v="0"/>
    <n v="18026.25"/>
    <n v="948.75"/>
    <n v="948.75"/>
    <n v="10"/>
    <n v="21.391780821917809"/>
    <n v="9013.125"/>
    <n v="22.391780821917809"/>
    <n v="0"/>
    <n v="9013.125"/>
    <n v="0"/>
  </r>
  <r>
    <n v="2097"/>
    <s v="Dining Table 1"/>
    <s v="Sugar Division"/>
    <x v="6"/>
    <m/>
    <s v="Common"/>
    <d v="1997-11-30T00:00:00"/>
    <n v="18710"/>
    <n v="0"/>
    <n v="17774.5"/>
    <n v="935.5"/>
    <n v="935.5"/>
    <n v="10"/>
    <n v="22.353424657534248"/>
    <n v="8887.25"/>
    <n v="23.353424657534248"/>
    <n v="0"/>
    <n v="8887.25"/>
    <n v="0"/>
  </r>
  <r>
    <n v="2098"/>
    <s v="Carpet 2"/>
    <s v="Sugar Division"/>
    <x v="6"/>
    <m/>
    <s v="Common"/>
    <d v="1993-12-31T00:00:00"/>
    <n v="18000"/>
    <n v="0"/>
    <n v="17100"/>
    <n v="900"/>
    <n v="900"/>
    <n v="10"/>
    <n v="26.271232876712329"/>
    <n v="8550"/>
    <n v="27.271232876712329"/>
    <n v="0"/>
    <n v="8550"/>
    <n v="0"/>
  </r>
  <r>
    <n v="2099"/>
    <s v="Air Conditioner"/>
    <s v="Sugar Division"/>
    <x v="6"/>
    <m/>
    <s v="Common"/>
    <d v="2006-05-05T00:00:00"/>
    <n v="17375"/>
    <n v="0"/>
    <n v="16506.25"/>
    <n v="868.75"/>
    <n v="868.75"/>
    <n v="5"/>
    <n v="13.920547945205479"/>
    <n v="8253.125"/>
    <n v="14.920547945205479"/>
    <n v="0"/>
    <n v="8253.125"/>
    <n v="0"/>
  </r>
  <r>
    <n v="2100"/>
    <s v="T.V. Onida (Coluor) 1"/>
    <s v="Sugar Division"/>
    <x v="6"/>
    <m/>
    <s v="Common"/>
    <d v="1990-12-31T00:00:00"/>
    <n v="15700"/>
    <n v="0"/>
    <n v="14915"/>
    <n v="785"/>
    <n v="785"/>
    <n v="5"/>
    <n v="29.273972602739725"/>
    <n v="7457.5"/>
    <n v="30.273972602739725"/>
    <n v="0"/>
    <n v="7457.5"/>
    <n v="0"/>
  </r>
  <r>
    <n v="2101"/>
    <s v="Sofa Set With Table 2"/>
    <s v="Sugar Division"/>
    <x v="6"/>
    <m/>
    <s v="Common"/>
    <d v="1993-12-13T00:00:00"/>
    <n v="13800"/>
    <n v="0"/>
    <n v="13110"/>
    <n v="690"/>
    <n v="690"/>
    <n v="10"/>
    <n v="26.32054794520548"/>
    <n v="6555"/>
    <n v="27.32054794520548"/>
    <n v="0"/>
    <n v="6555"/>
    <n v="0"/>
  </r>
  <r>
    <n v="2102"/>
    <s v="Photostate Machine(Lko)"/>
    <s v="Sugar Division"/>
    <x v="6"/>
    <m/>
    <s v="Common"/>
    <d v="2006-10-15T00:00:00"/>
    <n v="13750"/>
    <n v="0"/>
    <n v="13062.5"/>
    <n v="687.5"/>
    <n v="687.5"/>
    <n v="5"/>
    <n v="13.473972602739726"/>
    <n v="6531.25"/>
    <n v="14.473972602739726"/>
    <n v="0"/>
    <n v="6531.25"/>
    <n v="0"/>
  </r>
  <r>
    <n v="2103"/>
    <s v="Grass Cutting Machine One   New"/>
    <s v="Sugar Division"/>
    <x v="6"/>
    <m/>
    <s v="Common"/>
    <d v="1990-01-01T00:00:00"/>
    <n v="9773"/>
    <n v="0"/>
    <n v="9284.35"/>
    <n v="488.64999999999964"/>
    <n v="488.65000000000003"/>
    <n v="5"/>
    <n v="30.271232876712329"/>
    <n v="4642.1750000000002"/>
    <n v="31.271232876712329"/>
    <n v="-7.9580786405131228E-14"/>
    <n v="4642.1750000000002"/>
    <n v="0"/>
  </r>
  <r>
    <n v="2104"/>
    <s v="Sofa Set 1"/>
    <s v="Sugar Division"/>
    <x v="6"/>
    <m/>
    <s v="Common"/>
    <d v="1998-03-31T00:00:00"/>
    <n v="8500"/>
    <n v="0"/>
    <n v="8075"/>
    <n v="425"/>
    <n v="425"/>
    <n v="10"/>
    <n v="22.021917808219179"/>
    <n v="4037.5"/>
    <n v="23.021917808219179"/>
    <n v="0"/>
    <n v="4037.5"/>
    <n v="0"/>
  </r>
  <r>
    <n v="2105"/>
    <s v="Sofa Set                    1 Nos."/>
    <s v="Sugar Division"/>
    <x v="6"/>
    <m/>
    <s v="Common"/>
    <d v="1999-01-15T00:00:00"/>
    <n v="8165"/>
    <n v="0"/>
    <n v="7756.75"/>
    <n v="408.25"/>
    <n v="408.25"/>
    <n v="10"/>
    <n v="21.227397260273971"/>
    <n v="3878.375"/>
    <n v="22.227397260273971"/>
    <n v="0"/>
    <n v="3878.375"/>
    <n v="0"/>
  </r>
  <r>
    <n v="2106"/>
    <s v="Computer &amp; Ups"/>
    <s v="Sugar Division"/>
    <x v="6"/>
    <m/>
    <s v="Common"/>
    <d v="2006-05-22T00:00:00"/>
    <n v="8050"/>
    <n v="0"/>
    <n v="7647.5"/>
    <n v="402.5"/>
    <n v="402.5"/>
    <n v="3"/>
    <n v="13.873972602739727"/>
    <n v="3823.75"/>
    <n v="14.873972602739727"/>
    <n v="0"/>
    <n v="3823.75"/>
    <n v="0"/>
  </r>
  <r>
    <n v="2107"/>
    <s v="Sofa Set 1"/>
    <s v="Sugar Division"/>
    <x v="6"/>
    <m/>
    <s v="Common"/>
    <d v="1995-07-15T00:00:00"/>
    <n v="7724"/>
    <n v="0"/>
    <n v="7337.8"/>
    <n v="386.19999999999982"/>
    <n v="386.20000000000005"/>
    <n v="10"/>
    <n v="24.734246575342464"/>
    <n v="3668.9"/>
    <n v="25.734246575342464"/>
    <n v="-2.2737367544323207E-14"/>
    <n v="3668.9"/>
    <n v="0"/>
  </r>
  <r>
    <n v="2108"/>
    <s v="Dining Table "/>
    <s v="Sugar Division"/>
    <x v="6"/>
    <m/>
    <s v="Common"/>
    <d v="1993-12-13T00:00:00"/>
    <n v="7691"/>
    <n v="0"/>
    <n v="7306.45"/>
    <n v="384.55000000000018"/>
    <n v="384.55"/>
    <n v="10"/>
    <n v="26.32054794520548"/>
    <n v="3653.2249999999999"/>
    <n v="27.32054794520548"/>
    <n v="1.7053025658242407E-14"/>
    <n v="3653.2249999999999"/>
    <n v="0"/>
  </r>
  <r>
    <n v="2109"/>
    <s v="Sofa Set 1"/>
    <s v="Sugar Division"/>
    <x v="6"/>
    <m/>
    <s v="Common"/>
    <d v="1996-06-15T00:00:00"/>
    <n v="7200"/>
    <n v="0"/>
    <n v="6840"/>
    <n v="360"/>
    <n v="360"/>
    <n v="10"/>
    <n v="23.813698630136987"/>
    <n v="3420"/>
    <n v="24.813698630136987"/>
    <n v="0"/>
    <n v="3420"/>
    <n v="0"/>
  </r>
  <r>
    <n v="2110"/>
    <s v="Cabinate 1 No."/>
    <s v="Sugar Division"/>
    <x v="6"/>
    <m/>
    <s v="Common"/>
    <d v="2002-03-31T00:00:00"/>
    <n v="6477"/>
    <n v="0"/>
    <n v="6153.15"/>
    <n v="323.85000000000036"/>
    <n v="323.85000000000002"/>
    <n v="10"/>
    <n v="18.019178082191782"/>
    <n v="3076.5749999999998"/>
    <n v="19.019178082191782"/>
    <n v="3.4106051316484814E-14"/>
    <n v="3076.5749999999998"/>
    <n v="0"/>
  </r>
  <r>
    <n v="2111"/>
    <s v="Sofa Set 1"/>
    <s v="Sugar Division"/>
    <x v="6"/>
    <m/>
    <s v="Common"/>
    <d v="1996-03-15T00:00:00"/>
    <n v="6000"/>
    <n v="0"/>
    <n v="5700"/>
    <n v="300"/>
    <n v="300"/>
    <n v="10"/>
    <n v="24.065753424657533"/>
    <n v="2850"/>
    <n v="25.065753424657533"/>
    <n v="0"/>
    <n v="2850"/>
    <n v="0"/>
  </r>
  <r>
    <n v="2112"/>
    <s v="Water Filter 1"/>
    <s v="Sugar Division"/>
    <x v="6"/>
    <m/>
    <s v="Common"/>
    <d v="1997-11-30T00:00:00"/>
    <n v="5690"/>
    <n v="0"/>
    <n v="5405.5"/>
    <n v="284.5"/>
    <n v="284.5"/>
    <n v="5"/>
    <n v="22.353424657534248"/>
    <n v="2702.75"/>
    <n v="23.353424657534248"/>
    <n v="0"/>
    <n v="2702.75"/>
    <n v="0"/>
  </r>
  <r>
    <n v="2113"/>
    <s v="Steel Safe 1"/>
    <s v="Sugar Division"/>
    <x v="6"/>
    <m/>
    <s v="Common"/>
    <d v="1992-12-31T00:00:00"/>
    <n v="5259"/>
    <n v="0"/>
    <n v="4996.05"/>
    <n v="262.94999999999982"/>
    <n v="262.95"/>
    <n v="10"/>
    <n v="27.271232876712329"/>
    <n v="2498.0250000000001"/>
    <n v="28.271232876712329"/>
    <n v="-1.7053025658242407E-14"/>
    <n v="2498.0250000000001"/>
    <n v="0"/>
  </r>
  <r>
    <n v="2114"/>
    <s v="Dining Table 1"/>
    <s v="Sugar Division"/>
    <x v="6"/>
    <m/>
    <s v="Common"/>
    <d v="1995-12-15T00:00:00"/>
    <n v="5200"/>
    <n v="0"/>
    <n v="4940"/>
    <n v="260"/>
    <n v="260"/>
    <n v="10"/>
    <n v="24.315068493150687"/>
    <n v="2470"/>
    <n v="25.315068493150687"/>
    <n v="0"/>
    <n v="2470"/>
    <n v="0"/>
  </r>
  <r>
    <n v="2115"/>
    <s v="Dining Table               1 No."/>
    <s v="Sugar Division"/>
    <x v="6"/>
    <m/>
    <s v="Common"/>
    <d v="1998-10-22T00:00:00"/>
    <n v="5100"/>
    <n v="0"/>
    <n v="4845"/>
    <n v="255"/>
    <n v="255"/>
    <n v="10"/>
    <n v="21.460273972602739"/>
    <n v="2422.5"/>
    <n v="22.460273972602739"/>
    <n v="0"/>
    <n v="2422.5"/>
    <n v="0"/>
  </r>
  <r>
    <n v="2116"/>
    <s v="Chairs 20"/>
    <s v="Sugar Division"/>
    <x v="6"/>
    <m/>
    <s v="Common"/>
    <d v="1981-01-01T00:00:00"/>
    <n v="1050"/>
    <n v="0"/>
    <n v="997.5"/>
    <n v="52.5"/>
    <n v="52.5"/>
    <n v="10"/>
    <n v="39.276712328767125"/>
    <n v="498.75"/>
    <n v="40.276712328767125"/>
    <n v="0"/>
    <n v="498.75"/>
    <n v="0"/>
  </r>
  <r>
    <n v="2117"/>
    <s v="Takhat"/>
    <s v="Sugar Division"/>
    <x v="6"/>
    <m/>
    <s v="Common"/>
    <d v="2006-01-01T00:00:00"/>
    <n v="95000"/>
    <n v="0"/>
    <n v="90250"/>
    <n v="4750"/>
    <n v="4750"/>
    <n v="10"/>
    <n v="14.260273972602739"/>
    <n v="45125"/>
    <n v="15.260273972602739"/>
    <n v="0"/>
    <n v="45125"/>
    <n v="0"/>
  </r>
  <r>
    <n v="2118"/>
    <s v="Almirah 19 Nos."/>
    <s v="Sugar Division"/>
    <x v="6"/>
    <m/>
    <s v="Common"/>
    <d v="2007-01-01T00:00:00"/>
    <n v="86106.74"/>
    <n v="0"/>
    <n v="81801.403000000006"/>
    <n v="4305.3369999999995"/>
    <n v="4305.3370000000004"/>
    <n v="10"/>
    <n v="13.260273972602739"/>
    <n v="40900.701500000003"/>
    <n v="14.260273972602739"/>
    <n v="-9.0949470177292829E-14"/>
    <n v="40900.701500000003"/>
    <n v="0"/>
  </r>
  <r>
    <n v="2119"/>
    <s v="Mattress"/>
    <s v="Sugar Division"/>
    <x v="6"/>
    <m/>
    <s v="Common"/>
    <d v="2007-01-01T00:00:00"/>
    <n v="73748.97"/>
    <n v="0"/>
    <n v="70061.521500000003"/>
    <n v="3687.4484999999986"/>
    <n v="3687.4485000000004"/>
    <n v="10"/>
    <n v="13.260273972602739"/>
    <n v="35030.760750000001"/>
    <n v="14.260273972602739"/>
    <n v="-1.8189894035458566E-13"/>
    <n v="35030.760750000001"/>
    <n v="0"/>
  </r>
  <r>
    <n v="2120"/>
    <s v="Chair 120"/>
    <s v="Sugar Division"/>
    <x v="6"/>
    <m/>
    <s v="Common"/>
    <d v="2013-12-15T00:00:00"/>
    <n v="60146.2"/>
    <n v="0"/>
    <n v="13134.117454794523"/>
    <n v="47012.082545205471"/>
    <n v="3007.31"/>
    <n v="10"/>
    <n v="6.3013698630136989"/>
    <n v="2269.8817191780818"/>
    <n v="7.3013698630136989"/>
    <n v="4400.4772545205478"/>
    <n v="6670.3589736986296"/>
    <n v="0"/>
  </r>
  <r>
    <n v="2121"/>
    <s v="Chair"/>
    <s v="Sugar Division"/>
    <x v="6"/>
    <m/>
    <s v="Common"/>
    <d v="2007-01-01T00:00:00"/>
    <n v="56342.3"/>
    <n v="0"/>
    <n v="53525.185000000005"/>
    <n v="2817.114999999998"/>
    <n v="2817.1150000000002"/>
    <n v="10"/>
    <n v="13.260273972602739"/>
    <n v="26762.592500000002"/>
    <n v="14.260273972602739"/>
    <n v="-2.2737367544323206E-13"/>
    <n v="26762.592500000002"/>
    <n v="0"/>
  </r>
  <r>
    <n v="2122"/>
    <s v="Beds 2"/>
    <s v="Sugar Division"/>
    <x v="6"/>
    <m/>
    <s v="Common"/>
    <d v="1981-01-01T00:00:00"/>
    <n v="306"/>
    <n v="0"/>
    <n v="290.7"/>
    <n v="15.300000000000011"/>
    <n v="15.3"/>
    <n v="10"/>
    <n v="39.276712328767125"/>
    <n v="145.35"/>
    <n v="40.276712328767125"/>
    <n v="1.0658141036401504E-15"/>
    <n v="145.35"/>
    <n v="0"/>
  </r>
  <r>
    <n v="2123"/>
    <s v="Tables 2"/>
    <s v="Sugar Division"/>
    <x v="6"/>
    <m/>
    <s v="Common"/>
    <d v="1981-01-01T00:00:00"/>
    <n v="165"/>
    <n v="0"/>
    <n v="156.75"/>
    <n v="8.25"/>
    <n v="8.25"/>
    <n v="10"/>
    <n v="39.276712328767125"/>
    <n v="78.375"/>
    <n v="40.276712328767125"/>
    <n v="0"/>
    <n v="78.375"/>
    <n v="0"/>
  </r>
  <r>
    <n v="2124"/>
    <s v="Table"/>
    <s v="Sugar Division"/>
    <x v="6"/>
    <m/>
    <s v="Common"/>
    <d v="2006-01-01T00:00:00"/>
    <n v="45000"/>
    <n v="0"/>
    <n v="42750"/>
    <n v="2250"/>
    <n v="2250"/>
    <n v="10"/>
    <n v="14.260273972602739"/>
    <n v="21375"/>
    <n v="15.260273972602739"/>
    <n v="0"/>
    <n v="21375"/>
    <n v="0"/>
  </r>
  <r>
    <n v="2125"/>
    <s v="Garden Chairs 5"/>
    <s v="Sugar Division"/>
    <x v="6"/>
    <m/>
    <s v="Common"/>
    <d v="1981-01-01T00:00:00"/>
    <n v="136"/>
    <n v="0"/>
    <n v="129.19999999999999"/>
    <n v="6.8000000000000114"/>
    <n v="6.8000000000000007"/>
    <n v="10"/>
    <n v="39.276712328767125"/>
    <n v="64.599999999999994"/>
    <n v="40.276712328767125"/>
    <n v="1.0658141036401504E-15"/>
    <n v="64.599999999999994"/>
    <n v="0"/>
  </r>
  <r>
    <n v="2126"/>
    <s v="Wooden Meat Safe 1"/>
    <s v="Sugar Division"/>
    <x v="6"/>
    <m/>
    <s v="Common"/>
    <d v="1981-01-01T00:00:00"/>
    <n v="55"/>
    <n v="0"/>
    <n v="52.25"/>
    <n v="2.75"/>
    <n v="2.75"/>
    <n v="10"/>
    <n v="39.276712328767125"/>
    <n v="26.125"/>
    <n v="40.276712328767125"/>
    <n v="0"/>
    <n v="26.125"/>
    <n v="0"/>
  </r>
  <r>
    <n v="2127"/>
    <s v="Dining Set One"/>
    <s v="Sugar Division"/>
    <x v="6"/>
    <m/>
    <s v="Common"/>
    <d v="1982-01-01T00:00:00"/>
    <n v="850"/>
    <n v="0"/>
    <n v="807.5"/>
    <n v="42.5"/>
    <n v="42.5"/>
    <n v="10"/>
    <n v="38.276712328767125"/>
    <n v="403.75"/>
    <n v="39.276712328767125"/>
    <n v="0"/>
    <n v="403.75"/>
    <n v="0"/>
  </r>
  <r>
    <n v="2128"/>
    <s v="Chairs 23"/>
    <s v="Sugar Division"/>
    <x v="6"/>
    <m/>
    <s v="Common"/>
    <d v="1982-01-01T00:00:00"/>
    <n v="715"/>
    <n v="0"/>
    <n v="679.25"/>
    <n v="35.75"/>
    <n v="35.75"/>
    <n v="10"/>
    <n v="38.276712328767125"/>
    <n v="339.625"/>
    <n v="39.276712328767125"/>
    <n v="0"/>
    <n v="339.625"/>
    <n v="0"/>
  </r>
  <r>
    <n v="2129"/>
    <s v="Table 4"/>
    <s v="Sugar Division"/>
    <x v="6"/>
    <m/>
    <s v="Common"/>
    <d v="1982-01-01T00:00:00"/>
    <n v="575"/>
    <n v="0"/>
    <n v="546.25"/>
    <n v="28.75"/>
    <n v="28.75"/>
    <n v="10"/>
    <n v="38.276712328767125"/>
    <n v="273.125"/>
    <n v="39.276712328767125"/>
    <n v="0"/>
    <n v="273.125"/>
    <n v="0"/>
  </r>
  <r>
    <n v="2130"/>
    <s v="Easy Chairs 4"/>
    <s v="Sugar Division"/>
    <x v="6"/>
    <m/>
    <s v="Common"/>
    <d v="1982-01-01T00:00:00"/>
    <n v="141"/>
    <n v="0"/>
    <n v="133.94999999999999"/>
    <n v="7.0500000000000114"/>
    <n v="7.0500000000000007"/>
    <n v="10"/>
    <n v="38.276712328767125"/>
    <n v="66.974999999999994"/>
    <n v="39.276712328767125"/>
    <n v="1.0658141036401504E-15"/>
    <n v="66.974999999999994"/>
    <n v="0"/>
  </r>
  <r>
    <n v="2131"/>
    <s v="Bed One Pair"/>
    <s v="Sugar Division"/>
    <x v="6"/>
    <m/>
    <s v="Common"/>
    <d v="1983-01-01T00:00:00"/>
    <n v="1500"/>
    <n v="0"/>
    <n v="1425"/>
    <n v="75"/>
    <n v="75"/>
    <n v="10"/>
    <n v="37.276712328767125"/>
    <n v="712.5"/>
    <n v="38.276712328767125"/>
    <n v="0"/>
    <n v="712.5"/>
    <n v="0"/>
  </r>
  <r>
    <n v="2132"/>
    <s v="Dunlop Pillow One Pair"/>
    <s v="Sugar Division"/>
    <x v="6"/>
    <m/>
    <s v="Common"/>
    <d v="1983-01-01T00:00:00"/>
    <n v="1150"/>
    <n v="0"/>
    <n v="1092.5"/>
    <n v="57.5"/>
    <n v="57.5"/>
    <n v="10"/>
    <n v="37.276712328767125"/>
    <n v="546.25"/>
    <n v="38.276712328767125"/>
    <n v="0"/>
    <n v="546.25"/>
    <n v="0"/>
  </r>
  <r>
    <n v="2133"/>
    <s v="Steel Almirah"/>
    <s v="Sugar Division"/>
    <x v="6"/>
    <m/>
    <s v="Common"/>
    <d v="1983-01-01T00:00:00"/>
    <n v="1120"/>
    <n v="0"/>
    <n v="1064"/>
    <n v="56"/>
    <n v="56"/>
    <n v="10"/>
    <n v="37.276712328767125"/>
    <n v="532"/>
    <n v="38.276712328767125"/>
    <n v="0"/>
    <n v="532"/>
    <n v="0"/>
  </r>
  <r>
    <n v="2134"/>
    <s v="Chairs "/>
    <s v="Sugar Division"/>
    <x v="6"/>
    <m/>
    <s v="Common"/>
    <d v="1983-01-01T00:00:00"/>
    <n v="699"/>
    <n v="0"/>
    <n v="664.05"/>
    <n v="34.950000000000045"/>
    <n v="34.950000000000003"/>
    <n v="10"/>
    <n v="37.276712328767125"/>
    <n v="332.02499999999998"/>
    <n v="38.276712328767125"/>
    <n v="4.2632564145606017E-15"/>
    <n v="332.02499999999998"/>
    <n v="0"/>
  </r>
  <r>
    <n v="2135"/>
    <s v="Steel Almirah"/>
    <s v="Sugar Division"/>
    <x v="6"/>
    <m/>
    <s v="Common"/>
    <d v="1984-01-01T00:00:00"/>
    <n v="6916"/>
    <n v="0"/>
    <n v="6570.2"/>
    <n v="345.80000000000018"/>
    <n v="345.8"/>
    <n v="10"/>
    <n v="36.276712328767125"/>
    <n v="3285.1"/>
    <n v="37.276712328767125"/>
    <n v="1.7053025658242407E-14"/>
    <n v="3285.1"/>
    <n v="0"/>
  </r>
  <r>
    <n v="2136"/>
    <s v="Wooden Takhat"/>
    <s v="Sugar Division"/>
    <x v="6"/>
    <m/>
    <s v="Common"/>
    <d v="2008-01-01T00:00:00"/>
    <n v="35693.24"/>
    <n v="0"/>
    <n v="33908.578000000001"/>
    <n v="1784.6619999999966"/>
    <n v="1784.662"/>
    <n v="10"/>
    <n v="12.260273972602739"/>
    <n v="16954.289000000001"/>
    <n v="13.260273972602739"/>
    <n v="-3.4106051316484809E-13"/>
    <n v="16954.289000000001"/>
    <n v="0"/>
  </r>
  <r>
    <n v="2137"/>
    <s v="Chairs"/>
    <s v="Sugar Division"/>
    <x v="6"/>
    <m/>
    <s v="Common"/>
    <d v="1984-01-01T00:00:00"/>
    <n v="1888"/>
    <n v="0"/>
    <n v="1793.6"/>
    <n v="94.400000000000091"/>
    <n v="94.4"/>
    <n v="10"/>
    <n v="36.276712328767125"/>
    <n v="896.8"/>
    <n v="37.276712328767125"/>
    <n v="8.5265128291212035E-15"/>
    <n v="896.8"/>
    <n v="0"/>
  </r>
  <r>
    <n v="2138"/>
    <s v="Chair"/>
    <s v="Sugar Division"/>
    <x v="6"/>
    <m/>
    <s v="Common"/>
    <d v="2008-01-01T00:00:00"/>
    <n v="32904.959999999999"/>
    <n v="0"/>
    <n v="31259.712"/>
    <n v="1645.2479999999996"/>
    <n v="1645.248"/>
    <n v="10"/>
    <n v="12.260273972602739"/>
    <n v="15629.856"/>
    <n v="13.260273972602739"/>
    <n v="-4.5474735088646414E-14"/>
    <n v="15629.856"/>
    <n v="0"/>
  </r>
  <r>
    <n v="2139"/>
    <s v="Tea Tables "/>
    <s v="Sugar Division"/>
    <x v="6"/>
    <m/>
    <s v="Common"/>
    <d v="1984-01-01T00:00:00"/>
    <n v="690"/>
    <n v="0"/>
    <n v="655.5"/>
    <n v="34.5"/>
    <n v="34.5"/>
    <n v="10"/>
    <n v="36.276712328767125"/>
    <n v="327.75"/>
    <n v="37.276712328767125"/>
    <n v="0"/>
    <n v="327.75"/>
    <n v="0"/>
  </r>
  <r>
    <n v="2140"/>
    <s v="Single Bed 8"/>
    <s v="Sugar Division"/>
    <x v="6"/>
    <m/>
    <s v="Common"/>
    <d v="2013-01-15T00:00:00"/>
    <n v="32000"/>
    <n v="0"/>
    <n v="9769.6438356164381"/>
    <n v="22230.356164383564"/>
    <n v="1600"/>
    <n v="10"/>
    <n v="7.2164383561643834"/>
    <n v="1046.9214726027396"/>
    <n v="8.2164383561643834"/>
    <n v="2063.0356164383566"/>
    <n v="3109.957089041096"/>
    <n v="0"/>
  </r>
  <r>
    <n v="2141"/>
    <s v="Wooden Takhat"/>
    <s v="Sugar Division"/>
    <x v="6"/>
    <m/>
    <s v="Common"/>
    <d v="2007-01-01T00:00:00"/>
    <n v="31402.42"/>
    <n v="0"/>
    <n v="29832.298999999999"/>
    <n v="1570.1209999999992"/>
    <n v="1570.1210000000001"/>
    <n v="10"/>
    <n v="13.260273972602739"/>
    <n v="14916.1495"/>
    <n v="14.260273972602739"/>
    <n v="-9.0949470177292829E-14"/>
    <n v="14916.1495"/>
    <n v="0"/>
  </r>
  <r>
    <n v="2142"/>
    <s v="Sweet Safe 1"/>
    <s v="Sugar Division"/>
    <x v="6"/>
    <m/>
    <s v="Common"/>
    <d v="1984-01-01T00:00:00"/>
    <n v="450"/>
    <n v="0"/>
    <n v="427.5"/>
    <n v="22.5"/>
    <n v="22.5"/>
    <n v="10"/>
    <n v="36.276712328767125"/>
    <n v="213.75"/>
    <n v="37.276712328767125"/>
    <n v="0"/>
    <n v="213.75"/>
    <n v="0"/>
  </r>
  <r>
    <n v="2143"/>
    <s v="Takhat 16"/>
    <s v="Sugar Division"/>
    <x v="6"/>
    <m/>
    <s v="Common"/>
    <d v="1985-01-01T00:00:00"/>
    <n v="2550"/>
    <n v="0"/>
    <n v="2422.5"/>
    <n v="127.5"/>
    <n v="127.5"/>
    <n v="10"/>
    <n v="35.273972602739725"/>
    <n v="1211.25"/>
    <n v="36.273972602739725"/>
    <n v="0"/>
    <n v="1211.25"/>
    <n v="0"/>
  </r>
  <r>
    <n v="2144"/>
    <s v="Bed"/>
    <s v="Sugar Division"/>
    <x v="6"/>
    <m/>
    <s v="Common"/>
    <d v="2007-01-01T00:00:00"/>
    <n v="30051.62"/>
    <n v="0"/>
    <n v="28549.038999999997"/>
    <n v="1502.5810000000019"/>
    <n v="1502.5810000000001"/>
    <n v="10"/>
    <n v="13.260273972602739"/>
    <n v="14274.519499999999"/>
    <n v="14.260273972602739"/>
    <n v="1.8189894035458566E-13"/>
    <n v="14274.519499999999"/>
    <n v="0"/>
  </r>
  <r>
    <n v="2145"/>
    <s v="Chairs"/>
    <s v="Sugar Division"/>
    <x v="6"/>
    <m/>
    <s v="Common"/>
    <d v="2006-01-01T00:00:00"/>
    <n v="30000"/>
    <n v="0"/>
    <n v="28500"/>
    <n v="1500"/>
    <n v="1500"/>
    <n v="10"/>
    <n v="14.260273972602739"/>
    <n v="14250"/>
    <n v="15.260273972602739"/>
    <n v="0"/>
    <n v="14250"/>
    <n v="0"/>
  </r>
  <r>
    <n v="2146"/>
    <s v="Furniture Share "/>
    <s v="Sugar Division"/>
    <x v="6"/>
    <m/>
    <s v="Common"/>
    <d v="2006-05-20T00:00:00"/>
    <n v="29807"/>
    <n v="0"/>
    <n v="28316.65"/>
    <n v="1490.3499999999985"/>
    <n v="1490.3500000000001"/>
    <n v="10"/>
    <n v="13.87945205479452"/>
    <n v="14158.325000000001"/>
    <n v="14.87945205479452"/>
    <n v="-1.5916157281026246E-13"/>
    <n v="14158.325000000001"/>
    <n v="0"/>
  </r>
  <r>
    <n v="2147"/>
    <s v="Wooden Takhat (69 Nos)"/>
    <s v="Sugar Division"/>
    <x v="6"/>
    <m/>
    <s v="Common"/>
    <d v="2010-11-15T00:00:00"/>
    <n v="27645.4"/>
    <n v="0"/>
    <n v="14138.917931506849"/>
    <n v="13506.482068493153"/>
    <n v="1382.2700000000002"/>
    <n v="10"/>
    <n v="9.3863013698630144"/>
    <n v="1647.3273287671234"/>
    <n v="10.386301369863014"/>
    <n v="1212.4212068493152"/>
    <n v="2859.7485356164389"/>
    <n v="0"/>
  </r>
  <r>
    <n v="2148"/>
    <s v="Antina &amp;Feeder Wire Of T.V. Table 28"/>
    <s v="Sugar Division"/>
    <x v="6"/>
    <m/>
    <s v="Common"/>
    <d v="1985-01-01T00:00:00"/>
    <n v="1429"/>
    <n v="0"/>
    <n v="1357.55"/>
    <n v="71.450000000000045"/>
    <n v="71.45"/>
    <n v="10"/>
    <n v="35.273972602739725"/>
    <n v="678.77499999999998"/>
    <n v="36.273972602739725"/>
    <n v="4.2632564145606017E-15"/>
    <n v="678.77499999999998"/>
    <n v="0"/>
  </r>
  <r>
    <n v="2149"/>
    <s v="Takhat (59)"/>
    <s v="Sugar Division"/>
    <x v="6"/>
    <m/>
    <s v="Common"/>
    <d v="2012-12-15T00:00:00"/>
    <n v="27182.720000000001"/>
    <n v="0"/>
    <n v="8518.2452427397275"/>
    <n v="18664.474757260272"/>
    <n v="1359.1360000000002"/>
    <n v="10"/>
    <n v="7.3013698630136989"/>
    <n v="333.54109589041036"/>
    <n v="8.3013698630136989"/>
    <n v="1730.5338757260274"/>
    <n v="2064.0749716164378"/>
    <n v="0"/>
  </r>
  <r>
    <n v="2150"/>
    <s v="Thakat (56 Nos)"/>
    <s v="Sugar Division"/>
    <x v="6"/>
    <m/>
    <s v="Common"/>
    <d v="2009-11-15T00:00:00"/>
    <n v="26722.400000000001"/>
    <n v="0"/>
    <n v="25386.280000000002"/>
    <n v="1336.119999999999"/>
    <n v="1336.1200000000001"/>
    <n v="10"/>
    <n v="10.386301369863014"/>
    <n v="12693.140000000001"/>
    <n v="11.386301369863014"/>
    <n v="-1.1368683772161603E-13"/>
    <n v="12693.140000000001"/>
    <n v="0"/>
  </r>
  <r>
    <n v="2151"/>
    <s v="Mattres (8)"/>
    <s v="Sugar Division"/>
    <x v="6"/>
    <m/>
    <s v="Common"/>
    <d v="2012-11-15T00:00:00"/>
    <n v="26372"/>
    <n v="0"/>
    <n v="8470.1083835616446"/>
    <n v="17901.891616438355"/>
    <n v="1318.6000000000001"/>
    <n v="10"/>
    <n v="7.3835616438356162"/>
    <n v="113.20746575342467"/>
    <n v="8.3835616438356162"/>
    <n v="1658.3291616438357"/>
    <n v="1771.5366273972604"/>
    <n v="0"/>
  </r>
  <r>
    <n v="2152"/>
    <s v="Newar Cot 6"/>
    <s v="Sugar Division"/>
    <x v="6"/>
    <m/>
    <s v="Common"/>
    <d v="1985-01-01T00:00:00"/>
    <n v="1409"/>
    <n v="0"/>
    <n v="1338.55"/>
    <n v="70.450000000000045"/>
    <n v="70.45"/>
    <n v="10"/>
    <n v="35.273972602739725"/>
    <n v="669.27499999999998"/>
    <n v="36.273972602739725"/>
    <n v="4.2632564145606017E-15"/>
    <n v="669.27499999999998"/>
    <n v="0"/>
  </r>
  <r>
    <n v="2153"/>
    <s v="Dressing Table 2"/>
    <s v="Sugar Division"/>
    <x v="6"/>
    <m/>
    <s v="Common"/>
    <d v="1985-01-01T00:00:00"/>
    <n v="1050"/>
    <n v="0"/>
    <n v="997.5"/>
    <n v="52.5"/>
    <n v="52.5"/>
    <n v="10"/>
    <n v="35.273972602739725"/>
    <n v="498.75"/>
    <n v="36.273972602739725"/>
    <n v="0"/>
    <n v="498.75"/>
    <n v="0"/>
  </r>
  <r>
    <n v="2154"/>
    <s v="Mattress"/>
    <s v="Sugar Division"/>
    <x v="6"/>
    <m/>
    <s v="Common"/>
    <d v="2008-01-01T00:00:00"/>
    <n v="25926.11"/>
    <n v="0"/>
    <n v="24629.804500000002"/>
    <n v="1296.3054999999986"/>
    <n v="1296.3055000000002"/>
    <n v="10"/>
    <n v="12.260273972602739"/>
    <n v="12314.902250000001"/>
    <n v="13.260273972602739"/>
    <n v="-1.5916157281026246E-13"/>
    <n v="12314.902250000001"/>
    <n v="0"/>
  </r>
  <r>
    <n v="2155"/>
    <s v="Chair 22"/>
    <s v="Sugar Division"/>
    <x v="6"/>
    <m/>
    <s v="Common"/>
    <d v="1985-01-01T00:00:00"/>
    <n v="868"/>
    <n v="0"/>
    <n v="824.6"/>
    <n v="43.399999999999977"/>
    <n v="43.400000000000006"/>
    <n v="10"/>
    <n v="35.273972602739725"/>
    <n v="412.3"/>
    <n v="36.273972602739725"/>
    <n v="-2.8421709430404009E-15"/>
    <n v="412.3"/>
    <n v="0"/>
  </r>
  <r>
    <n v="2156"/>
    <s v="Wooden Takhat- 48"/>
    <s v="Sugar Division"/>
    <x v="6"/>
    <m/>
    <s v="Common"/>
    <d v="2013-12-15T00:00:00"/>
    <n v="25651.599999999999"/>
    <n v="0"/>
    <n v="5601.5363780821917"/>
    <n v="20050.063621917805"/>
    <n v="1282.58"/>
    <n v="10"/>
    <n v="6.3013698630136989"/>
    <n v="1717.6520547945206"/>
    <n v="7.3013698630136989"/>
    <n v="1876.7483621917804"/>
    <n v="3594.400416986301"/>
    <n v="0"/>
  </r>
  <r>
    <n v="2157"/>
    <s v="Water Filter 1"/>
    <s v="Sugar Division"/>
    <x v="6"/>
    <m/>
    <s v="Common"/>
    <d v="1985-01-01T00:00:00"/>
    <n v="430"/>
    <n v="0"/>
    <n v="408.5"/>
    <n v="21.5"/>
    <n v="21.5"/>
    <n v="10"/>
    <n v="35.273972602739725"/>
    <n v="204.25"/>
    <n v="36.273972602739725"/>
    <n v="0"/>
    <n v="204.25"/>
    <n v="0"/>
  </r>
  <r>
    <n v="2158"/>
    <s v="Wooden Almirah 11"/>
    <s v="Sugar Division"/>
    <x v="6"/>
    <m/>
    <s v="Common"/>
    <d v="1985-01-01T00:00:00"/>
    <n v="280"/>
    <n v="0"/>
    <n v="266"/>
    <n v="14"/>
    <n v="14"/>
    <n v="10"/>
    <n v="35.273972602739725"/>
    <n v="133"/>
    <n v="36.273972602739725"/>
    <n v="0"/>
    <n v="133"/>
    <n v="0"/>
  </r>
  <r>
    <n v="2159"/>
    <s v="Beds"/>
    <s v="Sugar Division"/>
    <x v="6"/>
    <m/>
    <s v="Common"/>
    <d v="2006-01-01T00:00:00"/>
    <n v="24000"/>
    <n v="0"/>
    <n v="22800"/>
    <n v="1200"/>
    <n v="1200"/>
    <n v="10"/>
    <n v="14.260273972602739"/>
    <n v="11400"/>
    <n v="15.260273972602739"/>
    <n v="0"/>
    <n v="11400"/>
    <n v="0"/>
  </r>
  <r>
    <n v="2160"/>
    <s v="Sweet Safe 1"/>
    <s v="Sugar Division"/>
    <x v="6"/>
    <m/>
    <s v="Common"/>
    <d v="1985-01-01T00:00:00"/>
    <n v="280"/>
    <n v="0"/>
    <n v="266"/>
    <n v="14"/>
    <n v="14"/>
    <n v="10"/>
    <n v="35.273972602739725"/>
    <n v="133"/>
    <n v="36.273972602739725"/>
    <n v="0"/>
    <n v="133"/>
    <n v="0"/>
  </r>
  <r>
    <n v="2161"/>
    <s v="Table"/>
    <s v="Sugar Division"/>
    <x v="6"/>
    <m/>
    <s v="Common"/>
    <d v="2008-01-01T00:00:00"/>
    <n v="21142.12"/>
    <n v="0"/>
    <n v="20085.013999999999"/>
    <n v="1057.1059999999998"/>
    <n v="1057.106"/>
    <n v="10"/>
    <n v="12.260273972602739"/>
    <n v="10042.507"/>
    <n v="13.260273972602739"/>
    <n v="-2.2737367544323207E-14"/>
    <n v="10042.507"/>
    <n v="0"/>
  </r>
  <r>
    <n v="2162"/>
    <s v="Folding Beds 2"/>
    <s v="Sugar Division"/>
    <x v="6"/>
    <m/>
    <s v="Common"/>
    <d v="1985-01-01T00:00:00"/>
    <n v="265"/>
    <n v="0"/>
    <n v="251.75"/>
    <n v="13.25"/>
    <n v="13.25"/>
    <n v="10"/>
    <n v="35.273972602739725"/>
    <n v="125.875"/>
    <n v="36.273972602739725"/>
    <n v="0"/>
    <n v="125.875"/>
    <n v="0"/>
  </r>
  <r>
    <n v="2163"/>
    <s v="Wall Clock 1 New"/>
    <s v="Sugar Division"/>
    <x v="6"/>
    <m/>
    <s v="Common"/>
    <d v="1985-01-01T00:00:00"/>
    <n v="225"/>
    <n v="0"/>
    <n v="213.75"/>
    <n v="11.25"/>
    <n v="11.25"/>
    <n v="10"/>
    <n v="35.273972602739725"/>
    <n v="106.875"/>
    <n v="36.273972602739725"/>
    <n v="0"/>
    <n v="106.875"/>
    <n v="0"/>
  </r>
  <r>
    <n v="2164"/>
    <s v="Almirah"/>
    <s v="Sugar Division"/>
    <x v="6"/>
    <m/>
    <s v="Common"/>
    <d v="2008-01-01T00:00:00"/>
    <n v="20353.3"/>
    <n v="0"/>
    <n v="19335.634999999998"/>
    <n v="1017.6650000000009"/>
    <n v="1017.665"/>
    <n v="10"/>
    <n v="12.260273972602739"/>
    <n v="9667.8174999999992"/>
    <n v="13.260273972602739"/>
    <n v="9.0949470177292829E-14"/>
    <n v="9667.8174999999992"/>
    <n v="0"/>
  </r>
  <r>
    <n v="2165"/>
    <s v="Takhat 64 Nos."/>
    <s v="Sugar Division"/>
    <x v="6"/>
    <m/>
    <s v="Common"/>
    <d v="2008-12-15T00:00:00"/>
    <n v="19875.46"/>
    <n v="0"/>
    <n v="18881.686999999998"/>
    <n v="993.77300000000105"/>
    <n v="993.77300000000002"/>
    <n v="10"/>
    <n v="11.304109589041095"/>
    <n v="9440.843499999999"/>
    <n v="12.304109589041095"/>
    <n v="1.0231815394945443E-13"/>
    <n v="9440.843499999999"/>
    <n v="0"/>
  </r>
  <r>
    <n v="2166"/>
    <s v="Steel Almirah 2"/>
    <s v="Sugar Division"/>
    <x v="6"/>
    <m/>
    <s v="Common"/>
    <d v="1986-01-01T00:00:00"/>
    <n v="2717"/>
    <n v="0"/>
    <n v="2581.15"/>
    <n v="135.84999999999991"/>
    <n v="135.85"/>
    <n v="10"/>
    <n v="34.273972602739725"/>
    <n v="1290.575"/>
    <n v="35.273972602739725"/>
    <n v="-8.5265128291212035E-15"/>
    <n v="1290.575"/>
    <n v="0"/>
  </r>
  <r>
    <n v="2167"/>
    <s v="Wooden Almirah 2"/>
    <s v="Sugar Division"/>
    <x v="6"/>
    <m/>
    <s v="Common"/>
    <d v="1986-01-01T00:00:00"/>
    <n v="1986"/>
    <n v="0"/>
    <n v="1886.7"/>
    <n v="99.299999999999955"/>
    <n v="99.300000000000011"/>
    <n v="10"/>
    <n v="34.273972602739725"/>
    <n v="943.35"/>
    <n v="35.273972602739725"/>
    <n v="-5.6843418860808018E-15"/>
    <n v="943.35"/>
    <n v="0"/>
  </r>
  <r>
    <n v="2168"/>
    <s v="Dinning Chair 12"/>
    <s v="Sugar Division"/>
    <x v="6"/>
    <m/>
    <s v="Common"/>
    <d v="1986-01-01T00:00:00"/>
    <n v="1700"/>
    <n v="0"/>
    <n v="1615"/>
    <n v="85"/>
    <n v="85"/>
    <n v="10"/>
    <n v="34.273972602739725"/>
    <n v="807.5"/>
    <n v="35.273972602739725"/>
    <n v="0"/>
    <n v="807.5"/>
    <n v="0"/>
  </r>
  <r>
    <n v="2169"/>
    <s v="Chair"/>
    <s v="Sugar Division"/>
    <x v="6"/>
    <m/>
    <s v="Common"/>
    <d v="1986-01-01T00:00:00"/>
    <n v="1660"/>
    <n v="0"/>
    <n v="1577"/>
    <n v="83"/>
    <n v="83"/>
    <n v="10"/>
    <n v="34.273972602739725"/>
    <n v="788.5"/>
    <n v="35.273972602739725"/>
    <n v="0"/>
    <n v="788.5"/>
    <n v="0"/>
  </r>
  <r>
    <n v="2170"/>
    <s v="Chair (10)"/>
    <s v="Sugar Division"/>
    <x v="6"/>
    <m/>
    <s v="Common"/>
    <d v="2013-11-30T00:00:00"/>
    <n v="18000"/>
    <n v="0"/>
    <n v="4000.9315068493152"/>
    <n v="13999.068493150684"/>
    <n v="900"/>
    <n v="10"/>
    <n v="6.3424657534246576"/>
    <n v="2240.6300479452057"/>
    <n v="7.3424657534246576"/>
    <n v="1309.9068493150685"/>
    <n v="3550.5368972602741"/>
    <n v="0"/>
  </r>
  <r>
    <n v="2171"/>
    <s v="Table (14 Nos.)"/>
    <s v="Sugar Division"/>
    <x v="6"/>
    <m/>
    <s v="Common"/>
    <d v="2008-11-15T00:00:00"/>
    <n v="17939.32"/>
    <n v="0"/>
    <n v="17042.353999999999"/>
    <n v="896.96600000000035"/>
    <n v="896.96600000000001"/>
    <n v="10"/>
    <n v="11.386301369863014"/>
    <n v="8521.1769999999997"/>
    <n v="12.386301369863014"/>
    <n v="3.4106051316484814E-14"/>
    <n v="8521.1769999999997"/>
    <n v="0"/>
  </r>
  <r>
    <n v="2172"/>
    <s v="Chair - 89"/>
    <s v="Sugar Division"/>
    <x v="6"/>
    <m/>
    <s v="Common"/>
    <d v="2012-12-15T00:00:00"/>
    <n v="17907.28"/>
    <n v="0"/>
    <n v="5611.6018805479443"/>
    <n v="12295.678119452055"/>
    <n v="895.36400000000003"/>
    <n v="10"/>
    <n v="7.3013698630136989"/>
    <n v="1324.9277808219176"/>
    <n v="8.3013698630136989"/>
    <n v="1140.0314119452057"/>
    <n v="2464.9591927671236"/>
    <n v="0"/>
  </r>
  <r>
    <n v="2173"/>
    <s v="Table"/>
    <s v="Sugar Division"/>
    <x v="6"/>
    <m/>
    <s v="Common"/>
    <d v="2007-01-01T00:00:00"/>
    <n v="17893.54"/>
    <n v="0"/>
    <n v="16998.863000000001"/>
    <n v="894.67699999999968"/>
    <n v="894.67700000000013"/>
    <n v="10"/>
    <n v="13.260273972602739"/>
    <n v="8499.4315000000006"/>
    <n v="14.260273972602739"/>
    <n v="-4.5474735088646414E-14"/>
    <n v="8499.4315000000006"/>
    <n v="0"/>
  </r>
  <r>
    <n v="2174"/>
    <s v="Tea Table 24"/>
    <s v="Sugar Division"/>
    <x v="6"/>
    <m/>
    <s v="Common"/>
    <d v="1986-01-01T00:00:00"/>
    <n v="1442"/>
    <n v="0"/>
    <n v="1369.9"/>
    <n v="72.099999999999909"/>
    <n v="72.100000000000009"/>
    <n v="10"/>
    <n v="34.273972602739725"/>
    <n v="684.95"/>
    <n v="35.273972602739725"/>
    <n v="-9.9475983006414035E-15"/>
    <n v="684.95"/>
    <n v="0"/>
  </r>
  <r>
    <n v="2175"/>
    <s v="Tape Recorder Bush One New"/>
    <s v="Sugar Division"/>
    <x v="6"/>
    <m/>
    <s v="Common"/>
    <d v="1986-01-01T00:00:00"/>
    <n v="725"/>
    <n v="0"/>
    <n v="688.75"/>
    <n v="36.25"/>
    <n v="36.25"/>
    <n v="10"/>
    <n v="34.273972602739725"/>
    <n v="344.375"/>
    <n v="35.273972602739725"/>
    <n v="0"/>
    <n v="344.375"/>
    <n v="0"/>
  </r>
  <r>
    <n v="2176"/>
    <s v="Office Table 2"/>
    <s v="Sugar Division"/>
    <x v="6"/>
    <m/>
    <s v="Common"/>
    <d v="1986-01-01T00:00:00"/>
    <n v="589"/>
    <n v="0"/>
    <n v="559.54999999999995"/>
    <n v="29.450000000000045"/>
    <n v="29.450000000000003"/>
    <n v="10"/>
    <n v="34.273972602739725"/>
    <n v="279.77499999999998"/>
    <n v="35.273972602739725"/>
    <n v="4.2632564145606017E-15"/>
    <n v="279.77499999999998"/>
    <n v="0"/>
  </r>
  <r>
    <n v="2177"/>
    <s v="Wooden Takhat (32)"/>
    <s v="Sugar Division"/>
    <x v="6"/>
    <m/>
    <s v="Common"/>
    <d v="2013-01-15T00:00:00"/>
    <n v="17033.32"/>
    <n v="0"/>
    <n v="5200.2959293150689"/>
    <n v="11833.024070684931"/>
    <n v="851.66600000000005"/>
    <n v="10"/>
    <n v="7.2164383561643834"/>
    <n v="4059.8041780821923"/>
    <n v="8.2164383561643834"/>
    <n v="1098.1358070684932"/>
    <n v="5157.939985150686"/>
    <n v="0"/>
  </r>
  <r>
    <n v="2178"/>
    <s v="Mattress -7"/>
    <s v="Sugar Division"/>
    <x v="6"/>
    <m/>
    <s v="Common"/>
    <d v="2013-01-15T00:00:00"/>
    <n v="16800"/>
    <n v="0"/>
    <n v="5129.0630136986301"/>
    <n v="11670.936986301371"/>
    <n v="840"/>
    <n v="10"/>
    <n v="7.2164383561643834"/>
    <n v="16.397260273972279"/>
    <n v="8.2164383561643834"/>
    <n v="1083.0936986301372"/>
    <n v="1099.4909589041094"/>
    <n v="0"/>
  </r>
  <r>
    <n v="2179"/>
    <s v="Takhat 1"/>
    <s v="Sugar Division"/>
    <x v="6"/>
    <m/>
    <s v="Common"/>
    <d v="1986-01-01T00:00:00"/>
    <n v="500"/>
    <n v="0"/>
    <n v="475"/>
    <n v="25"/>
    <n v="25"/>
    <n v="10"/>
    <n v="34.273972602739725"/>
    <n v="237.5"/>
    <n v="35.273972602739725"/>
    <n v="0"/>
    <n v="237.5"/>
    <n v="0"/>
  </r>
  <r>
    <n v="2180"/>
    <s v="Dressing Tables"/>
    <s v="Sugar Division"/>
    <x v="6"/>
    <m/>
    <s v="Common"/>
    <d v="2007-01-01T00:00:00"/>
    <n v="16545.8"/>
    <n v="0"/>
    <n v="15718.509999999998"/>
    <n v="827.29000000000087"/>
    <n v="827.29"/>
    <n v="10"/>
    <n v="13.260273972602739"/>
    <n v="7859.2549999999992"/>
    <n v="14.260273972602739"/>
    <n v="9.0949470177292829E-14"/>
    <n v="7859.2549999999992"/>
    <n v="0"/>
  </r>
  <r>
    <n v="2181"/>
    <s v="Dressing Table 1"/>
    <s v="Sugar Division"/>
    <x v="6"/>
    <m/>
    <s v="Common"/>
    <d v="1986-01-01T00:00:00"/>
    <n v="500"/>
    <n v="0"/>
    <n v="475"/>
    <n v="25"/>
    <n v="25"/>
    <n v="10"/>
    <n v="34.273972602739725"/>
    <n v="237.5"/>
    <n v="35.273972602739725"/>
    <n v="0"/>
    <n v="237.5"/>
    <n v="0"/>
  </r>
  <r>
    <n v="2182"/>
    <s v="Chair Armed 2"/>
    <s v="Sugar Division"/>
    <x v="6"/>
    <m/>
    <s v="Common"/>
    <d v="1986-01-01T00:00:00"/>
    <n v="239"/>
    <n v="0"/>
    <n v="227.05"/>
    <n v="11.949999999999989"/>
    <n v="11.950000000000001"/>
    <n v="10"/>
    <n v="34.273972602739725"/>
    <n v="113.52500000000001"/>
    <n v="35.273972602739725"/>
    <n v="-1.2434497875801754E-15"/>
    <n v="113.52500000000001"/>
    <n v="0"/>
  </r>
  <r>
    <n v="2183"/>
    <s v="Steel Box 1"/>
    <s v="Sugar Division"/>
    <x v="6"/>
    <m/>
    <s v="Common"/>
    <d v="1986-01-01T00:00:00"/>
    <n v="106"/>
    <n v="0"/>
    <n v="100.7"/>
    <n v="5.2999999999999972"/>
    <n v="5.3000000000000007"/>
    <n v="10"/>
    <n v="34.273972602739725"/>
    <n v="50.35"/>
    <n v="35.273972602739725"/>
    <n v="-3.5527136788005011E-16"/>
    <n v="50.35"/>
    <n v="0"/>
  </r>
  <r>
    <n v="2184"/>
    <s v="Sofa Set 3"/>
    <s v="Sugar Division"/>
    <x v="6"/>
    <m/>
    <s v="Common"/>
    <d v="1987-01-01T00:00:00"/>
    <n v="11873"/>
    <n v="0"/>
    <n v="11279.35"/>
    <n v="593.64999999999964"/>
    <n v="593.65"/>
    <n v="10"/>
    <n v="33.273972602739725"/>
    <n v="5639.6750000000002"/>
    <n v="34.273972602739725"/>
    <n v="-3.4106051316484814E-14"/>
    <n v="5639.6750000000002"/>
    <n v="0"/>
  </r>
  <r>
    <n v="2185"/>
    <s v="Sofa Set"/>
    <s v="Sugar Division"/>
    <x v="6"/>
    <m/>
    <s v="Common"/>
    <d v="2006-01-01T00:00:00"/>
    <n v="14875.55"/>
    <n v="0"/>
    <n v="14131.772499999999"/>
    <n v="743.77750000000015"/>
    <n v="743.77750000000003"/>
    <n v="10"/>
    <n v="14.260273972602739"/>
    <n v="7065.8862499999996"/>
    <n v="15.260273972602739"/>
    <n v="1.1368683772161604E-14"/>
    <n v="7065.8862499999996"/>
    <n v="0"/>
  </r>
  <r>
    <n v="2186"/>
    <s v="Chairs 35"/>
    <s v="Sugar Division"/>
    <x v="6"/>
    <m/>
    <s v="Common"/>
    <d v="1987-01-01T00:00:00"/>
    <n v="3208"/>
    <n v="0"/>
    <n v="3047.6"/>
    <n v="160.40000000000009"/>
    <n v="160.4"/>
    <n v="10"/>
    <n v="33.273972602739725"/>
    <n v="1523.8"/>
    <n v="34.273972602739725"/>
    <n v="8.5265128291212035E-15"/>
    <n v="1523.8"/>
    <n v="0"/>
  </r>
  <r>
    <n v="2187"/>
    <s v="Steel Almirah 1 "/>
    <s v="Sugar Division"/>
    <x v="6"/>
    <m/>
    <s v="Common"/>
    <d v="1987-01-01T00:00:00"/>
    <n v="1698"/>
    <n v="0"/>
    <n v="1613.1"/>
    <n v="84.900000000000091"/>
    <n v="84.9"/>
    <n v="10"/>
    <n v="33.273972602739725"/>
    <n v="806.55"/>
    <n v="34.273972602739725"/>
    <n v="8.5265128291212035E-15"/>
    <n v="806.55"/>
    <n v="0"/>
  </r>
  <r>
    <n v="2188"/>
    <s v="Chair (12 No.)"/>
    <s v="Sugar Division"/>
    <x v="6"/>
    <m/>
    <s v="Common"/>
    <d v="2009-08-15T00:00:00"/>
    <n v="14000"/>
    <n v="0"/>
    <n v="13300"/>
    <n v="700"/>
    <n v="700"/>
    <n v="10"/>
    <n v="10.638356164383561"/>
    <n v="6650"/>
    <n v="11.638356164383561"/>
    <n v="0"/>
    <n v="6650"/>
    <n v="0"/>
  </r>
  <r>
    <n v="2189"/>
    <s v="Wooden Almirah 11"/>
    <s v="Sugar Division"/>
    <x v="6"/>
    <m/>
    <s v="Common"/>
    <d v="1987-01-01T00:00:00"/>
    <n v="1628"/>
    <n v="0"/>
    <n v="1546.6"/>
    <n v="81.400000000000091"/>
    <n v="81.400000000000006"/>
    <n v="10"/>
    <n v="33.273972602739725"/>
    <n v="773.3"/>
    <n v="34.273972602739725"/>
    <n v="8.5265128291212035E-15"/>
    <n v="773.3"/>
    <n v="0"/>
  </r>
  <r>
    <n v="2190"/>
    <s v="Fruit Self 2"/>
    <s v="Sugar Division"/>
    <x v="6"/>
    <m/>
    <s v="Common"/>
    <d v="1987-01-01T00:00:00"/>
    <n v="947"/>
    <n v="0"/>
    <n v="899.65"/>
    <n v="47.350000000000023"/>
    <n v="47.35"/>
    <n v="10"/>
    <n v="33.273972602739725"/>
    <n v="449.82499999999999"/>
    <n v="34.273972602739725"/>
    <n v="2.1316282072803009E-15"/>
    <n v="449.82499999999999"/>
    <n v="0"/>
  </r>
  <r>
    <n v="2191"/>
    <s v="Chair (76 Nos)"/>
    <s v="Sugar Division"/>
    <x v="6"/>
    <m/>
    <s v="Common"/>
    <d v="2009-11-15T00:00:00"/>
    <n v="13561.1"/>
    <n v="0"/>
    <n v="12883.045"/>
    <n v="678.05500000000029"/>
    <n v="678.05500000000006"/>
    <n v="10"/>
    <n v="10.386301369863014"/>
    <n v="6441.5225"/>
    <n v="11.386301369863014"/>
    <n v="2.2737367544323207E-14"/>
    <n v="6441.5225"/>
    <n v="0"/>
  </r>
  <r>
    <n v="2192"/>
    <s v="Chairs (8)"/>
    <s v="Sugar Division"/>
    <x v="6"/>
    <m/>
    <s v="Common"/>
    <d v="2012-11-15T00:00:00"/>
    <n v="13280"/>
    <n v="0"/>
    <n v="4265.2449315068488"/>
    <n v="9014.7550684931521"/>
    <n v="664"/>
    <n v="10"/>
    <n v="7.3835616438356162"/>
    <n v="609.5939178082192"/>
    <n v="8.3835616438356162"/>
    <n v="835.07550684931527"/>
    <n v="1444.6694246575344"/>
    <n v="0"/>
  </r>
  <r>
    <n v="2193"/>
    <s v="Blower - 7"/>
    <s v="Sugar Division"/>
    <x v="6"/>
    <m/>
    <s v="Common"/>
    <d v="2013-12-15T00:00:00"/>
    <n v="13259.04"/>
    <n v="0"/>
    <n v="12596.088000000002"/>
    <n v="662.95199999999932"/>
    <n v="662.95200000000011"/>
    <n v="5"/>
    <n v="6.3013698630136989"/>
    <n v="6298.0440000000008"/>
    <n v="7.3013698630136989"/>
    <n v="-1.5916157281026246E-13"/>
    <n v="6298.0440000000008"/>
    <n v="0"/>
  </r>
  <r>
    <n v="2194"/>
    <s v="Tea Table 6"/>
    <s v="Sugar Division"/>
    <x v="6"/>
    <m/>
    <s v="Common"/>
    <d v="1987-01-01T00:00:00"/>
    <n v="587"/>
    <n v="0"/>
    <n v="557.65"/>
    <n v="29.350000000000023"/>
    <n v="29.35"/>
    <n v="10"/>
    <n v="33.273972602739725"/>
    <n v="278.82499999999999"/>
    <n v="34.273972602739725"/>
    <n v="2.1316282072803009E-15"/>
    <n v="278.82499999999999"/>
    <n v="0"/>
  </r>
  <r>
    <n v="2195"/>
    <s v="Dining Table 1"/>
    <s v="Sugar Division"/>
    <x v="6"/>
    <m/>
    <s v="Common"/>
    <d v="1987-01-01T00:00:00"/>
    <n v="200"/>
    <n v="0"/>
    <n v="190"/>
    <n v="10"/>
    <n v="10"/>
    <n v="10"/>
    <n v="33.273972602739725"/>
    <n v="95"/>
    <n v="34.273972602739725"/>
    <n v="0"/>
    <n v="95"/>
    <n v="0"/>
  </r>
  <r>
    <n v="2196"/>
    <s v="Dining Chairs 2"/>
    <s v="Sugar Division"/>
    <x v="6"/>
    <m/>
    <s v="Common"/>
    <d v="1987-01-01T00:00:00"/>
    <n v="160"/>
    <n v="0"/>
    <n v="152"/>
    <n v="8"/>
    <n v="8"/>
    <n v="10"/>
    <n v="33.273972602739725"/>
    <n v="76"/>
    <n v="34.273972602739725"/>
    <n v="0"/>
    <n v="76"/>
    <n v="0"/>
  </r>
  <r>
    <n v="2197"/>
    <s v="Filing Cabinate 1"/>
    <s v="Sugar Division"/>
    <x v="6"/>
    <m/>
    <s v="Common"/>
    <d v="1988-01-01T00:00:00"/>
    <n v="2106"/>
    <n v="0"/>
    <n v="2000.7"/>
    <n v="105.29999999999995"/>
    <n v="105.30000000000001"/>
    <n v="10"/>
    <n v="32.273972602739725"/>
    <n v="1000.35"/>
    <n v="33.273972602739725"/>
    <n v="-5.6843418860808018E-15"/>
    <n v="1000.35"/>
    <n v="0"/>
  </r>
  <r>
    <n v="2198"/>
    <s v="Coolers ( 5 Nos.)"/>
    <s v="Sugar Division"/>
    <x v="6"/>
    <m/>
    <s v="Common"/>
    <d v="2012-06-15T00:00:00"/>
    <n v="11860.75"/>
    <n v="0"/>
    <n v="11267.7125"/>
    <n v="593.03750000000036"/>
    <n v="593.03750000000002"/>
    <n v="5"/>
    <n v="7.8027397260273972"/>
    <n v="5633.8562499999998"/>
    <n v="8.8027397260273972"/>
    <n v="6.8212102632969628E-14"/>
    <n v="5633.8562499999998"/>
    <n v="0"/>
  </r>
  <r>
    <n v="2199"/>
    <s v="Chair  ( 67 Nos. )  "/>
    <s v="Sugar Division"/>
    <x v="6"/>
    <m/>
    <s v="Common"/>
    <d v="2010-11-15T00:00:00"/>
    <n v="11710"/>
    <n v="0"/>
    <n v="5988.9431506849314"/>
    <n v="5721.0568493150686"/>
    <n v="585.5"/>
    <n v="10"/>
    <n v="9.3863013698630144"/>
    <n v="276.55395342465772"/>
    <n v="10.386301369863014"/>
    <n v="513.5556849315069"/>
    <n v="790.10963835616462"/>
    <n v="0"/>
  </r>
  <r>
    <n v="2200"/>
    <s v="Double Bed 1"/>
    <s v="Sugar Division"/>
    <x v="6"/>
    <m/>
    <s v="Common"/>
    <d v="1988-01-01T00:00:00"/>
    <n v="1625"/>
    <n v="0"/>
    <n v="1543.75"/>
    <n v="81.25"/>
    <n v="81.25"/>
    <n v="10"/>
    <n v="32.273972602739725"/>
    <n v="771.875"/>
    <n v="33.273972602739725"/>
    <n v="0"/>
    <n v="771.875"/>
    <n v="0"/>
  </r>
  <r>
    <n v="2201"/>
    <s v="Table (25 Nos.)"/>
    <s v="Sugar Division"/>
    <x v="6"/>
    <m/>
    <s v="Common"/>
    <d v="2009-11-15T00:00:00"/>
    <n v="11282.42"/>
    <n v="0"/>
    <n v="10718.299000000001"/>
    <n v="564.12099999999919"/>
    <n v="564.12099999999998"/>
    <n v="10"/>
    <n v="10.386301369863014"/>
    <n v="5359.1495000000004"/>
    <n v="11.386301369863014"/>
    <n v="-7.9580786405131228E-14"/>
    <n v="5359.1495000000004"/>
    <n v="0"/>
  </r>
  <r>
    <n v="2202"/>
    <s v="Chair 16"/>
    <s v="Sugar Division"/>
    <x v="6"/>
    <m/>
    <s v="Common"/>
    <d v="1988-01-01T00:00:00"/>
    <n v="1557"/>
    <n v="0"/>
    <n v="1479.15"/>
    <n v="77.849999999999909"/>
    <n v="77.850000000000009"/>
    <n v="10"/>
    <n v="32.273972602739725"/>
    <n v="739.57500000000005"/>
    <n v="33.273972602739725"/>
    <n v="-9.9475983006414035E-15"/>
    <n v="739.57500000000005"/>
    <n v="0"/>
  </r>
  <r>
    <n v="2203"/>
    <s v="Centre Table 1"/>
    <s v="Sugar Division"/>
    <x v="6"/>
    <m/>
    <s v="Common"/>
    <d v="1988-01-01T00:00:00"/>
    <n v="750"/>
    <n v="0"/>
    <n v="712.5"/>
    <n v="37.5"/>
    <n v="37.5"/>
    <n v="10"/>
    <n v="32.273972602739725"/>
    <n v="356.25"/>
    <n v="33.273972602739725"/>
    <n v="0"/>
    <n v="356.25"/>
    <n v="0"/>
  </r>
  <r>
    <n v="2204"/>
    <s v="Chair 82 Nos."/>
    <s v="Sugar Division"/>
    <x v="6"/>
    <m/>
    <s v="Common"/>
    <d v="2008-12-15T00:00:00"/>
    <n v="11084.24"/>
    <n v="0"/>
    <n v="10530.028"/>
    <n v="554.21199999999953"/>
    <n v="554.21199999999999"/>
    <n v="10"/>
    <n v="11.304109589041095"/>
    <n v="5265.0140000000001"/>
    <n v="12.304109589041095"/>
    <n v="-4.5474735088646414E-14"/>
    <n v="5265.0140000000001"/>
    <n v="0"/>
  </r>
  <r>
    <n v="2205"/>
    <s v="Chair (10 No)"/>
    <s v="Sugar Division"/>
    <x v="6"/>
    <m/>
    <s v="Common"/>
    <d v="2009-08-15T00:00:00"/>
    <n v="11000"/>
    <n v="0"/>
    <n v="10450"/>
    <n v="550"/>
    <n v="550"/>
    <n v="10"/>
    <n v="10.638356164383561"/>
    <n v="5225"/>
    <n v="11.638356164383561"/>
    <n v="0"/>
    <n v="5225"/>
    <n v="0"/>
  </r>
  <r>
    <n v="2206"/>
    <s v="Tea Table 5"/>
    <s v="Sugar Division"/>
    <x v="6"/>
    <m/>
    <s v="Common"/>
    <d v="1988-01-01T00:00:00"/>
    <n v="266"/>
    <n v="0"/>
    <n v="252.7"/>
    <n v="13.300000000000011"/>
    <n v="13.3"/>
    <n v="10"/>
    <n v="32.273972602739725"/>
    <n v="126.35"/>
    <n v="33.273972602739725"/>
    <n v="1.0658141036401504E-15"/>
    <n v="126.35"/>
    <n v="0"/>
  </r>
  <r>
    <n v="2207"/>
    <s v="Tables (9+34)"/>
    <s v="Sugar Division"/>
    <x v="6"/>
    <m/>
    <s v="Common"/>
    <d v="2012-12-15T00:00:00"/>
    <n v="10819.07"/>
    <n v="0"/>
    <n v="3390.3704838356171"/>
    <n v="7428.6995161643827"/>
    <n v="540.95349999999996"/>
    <n v="10"/>
    <n v="7.3013698630136989"/>
    <n v="2719.5116438356163"/>
    <n v="8.3013698630136989"/>
    <n v="688.7746016164383"/>
    <n v="3408.2862454520546"/>
    <n v="0"/>
  </r>
  <r>
    <n v="2208"/>
    <s v="Pegtable 1"/>
    <s v="Sugar Division"/>
    <x v="6"/>
    <m/>
    <s v="Common"/>
    <d v="1988-01-01T00:00:00"/>
    <n v="107"/>
    <n v="0"/>
    <n v="101.65"/>
    <n v="5.3499999999999943"/>
    <n v="5.3500000000000005"/>
    <n v="10"/>
    <n v="32.273972602739725"/>
    <n v="50.825000000000003"/>
    <n v="33.273972602739725"/>
    <n v="-6.2172489379008772E-16"/>
    <n v="50.825000000000003"/>
    <n v="0"/>
  </r>
  <r>
    <n v="2209"/>
    <s v="Mattres (6)"/>
    <s v="Sugar Division"/>
    <x v="6"/>
    <m/>
    <s v="Common"/>
    <d v="2012-12-15T00:00:00"/>
    <n v="10512"/>
    <n v="0"/>
    <n v="3294.1440000000002"/>
    <n v="7217.8559999999998"/>
    <n v="525.6"/>
    <n v="10"/>
    <n v="7.3013698630136989"/>
    <n v="504.85497328767133"/>
    <n v="8.3013698630136989"/>
    <n v="669.22559999999999"/>
    <n v="1174.0805732876713"/>
    <n v="0"/>
  </r>
  <r>
    <n v="2210"/>
    <s v="Dressing Table"/>
    <s v="Sugar Division"/>
    <x v="6"/>
    <m/>
    <s v="Common"/>
    <d v="2008-01-01T00:00:00"/>
    <n v="10482.83"/>
    <n v="0"/>
    <n v="9958.6885000000002"/>
    <n v="524.14149999999972"/>
    <n v="524.14150000000006"/>
    <n v="10"/>
    <n v="12.260273972602739"/>
    <n v="4979.3442500000001"/>
    <n v="13.260273972602739"/>
    <n v="-3.4106051316484814E-14"/>
    <n v="4979.3442500000001"/>
    <n v="0"/>
  </r>
  <r>
    <n v="2211"/>
    <s v="Steel Almirahs"/>
    <s v="Sugar Division"/>
    <x v="6"/>
    <m/>
    <s v="Common"/>
    <d v="1989-01-01T00:00:00"/>
    <n v="11943"/>
    <n v="0"/>
    <n v="11345.85"/>
    <n v="597.14999999999964"/>
    <n v="597.15"/>
    <n v="10"/>
    <n v="31.271232876712329"/>
    <n v="5672.9250000000002"/>
    <n v="32.271232876712325"/>
    <n v="-3.4106051316484688E-14"/>
    <n v="5672.9250000000002"/>
    <n v="0"/>
  </r>
  <r>
    <n v="2212"/>
    <s v="Foam Matarials"/>
    <s v="Sugar Division"/>
    <x v="6"/>
    <m/>
    <s v="Common"/>
    <d v="1989-01-01T00:00:00"/>
    <n v="4400"/>
    <n v="0"/>
    <n v="4180"/>
    <n v="220"/>
    <n v="220"/>
    <n v="10"/>
    <n v="31.271232876712329"/>
    <n v="2090"/>
    <n v="32.271232876712325"/>
    <n v="0"/>
    <n v="2090"/>
    <n v="0"/>
  </r>
  <r>
    <n v="2213"/>
    <s v="Steel Box   "/>
    <s v="Sugar Division"/>
    <x v="6"/>
    <m/>
    <s v="Common"/>
    <d v="1989-01-01T00:00:00"/>
    <n v="1973"/>
    <n v="0"/>
    <n v="1874.35"/>
    <n v="98.650000000000091"/>
    <n v="98.65"/>
    <n v="10"/>
    <n v="31.271232876712329"/>
    <n v="937.17499999999995"/>
    <n v="32.271232876712325"/>
    <n v="8.5265128291211719E-15"/>
    <n v="937.17499999999995"/>
    <n v="0"/>
  </r>
  <r>
    <n v="2214"/>
    <s v="Dining Table With Chair"/>
    <s v="Sugar Division"/>
    <x v="6"/>
    <m/>
    <s v="Common"/>
    <d v="2008-01-01T00:00:00"/>
    <n v="9500"/>
    <n v="0"/>
    <n v="9025"/>
    <n v="475"/>
    <n v="475"/>
    <n v="10"/>
    <n v="12.260273972602739"/>
    <n v="4512.5"/>
    <n v="13.260273972602739"/>
    <n v="0"/>
    <n v="4512.5"/>
    <n v="0"/>
  </r>
  <r>
    <n v="2215"/>
    <s v="Chairs (5)"/>
    <s v="Sugar Division"/>
    <x v="6"/>
    <m/>
    <s v="Common"/>
    <d v="2013-04-15T00:00:00"/>
    <n v="9154.17"/>
    <n v="0"/>
    <n v="2580.3473436986301"/>
    <n v="6573.8226563013704"/>
    <n v="457.70850000000002"/>
    <n v="10"/>
    <n v="6.9698630136986299"/>
    <n v="2093.110273972603"/>
    <n v="7.9698630136986299"/>
    <n v="611.61141563013712"/>
    <n v="2704.7216896027403"/>
    <n v="0"/>
  </r>
  <r>
    <n v="2216"/>
    <s v="Wooden Chairs    "/>
    <s v="Sugar Division"/>
    <x v="6"/>
    <m/>
    <s v="Common"/>
    <d v="1989-01-01T00:00:00"/>
    <n v="1849"/>
    <n v="0"/>
    <n v="1756.55"/>
    <n v="92.450000000000045"/>
    <n v="92.45"/>
    <n v="10"/>
    <n v="31.271232876712329"/>
    <n v="878.27499999999998"/>
    <n v="32.271232876712325"/>
    <n v="4.263256414560586E-15"/>
    <n v="878.27499999999998"/>
    <n v="0"/>
  </r>
  <r>
    <n v="2217"/>
    <s v="Single Bed"/>
    <s v="Sugar Division"/>
    <x v="6"/>
    <m/>
    <s v="Common"/>
    <d v="1989-01-01T00:00:00"/>
    <n v="1700"/>
    <n v="0"/>
    <n v="1615"/>
    <n v="85"/>
    <n v="85"/>
    <n v="10"/>
    <n v="31.271232876712329"/>
    <n v="807.5"/>
    <n v="32.271232876712325"/>
    <n v="0"/>
    <n v="807.5"/>
    <n v="0"/>
  </r>
  <r>
    <n v="2218"/>
    <s v="Water Storage Tank (2)"/>
    <s v="Sugar Division"/>
    <x v="6"/>
    <m/>
    <s v="Common"/>
    <d v="2012-12-15T00:00:00"/>
    <n v="9000"/>
    <n v="0"/>
    <n v="2820.3287671232879"/>
    <n v="6179.6712328767117"/>
    <n v="450"/>
    <n v="10"/>
    <n v="7.3013698630136989"/>
    <n v="1355.0950958904111"/>
    <n v="8.3013698630136989"/>
    <n v="572.96712328767114"/>
    <n v="1928.0622191780822"/>
    <n v="0"/>
  </r>
  <r>
    <n v="2219"/>
    <s v="Cooler (3)"/>
    <s v="Sugar Division"/>
    <x v="6"/>
    <m/>
    <s v="Common"/>
    <d v="2013-05-15T00:00:00"/>
    <n v="8780"/>
    <n v="0"/>
    <n v="8341"/>
    <n v="439"/>
    <n v="439"/>
    <n v="5"/>
    <n v="6.8876712328767127"/>
    <n v="4170.5"/>
    <n v="7.8876712328767127"/>
    <n v="0"/>
    <n v="4170.5"/>
    <n v="0"/>
  </r>
  <r>
    <n v="2220"/>
    <s v="Tea Table "/>
    <s v="Sugar Division"/>
    <x v="6"/>
    <m/>
    <s v="Common"/>
    <d v="1989-01-01T00:00:00"/>
    <n v="630"/>
    <n v="0"/>
    <n v="598.5"/>
    <n v="31.5"/>
    <n v="31.5"/>
    <n v="10"/>
    <n v="31.271232876712329"/>
    <n v="299.25"/>
    <n v="32.271232876712325"/>
    <n v="0"/>
    <n v="299.25"/>
    <n v="0"/>
  </r>
  <r>
    <n v="2221"/>
    <s v="Mattress(4 Nos)"/>
    <s v="Sugar Division"/>
    <x v="6"/>
    <m/>
    <s v="Common"/>
    <d v="2011-05-15T00:00:00"/>
    <n v="8458"/>
    <n v="0"/>
    <n v="3927.2927123287673"/>
    <n v="4530.7072876712327"/>
    <n v="422.90000000000003"/>
    <n v="10"/>
    <n v="8.8904109589041092"/>
    <n v="440.96592465753429"/>
    <n v="9.8904109589041092"/>
    <n v="410.78072876712332"/>
    <n v="851.74665342465755"/>
    <n v="0"/>
  </r>
  <r>
    <n v="2222"/>
    <s v="Mattress (4 Nos)"/>
    <s v="Sugar Division"/>
    <x v="6"/>
    <m/>
    <s v="Common"/>
    <d v="2008-10-15T00:00:00"/>
    <n v="8400"/>
    <n v="0"/>
    <n v="7980"/>
    <n v="420"/>
    <n v="420"/>
    <n v="10"/>
    <n v="11.471232876712328"/>
    <n v="3990"/>
    <n v="12.471232876712328"/>
    <n v="0"/>
    <n v="3990"/>
    <n v="0"/>
  </r>
  <r>
    <n v="2223"/>
    <s v="Double Bed (2Nos)"/>
    <s v="Sugar Division"/>
    <x v="6"/>
    <m/>
    <s v="Common"/>
    <d v="2009-01-15T00:00:00"/>
    <n v="8399.9"/>
    <n v="0"/>
    <n v="7979.9049999999997"/>
    <n v="419.99499999999989"/>
    <n v="419.995"/>
    <n v="10"/>
    <n v="11.219178082191782"/>
    <n v="3989.9524999999999"/>
    <n v="12.219178082191782"/>
    <n v="-1.1368683772161604E-14"/>
    <n v="3989.9524999999999"/>
    <n v="0"/>
  </r>
  <r>
    <n v="2224"/>
    <s v="Chair 5"/>
    <s v="Sugar Division"/>
    <x v="6"/>
    <m/>
    <s v="Common"/>
    <d v="2013-01-15T00:00:00"/>
    <n v="8250"/>
    <n v="0"/>
    <n v="2518.7363013698628"/>
    <n v="5731.2636986301368"/>
    <n v="412.5"/>
    <n v="10"/>
    <n v="7.2164383561643834"/>
    <n v="727.23983561643854"/>
    <n v="8.2164383561643834"/>
    <n v="531.87636986301368"/>
    <n v="1259.1162054794522"/>
    <n v="0"/>
  </r>
  <r>
    <n v="2225"/>
    <s v="Table - 2"/>
    <s v="Sugar Division"/>
    <x v="6"/>
    <m/>
    <s v="Common"/>
    <d v="2013-11-30T00:00:00"/>
    <n v="8200"/>
    <n v="0"/>
    <n v="1822.6465753424657"/>
    <n v="6377.3534246575346"/>
    <n v="410"/>
    <n v="10"/>
    <n v="6.3424657534246576"/>
    <n v="23545.198479452054"/>
    <n v="7.3424657534246576"/>
    <n v="596.73534246575343"/>
    <n v="24141.933821917806"/>
    <n v="0"/>
  </r>
  <r>
    <n v="2226"/>
    <s v="Takhat "/>
    <s v="Sugar Division"/>
    <x v="6"/>
    <m/>
    <s v="Common"/>
    <d v="1989-01-01T00:00:00"/>
    <n v="600"/>
    <n v="0"/>
    <n v="570"/>
    <n v="30"/>
    <n v="30"/>
    <n v="10"/>
    <n v="31.271232876712329"/>
    <n v="285"/>
    <n v="32.271232876712325"/>
    <n v="0"/>
    <n v="285"/>
    <n v="0"/>
  </r>
  <r>
    <n v="2227"/>
    <s v="Exaust Fan (8)"/>
    <s v="Sugar Division"/>
    <x v="6"/>
    <m/>
    <s v="Common"/>
    <d v="2012-11-15T00:00:00"/>
    <n v="8108.2"/>
    <n v="0"/>
    <n v="7702.79"/>
    <n v="405.40999999999985"/>
    <n v="405.41"/>
    <n v="5"/>
    <n v="7.3835616438356162"/>
    <n v="3851.395"/>
    <n v="8.3835616438356162"/>
    <n v="-3.4106051316484814E-14"/>
    <n v="3851.395"/>
    <n v="0"/>
  </r>
  <r>
    <n v="2228"/>
    <s v="Office Racks"/>
    <s v="Sugar Division"/>
    <x v="6"/>
    <m/>
    <s v="Common"/>
    <d v="1990-01-01T00:00:00"/>
    <n v="59424"/>
    <n v="0"/>
    <n v="56452.800000000003"/>
    <n v="2971.1999999999971"/>
    <n v="2971.2000000000003"/>
    <n v="10"/>
    <n v="30.271232876712329"/>
    <n v="28226.400000000001"/>
    <n v="31.271232876712329"/>
    <n v="-3.1832314562052491E-13"/>
    <n v="28226.400000000001"/>
    <n v="0"/>
  </r>
  <r>
    <n v="2229"/>
    <s v="Bed ( 2 Nos)"/>
    <s v="Sugar Division"/>
    <x v="6"/>
    <m/>
    <s v="Common"/>
    <d v="2011-01-15T00:00:00"/>
    <n v="8080"/>
    <n v="0"/>
    <n v="4004.138082191781"/>
    <n v="4075.861917808219"/>
    <n v="404"/>
    <n v="10"/>
    <n v="9.2191780821917817"/>
    <n v="2335.3160273972603"/>
    <n v="10.219178082191782"/>
    <n v="367.1861917808219"/>
    <n v="2702.5022191780822"/>
    <n v="0"/>
  </r>
  <r>
    <n v="2230"/>
    <s v="Foldig Chairs "/>
    <s v="Sugar Division"/>
    <x v="6"/>
    <m/>
    <s v="Common"/>
    <d v="1989-01-01T00:00:00"/>
    <n v="530"/>
    <n v="0"/>
    <n v="503.5"/>
    <n v="26.5"/>
    <n v="26.5"/>
    <n v="10"/>
    <n v="31.271232876712329"/>
    <n v="251.75"/>
    <n v="32.271232876712325"/>
    <n v="0"/>
    <n v="251.75"/>
    <n v="0"/>
  </r>
  <r>
    <n v="2231"/>
    <s v="Office Table "/>
    <s v="Sugar Division"/>
    <x v="6"/>
    <m/>
    <s v="Common"/>
    <d v="1989-01-01T00:00:00"/>
    <n v="288"/>
    <n v="0"/>
    <n v="273.60000000000002"/>
    <n v="14.399999999999977"/>
    <n v="14.4"/>
    <n v="10"/>
    <n v="31.271232876712329"/>
    <n v="136.80000000000001"/>
    <n v="32.271232876712325"/>
    <n v="-2.3092638912203174E-15"/>
    <n v="136.80000000000001"/>
    <n v="0"/>
  </r>
  <r>
    <n v="2232"/>
    <s v="Mattress -4"/>
    <s v="Sugar Division"/>
    <x v="6"/>
    <m/>
    <s v="Common"/>
    <d v="2013-03-15T00:00:00"/>
    <n v="7737.33"/>
    <n v="0"/>
    <n v="2243.4017367123288"/>
    <n v="5493.9282632876711"/>
    <n v="386.86650000000003"/>
    <n v="10"/>
    <n v="7.0547945205479454"/>
    <n v="35.537417808219175"/>
    <n v="8.0547945205479454"/>
    <n v="510.70617632876713"/>
    <n v="546.2435941369863"/>
    <n v="0"/>
  </r>
  <r>
    <n v="2233"/>
    <s v="Beds 3"/>
    <s v="Sugar Division"/>
    <x v="6"/>
    <m/>
    <s v="Common"/>
    <d v="1990-01-01T00:00:00"/>
    <n v="5200"/>
    <n v="0"/>
    <n v="4940"/>
    <n v="260"/>
    <n v="260"/>
    <n v="10"/>
    <n v="30.271232876712329"/>
    <n v="2470"/>
    <n v="31.271232876712329"/>
    <n v="0"/>
    <n v="2470"/>
    <n v="0"/>
  </r>
  <r>
    <n v="2234"/>
    <s v="Steel Almirah 2"/>
    <s v="Sugar Division"/>
    <x v="6"/>
    <m/>
    <s v="Common"/>
    <d v="1990-01-01T00:00:00"/>
    <n v="4415"/>
    <n v="0"/>
    <n v="4194.25"/>
    <n v="220.75"/>
    <n v="220.75"/>
    <n v="10"/>
    <n v="30.271232876712329"/>
    <n v="2097.125"/>
    <n v="31.271232876712329"/>
    <n v="0"/>
    <n v="2097.125"/>
    <n v="0"/>
  </r>
  <r>
    <n v="2235"/>
    <s v="Table 27 Nos."/>
    <s v="Sugar Division"/>
    <x v="6"/>
    <m/>
    <s v="Common"/>
    <d v="2008-12-15T00:00:00"/>
    <n v="7622"/>
    <n v="0"/>
    <n v="7240.9"/>
    <n v="381.10000000000036"/>
    <n v="381.1"/>
    <n v="10"/>
    <n v="11.304109589041095"/>
    <n v="3620.45"/>
    <n v="12.304109589041095"/>
    <n v="3.4106051316484814E-14"/>
    <n v="3620.45"/>
    <n v="0"/>
  </r>
  <r>
    <n v="2236"/>
    <s v="Sofa Set 1"/>
    <s v="Sugar Division"/>
    <x v="6"/>
    <m/>
    <s v="Common"/>
    <d v="1990-01-01T00:00:00"/>
    <n v="3600"/>
    <n v="0"/>
    <n v="3420"/>
    <n v="180"/>
    <n v="180"/>
    <n v="10"/>
    <n v="30.271232876712329"/>
    <n v="1710"/>
    <n v="31.271232876712329"/>
    <n v="0"/>
    <n v="1710"/>
    <n v="0"/>
  </r>
  <r>
    <n v="2237"/>
    <s v="Double Bed"/>
    <s v="Sugar Division"/>
    <x v="6"/>
    <m/>
    <s v="Common"/>
    <d v="2008-01-01T00:00:00"/>
    <n v="7490.47"/>
    <n v="0"/>
    <n v="7115.9465"/>
    <n v="374.52350000000024"/>
    <n v="374.52350000000001"/>
    <n v="10"/>
    <n v="12.260273972602739"/>
    <n v="3557.97325"/>
    <n v="13.260273972602739"/>
    <n v="2.2737367544323207E-14"/>
    <n v="3557.97325"/>
    <n v="0"/>
  </r>
  <r>
    <n v="2238"/>
    <s v="Chair (16 N0S)"/>
    <s v="Sugar Division"/>
    <x v="6"/>
    <m/>
    <s v="Common"/>
    <d v="2009-10-15T00:00:00"/>
    <n v="7485.38"/>
    <n v="0"/>
    <n v="7111.1109999999999"/>
    <n v="374.26900000000023"/>
    <n v="374.26900000000001"/>
    <n v="10"/>
    <n v="10.471232876712328"/>
    <n v="3555.5554999999999"/>
    <n v="11.471232876712328"/>
    <n v="2.2737367544323207E-14"/>
    <n v="3555.5554999999999"/>
    <n v="0"/>
  </r>
  <r>
    <n v="2239"/>
    <s v="Mattress (3 Nos)"/>
    <s v="Sugar Division"/>
    <x v="6"/>
    <m/>
    <s v="Common"/>
    <d v="2009-05-15T00:00:00"/>
    <n v="7300"/>
    <n v="0"/>
    <n v="6935"/>
    <n v="365"/>
    <n v="365"/>
    <n v="10"/>
    <n v="10.890410958904109"/>
    <n v="3467.5"/>
    <n v="11.890410958904109"/>
    <n v="0"/>
    <n v="3467.5"/>
    <n v="0"/>
  </r>
  <r>
    <n v="2240"/>
    <s v="Gaddas 3"/>
    <s v="Sugar Division"/>
    <x v="6"/>
    <m/>
    <s v="Common"/>
    <d v="1990-01-01T00:00:00"/>
    <n v="3550"/>
    <n v="0"/>
    <n v="3372.5"/>
    <n v="177.5"/>
    <n v="177.5"/>
    <n v="10"/>
    <n v="30.271232876712329"/>
    <n v="1686.25"/>
    <n v="31.271232876712329"/>
    <n v="0"/>
    <n v="1686.25"/>
    <n v="0"/>
  </r>
  <r>
    <n v="2241"/>
    <s v="Chairs (16 Nos.)"/>
    <s v="Sugar Division"/>
    <x v="6"/>
    <m/>
    <s v="Common"/>
    <d v="2012-09-15T00:00:00"/>
    <n v="6954.01"/>
    <n v="0"/>
    <n v="2343.8824116438354"/>
    <n v="4610.1275883561648"/>
    <n v="347.70050000000003"/>
    <n v="10"/>
    <n v="7.5506849315068489"/>
    <n v="1754.7036164383562"/>
    <n v="8.5506849315068489"/>
    <n v="426.2427088356165"/>
    <n v="2180.9463252739729"/>
    <n v="0"/>
  </r>
  <r>
    <n v="2242"/>
    <s v="Typewriter 1"/>
    <s v="Sugar Division"/>
    <x v="6"/>
    <m/>
    <s v="Common"/>
    <d v="1991-02-16T00:00:00"/>
    <n v="8146"/>
    <n v="0"/>
    <n v="7738.7"/>
    <n v="407.30000000000018"/>
    <n v="407.3"/>
    <n v="5"/>
    <n v="29.145205479452056"/>
    <n v="3869.35"/>
    <n v="30.145205479452056"/>
    <n v="3.4106051316484814E-14"/>
    <n v="3869.35"/>
    <n v="0"/>
  </r>
  <r>
    <n v="2243"/>
    <s v="Dining Table With 6 Chairs"/>
    <s v="Sugar Division"/>
    <x v="6"/>
    <m/>
    <s v="Common"/>
    <d v="1990-01-01T00:00:00"/>
    <n v="3000"/>
    <n v="0"/>
    <n v="2850"/>
    <n v="150"/>
    <n v="150"/>
    <n v="10"/>
    <n v="30.271232876712329"/>
    <n v="1425"/>
    <n v="31.271232876712329"/>
    <n v="0"/>
    <n v="1425"/>
    <n v="0"/>
  </r>
  <r>
    <n v="2244"/>
    <s v="Grass Cutting Machine One   New"/>
    <s v="Sugar Division"/>
    <x v="6"/>
    <m/>
    <s v="Common"/>
    <d v="1990-01-01T00:00:00"/>
    <n v="2327"/>
    <n v="0"/>
    <n v="2210.65"/>
    <n v="116.34999999999991"/>
    <n v="116.35000000000001"/>
    <n v="10"/>
    <n v="30.271232876712329"/>
    <n v="1105.325"/>
    <n v="31.271232876712329"/>
    <n v="-9.9475983006414035E-15"/>
    <n v="1105.325"/>
    <n v="0"/>
  </r>
  <r>
    <n v="2245"/>
    <s v="Dressing Table 1"/>
    <s v="Sugar Division"/>
    <x v="6"/>
    <m/>
    <s v="Common"/>
    <d v="1990-01-01T00:00:00"/>
    <n v="1500"/>
    <n v="0"/>
    <n v="1425"/>
    <n v="75"/>
    <n v="75"/>
    <n v="10"/>
    <n v="30.271232876712329"/>
    <n v="712.5"/>
    <n v="31.271232876712329"/>
    <n v="0"/>
    <n v="712.5"/>
    <n v="0"/>
  </r>
  <r>
    <n v="2246"/>
    <s v="Wooden Chair 18"/>
    <s v="Sugar Division"/>
    <x v="6"/>
    <m/>
    <s v="Common"/>
    <d v="1990-01-01T00:00:00"/>
    <n v="1376"/>
    <n v="0"/>
    <n v="1307.2"/>
    <n v="68.799999999999955"/>
    <n v="68.8"/>
    <n v="10"/>
    <n v="30.271232876712329"/>
    <n v="653.6"/>
    <n v="31.271232876712329"/>
    <n v="-4.2632564145606017E-15"/>
    <n v="653.6"/>
    <n v="0"/>
  </r>
  <r>
    <n v="2247"/>
    <s v="Ceiling Fan  48&quot; (6 Nos)"/>
    <s v="Sugar Division"/>
    <x v="6"/>
    <m/>
    <s v="Common"/>
    <d v="2012-09-15T00:00:00"/>
    <n v="6697.42"/>
    <n v="0"/>
    <n v="6362.549"/>
    <n v="334.87100000000009"/>
    <n v="334.87100000000004"/>
    <n v="5"/>
    <n v="7.5506849315068489"/>
    <n v="3181.2745"/>
    <n v="8.5506849315068489"/>
    <n v="1.1368683772161604E-14"/>
    <n v="3181.2745"/>
    <n v="0"/>
  </r>
  <r>
    <n v="2248"/>
    <s v="Steel Pipe Chair 1"/>
    <s v="Sugar Division"/>
    <x v="6"/>
    <m/>
    <s v="Common"/>
    <d v="1990-01-01T00:00:00"/>
    <n v="679"/>
    <n v="0"/>
    <n v="645.04999999999995"/>
    <n v="33.950000000000045"/>
    <n v="33.950000000000003"/>
    <n v="10"/>
    <n v="30.271232876712329"/>
    <n v="322.52499999999998"/>
    <n v="31.271232876712329"/>
    <n v="4.2632564145606017E-15"/>
    <n v="322.52499999999998"/>
    <n v="0"/>
  </r>
  <r>
    <n v="2249"/>
    <s v="Office Table 2"/>
    <s v="Sugar Division"/>
    <x v="6"/>
    <m/>
    <s v="Common"/>
    <d v="1990-01-01T00:00:00"/>
    <n v="361"/>
    <n v="0"/>
    <n v="342.95"/>
    <n v="18.050000000000011"/>
    <n v="18.05"/>
    <n v="10"/>
    <n v="30.271232876712329"/>
    <n v="171.47499999999999"/>
    <n v="31.271232876712329"/>
    <n v="1.0658141036401504E-15"/>
    <n v="171.47499999999999"/>
    <n v="0"/>
  </r>
  <r>
    <n v="2250"/>
    <s v="Foulding Bed 2"/>
    <s v="Sugar Division"/>
    <x v="6"/>
    <m/>
    <s v="Common"/>
    <d v="1990-01-01T00:00:00"/>
    <n v="355"/>
    <n v="0"/>
    <n v="337.25"/>
    <n v="17.75"/>
    <n v="17.75"/>
    <n v="10"/>
    <n v="30.271232876712329"/>
    <n v="168.625"/>
    <n v="31.271232876712329"/>
    <n v="0"/>
    <n v="168.625"/>
    <n v="0"/>
  </r>
  <r>
    <n v="2251"/>
    <s v="Chair (4)"/>
    <s v="Sugar Division"/>
    <x v="6"/>
    <m/>
    <s v="Common"/>
    <d v="2012-10-18T00:00:00"/>
    <n v="6600"/>
    <n v="0"/>
    <n v="2167.8739726027397"/>
    <n v="4432.1260273972603"/>
    <n v="330"/>
    <n v="10"/>
    <n v="7.4602739726027396"/>
    <n v="20.332602739726028"/>
    <n v="8.4602739726027405"/>
    <n v="410.21260273972638"/>
    <n v="430.54520547945242"/>
    <n v="0"/>
  </r>
  <r>
    <n v="2252"/>
    <s v="Tea Table 3"/>
    <s v="Sugar Division"/>
    <x v="6"/>
    <m/>
    <s v="Common"/>
    <d v="1990-01-01T00:00:00"/>
    <n v="161"/>
    <n v="0"/>
    <n v="152.94999999999999"/>
    <n v="8.0500000000000114"/>
    <n v="8.0500000000000007"/>
    <n v="10"/>
    <n v="30.271232876712329"/>
    <n v="76.474999999999994"/>
    <n v="31.271232876712329"/>
    <n v="1.0658141036401504E-15"/>
    <n v="76.474999999999994"/>
    <n v="0"/>
  </r>
  <r>
    <n v="2253"/>
    <s v="Tape Recorder"/>
    <s v="Sugar Division"/>
    <x v="6"/>
    <m/>
    <s v="Common"/>
    <d v="1990-09-21T00:00:00"/>
    <n v="2500"/>
    <n v="0"/>
    <n v="2375"/>
    <n v="125"/>
    <n v="125"/>
    <n v="10"/>
    <n v="29.550684931506851"/>
    <n v="1187.5"/>
    <n v="30.550684931506851"/>
    <n v="0"/>
    <n v="1187.5"/>
    <n v="0"/>
  </r>
  <r>
    <n v="2254"/>
    <s v="Double Bed"/>
    <s v="Sugar Division"/>
    <x v="6"/>
    <m/>
    <s v="Common"/>
    <d v="2008-01-01T00:00:00"/>
    <n v="6398.33"/>
    <n v="0"/>
    <n v="6078.4134999999997"/>
    <n v="319.91650000000027"/>
    <n v="319.91650000000004"/>
    <n v="10"/>
    <n v="12.260273972602739"/>
    <n v="3039.2067499999998"/>
    <n v="13.260273972602739"/>
    <n v="2.2737367544323207E-14"/>
    <n v="3039.2067499999998"/>
    <n v="0"/>
  </r>
  <r>
    <n v="2255"/>
    <s v="Steel Almirah 2"/>
    <s v="Sugar Division"/>
    <x v="6"/>
    <m/>
    <s v="Common"/>
    <d v="1990-11-30T00:00:00"/>
    <n v="4415"/>
    <n v="0"/>
    <n v="4194.25"/>
    <n v="220.75"/>
    <n v="220.75"/>
    <n v="10"/>
    <n v="29.358904109589041"/>
    <n v="2097.125"/>
    <n v="30.358904109589041"/>
    <n v="0"/>
    <n v="2097.125"/>
    <n v="0"/>
  </r>
  <r>
    <n v="2256"/>
    <s v="Exaust Fan (3)"/>
    <s v="Sugar Division"/>
    <x v="6"/>
    <m/>
    <s v="Common"/>
    <d v="2013-04-15T00:00:00"/>
    <n v="6105.81"/>
    <n v="0"/>
    <n v="5800.5195000000003"/>
    <n v="305.29050000000007"/>
    <n v="305.29050000000001"/>
    <n v="5"/>
    <n v="6.9698630136986299"/>
    <n v="2900.2597500000002"/>
    <n v="7.9698630136986299"/>
    <n v="1.1368683772161604E-14"/>
    <n v="2900.2597500000002"/>
    <n v="0"/>
  </r>
  <r>
    <n v="2257"/>
    <s v="Table (24Nos)"/>
    <s v="Sugar Division"/>
    <x v="6"/>
    <m/>
    <s v="Common"/>
    <d v="2011-11-15T00:00:00"/>
    <n v="6015"/>
    <n v="0"/>
    <n v="2504.8767123287666"/>
    <n v="3510.1232876712334"/>
    <n v="300.75"/>
    <n v="10"/>
    <n v="8.3863013698630144"/>
    <n v="24025.053890410956"/>
    <n v="9.3863013698630144"/>
    <n v="320.93732876712335"/>
    <n v="24345.991219178079"/>
    <n v="0"/>
  </r>
  <r>
    <n v="2258"/>
    <s v="Dining Table &amp; Chair"/>
    <s v="Sugar Division"/>
    <x v="6"/>
    <m/>
    <s v="Common"/>
    <d v="2010-03-15T00:00:00"/>
    <n v="6000"/>
    <n v="0"/>
    <n v="5700"/>
    <n v="300"/>
    <n v="300"/>
    <n v="10"/>
    <n v="10.057534246575342"/>
    <n v="2850"/>
    <n v="11.057534246575342"/>
    <n v="0"/>
    <n v="2850"/>
    <n v="0"/>
  </r>
  <r>
    <n v="2259"/>
    <s v="Dressing Table 2"/>
    <s v="Sugar Division"/>
    <x v="6"/>
    <m/>
    <s v="Common"/>
    <d v="2013-03-15T00:00:00"/>
    <n v="6000"/>
    <n v="0"/>
    <n v="1739.6712328767123"/>
    <n v="4260.3287671232874"/>
    <n v="300"/>
    <n v="10"/>
    <n v="7.0547945205479454"/>
    <n v="14637.827479452053"/>
    <n v="8.0547945205479454"/>
    <n v="396.03287671232874"/>
    <n v="15033.860356164381"/>
    <n v="0"/>
  </r>
  <r>
    <n v="2260"/>
    <s v="Tea Tables 8"/>
    <s v="Sugar Division"/>
    <x v="6"/>
    <m/>
    <s v="Common"/>
    <d v="1991-01-31T00:00:00"/>
    <n v="429"/>
    <n v="0"/>
    <n v="407.55"/>
    <n v="21.449999999999989"/>
    <n v="21.450000000000003"/>
    <n v="10"/>
    <n v="29.18904109589041"/>
    <n v="203.77500000000001"/>
    <n v="30.18904109589041"/>
    <n v="-1.4210854715202005E-15"/>
    <n v="203.77500000000001"/>
    <n v="0"/>
  </r>
  <r>
    <n v="2261"/>
    <s v="Mattress (2 Nos)"/>
    <s v="Sugar Division"/>
    <x v="6"/>
    <m/>
    <s v="Common"/>
    <d v="2010-05-15T00:00:00"/>
    <n v="5866"/>
    <n v="0"/>
    <n v="3281.0225479452056"/>
    <n v="2584.9774520547944"/>
    <n v="293.3"/>
    <n v="10"/>
    <n v="9.8904109589041092"/>
    <n v="7067.2204794520549"/>
    <n v="10.890410958904109"/>
    <n v="229.16774520547943"/>
    <n v="7296.388224657534"/>
    <n v="0"/>
  </r>
  <r>
    <n v="2262"/>
    <s v="Dressing Table (2)"/>
    <s v="Sugar Division"/>
    <x v="6"/>
    <m/>
    <s v="Common"/>
    <d v="2012-12-15T00:00:00"/>
    <n v="5860.71"/>
    <n v="0"/>
    <n v="1836.5698898630139"/>
    <n v="4024.1401101369861"/>
    <n v="293.03550000000001"/>
    <n v="10"/>
    <n v="7.3013698630136989"/>
    <n v="6397.2036986301373"/>
    <n v="8.3013698630136989"/>
    <n v="373.11046101369863"/>
    <n v="6770.3141596438363"/>
    <n v="0"/>
  </r>
  <r>
    <n v="2263"/>
    <s v="Tables (Big) 2"/>
    <s v="Sugar Division"/>
    <x v="6"/>
    <m/>
    <s v="Common"/>
    <d v="1991-01-31T00:00:00"/>
    <n v="185"/>
    <n v="0"/>
    <n v="175.75"/>
    <n v="9.25"/>
    <n v="9.25"/>
    <n v="10"/>
    <n v="29.18904109589041"/>
    <n v="87.875"/>
    <n v="30.18904109589041"/>
    <n v="0"/>
    <n v="87.875"/>
    <n v="0"/>
  </r>
  <r>
    <n v="2264"/>
    <s v="Iron Box"/>
    <s v="Sugar Division"/>
    <x v="6"/>
    <m/>
    <s v="Common"/>
    <d v="1992-03-15T00:00:00"/>
    <n v="4263"/>
    <n v="0"/>
    <n v="4049.85"/>
    <n v="213.15000000000009"/>
    <n v="213.15"/>
    <n v="10"/>
    <n v="28.068493150684933"/>
    <n v="2024.925"/>
    <n v="29.068493150684933"/>
    <n v="8.5265128291212035E-15"/>
    <n v="2024.925"/>
    <n v="0"/>
  </r>
  <r>
    <n v="2265"/>
    <s v="Dining Table &amp; Chair"/>
    <s v="Sugar Division"/>
    <x v="6"/>
    <m/>
    <s v="Common"/>
    <d v="2009-10-15T00:00:00"/>
    <n v="5733"/>
    <n v="0"/>
    <n v="5446.35"/>
    <n v="286.64999999999964"/>
    <n v="286.65000000000003"/>
    <n v="10"/>
    <n v="10.471232876712328"/>
    <n v="2723.1750000000002"/>
    <n v="11.471232876712328"/>
    <n v="-3.9790393202565614E-14"/>
    <n v="2723.1750000000002"/>
    <n v="0"/>
  </r>
  <r>
    <n v="2266"/>
    <s v="Sofa Sets Two "/>
    <s v="Sugar Division"/>
    <x v="6"/>
    <m/>
    <s v="Common"/>
    <d v="1991-03-15T00:00:00"/>
    <n v="6500"/>
    <n v="0"/>
    <n v="6175"/>
    <n v="325"/>
    <n v="325"/>
    <n v="10"/>
    <n v="29.07123287671233"/>
    <n v="3087.5"/>
    <n v="30.07123287671233"/>
    <n v="0"/>
    <n v="3087.5"/>
    <n v="0"/>
  </r>
  <r>
    <n v="2267"/>
    <s v="Takhat 6"/>
    <s v="Sugar Division"/>
    <x v="6"/>
    <m/>
    <s v="Common"/>
    <d v="1991-03-15T00:00:00"/>
    <n v="2188"/>
    <n v="0"/>
    <n v="2078.6"/>
    <n v="109.40000000000009"/>
    <n v="109.4"/>
    <n v="10"/>
    <n v="29.07123287671233"/>
    <n v="1039.3"/>
    <n v="30.07123287671233"/>
    <n v="8.5265128291212035E-15"/>
    <n v="1039.3"/>
    <n v="0"/>
  </r>
  <r>
    <n v="2268"/>
    <s v="Dining Table With Chair"/>
    <s v="Sugar Division"/>
    <x v="6"/>
    <m/>
    <s v="Common"/>
    <d v="2007-09-15T00:00:00"/>
    <n v="5500"/>
    <n v="0"/>
    <n v="5225"/>
    <n v="275"/>
    <n v="275"/>
    <n v="10"/>
    <n v="12.556164383561644"/>
    <n v="2612.5"/>
    <n v="13.556164383561644"/>
    <n v="0"/>
    <n v="2612.5"/>
    <n v="0"/>
  </r>
  <r>
    <n v="2269"/>
    <s v="Mattress(3 Nos)"/>
    <s v="Sugar Division"/>
    <x v="6"/>
    <m/>
    <s v="Common"/>
    <d v="2011-06-15T00:00:00"/>
    <n v="5486"/>
    <n v="0"/>
    <n v="2503.0438630136982"/>
    <n v="2982.9561369863018"/>
    <n v="274.3"/>
    <n v="10"/>
    <n v="8.8054794520547937"/>
    <n v="83.626027397260259"/>
    <n v="9.8054794520547937"/>
    <n v="270.86561369863017"/>
    <n v="354.49164109589043"/>
    <n v="0"/>
  </r>
  <r>
    <n v="2270"/>
    <s v="Wooden Takhat (10)"/>
    <s v="Sugar Division"/>
    <x v="6"/>
    <m/>
    <s v="Common"/>
    <d v="2012-11-15T00:00:00"/>
    <n v="5311.94"/>
    <n v="0"/>
    <n v="1706.0787019178083"/>
    <n v="3605.8612980821913"/>
    <n v="265.59699999999998"/>
    <n v="10"/>
    <n v="7.3835616438356162"/>
    <n v="51684.882739726047"/>
    <n v="8.3835616438356162"/>
    <n v="334.02642980821912"/>
    <n v="52018.909169534265"/>
    <n v="0"/>
  </r>
  <r>
    <n v="2271"/>
    <s v="Steel Almirah  2 Nos"/>
    <s v="Sugar Division"/>
    <x v="6"/>
    <m/>
    <s v="Common"/>
    <d v="1992-03-31T00:00:00"/>
    <n v="5520"/>
    <n v="0"/>
    <n v="5244"/>
    <n v="276"/>
    <n v="276"/>
    <n v="10"/>
    <n v="28.024657534246575"/>
    <n v="2622"/>
    <n v="29.024657534246575"/>
    <n v="0"/>
    <n v="2622"/>
    <n v="0"/>
  </r>
  <r>
    <n v="2272"/>
    <s v="Cinema Project "/>
    <s v="Sugar Division"/>
    <x v="6"/>
    <m/>
    <s v="Common"/>
    <d v="1992-03-31T00:00:00"/>
    <n v="4711"/>
    <n v="0"/>
    <n v="4475.45"/>
    <n v="235.55000000000018"/>
    <n v="235.55"/>
    <n v="5"/>
    <n v="28.024657534246575"/>
    <n v="2237.7249999999999"/>
    <n v="29.024657534246575"/>
    <n v="3.4106051316484814E-14"/>
    <n v="2237.7249999999999"/>
    <n v="0"/>
  </r>
  <r>
    <n v="2273"/>
    <s v="Chair(15 Nos)"/>
    <s v="Sugar Division"/>
    <x v="6"/>
    <m/>
    <s v="Common"/>
    <d v="2010-06-15T00:00:00"/>
    <n v="5273.16"/>
    <n v="0"/>
    <n v="2906.8836263013695"/>
    <n v="2366.2763736986303"/>
    <n v="263.65800000000002"/>
    <n v="10"/>
    <n v="9.8054794520547937"/>
    <n v="13728.58794520548"/>
    <n v="10.805479452054794"/>
    <n v="210.26183736986306"/>
    <n v="13938.849782575342"/>
    <n v="0"/>
  </r>
  <r>
    <n v="2274"/>
    <s v="Folding Bed   "/>
    <s v="Sugar Division"/>
    <x v="6"/>
    <m/>
    <s v="Common"/>
    <d v="1992-03-31T00:00:00"/>
    <n v="3216"/>
    <n v="0"/>
    <n v="3055.2"/>
    <n v="160.80000000000018"/>
    <n v="160.80000000000001"/>
    <n v="10"/>
    <n v="28.024657534246575"/>
    <n v="1527.6"/>
    <n v="29.024657534246575"/>
    <n v="1.7053025658242407E-14"/>
    <n v="1527.6"/>
    <n v="0"/>
  </r>
  <r>
    <n v="2275"/>
    <s v="Rubber Matrasses"/>
    <s v="Sugar Division"/>
    <x v="6"/>
    <m/>
    <s v="Common"/>
    <d v="1992-03-31T00:00:00"/>
    <n v="1700"/>
    <n v="0"/>
    <n v="1615"/>
    <n v="85"/>
    <n v="85"/>
    <n v="10"/>
    <n v="28.024657534246575"/>
    <n v="807.5"/>
    <n v="29.024657534246575"/>
    <n v="0"/>
    <n v="807.5"/>
    <n v="0"/>
  </r>
  <r>
    <n v="2276"/>
    <s v="Electric Typewriter "/>
    <s v="Sugar Division"/>
    <x v="6"/>
    <m/>
    <s v="Common"/>
    <d v="1992-09-21T00:00:00"/>
    <n v="37970"/>
    <n v="0"/>
    <n v="36071.5"/>
    <n v="1898.5"/>
    <n v="1898.5"/>
    <n v="5"/>
    <n v="27.547945205479451"/>
    <n v="18035.75"/>
    <n v="28.547945205479451"/>
    <n v="0"/>
    <n v="18035.75"/>
    <n v="0"/>
  </r>
  <r>
    <n v="2277"/>
    <s v="Table  ( 24 Nos. )"/>
    <s v="Sugar Division"/>
    <x v="6"/>
    <m/>
    <s v="Common"/>
    <d v="2010-11-15T00:00:00"/>
    <n v="5270"/>
    <n v="0"/>
    <n v="2695.2801369863009"/>
    <n v="2574.7198630136991"/>
    <n v="263.5"/>
    <n v="10"/>
    <n v="9.3863013698630144"/>
    <n v="8615.4849315068514"/>
    <n v="10.386301369863014"/>
    <n v="231.12198630136993"/>
    <n v="8846.6069178082216"/>
    <n v="0"/>
  </r>
  <r>
    <n v="2278"/>
    <s v="Chairs Wooden 22"/>
    <s v="Sugar Division"/>
    <x v="6"/>
    <m/>
    <s v="Common"/>
    <d v="1991-03-15T00:00:00"/>
    <n v="480"/>
    <n v="0"/>
    <n v="456"/>
    <n v="24"/>
    <n v="24"/>
    <n v="10"/>
    <n v="29.07123287671233"/>
    <n v="228"/>
    <n v="30.07123287671233"/>
    <n v="0"/>
    <n v="228"/>
    <n v="0"/>
  </r>
  <r>
    <n v="2279"/>
    <s v="Bed With Side Table 1 Set "/>
    <s v="Sugar Division"/>
    <x v="6"/>
    <m/>
    <s v="Common"/>
    <d v="1991-06-15T00:00:00"/>
    <n v="861"/>
    <n v="0"/>
    <n v="817.95"/>
    <n v="43.049999999999955"/>
    <n v="43.050000000000004"/>
    <n v="10"/>
    <n v="28.81917808219178"/>
    <n v="408.97500000000002"/>
    <n v="29.81917808219178"/>
    <n v="-4.9737991503207018E-15"/>
    <n v="408.97500000000002"/>
    <n v="0"/>
  </r>
  <r>
    <n v="2280"/>
    <s v="Centre Table"/>
    <s v="Sugar Division"/>
    <x v="6"/>
    <m/>
    <s v="Common"/>
    <d v="1991-08-31T00:00:00"/>
    <n v="2250"/>
    <n v="0"/>
    <n v="2137.5"/>
    <n v="112.5"/>
    <n v="112.5"/>
    <n v="10"/>
    <n v="28.608219178082191"/>
    <n v="1068.75"/>
    <n v="29.608219178082191"/>
    <n v="0"/>
    <n v="1068.75"/>
    <n v="0"/>
  </r>
  <r>
    <n v="2281"/>
    <s v="Wooden Chair   "/>
    <s v="Sugar Division"/>
    <x v="6"/>
    <m/>
    <s v="Common"/>
    <d v="1991-12-31T00:00:00"/>
    <n v="1240"/>
    <n v="0"/>
    <n v="1178"/>
    <n v="62"/>
    <n v="62"/>
    <n v="10"/>
    <n v="28.273972602739725"/>
    <n v="589"/>
    <n v="29.273972602739725"/>
    <n v="0"/>
    <n v="589"/>
    <n v="0"/>
  </r>
  <r>
    <n v="2282"/>
    <s v="Chairs (27 Nos.)"/>
    <s v="Sugar Division"/>
    <x v="6"/>
    <m/>
    <s v="Common"/>
    <d v="2011-11-15T00:00:00"/>
    <n v="5130"/>
    <n v="0"/>
    <n v="2136.3287671232874"/>
    <n v="2993.6712328767126"/>
    <n v="256.5"/>
    <n v="10"/>
    <n v="8.3863013698630144"/>
    <n v="2555.7488219178081"/>
    <n v="9.3863013698630144"/>
    <n v="273.71712328767126"/>
    <n v="2829.4659452054793"/>
    <n v="0"/>
  </r>
  <r>
    <n v="2283"/>
    <s v="Office Table "/>
    <s v="Sugar Division"/>
    <x v="6"/>
    <m/>
    <s v="Common"/>
    <d v="1991-12-31T00:00:00"/>
    <n v="240"/>
    <n v="0"/>
    <n v="228"/>
    <n v="12"/>
    <n v="12"/>
    <n v="10"/>
    <n v="28.273972602739725"/>
    <n v="114"/>
    <n v="29.273972602739725"/>
    <n v="0"/>
    <n v="114"/>
    <n v="0"/>
  </r>
  <r>
    <n v="2284"/>
    <s v="Chairs Plastic(11)"/>
    <s v="Sugar Division"/>
    <x v="6"/>
    <m/>
    <s v="Common"/>
    <d v="2013-03-15T00:00:00"/>
    <n v="5058.2299999999996"/>
    <n v="0"/>
    <n v="1466.6095367123287"/>
    <n v="3591.6204632876706"/>
    <n v="252.91149999999999"/>
    <n v="10"/>
    <n v="7.0547945205479454"/>
    <n v="877.60219178082207"/>
    <n v="8.0547945205479454"/>
    <n v="333.87089632876706"/>
    <n v="1211.4730881095891"/>
    <n v="0"/>
  </r>
  <r>
    <n v="2285"/>
    <s v="Double Bed"/>
    <s v="Sugar Division"/>
    <x v="6"/>
    <m/>
    <s v="Common"/>
    <d v="2008-01-01T00:00:00"/>
    <n v="4999.16"/>
    <n v="0"/>
    <n v="4749.2020000000002"/>
    <n v="249.95799999999963"/>
    <n v="249.958"/>
    <n v="10"/>
    <n v="12.260273972602739"/>
    <n v="2374.6010000000001"/>
    <n v="13.260273972602739"/>
    <n v="-3.6948222259525211E-14"/>
    <n v="2374.6010000000001"/>
    <n v="0"/>
  </r>
  <r>
    <n v="2286"/>
    <s v="Tea Table "/>
    <s v="Sugar Division"/>
    <x v="6"/>
    <m/>
    <s v="Common"/>
    <d v="1992-02-15T00:00:00"/>
    <n v="482"/>
    <n v="0"/>
    <n v="457.9"/>
    <n v="24.100000000000023"/>
    <n v="24.1"/>
    <n v="10"/>
    <n v="28.147945205479452"/>
    <n v="228.95"/>
    <n v="29.147945205479452"/>
    <n v="2.1316282072803009E-15"/>
    <n v="228.95"/>
    <n v="0"/>
  </r>
  <r>
    <n v="2287"/>
    <s v="Almirah"/>
    <s v="Sugar Division"/>
    <x v="6"/>
    <m/>
    <s v="Common"/>
    <d v="2009-01-15T00:00:00"/>
    <n v="4900"/>
    <n v="0"/>
    <n v="4655"/>
    <n v="245"/>
    <n v="245"/>
    <n v="10"/>
    <n v="11.219178082191782"/>
    <n v="2327.5"/>
    <n v="12.219178082191782"/>
    <n v="0"/>
    <n v="2327.5"/>
    <n v="0"/>
  </r>
  <r>
    <n v="2288"/>
    <s v="Takath (10 Nos)"/>
    <s v="Sugar Division"/>
    <x v="6"/>
    <m/>
    <s v="Common"/>
    <d v="2011-11-15T00:00:00"/>
    <n v="4900"/>
    <n v="0"/>
    <n v="2040.5479452054794"/>
    <n v="2859.4520547945203"/>
    <n v="245"/>
    <n v="10"/>
    <n v="8.3863013698630144"/>
    <n v="10154.754965753425"/>
    <n v="9.3863013698630144"/>
    <n v="261.44520547945206"/>
    <n v="10416.200171232878"/>
    <n v="0"/>
  </r>
  <r>
    <n v="2289"/>
    <s v="Chairs (10)"/>
    <s v="Sugar Division"/>
    <x v="6"/>
    <m/>
    <s v="Common"/>
    <d v="2013-09-15T00:00:00"/>
    <n v="4850.32"/>
    <n v="0"/>
    <n v="1174.043210958904"/>
    <n v="3676.276789041096"/>
    <n v="242.51599999999999"/>
    <n v="10"/>
    <n v="6.5506849315068489"/>
    <n v="5625.2222465753439"/>
    <n v="7.5506849315068489"/>
    <n v="343.37607890410959"/>
    <n v="5968.5983254794537"/>
    <n v="0"/>
  </r>
  <r>
    <n v="2290"/>
    <s v="Exaust Fan -3"/>
    <s v="Sugar Division"/>
    <x v="6"/>
    <m/>
    <s v="Common"/>
    <d v="2013-03-15T00:00:00"/>
    <n v="4803.54"/>
    <n v="0"/>
    <n v="4563.3630000000003"/>
    <n v="240.17699999999968"/>
    <n v="240.17700000000002"/>
    <n v="5"/>
    <n v="7.0547945205479454"/>
    <n v="2281.6815000000001"/>
    <n v="8.0547945205479454"/>
    <n v="-6.8212102632969628E-14"/>
    <n v="2281.6815000000001"/>
    <n v="0"/>
  </r>
  <r>
    <n v="2291"/>
    <s v="Takhat"/>
    <s v="Sugar Division"/>
    <x v="6"/>
    <m/>
    <s v="Common"/>
    <d v="1992-03-15T00:00:00"/>
    <n v="1964"/>
    <n v="0"/>
    <n v="1865.8"/>
    <n v="98.200000000000045"/>
    <n v="98.2"/>
    <n v="10"/>
    <n v="28.068493150684933"/>
    <n v="932.9"/>
    <n v="29.068493150684933"/>
    <n v="4.2632564145606017E-15"/>
    <n v="932.9"/>
    <n v="0"/>
  </r>
  <r>
    <n v="2292"/>
    <s v="Chair Plastic -10"/>
    <s v="Sugar Division"/>
    <x v="6"/>
    <m/>
    <s v="Common"/>
    <d v="2013-01-15T00:00:00"/>
    <n v="4756.12"/>
    <n v="0"/>
    <n v="1452.0499512328768"/>
    <n v="3304.0700487671229"/>
    <n v="237.80600000000001"/>
    <n v="10"/>
    <n v="7.2164383561643834"/>
    <n v="341.33630136986312"/>
    <n v="8.2164383561643834"/>
    <n v="306.62640487671229"/>
    <n v="647.96270624657541"/>
    <n v="0"/>
  </r>
  <r>
    <n v="2293"/>
    <s v="Exhaust Fan-3 Nos"/>
    <s v="Sugar Division"/>
    <x v="6"/>
    <m/>
    <s v="Common"/>
    <d v="2014-02-15T00:00:00"/>
    <n v="4674.22"/>
    <n v="0"/>
    <n v="4440.509"/>
    <n v="233.71100000000024"/>
    <n v="233.71100000000001"/>
    <n v="5"/>
    <n v="6.1315068493150688"/>
    <n v="2220.2545"/>
    <n v="7.1315068493150688"/>
    <n v="4.5474735088646414E-14"/>
    <n v="2220.2545"/>
    <n v="0"/>
  </r>
  <r>
    <n v="2294"/>
    <s v="Tabel-1 No."/>
    <s v="Sugar Division"/>
    <x v="6"/>
    <m/>
    <s v="Common"/>
    <d v="2014-01-15T00:00:00"/>
    <n v="4600"/>
    <n v="0"/>
    <n v="967.38630136986296"/>
    <n v="3632.6136986301372"/>
    <n v="230"/>
    <n v="10"/>
    <n v="6.2164383561643834"/>
    <n v="2912.7546575342458"/>
    <n v="7.2164383561643834"/>
    <n v="340.26136986301373"/>
    <n v="3253.0160273972597"/>
    <n v="0"/>
  </r>
  <r>
    <n v="2295"/>
    <s v="Table"/>
    <s v="Sugar Division"/>
    <x v="6"/>
    <m/>
    <s v="Common"/>
    <d v="2014-02-20T00:00:00"/>
    <n v="4600"/>
    <n v="0"/>
    <n v="924.28493150684938"/>
    <n v="3675.7150684931507"/>
    <n v="230"/>
    <n v="10"/>
    <n v="6.117808219178082"/>
    <n v="401926.68493150681"/>
    <n v="7.117808219178082"/>
    <n v="344.57150684931509"/>
    <n v="402271.25643835613"/>
    <n v="0"/>
  </r>
  <r>
    <n v="2296"/>
    <s v="Double Bed"/>
    <s v="Sugar Division"/>
    <x v="6"/>
    <m/>
    <s v="Common"/>
    <d v="2008-01-01T00:00:00"/>
    <n v="4599.58"/>
    <n v="0"/>
    <n v="4369.6009999999997"/>
    <n v="229.97900000000027"/>
    <n v="229.97900000000001"/>
    <n v="10"/>
    <n v="12.260273972602739"/>
    <n v="2184.8004999999998"/>
    <n v="13.260273972602739"/>
    <n v="2.5579538487363607E-14"/>
    <n v="2184.8004999999998"/>
    <n v="0"/>
  </r>
  <r>
    <n v="2297"/>
    <s v="Bed Ply "/>
    <s v="Sugar Division"/>
    <x v="6"/>
    <m/>
    <s v="Common"/>
    <d v="1992-03-31T00:00:00"/>
    <n v="712"/>
    <n v="0"/>
    <n v="676.4"/>
    <n v="35.600000000000023"/>
    <n v="35.6"/>
    <n v="10"/>
    <n v="28.024657534246575"/>
    <n v="338.2"/>
    <n v="29.024657534246575"/>
    <n v="2.1316282072803009E-15"/>
    <n v="338.2"/>
    <n v="0"/>
  </r>
  <r>
    <n v="2298"/>
    <s v="Stablizer"/>
    <s v="Sugar Division"/>
    <x v="6"/>
    <m/>
    <s v="Common"/>
    <d v="2013-04-15T00:00:00"/>
    <n v="4500"/>
    <n v="0"/>
    <n v="4275"/>
    <n v="225"/>
    <n v="225"/>
    <n v="5"/>
    <n v="6.9698630136986299"/>
    <n v="2137.5"/>
    <n v="7.9698630136986299"/>
    <n v="0"/>
    <n v="2137.5"/>
    <n v="0"/>
  </r>
  <r>
    <n v="2299"/>
    <s v="Dyning Table &amp; Chaires 1"/>
    <s v="Sugar Division"/>
    <x v="6"/>
    <m/>
    <s v="Common"/>
    <d v="1992-09-30T00:00:00"/>
    <n v="3260"/>
    <n v="0"/>
    <n v="3097"/>
    <n v="163"/>
    <n v="163"/>
    <n v="10"/>
    <n v="27.523287671232875"/>
    <n v="1548.5"/>
    <n v="28.523287671232875"/>
    <n v="0"/>
    <n v="1548.5"/>
    <n v="0"/>
  </r>
  <r>
    <n v="2300"/>
    <s v="Mattress (3 Nos)"/>
    <s v="Sugar Division"/>
    <x v="6"/>
    <m/>
    <s v="Common"/>
    <d v="2009-11-15T00:00:00"/>
    <n v="4375"/>
    <n v="0"/>
    <n v="4156.25"/>
    <n v="218.75"/>
    <n v="218.75"/>
    <n v="10"/>
    <n v="10.386301369863014"/>
    <n v="2078.125"/>
    <n v="11.386301369863014"/>
    <n v="0"/>
    <n v="2078.125"/>
    <n v="0"/>
  </r>
  <r>
    <n v="2301"/>
    <s v="Chairs (10 Nos.)"/>
    <s v="Sugar Division"/>
    <x v="6"/>
    <m/>
    <s v="Common"/>
    <d v="2012-05-15T00:00:00"/>
    <n v="4337.37"/>
    <n v="0"/>
    <n v="1600.7866101369864"/>
    <n v="2736.5833898630135"/>
    <n v="216.86850000000001"/>
    <n v="10"/>
    <n v="7.8876712328767127"/>
    <n v="883.10958904109589"/>
    <n v="8.8876712328767127"/>
    <n v="251.97148898630135"/>
    <n v="1135.0810780273973"/>
    <n v="0"/>
  </r>
  <r>
    <n v="2302"/>
    <s v="Bed"/>
    <s v="Sugar Division"/>
    <x v="6"/>
    <m/>
    <s v="Common"/>
    <d v="2011-02-15T00:00:00"/>
    <n v="4290"/>
    <n v="0"/>
    <n v="2091.3456164383565"/>
    <n v="2198.6543835616435"/>
    <n v="214.5"/>
    <n v="10"/>
    <n v="9.1342465753424662"/>
    <n v="412.11780821917807"/>
    <n v="10.134246575342466"/>
    <n v="198.41543835616437"/>
    <n v="610.53324657534245"/>
    <n v="0"/>
  </r>
  <r>
    <n v="2303"/>
    <s v="Typewriter (Facit) 1"/>
    <s v="Sugar Division"/>
    <x v="6"/>
    <m/>
    <s v="Common"/>
    <d v="1993-02-05T00:00:00"/>
    <n v="9000"/>
    <n v="0"/>
    <n v="8550"/>
    <n v="450"/>
    <n v="450"/>
    <n v="5"/>
    <n v="27.172602739726027"/>
    <n v="4275"/>
    <n v="28.172602739726027"/>
    <n v="0"/>
    <n v="4275"/>
    <n v="0"/>
  </r>
  <r>
    <n v="2304"/>
    <s v="Mattress"/>
    <s v="Sugar Division"/>
    <x v="6"/>
    <m/>
    <s v="Common"/>
    <d v="2009-01-15T00:00:00"/>
    <n v="4200"/>
    <n v="0"/>
    <n v="3990"/>
    <n v="210"/>
    <n v="210"/>
    <n v="10"/>
    <n v="11.219178082191782"/>
    <n v="1995"/>
    <n v="12.219178082191782"/>
    <n v="0"/>
    <n v="1995"/>
    <n v="0"/>
  </r>
  <r>
    <n v="2305"/>
    <s v="Mattress"/>
    <s v="Sugar Division"/>
    <x v="6"/>
    <m/>
    <s v="Common"/>
    <d v="2009-02-15T00:00:00"/>
    <n v="4200"/>
    <n v="0"/>
    <n v="3990"/>
    <n v="210"/>
    <n v="210"/>
    <n v="10"/>
    <n v="11.134246575342466"/>
    <n v="1995"/>
    <n v="12.134246575342466"/>
    <n v="0"/>
    <n v="1995"/>
    <n v="0"/>
  </r>
  <r>
    <n v="2306"/>
    <s v="Double Bed"/>
    <s v="Sugar Division"/>
    <x v="6"/>
    <m/>
    <s v="Common"/>
    <d v="2009-04-15T00:00:00"/>
    <n v="4199.95"/>
    <n v="0"/>
    <n v="3989.9524999999999"/>
    <n v="209.99749999999995"/>
    <n v="209.9975"/>
    <n v="10"/>
    <n v="10.972602739726028"/>
    <n v="1994.9762499999999"/>
    <n v="11.972602739726028"/>
    <n v="-5.6843418860808018E-15"/>
    <n v="1994.9762499999999"/>
    <n v="0"/>
  </r>
  <r>
    <n v="2307"/>
    <s v="Double Bed"/>
    <s v="Sugar Division"/>
    <x v="6"/>
    <m/>
    <s v="Common"/>
    <d v="2009-02-15T00:00:00"/>
    <n v="4199.9399999999996"/>
    <n v="0"/>
    <n v="3989.9429999999998"/>
    <n v="209.99699999999984"/>
    <n v="209.99699999999999"/>
    <n v="10"/>
    <n v="11.134246575342466"/>
    <n v="1994.9714999999999"/>
    <n v="12.134246575342466"/>
    <n v="-1.4210854715202004E-14"/>
    <n v="1994.9714999999999"/>
    <n v="0"/>
  </r>
  <r>
    <n v="2308"/>
    <s v="Double Bed"/>
    <s v="Sugar Division"/>
    <x v="6"/>
    <m/>
    <s v="Common"/>
    <d v="2008-11-15T00:00:00"/>
    <n v="4199.8"/>
    <n v="0"/>
    <n v="3989.8100000000004"/>
    <n v="209.98999999999978"/>
    <n v="209.99"/>
    <n v="10"/>
    <n v="11.386301369863014"/>
    <n v="1994.9050000000002"/>
    <n v="12.386301369863014"/>
    <n v="-2.2737367544323207E-14"/>
    <n v="1994.9050000000002"/>
    <n v="0"/>
  </r>
  <r>
    <n v="2309"/>
    <s v="Fan-4 Nos"/>
    <s v="Sugar Division"/>
    <x v="6"/>
    <m/>
    <s v="Common"/>
    <d v="2014-03-15T00:00:00"/>
    <n v="4156.37"/>
    <n v="0"/>
    <n v="3948.5515"/>
    <n v="207.81849999999986"/>
    <n v="207.8185"/>
    <n v="5"/>
    <n v="6.0547945205479454"/>
    <n v="1974.27575"/>
    <n v="7.0547945205479454"/>
    <n v="-2.8421709430404007E-14"/>
    <n v="1974.27575"/>
    <n v="0"/>
  </r>
  <r>
    <n v="2310"/>
    <s v="Single Bed "/>
    <s v="Sugar Division"/>
    <x v="6"/>
    <m/>
    <s v="Common"/>
    <d v="2013-02-15T00:00:00"/>
    <n v="4000"/>
    <n v="0"/>
    <n v="1188.9315068493149"/>
    <n v="2811.0684931506848"/>
    <n v="200"/>
    <n v="10"/>
    <n v="7.1315068493150688"/>
    <n v="36577.602739726026"/>
    <n v="8.131506849315068"/>
    <n v="261.10684931506825"/>
    <n v="36838.709589041093"/>
    <n v="0"/>
  </r>
  <r>
    <n v="2311"/>
    <s v="Dressing Table 2"/>
    <s v="Sugar Division"/>
    <x v="6"/>
    <m/>
    <s v="Common"/>
    <d v="1992-09-30T00:00:00"/>
    <n v="1800"/>
    <n v="0"/>
    <n v="1710"/>
    <n v="90"/>
    <n v="90"/>
    <n v="10"/>
    <n v="27.523287671232875"/>
    <n v="855"/>
    <n v="28.523287671232875"/>
    <n v="0"/>
    <n v="855"/>
    <n v="0"/>
  </r>
  <r>
    <n v="2312"/>
    <s v="Coir Matress 2"/>
    <s v="Sugar Division"/>
    <x v="6"/>
    <m/>
    <s v="Common"/>
    <d v="1992-10-31T00:00:00"/>
    <n v="2190"/>
    <n v="0"/>
    <n v="2080.5"/>
    <n v="109.5"/>
    <n v="109.5"/>
    <n v="10"/>
    <n v="27.438356164383563"/>
    <n v="1040.25"/>
    <n v="28.438356164383563"/>
    <n v="0"/>
    <n v="1040.25"/>
    <n v="0"/>
  </r>
  <r>
    <n v="2313"/>
    <s v="Mattress (2)"/>
    <s v="Sugar Division"/>
    <x v="6"/>
    <m/>
    <s v="Common"/>
    <d v="2013-04-15T00:00:00"/>
    <n v="3868.67"/>
    <n v="0"/>
    <n v="1090.4879806849315"/>
    <n v="2778.1820193150688"/>
    <n v="193.43350000000001"/>
    <n v="10"/>
    <n v="6.9698630136986299"/>
    <n v="1471.1015141095888"/>
    <n v="7.9698630136986299"/>
    <n v="258.47485193150686"/>
    <n v="1729.5763660410958"/>
    <n v="0"/>
  </r>
  <r>
    <n v="2314"/>
    <s v="Folding Beds 10"/>
    <s v="Sugar Division"/>
    <x v="6"/>
    <m/>
    <s v="Common"/>
    <d v="1992-10-31T00:00:00"/>
    <n v="2170"/>
    <n v="0"/>
    <n v="2061.5"/>
    <n v="108.5"/>
    <n v="108.5"/>
    <n v="10"/>
    <n v="27.438356164383563"/>
    <n v="1030.75"/>
    <n v="28.438356164383563"/>
    <n v="0"/>
    <n v="1030.75"/>
    <n v="0"/>
  </r>
  <r>
    <n v="2315"/>
    <s v="Folding Chair 6"/>
    <s v="Sugar Division"/>
    <x v="6"/>
    <m/>
    <s v="Common"/>
    <d v="1992-11-09T00:00:00"/>
    <n v="1800"/>
    <n v="0"/>
    <n v="1710"/>
    <n v="90"/>
    <n v="90"/>
    <n v="10"/>
    <n v="27.413698630136988"/>
    <n v="855"/>
    <n v="28.413698630136988"/>
    <n v="0"/>
    <n v="855"/>
    <n v="0"/>
  </r>
  <r>
    <n v="2316"/>
    <s v="Centre Table 2"/>
    <s v="Sugar Division"/>
    <x v="6"/>
    <m/>
    <s v="Common"/>
    <d v="1992-11-09T00:00:00"/>
    <n v="700"/>
    <n v="0"/>
    <n v="665"/>
    <n v="35"/>
    <n v="35"/>
    <n v="10"/>
    <n v="27.413698630136988"/>
    <n v="332.5"/>
    <n v="28.413698630136988"/>
    <n v="0"/>
    <n v="332.5"/>
    <n v="0"/>
  </r>
  <r>
    <n v="2317"/>
    <s v="Double Bed"/>
    <s v="Sugar Division"/>
    <x v="6"/>
    <m/>
    <s v="Common"/>
    <d v="2008-01-01T00:00:00"/>
    <n v="3745.24"/>
    <n v="0"/>
    <n v="3557.9779999999996"/>
    <n v="187.26200000000017"/>
    <n v="187.262"/>
    <n v="10"/>
    <n v="12.260273972602739"/>
    <n v="1778.9889999999998"/>
    <n v="13.260273972602739"/>
    <n v="1.7053025658242407E-14"/>
    <n v="1778.9889999999998"/>
    <n v="0"/>
  </r>
  <r>
    <n v="2318"/>
    <s v="Chair Plastic"/>
    <s v="Sugar Division"/>
    <x v="6"/>
    <m/>
    <s v="Common"/>
    <d v="2013-02-15T00:00:00"/>
    <n v="3738.06"/>
    <n v="0"/>
    <n v="1111.0743271232875"/>
    <n v="2626.9856728767127"/>
    <n v="186.90300000000002"/>
    <n v="10"/>
    <n v="7.1315068493150688"/>
    <n v="1421.4357197260276"/>
    <n v="8.131506849315068"/>
    <n v="244.00826728767103"/>
    <n v="1665.4439870136987"/>
    <n v="0"/>
  </r>
  <r>
    <n v="2319"/>
    <s v="Chairs (2)"/>
    <s v="Sugar Division"/>
    <x v="6"/>
    <m/>
    <s v="Common"/>
    <d v="2013-06-15T00:00:00"/>
    <n v="3716"/>
    <n v="0"/>
    <n v="988.4559999999999"/>
    <n v="2727.5439999999999"/>
    <n v="185.8"/>
    <n v="10"/>
    <n v="6.8027397260273972"/>
    <n v="1413.0471780821915"/>
    <n v="7.8027397260273972"/>
    <n v="254.17439999999999"/>
    <n v="1667.2215780821916"/>
    <n v="0"/>
  </r>
  <r>
    <n v="2320"/>
    <s v="Takhat 2"/>
    <s v="Sugar Division"/>
    <x v="6"/>
    <m/>
    <s v="Common"/>
    <d v="1992-11-30T00:00:00"/>
    <n v="148"/>
    <n v="0"/>
    <n v="140.6"/>
    <n v="7.4000000000000057"/>
    <n v="7.4"/>
    <n v="10"/>
    <n v="27.356164383561644"/>
    <n v="70.3"/>
    <n v="28.356164383561644"/>
    <n v="5.3290705182007522E-16"/>
    <n v="70.3"/>
    <n v="0"/>
  </r>
  <r>
    <n v="2321"/>
    <s v="Almirah Steel 6"/>
    <s v="Sugar Division"/>
    <x v="6"/>
    <m/>
    <s v="Common"/>
    <d v="1992-12-31T00:00:00"/>
    <n v="17055"/>
    <n v="0"/>
    <n v="16202.25"/>
    <n v="852.75"/>
    <n v="852.75"/>
    <n v="10"/>
    <n v="27.271232876712329"/>
    <n v="8101.125"/>
    <n v="28.271232876712329"/>
    <n v="0"/>
    <n v="8101.125"/>
    <n v="0"/>
  </r>
  <r>
    <n v="2322"/>
    <s v="Table"/>
    <s v="Sugar Division"/>
    <x v="6"/>
    <m/>
    <s v="Common"/>
    <d v="2013-08-15T00:00:00"/>
    <n v="3600"/>
    <n v="0"/>
    <n v="900.44383561643838"/>
    <n v="2699.5561643835617"/>
    <n v="180"/>
    <n v="10"/>
    <n v="6.6356164383561644"/>
    <n v="1368.9369863013699"/>
    <n v="7.6356164383561644"/>
    <n v="251.95561643835617"/>
    <n v="1620.892602739726"/>
    <n v="0"/>
  </r>
  <r>
    <n v="2323"/>
    <s v="Table 5"/>
    <s v="Sugar Division"/>
    <x v="6"/>
    <m/>
    <s v="Common"/>
    <d v="1992-12-31T00:00:00"/>
    <n v="726"/>
    <n v="0"/>
    <n v="689.7"/>
    <n v="36.299999999999955"/>
    <n v="36.300000000000004"/>
    <n v="10"/>
    <n v="27.271232876712329"/>
    <n v="344.85"/>
    <n v="28.271232876712329"/>
    <n v="-4.9737991503207018E-15"/>
    <n v="344.85"/>
    <n v="0"/>
  </r>
  <r>
    <n v="2324"/>
    <s v="Mattress 2"/>
    <s v="Sugar Division"/>
    <x v="6"/>
    <m/>
    <s v="Common"/>
    <d v="2013-02-15T00:00:00"/>
    <n v="3550"/>
    <n v="0"/>
    <n v="1055.1767123287671"/>
    <n v="2494.8232876712327"/>
    <n v="177.5"/>
    <n v="10"/>
    <n v="7.1315068493150688"/>
    <n v="1349.9239726027397"/>
    <n v="8.131506849315068"/>
    <n v="231.73232876712305"/>
    <n v="1581.6563013698628"/>
    <n v="0"/>
  </r>
  <r>
    <n v="2325"/>
    <s v="Chairs Plastic(8)"/>
    <s v="Sugar Division"/>
    <x v="6"/>
    <m/>
    <s v="Common"/>
    <d v="2012-11-15T00:00:00"/>
    <n v="3519.85"/>
    <n v="0"/>
    <n v="1130.4986726027398"/>
    <n v="2389.3513273972603"/>
    <n v="175.99250000000001"/>
    <n v="10"/>
    <n v="7.3835616438356162"/>
    <n v="1338.4591253424658"/>
    <n v="8.3835616438356162"/>
    <n v="221.33588273972606"/>
    <n v="1559.7950080821918"/>
    <n v="0"/>
  </r>
  <r>
    <n v="2326"/>
    <s v="Matress 2"/>
    <s v="Sugar Division"/>
    <x v="6"/>
    <m/>
    <s v="Common"/>
    <d v="2013-01-15T00:00:00"/>
    <n v="3500"/>
    <n v="0"/>
    <n v="1068.5547945205478"/>
    <n v="2431.4452054794519"/>
    <n v="175"/>
    <n v="10"/>
    <n v="7.2164383561643834"/>
    <n v="1330.9109589041097"/>
    <n v="8.2164383561643834"/>
    <n v="225.64452054794521"/>
    <n v="1556.5554794520549"/>
    <n v="0"/>
  </r>
  <r>
    <n v="2327"/>
    <s v="Induction Stove"/>
    <s v="Sugar Division"/>
    <x v="6"/>
    <m/>
    <s v="Common"/>
    <d v="2013-08-31T00:00:00"/>
    <n v="3500"/>
    <n v="0"/>
    <n v="3325"/>
    <n v="175"/>
    <n v="175"/>
    <n v="5"/>
    <n v="6.5917808219178085"/>
    <n v="1662.5"/>
    <n v="7.5917808219178085"/>
    <n v="0"/>
    <n v="1662.5"/>
    <n v="0"/>
  </r>
  <r>
    <n v="2328"/>
    <s v="Chair (8)"/>
    <s v="Sugar Division"/>
    <x v="6"/>
    <m/>
    <s v="Common"/>
    <d v="2012-10-18T00:00:00"/>
    <n v="3479.5"/>
    <n v="0"/>
    <n v="1142.8965890410959"/>
    <n v="2336.6034109589041"/>
    <n v="173.97500000000002"/>
    <n v="10"/>
    <n v="7.4602739726027396"/>
    <n v="1323.115623287671"/>
    <n v="8.4602739726027405"/>
    <n v="216.26284109589062"/>
    <n v="1539.3784643835615"/>
    <n v="0"/>
  </r>
  <r>
    <n v="2329"/>
    <s v="Mattress 2 -Lucknow Office"/>
    <s v="Sugar Division"/>
    <x v="6"/>
    <m/>
    <s v="Common"/>
    <d v="2013-02-19T00:00:00"/>
    <n v="3400"/>
    <n v="0"/>
    <n v="1007.0520547945205"/>
    <n v="2392.9479452054793"/>
    <n v="170"/>
    <n v="10"/>
    <n v="7.1205479452054794"/>
    <n v="1292.8849315068494"/>
    <n v="8.1205479452054803"/>
    <n v="222.29479452054812"/>
    <n v="1515.1797260273975"/>
    <n v="0"/>
  </r>
  <r>
    <n v="2330"/>
    <s v="Ceiling Fan (4 Nos)"/>
    <s v="Sugar Division"/>
    <x v="6"/>
    <m/>
    <s v="Common"/>
    <d v="2012-05-15T00:00:00"/>
    <n v="3361.72"/>
    <n v="0"/>
    <n v="3193.634"/>
    <n v="168.08599999999979"/>
    <n v="168.08600000000001"/>
    <n v="5"/>
    <n v="7.8876712328767127"/>
    <n v="1596.817"/>
    <n v="8.8876712328767127"/>
    <n v="-4.5474735088646414E-14"/>
    <n v="1596.817"/>
    <n v="0"/>
  </r>
  <r>
    <n v="2331"/>
    <s v="Sofa Set 1"/>
    <s v="Sugar Division"/>
    <x v="6"/>
    <m/>
    <s v="Common"/>
    <d v="1993-03-07T00:00:00"/>
    <n v="3350"/>
    <n v="0"/>
    <n v="3182.5"/>
    <n v="167.5"/>
    <n v="167.5"/>
    <n v="10"/>
    <n v="27.090410958904108"/>
    <n v="1591.25"/>
    <n v="28.090410958904108"/>
    <n v="0"/>
    <n v="1591.25"/>
    <n v="0"/>
  </r>
  <r>
    <n v="2332"/>
    <s v="Side Tables 10"/>
    <s v="Sugar Division"/>
    <x v="6"/>
    <m/>
    <s v="Common"/>
    <d v="1993-03-15T00:00:00"/>
    <n v="1250"/>
    <n v="0"/>
    <n v="1187.5"/>
    <n v="62.5"/>
    <n v="62.5"/>
    <n v="10"/>
    <n v="27.068493150684933"/>
    <n v="593.75"/>
    <n v="28.068493150684933"/>
    <n v="0"/>
    <n v="593.75"/>
    <n v="0"/>
  </r>
  <r>
    <n v="2333"/>
    <s v="Table Centre Wooden 4"/>
    <s v="Sugar Division"/>
    <x v="6"/>
    <m/>
    <s v="Common"/>
    <d v="2013-01-15T00:00:00"/>
    <n v="3300"/>
    <n v="0"/>
    <n v="1007.4945205479452"/>
    <n v="2292.5054794520547"/>
    <n v="165"/>
    <n v="10"/>
    <n v="7.2164383561643834"/>
    <n v="1254.8589041095888"/>
    <n v="8.2164383561643834"/>
    <n v="212.75054794520548"/>
    <n v="1467.6094520547942"/>
    <n v="0"/>
  </r>
  <r>
    <n v="2334"/>
    <s v="Diwan"/>
    <s v="Sugar Division"/>
    <x v="6"/>
    <m/>
    <s v="Common"/>
    <d v="2007-01-01T00:00:00"/>
    <n v="3260.01"/>
    <n v="0"/>
    <n v="3097.0095000000001"/>
    <n v="163.0005000000001"/>
    <n v="163.00050000000002"/>
    <n v="10"/>
    <n v="13.260273972602739"/>
    <n v="1548.5047500000001"/>
    <n v="14.260273972602739"/>
    <n v="8.5265128291212035E-15"/>
    <n v="1548.5047500000001"/>
    <n v="0"/>
  </r>
  <r>
    <n v="2335"/>
    <s v="Tea Tables 11"/>
    <s v="Sugar Division"/>
    <x v="6"/>
    <m/>
    <s v="Common"/>
    <d v="1993-03-15T00:00:00"/>
    <n v="286"/>
    <n v="0"/>
    <n v="271.7"/>
    <n v="14.300000000000011"/>
    <n v="14.3"/>
    <n v="10"/>
    <n v="27.068493150684933"/>
    <n v="135.85"/>
    <n v="28.068493150684933"/>
    <n v="1.0658141036401504E-15"/>
    <n v="135.85"/>
    <n v="0"/>
  </r>
  <r>
    <n v="2336"/>
    <s v="Mattress(2 Nos)"/>
    <s v="Sugar Division"/>
    <x v="6"/>
    <m/>
    <s v="Common"/>
    <d v="2010-10-15T00:00:00"/>
    <n v="3240"/>
    <n v="0"/>
    <n v="1683.202191780822"/>
    <n v="1556.797808219178"/>
    <n v="162"/>
    <n v="10"/>
    <n v="9.4712328767123282"/>
    <n v="1232.0432876712325"/>
    <n v="10.471232876712328"/>
    <n v="139.47978082191781"/>
    <n v="1371.5230684931503"/>
    <n v="0"/>
  </r>
  <r>
    <n v="2337"/>
    <s v="Chairs (16 Nos.)"/>
    <s v="Sugar Division"/>
    <x v="6"/>
    <m/>
    <s v="Common"/>
    <d v="2012-11-15T00:00:00"/>
    <n v="3221.55"/>
    <n v="0"/>
    <n v="1034.6912506849317"/>
    <n v="2186.8587493150685"/>
    <n v="161.07750000000001"/>
    <n v="10"/>
    <n v="7.3835616438356162"/>
    <n v="1225.0274856164383"/>
    <n v="8.3835616438356162"/>
    <n v="202.57812493150686"/>
    <n v="1427.6056105479452"/>
    <n v="0"/>
  </r>
  <r>
    <n v="2338"/>
    <s v="Chair 57 "/>
    <s v="Sugar Division"/>
    <x v="6"/>
    <m/>
    <s v="Common"/>
    <d v="1993-03-31T00:00:00"/>
    <n v="4425"/>
    <n v="0"/>
    <n v="4203.75"/>
    <n v="221.25"/>
    <n v="221.25"/>
    <n v="10"/>
    <n v="27.024657534246575"/>
    <n v="2101.875"/>
    <n v="28.024657534246575"/>
    <n v="0"/>
    <n v="2101.875"/>
    <n v="0"/>
  </r>
  <r>
    <n v="2339"/>
    <s v="Stool 2"/>
    <s v="Sugar Division"/>
    <x v="6"/>
    <m/>
    <s v="Common"/>
    <d v="1993-05-15T00:00:00"/>
    <n v="26"/>
    <n v="0"/>
    <n v="24.7"/>
    <n v="1.3000000000000007"/>
    <n v="1.3"/>
    <n v="10"/>
    <n v="26.901369863013699"/>
    <n v="12.35"/>
    <n v="27.901369863013699"/>
    <n v="6.6613381477509402E-17"/>
    <n v="12.35"/>
    <n v="0"/>
  </r>
  <r>
    <n v="2340"/>
    <s v="Steel Pipe Chair 2"/>
    <s v="Sugar Division"/>
    <x v="6"/>
    <m/>
    <s v="Common"/>
    <d v="1993-05-31T00:00:00"/>
    <n v="448"/>
    <n v="0"/>
    <n v="425.6"/>
    <n v="22.399999999999977"/>
    <n v="22.400000000000002"/>
    <n v="10"/>
    <n v="26.857534246575341"/>
    <n v="212.8"/>
    <n v="27.857534246575341"/>
    <n v="-2.4868995751603509E-15"/>
    <n v="212.8"/>
    <n v="0"/>
  </r>
  <r>
    <n v="2341"/>
    <s v="Mattress(2 Nos)"/>
    <s v="Sugar Division"/>
    <x v="6"/>
    <m/>
    <s v="Common"/>
    <d v="2011-02-15T00:00:00"/>
    <n v="3200"/>
    <n v="0"/>
    <n v="1559.9780821917809"/>
    <n v="1640.0219178082191"/>
    <n v="160"/>
    <n v="10"/>
    <n v="9.1342465753424662"/>
    <n v="1216.8328767123287"/>
    <n v="10.134246575342466"/>
    <n v="148.0021917808219"/>
    <n v="1364.8350684931506"/>
    <n v="0"/>
  </r>
  <r>
    <n v="2342"/>
    <s v="Bed 5"/>
    <s v="Sugar Division"/>
    <x v="6"/>
    <m/>
    <s v="Common"/>
    <d v="1993-06-30T00:00:00"/>
    <n v="7539"/>
    <n v="0"/>
    <n v="7162.05"/>
    <n v="376.94999999999982"/>
    <n v="376.95000000000005"/>
    <n v="10"/>
    <n v="26.775342465753425"/>
    <n v="3581.0250000000001"/>
    <n v="27.775342465753425"/>
    <n v="-2.2737367544323207E-14"/>
    <n v="3581.0250000000001"/>
    <n v="0"/>
  </r>
  <r>
    <n v="2343"/>
    <s v="Chair Steel Pipe Armed 6"/>
    <s v="Sugar Division"/>
    <x v="6"/>
    <m/>
    <s v="Common"/>
    <d v="1993-11-20T00:00:00"/>
    <n v="1311"/>
    <n v="0"/>
    <n v="1245.45"/>
    <n v="65.549999999999955"/>
    <n v="65.55"/>
    <n v="10"/>
    <n v="26.383561643835616"/>
    <n v="622.72500000000002"/>
    <n v="27.383561643835616"/>
    <n v="-4.2632564145606017E-15"/>
    <n v="622.72500000000002"/>
    <n v="0"/>
  </r>
  <r>
    <n v="2344"/>
    <s v="Exhaust Fan-2 Nos"/>
    <s v="Sugar Division"/>
    <x v="6"/>
    <m/>
    <s v="Common"/>
    <d v="2014-01-15T00:00:00"/>
    <n v="3116.15"/>
    <n v="0"/>
    <n v="2960.3425000000002"/>
    <n v="155.80749999999989"/>
    <n v="155.8075"/>
    <n v="5"/>
    <n v="6.2164383561643834"/>
    <n v="1480.1712500000001"/>
    <n v="7.2164383561643834"/>
    <n v="-2.2737367544323207E-14"/>
    <n v="1480.1712500000001"/>
    <n v="0"/>
  </r>
  <r>
    <n v="2345"/>
    <s v="Double Bed S 4"/>
    <s v="Sugar Division"/>
    <x v="6"/>
    <m/>
    <s v="Common"/>
    <d v="1993-12-13T00:00:00"/>
    <n v="12113"/>
    <n v="0"/>
    <n v="11507.35"/>
    <n v="605.64999999999964"/>
    <n v="605.65"/>
    <n v="10"/>
    <n v="26.32054794520548"/>
    <n v="5753.6750000000002"/>
    <n v="27.32054794520548"/>
    <n v="-3.4106051316484814E-14"/>
    <n v="5753.6750000000002"/>
    <n v="0"/>
  </r>
  <r>
    <n v="2346"/>
    <s v="Chair 6 Nos."/>
    <s v="Sugar Division"/>
    <x v="6"/>
    <m/>
    <s v="Common"/>
    <d v="2009-01-15T00:00:00"/>
    <n v="3000"/>
    <n v="0"/>
    <n v="2850"/>
    <n v="150"/>
    <n v="150"/>
    <n v="10"/>
    <n v="11.219178082191782"/>
    <n v="1425"/>
    <n v="12.219178082191782"/>
    <n v="0"/>
    <n v="1425"/>
    <n v="0"/>
  </r>
  <r>
    <n v="2347"/>
    <s v="Dressing Table "/>
    <s v="Sugar Division"/>
    <x v="6"/>
    <m/>
    <s v="Common"/>
    <d v="2013-02-15T00:00:00"/>
    <n v="3000"/>
    <n v="0"/>
    <n v="891.69863013698625"/>
    <n v="2108.3013698630139"/>
    <n v="150"/>
    <n v="10"/>
    <n v="7.1315068493150688"/>
    <n v="1140.7808219178082"/>
    <n v="8.131506849315068"/>
    <n v="195.8301369863012"/>
    <n v="1336.6109589041093"/>
    <n v="0"/>
  </r>
  <r>
    <n v="2348"/>
    <s v="Chairs(Lko)"/>
    <s v="Sugar Division"/>
    <x v="6"/>
    <m/>
    <s v="Common"/>
    <d v="2007-01-01T00:00:00"/>
    <n v="2970"/>
    <n v="0"/>
    <n v="2821.5"/>
    <n v="148.5"/>
    <n v="148.5"/>
    <n v="10"/>
    <n v="13.260273972602739"/>
    <n v="1410.75"/>
    <n v="14.260273972602739"/>
    <n v="0"/>
    <n v="1410.75"/>
    <n v="0"/>
  </r>
  <r>
    <n v="2349"/>
    <s v="Chair (6)"/>
    <s v="Sugar Division"/>
    <x v="6"/>
    <m/>
    <s v="Common"/>
    <d v="2013-10-31T00:00:00"/>
    <n v="2922.45"/>
    <n v="0"/>
    <n v="672.40370136986292"/>
    <n v="2250.0462986301368"/>
    <n v="146.1225"/>
    <n v="10"/>
    <n v="6.4246575342465757"/>
    <n v="1111.2916376712328"/>
    <n v="7.4246575342465757"/>
    <n v="210.3923798630137"/>
    <n v="1321.6840175342465"/>
    <n v="0"/>
  </r>
  <r>
    <n v="2350"/>
    <s v="Bed"/>
    <s v="Sugar Division"/>
    <x v="6"/>
    <m/>
    <s v="Common"/>
    <d v="2011-06-15T00:00:00"/>
    <n v="2897"/>
    <n v="0"/>
    <n v="1321.7860136986303"/>
    <n v="1575.2139863013697"/>
    <n v="144.85"/>
    <n v="10"/>
    <n v="8.8054794520547937"/>
    <n v="1101.6140136986298"/>
    <n v="9.8054794520547937"/>
    <n v="143.03639863013697"/>
    <n v="1244.6504123287668"/>
    <n v="0"/>
  </r>
  <r>
    <n v="2351"/>
    <s v="Chairs -Lucknow Office"/>
    <s v="Sugar Division"/>
    <x v="6"/>
    <m/>
    <s v="Common"/>
    <d v="2013-02-19T00:00:00"/>
    <n v="2850"/>
    <n v="0"/>
    <n v="844.14657534246567"/>
    <n v="2005.8534246575343"/>
    <n v="142.5"/>
    <n v="10"/>
    <n v="7.1205479452054794"/>
    <n v="1083.7417808219179"/>
    <n v="8.1205479452054803"/>
    <n v="186.3353424657536"/>
    <n v="1270.0771232876716"/>
    <n v="0"/>
  </r>
  <r>
    <n v="2352"/>
    <s v="Dining Table "/>
    <s v="Sugar Division"/>
    <x v="6"/>
    <m/>
    <s v="Common"/>
    <d v="1993-12-13T00:00:00"/>
    <n v="3933"/>
    <n v="0"/>
    <n v="3736.35"/>
    <n v="196.65000000000009"/>
    <n v="196.65"/>
    <n v="10"/>
    <n v="26.32054794520548"/>
    <n v="1868.175"/>
    <n v="27.32054794520548"/>
    <n v="8.5265128291212035E-15"/>
    <n v="1868.175"/>
    <n v="0"/>
  </r>
  <r>
    <n v="2353"/>
    <s v="Jute Matting "/>
    <s v="Sugar Division"/>
    <x v="6"/>
    <m/>
    <s v="Common"/>
    <d v="1993-12-13T00:00:00"/>
    <n v="2700"/>
    <n v="0"/>
    <n v="2565"/>
    <n v="135"/>
    <n v="135"/>
    <n v="10"/>
    <n v="26.32054794520548"/>
    <n v="1282.5"/>
    <n v="27.32054794520548"/>
    <n v="0"/>
    <n v="1282.5"/>
    <n v="0"/>
  </r>
  <r>
    <n v="2354"/>
    <s v="Cusion"/>
    <s v="Sugar Division"/>
    <x v="6"/>
    <m/>
    <s v="Common"/>
    <d v="2007-01-01T00:00:00"/>
    <n v="2699.99"/>
    <n v="0"/>
    <n v="2564.9904999999999"/>
    <n v="134.9994999999999"/>
    <n v="134.99949999999998"/>
    <n v="10"/>
    <n v="13.260273972602739"/>
    <n v="1282.4952499999999"/>
    <n v="14.260273972602739"/>
    <n v="-8.5265128291212035E-15"/>
    <n v="1282.4952499999999"/>
    <n v="0"/>
  </r>
  <r>
    <n v="2355"/>
    <s v="Sofa Set "/>
    <s v="Sugar Division"/>
    <x v="6"/>
    <m/>
    <s v="Common"/>
    <d v="1993-12-13T00:00:00"/>
    <n v="2350"/>
    <n v="0"/>
    <n v="2232.5"/>
    <n v="117.5"/>
    <n v="117.5"/>
    <n v="10"/>
    <n v="26.32054794520548"/>
    <n v="1116.25"/>
    <n v="27.32054794520548"/>
    <n v="0"/>
    <n v="1116.25"/>
    <n v="0"/>
  </r>
  <r>
    <n v="2356"/>
    <s v="Centrel Table 2"/>
    <s v="Sugar Division"/>
    <x v="6"/>
    <m/>
    <s v="Common"/>
    <d v="1993-12-13T00:00:00"/>
    <n v="1748"/>
    <n v="0"/>
    <n v="1660.6"/>
    <n v="87.400000000000091"/>
    <n v="87.4"/>
    <n v="10"/>
    <n v="26.32054794520548"/>
    <n v="830.3"/>
    <n v="27.32054794520548"/>
    <n v="8.5265128291212035E-15"/>
    <n v="830.3"/>
    <n v="0"/>
  </r>
  <r>
    <n v="2357"/>
    <s v="Fan-1 No."/>
    <s v="Sugar Division"/>
    <x v="6"/>
    <m/>
    <s v="Common"/>
    <d v="2014-03-15T00:00:00"/>
    <n v="2550"/>
    <n v="0"/>
    <n v="2422.5"/>
    <n v="127.5"/>
    <n v="127.5"/>
    <n v="5"/>
    <n v="6.0547945205479454"/>
    <n v="1211.25"/>
    <n v="7.0547945205479454"/>
    <n v="0"/>
    <n v="1211.25"/>
    <n v="0"/>
  </r>
  <r>
    <n v="2358"/>
    <s v="Chairs (6 Nos.)"/>
    <s v="Sugar Division"/>
    <x v="6"/>
    <m/>
    <s v="Common"/>
    <d v="2012-02-15T00:00:00"/>
    <n v="2544.33"/>
    <n v="0"/>
    <n v="998.63209808219176"/>
    <n v="1545.6979019178082"/>
    <n v="127.2165"/>
    <n v="10"/>
    <n v="8.1342465753424662"/>
    <n v="967.50762287671228"/>
    <n v="9.1342465753424662"/>
    <n v="141.84814019178083"/>
    <n v="1109.3557630684932"/>
    <n v="0"/>
  </r>
  <r>
    <n v="2359"/>
    <s v="Takhat 4"/>
    <s v="Sugar Division"/>
    <x v="6"/>
    <m/>
    <s v="Common"/>
    <d v="1993-12-13T00:00:00"/>
    <n v="1140"/>
    <n v="0"/>
    <n v="1083"/>
    <n v="57"/>
    <n v="57"/>
    <n v="10"/>
    <n v="26.32054794520548"/>
    <n v="541.5"/>
    <n v="27.32054794520548"/>
    <n v="0"/>
    <n v="541.5"/>
    <n v="0"/>
  </r>
  <r>
    <n v="2360"/>
    <s v="Peg Table 1"/>
    <s v="Sugar Division"/>
    <x v="6"/>
    <m/>
    <s v="Common"/>
    <d v="1993-12-13T00:00:00"/>
    <n v="656"/>
    <n v="0"/>
    <n v="623.20000000000005"/>
    <n v="32.799999999999955"/>
    <n v="32.800000000000004"/>
    <n v="10"/>
    <n v="26.32054794520548"/>
    <n v="311.60000000000002"/>
    <n v="27.32054794520548"/>
    <n v="-4.9737991503207018E-15"/>
    <n v="311.60000000000002"/>
    <n v="0"/>
  </r>
  <r>
    <n v="2361"/>
    <s v="Chair (5 Nos.)"/>
    <s v="Sugar Division"/>
    <x v="6"/>
    <m/>
    <s v="Common"/>
    <d v="2011-04-15T00:00:00"/>
    <n v="2456.86"/>
    <n v="0"/>
    <n v="1159.9744761643838"/>
    <n v="1296.8855238356164"/>
    <n v="122.84300000000002"/>
    <n v="10"/>
    <n v="8.9726027397260282"/>
    <n v="934.24625671232889"/>
    <n v="9.9726027397260282"/>
    <n v="117.40425238356164"/>
    <n v="1051.6505090958906"/>
    <n v="0"/>
  </r>
  <r>
    <n v="2362"/>
    <s v="Wooden Takhat- 4 Nos"/>
    <s v="Sugar Division"/>
    <x v="6"/>
    <m/>
    <s v="Common"/>
    <d v="2014-01-15T00:00:00"/>
    <n v="2388.33"/>
    <n v="0"/>
    <n v="502.26907068493148"/>
    <n v="1886.0609293150685"/>
    <n v="119.4165"/>
    <n v="10"/>
    <n v="6.2164383561643834"/>
    <n v="908.18702013698658"/>
    <n v="7.2164383561643834"/>
    <n v="176.66444293150687"/>
    <n v="1084.8514630684936"/>
    <n v="0"/>
  </r>
  <r>
    <n v="2363"/>
    <s v="Dressing Tables   1"/>
    <s v="Sugar Division"/>
    <x v="6"/>
    <m/>
    <s v="Common"/>
    <d v="1993-12-15T00:00:00"/>
    <n v="1584"/>
    <n v="0"/>
    <n v="1504.8"/>
    <n v="79.200000000000045"/>
    <n v="79.2"/>
    <n v="10"/>
    <n v="26.315068493150687"/>
    <n v="752.4"/>
    <n v="27.315068493150687"/>
    <n v="4.2632564145606017E-15"/>
    <n v="752.4"/>
    <n v="0"/>
  </r>
  <r>
    <n v="2364"/>
    <s v="Ceiling Fan (2)"/>
    <s v="Sugar Division"/>
    <x v="6"/>
    <m/>
    <s v="Common"/>
    <d v="2013-08-15T00:00:00"/>
    <n v="2341.13"/>
    <n v="0"/>
    <n v="2224.0735"/>
    <n v="117.05650000000014"/>
    <n v="117.05650000000001"/>
    <n v="5"/>
    <n v="6.6356164383561644"/>
    <n v="1112.03675"/>
    <n v="7.6356164383561644"/>
    <n v="2.5579538487363607E-14"/>
    <n v="1112.03675"/>
    <n v="0"/>
  </r>
  <r>
    <n v="2365"/>
    <s v="Steel Almirah 2"/>
    <s v="Sugar Division"/>
    <x v="6"/>
    <m/>
    <s v="Common"/>
    <d v="1993-12-20T00:00:00"/>
    <n v="5813"/>
    <n v="0"/>
    <n v="5522.35"/>
    <n v="290.64999999999964"/>
    <n v="290.65000000000003"/>
    <n v="10"/>
    <n v="26.301369863013697"/>
    <n v="2761.1750000000002"/>
    <n v="27.301369863013697"/>
    <n v="-3.9790393202565614E-14"/>
    <n v="2761.1750000000002"/>
    <n v="0"/>
  </r>
  <r>
    <n v="2366"/>
    <s v="Chair (6 Nos.)"/>
    <s v="Sugar Division"/>
    <x v="6"/>
    <m/>
    <s v="Common"/>
    <d v="2011-02-15T00:00:00"/>
    <n v="2284.85"/>
    <n v="0"/>
    <n v="1113.848725342466"/>
    <n v="1171.0012746575339"/>
    <n v="114.24250000000001"/>
    <n v="10"/>
    <n v="9.1342465753424662"/>
    <n v="868.83768698630138"/>
    <n v="10.134246575342466"/>
    <n v="105.67587746575339"/>
    <n v="974.51356445205477"/>
    <n v="0"/>
  </r>
  <r>
    <n v="2367"/>
    <s v="Folding Palang 3"/>
    <s v="Sugar Division"/>
    <x v="6"/>
    <m/>
    <s v="Common"/>
    <d v="1993-12-31T00:00:00"/>
    <n v="675"/>
    <n v="0"/>
    <n v="641.25"/>
    <n v="33.75"/>
    <n v="33.75"/>
    <n v="10"/>
    <n v="26.271232876712329"/>
    <n v="320.625"/>
    <n v="27.271232876712329"/>
    <n v="0"/>
    <n v="320.625"/>
    <n v="0"/>
  </r>
  <r>
    <n v="2368"/>
    <s v="Steel Box 2"/>
    <s v="Sugar Division"/>
    <x v="6"/>
    <m/>
    <s v="Common"/>
    <d v="1994-02-15T00:00:00"/>
    <n v="575"/>
    <n v="0"/>
    <n v="546.25"/>
    <n v="28.75"/>
    <n v="28.75"/>
    <n v="10"/>
    <n v="26.145205479452056"/>
    <n v="273.125"/>
    <n v="27.145205479452056"/>
    <n v="0"/>
    <n v="273.125"/>
    <n v="0"/>
  </r>
  <r>
    <n v="2369"/>
    <s v="Matress"/>
    <s v="Sugar Division"/>
    <x v="6"/>
    <m/>
    <s v="Common"/>
    <d v="1994-03-15T00:00:00"/>
    <n v="6746"/>
    <n v="0"/>
    <n v="6408.7"/>
    <n v="337.30000000000018"/>
    <n v="337.3"/>
    <n v="10"/>
    <n v="26.068493150684933"/>
    <n v="3204.35"/>
    <n v="27.068493150684933"/>
    <n v="1.7053025658242407E-14"/>
    <n v="3204.35"/>
    <n v="0"/>
  </r>
  <r>
    <n v="2370"/>
    <s v="Chairs Armless 40"/>
    <s v="Sugar Division"/>
    <x v="6"/>
    <m/>
    <s v="Common"/>
    <d v="1994-06-15T00:00:00"/>
    <n v="3789"/>
    <n v="0"/>
    <n v="3599.55"/>
    <n v="189.44999999999982"/>
    <n v="189.45000000000002"/>
    <n v="10"/>
    <n v="25.816438356164383"/>
    <n v="1799.7750000000001"/>
    <n v="26.816438356164383"/>
    <n v="-1.9895196601282807E-14"/>
    <n v="1799.7750000000001"/>
    <n v="0"/>
  </r>
  <r>
    <n v="2371"/>
    <s v="Ceiling Fan -2"/>
    <s v="Sugar Division"/>
    <x v="6"/>
    <m/>
    <s v="Common"/>
    <d v="2013-03-15T00:00:00"/>
    <n v="2232.4699999999998"/>
    <n v="0"/>
    <n v="2120.8464999999997"/>
    <n v="111.62350000000015"/>
    <n v="111.62349999999999"/>
    <n v="5"/>
    <n v="7.0547945205479454"/>
    <n v="1060.4232499999998"/>
    <n v="8.0547945205479454"/>
    <n v="3.1263880373444411E-14"/>
    <n v="1060.4232499999998"/>
    <n v="0"/>
  </r>
  <r>
    <n v="2372"/>
    <s v="Godrej Filing Cabinate "/>
    <s v="Sugar Division"/>
    <x v="6"/>
    <m/>
    <s v="Common"/>
    <d v="1995-03-31T00:00:00"/>
    <n v="399"/>
    <n v="0"/>
    <n v="379.05"/>
    <n v="19.949999999999989"/>
    <n v="19.950000000000003"/>
    <n v="10"/>
    <n v="25.024657534246575"/>
    <n v="189.52500000000001"/>
    <n v="26.024657534246575"/>
    <n v="-1.4210854715202005E-15"/>
    <n v="189.52500000000001"/>
    <n v="0"/>
  </r>
  <r>
    <n v="2373"/>
    <s v="Table"/>
    <s v="Sugar Division"/>
    <x v="6"/>
    <m/>
    <s v="Common"/>
    <d v="1994-06-15T00:00:00"/>
    <n v="968"/>
    <n v="0"/>
    <n v="919.6"/>
    <n v="48.399999999999977"/>
    <n v="48.400000000000006"/>
    <n v="10"/>
    <n v="25.816438356164383"/>
    <n v="459.8"/>
    <n v="26.816438356164383"/>
    <n v="-2.8421709430404009E-15"/>
    <n v="459.8"/>
    <n v="0"/>
  </r>
  <r>
    <n v="2374"/>
    <s v="Amonia Printing Machine"/>
    <s v="Sugar Division"/>
    <x v="6"/>
    <m/>
    <s v="Common"/>
    <d v="1995-06-15T00:00:00"/>
    <n v="12507"/>
    <n v="0"/>
    <n v="11881.65"/>
    <n v="625.35000000000036"/>
    <n v="625.35"/>
    <n v="5"/>
    <n v="24.816438356164383"/>
    <n v="5940.8249999999998"/>
    <n v="25.816438356164383"/>
    <n v="6.8212102632969628E-14"/>
    <n v="5940.8249999999998"/>
    <n v="0"/>
  </r>
  <r>
    <n v="2375"/>
    <s v="Bed"/>
    <s v="Sugar Division"/>
    <x v="6"/>
    <m/>
    <s v="Common"/>
    <d v="2011-04-15T00:00:00"/>
    <n v="2200"/>
    <n v="0"/>
    <n v="1038.7013698630137"/>
    <n v="1161.2986301369863"/>
    <n v="110"/>
    <n v="10"/>
    <n v="8.9726027397260282"/>
    <n v="836.57260273972611"/>
    <n v="9.9726027397260282"/>
    <n v="105.12986301369864"/>
    <n v="941.7024657534248"/>
    <n v="0"/>
  </r>
  <r>
    <n v="2376"/>
    <s v="Xerox Machine 1"/>
    <s v="Sugar Division"/>
    <x v="6"/>
    <m/>
    <s v="Common"/>
    <d v="1995-09-16T00:00:00"/>
    <n v="149673"/>
    <n v="0"/>
    <n v="112189.35"/>
    <n v="37483.649999999994"/>
    <n v="7483.6500000000005"/>
    <n v="5"/>
    <n v="24.561643835616437"/>
    <n v="56094.675000000003"/>
    <n v="25.561643835616437"/>
    <n v="5999.9999999999991"/>
    <n v="62094.675000000003"/>
    <n v="0"/>
  </r>
  <r>
    <n v="2377"/>
    <s v="Padustal Fan"/>
    <s v="Sugar Division"/>
    <x v="6"/>
    <m/>
    <s v="Common"/>
    <d v="2013-06-15T00:00:00"/>
    <n v="2200"/>
    <n v="0"/>
    <n v="2090"/>
    <n v="110"/>
    <n v="110"/>
    <n v="5"/>
    <n v="6.8027397260273972"/>
    <n v="1045"/>
    <n v="7.8027397260273972"/>
    <n v="0"/>
    <n v="1045"/>
    <n v="0"/>
  </r>
  <r>
    <n v="2378"/>
    <s v="Tea Table 17"/>
    <s v="Sugar Division"/>
    <x v="6"/>
    <m/>
    <s v="Common"/>
    <d v="1994-06-15T00:00:00"/>
    <n v="415"/>
    <n v="0"/>
    <n v="394.25"/>
    <n v="20.75"/>
    <n v="20.75"/>
    <n v="10"/>
    <n v="25.816438356164383"/>
    <n v="197.125"/>
    <n v="26.816438356164383"/>
    <n v="0"/>
    <n v="197.125"/>
    <n v="0"/>
  </r>
  <r>
    <n v="2379"/>
    <s v="Wooden Block 1"/>
    <s v="Sugar Division"/>
    <x v="6"/>
    <m/>
    <s v="Common"/>
    <d v="1994-12-31T00:00:00"/>
    <n v="2824"/>
    <n v="0"/>
    <n v="2682.8"/>
    <n v="141.19999999999982"/>
    <n v="141.20000000000002"/>
    <n v="10"/>
    <n v="25.271232876712329"/>
    <n v="1341.4"/>
    <n v="26.271232876712329"/>
    <n v="-1.9895196601282807E-14"/>
    <n v="1341.4"/>
    <n v="0"/>
  </r>
  <r>
    <n v="2380"/>
    <s v="Drafting Machine 1"/>
    <s v="Sugar Division"/>
    <x v="6"/>
    <m/>
    <s v="Common"/>
    <d v="1995-11-15T00:00:00"/>
    <n v="12497"/>
    <n v="0"/>
    <n v="11872.15"/>
    <n v="624.85000000000036"/>
    <n v="624.85"/>
    <n v="5"/>
    <n v="24.397260273972602"/>
    <n v="5936.0749999999998"/>
    <n v="25.397260273972602"/>
    <n v="6.8212102632969628E-14"/>
    <n v="5936.0749999999998"/>
    <n v="0"/>
  </r>
  <r>
    <n v="2381"/>
    <s v="Double Bed 3"/>
    <s v="Sugar Division"/>
    <x v="6"/>
    <m/>
    <s v="Common"/>
    <d v="1995-01-01T00:00:00"/>
    <n v="6600"/>
    <n v="0"/>
    <n v="6270"/>
    <n v="330"/>
    <n v="330"/>
    <n v="10"/>
    <n v="25.268493150684932"/>
    <n v="3135"/>
    <n v="26.268493150684932"/>
    <n v="0"/>
    <n v="3135"/>
    <n v="0"/>
  </r>
  <r>
    <n v="2382"/>
    <s v="Steel Almirah 1"/>
    <s v="Sugar Division"/>
    <x v="6"/>
    <m/>
    <s v="Common"/>
    <d v="1995-01-01T00:00:00"/>
    <n v="3220"/>
    <n v="0"/>
    <n v="3059"/>
    <n v="161"/>
    <n v="161"/>
    <n v="10"/>
    <n v="25.268493150684932"/>
    <n v="1529.5"/>
    <n v="26.268493150684932"/>
    <n v="0"/>
    <n v="1529.5"/>
    <n v="0"/>
  </r>
  <r>
    <n v="2383"/>
    <s v="Chairs (5 Nos.)"/>
    <s v="Sugar Division"/>
    <x v="6"/>
    <m/>
    <s v="Common"/>
    <d v="2012-03-15T00:00:00"/>
    <n v="2150.9"/>
    <n v="0"/>
    <n v="827.97864246575341"/>
    <n v="1322.9213575342467"/>
    <n v="107.54500000000002"/>
    <n v="10"/>
    <n v="8.0547945205479454"/>
    <n v="817.90182328767128"/>
    <n v="9.0547945205479454"/>
    <n v="121.53763575342467"/>
    <n v="939.43945904109592"/>
    <n v="0"/>
  </r>
  <r>
    <n v="2384"/>
    <s v="Chair Half Easy "/>
    <s v="Sugar Division"/>
    <x v="6"/>
    <m/>
    <s v="Common"/>
    <d v="1995-01-01T00:00:00"/>
    <n v="1938"/>
    <n v="0"/>
    <n v="1841.1"/>
    <n v="96.900000000000091"/>
    <n v="96.9"/>
    <n v="10"/>
    <n v="25.268493150684932"/>
    <n v="920.55"/>
    <n v="26.268493150684932"/>
    <n v="8.5265128291212035E-15"/>
    <n v="920.55"/>
    <n v="0"/>
  </r>
  <r>
    <n v="2385"/>
    <s v="Chair (12 Nos.)"/>
    <s v="Sugar Division"/>
    <x v="6"/>
    <m/>
    <s v="Common"/>
    <d v="2008-11-15T00:00:00"/>
    <n v="2102.25"/>
    <n v="0"/>
    <n v="1997.1375"/>
    <n v="105.11249999999995"/>
    <n v="105.11250000000001"/>
    <n v="10"/>
    <n v="11.386301369863014"/>
    <n v="998.56875000000002"/>
    <n v="12.386301369863014"/>
    <n v="-5.6843418860808018E-15"/>
    <n v="998.56875000000002"/>
    <n v="0"/>
  </r>
  <r>
    <n v="2386"/>
    <s v="Blower - 1"/>
    <s v="Sugar Division"/>
    <x v="6"/>
    <m/>
    <s v="Common"/>
    <d v="2014-01-15T00:00:00"/>
    <n v="2101.1999999999998"/>
    <n v="0"/>
    <n v="1996.1399999999999"/>
    <n v="105.05999999999995"/>
    <n v="105.06"/>
    <n v="5"/>
    <n v="6.2164383561643834"/>
    <n v="998.06999999999994"/>
    <n v="7.2164383561643834"/>
    <n v="-1.1368683772161604E-14"/>
    <n v="998.06999999999994"/>
    <n v="0"/>
  </r>
  <r>
    <n v="2387"/>
    <s v="Takhat 15"/>
    <s v="Sugar Division"/>
    <x v="6"/>
    <m/>
    <s v="Common"/>
    <d v="1995-01-01T00:00:00"/>
    <n v="1200"/>
    <n v="0"/>
    <n v="1140"/>
    <n v="60"/>
    <n v="60"/>
    <n v="10"/>
    <n v="25.268493150684932"/>
    <n v="570"/>
    <n v="26.268493150684932"/>
    <n v="0"/>
    <n v="570"/>
    <n v="0"/>
  </r>
  <r>
    <n v="2388"/>
    <s v="Office Table 14"/>
    <s v="Sugar Division"/>
    <x v="6"/>
    <m/>
    <s v="Common"/>
    <d v="1995-01-01T00:00:00"/>
    <n v="847"/>
    <n v="0"/>
    <n v="804.65"/>
    <n v="42.350000000000023"/>
    <n v="42.35"/>
    <n v="10"/>
    <n v="25.268493150684932"/>
    <n v="402.32499999999999"/>
    <n v="26.268493150684932"/>
    <n v="2.1316282072803009E-15"/>
    <n v="402.32499999999999"/>
    <n v="0"/>
  </r>
  <r>
    <n v="2389"/>
    <s v="Chair Armed   3"/>
    <s v="Sugar Division"/>
    <x v="6"/>
    <m/>
    <s v="Common"/>
    <d v="1995-01-01T00:00:00"/>
    <n v="126"/>
    <n v="0"/>
    <n v="119.7"/>
    <n v="6.2999999999999972"/>
    <n v="6.3000000000000007"/>
    <n v="10"/>
    <n v="25.268493150684932"/>
    <n v="59.85"/>
    <n v="26.268493150684932"/>
    <n v="-3.5527136788005011E-16"/>
    <n v="59.85"/>
    <n v="0"/>
  </r>
  <r>
    <n v="2390"/>
    <s v="Wooden Stool  6"/>
    <s v="Sugar Division"/>
    <x v="6"/>
    <m/>
    <s v="Common"/>
    <d v="1995-01-01T00:00:00"/>
    <n v="49"/>
    <n v="0"/>
    <n v="46.55"/>
    <n v="2.4500000000000028"/>
    <n v="2.4500000000000002"/>
    <n v="10"/>
    <n v="25.268493150684932"/>
    <n v="23.274999999999999"/>
    <n v="26.268493150684932"/>
    <n v="2.6645352591003761E-16"/>
    <n v="23.274999999999999"/>
    <n v="0"/>
  </r>
  <r>
    <n v="2391"/>
    <s v="Dressing Table"/>
    <s v="Sugar Division"/>
    <x v="6"/>
    <m/>
    <s v="Common"/>
    <d v="2011-02-15T00:00:00"/>
    <n v="1920"/>
    <n v="0"/>
    <n v="935.98684931506864"/>
    <n v="984.01315068493136"/>
    <n v="96"/>
    <n v="10"/>
    <n v="9.1342465753424662"/>
    <n v="730.09972602739731"/>
    <n v="10.134246575342466"/>
    <n v="88.801315068493139"/>
    <n v="818.90104109589049"/>
    <n v="0"/>
  </r>
  <r>
    <n v="2392"/>
    <s v="Dressing Table"/>
    <s v="Sugar Division"/>
    <x v="6"/>
    <m/>
    <s v="Common"/>
    <d v="2011-03-15T00:00:00"/>
    <n v="1920"/>
    <n v="0"/>
    <n v="921.99452054794529"/>
    <n v="998.00547945205471"/>
    <n v="96"/>
    <n v="10"/>
    <n v="9.0575342465753419"/>
    <n v="730.09972602739708"/>
    <n v="10.057534246575342"/>
    <n v="90.200547945205471"/>
    <n v="820.30027397260255"/>
    <n v="0"/>
  </r>
  <r>
    <n v="2393"/>
    <s v="Tea Table 1"/>
    <s v="Sugar Division"/>
    <x v="6"/>
    <m/>
    <s v="Common"/>
    <d v="1995-01-01T00:00:00"/>
    <n v="18"/>
    <n v="0"/>
    <n v="17.100000000000001"/>
    <n v="0.89999999999999858"/>
    <n v="0.9"/>
    <n v="10"/>
    <n v="25.268493150684932"/>
    <n v="8.5500000000000007"/>
    <n v="26.268493150684932"/>
    <n v="-1.4432899320127036E-16"/>
    <n v="8.5500000000000007"/>
    <n v="0"/>
  </r>
  <r>
    <n v="2394"/>
    <s v="Chair 4 Nos."/>
    <s v="Sugar Division"/>
    <x v="6"/>
    <m/>
    <s v="Common"/>
    <d v="2009-03-15T00:00:00"/>
    <n v="1847.07"/>
    <n v="0"/>
    <n v="1754.7165"/>
    <n v="92.35349999999994"/>
    <n v="92.353499999999997"/>
    <n v="10"/>
    <n v="11.057534246575342"/>
    <n v="877.35825"/>
    <n v="12.057534246575342"/>
    <n v="-5.6843418860808018E-15"/>
    <n v="877.35825"/>
    <n v="0"/>
  </r>
  <r>
    <n v="2395"/>
    <s v="Chair -1 No."/>
    <s v="Sugar Division"/>
    <x v="6"/>
    <m/>
    <s v="Common"/>
    <d v="2014-01-15T00:00:00"/>
    <n v="1830.83"/>
    <n v="0"/>
    <n v="385.02605698630128"/>
    <n v="1445.8039430136987"/>
    <n v="91.541499999999999"/>
    <n v="10"/>
    <n v="6.2164383561643834"/>
    <n v="696.19191739726034"/>
    <n v="7.2164383561643834"/>
    <n v="135.42624430136988"/>
    <n v="831.61816169863027"/>
    <n v="0"/>
  </r>
  <r>
    <n v="2396"/>
    <s v="Chairs "/>
    <s v="Sugar Division"/>
    <x v="6"/>
    <m/>
    <s v="Common"/>
    <d v="2013-03-15T00:00:00"/>
    <n v="1825"/>
    <n v="0"/>
    <n v="529.15"/>
    <n v="1295.8499999999999"/>
    <n v="91.25"/>
    <n v="10"/>
    <n v="7.0547945205479454"/>
    <n v="693.97500000000002"/>
    <n v="8.0547945205479454"/>
    <n v="120.46"/>
    <n v="814.43500000000006"/>
    <n v="0"/>
  </r>
  <r>
    <n v="2397"/>
    <s v="Thakat (5 Nos)"/>
    <s v="Sugar Division"/>
    <x v="6"/>
    <m/>
    <s v="Common"/>
    <d v="2009-12-15T00:00:00"/>
    <n v="1820"/>
    <n v="0"/>
    <n v="1729"/>
    <n v="91"/>
    <n v="91"/>
    <n v="10"/>
    <n v="10.304109589041095"/>
    <n v="864.5"/>
    <n v="11.304109589041095"/>
    <n v="0"/>
    <n v="864.5"/>
    <n v="0"/>
  </r>
  <r>
    <n v="2398"/>
    <s v="Chairs 4"/>
    <s v="Sugar Division"/>
    <x v="6"/>
    <m/>
    <s v="Common"/>
    <d v="2013-03-15T00:00:00"/>
    <n v="1800"/>
    <n v="0"/>
    <n v="521.90136986301377"/>
    <n v="1278.0986301369862"/>
    <n v="90"/>
    <n v="10"/>
    <n v="7.0547945205479454"/>
    <n v="684.46849315068494"/>
    <n v="8.0547945205479454"/>
    <n v="118.80986301369863"/>
    <n v="803.27835616438358"/>
    <n v="0"/>
  </r>
  <r>
    <n v="2399"/>
    <s v="Chair (4 Nos.)"/>
    <s v="Sugar Division"/>
    <x v="6"/>
    <m/>
    <s v="Common"/>
    <d v="2008-10-15T00:00:00"/>
    <n v="1798.75"/>
    <n v="0"/>
    <n v="1708.8125"/>
    <n v="89.9375"/>
    <n v="89.9375"/>
    <n v="10"/>
    <n v="11.471232876712328"/>
    <n v="854.40625"/>
    <n v="12.471232876712328"/>
    <n v="0"/>
    <n v="854.40625"/>
    <n v="0"/>
  </r>
  <r>
    <n v="2400"/>
    <s v="Tables (1+4+1)"/>
    <s v="Sugar Division"/>
    <x v="6"/>
    <m/>
    <s v="Common"/>
    <d v="2012-11-15T00:00:00"/>
    <n v="1784.72"/>
    <n v="0"/>
    <n v="573.21294684931502"/>
    <n v="1211.5070531506849"/>
    <n v="89.236000000000004"/>
    <n v="10"/>
    <n v="7.3835616438356162"/>
    <n v="678.65811616438339"/>
    <n v="8.3835616438356162"/>
    <n v="112.22710531506848"/>
    <n v="790.88522147945184"/>
    <n v="0"/>
  </r>
  <r>
    <n v="2401"/>
    <s v="Chair Plastic -4"/>
    <s v="Sugar Division"/>
    <x v="6"/>
    <m/>
    <s v="Common"/>
    <d v="2012-12-15T00:00:00"/>
    <n v="1766.62"/>
    <n v="0"/>
    <n v="553.60546739726033"/>
    <n v="1213.0145326027396"/>
    <n v="88.331000000000003"/>
    <n v="10"/>
    <n v="7.3013698630136989"/>
    <n v="671.7754052054795"/>
    <n v="8.3013698630136989"/>
    <n v="112.46835326027397"/>
    <n v="784.24375846575344"/>
    <n v="0"/>
  </r>
  <r>
    <n v="2402"/>
    <s v="Chairs (9 Nos.)"/>
    <s v="Sugar Division"/>
    <x v="6"/>
    <m/>
    <s v="Common"/>
    <d v="2011-12-15T00:00:00"/>
    <n v="1755"/>
    <n v="0"/>
    <n v="717.14589041095894"/>
    <n v="1037.8541095890409"/>
    <n v="87.75"/>
    <n v="10"/>
    <n v="8.3041095890410954"/>
    <n v="667.3567808219176"/>
    <n v="9.3041095890410954"/>
    <n v="95.010410958904103"/>
    <n v="762.36719178082171"/>
    <n v="0"/>
  </r>
  <r>
    <n v="2403"/>
    <s v="Steel Almirah 18"/>
    <s v="Sugar Division"/>
    <x v="6"/>
    <m/>
    <s v="Common"/>
    <d v="1996-01-01T00:00:00"/>
    <n v="52035"/>
    <n v="0"/>
    <n v="49433.25"/>
    <n v="2601.75"/>
    <n v="2601.75"/>
    <n v="10"/>
    <n v="24.268493150684932"/>
    <n v="24716.625"/>
    <n v="25.268493150684932"/>
    <n v="0"/>
    <n v="24716.625"/>
    <n v="0"/>
  </r>
  <r>
    <n v="2404"/>
    <s v="Chairs (4 Nos.)"/>
    <s v="Sugar Division"/>
    <x v="6"/>
    <m/>
    <s v="Common"/>
    <d v="2012-08-15T00:00:00"/>
    <n v="1736.63"/>
    <n v="0"/>
    <n v="599.35145506849312"/>
    <n v="1137.278544931507"/>
    <n v="86.831500000000005"/>
    <n v="10"/>
    <n v="7.6356164383561644"/>
    <n v="660.37139958904118"/>
    <n v="8.6356164383561644"/>
    <n v="105.0447044931507"/>
    <n v="765.41610408219185"/>
    <n v="0"/>
  </r>
  <r>
    <n v="2405"/>
    <s v="Ceiling Fan (2 Nos)"/>
    <s v="Sugar Division"/>
    <x v="6"/>
    <m/>
    <s v="Common"/>
    <d v="2012-03-15T00:00:00"/>
    <n v="1708.96"/>
    <n v="0"/>
    <n v="657.85595835616448"/>
    <n v="1051.1040416438354"/>
    <n v="85.448000000000008"/>
    <n v="10"/>
    <n v="8.0547945205479454"/>
    <n v="649.84959780821907"/>
    <n v="9.0547945205479454"/>
    <n v="96.565604164383558"/>
    <n v="746.41520197260263"/>
    <n v="0"/>
  </r>
  <r>
    <n v="2406"/>
    <s v="Double Bed 18"/>
    <s v="Sugar Division"/>
    <x v="6"/>
    <m/>
    <s v="Common"/>
    <d v="1996-01-01T00:00:00"/>
    <n v="41184"/>
    <n v="0"/>
    <n v="39124.800000000003"/>
    <n v="2059.1999999999971"/>
    <n v="2059.2000000000003"/>
    <n v="10"/>
    <n v="24.268493150684932"/>
    <n v="19562.400000000001"/>
    <n v="25.268493150684932"/>
    <n v="-3.1832314562052491E-13"/>
    <n v="19562.400000000001"/>
    <n v="0"/>
  </r>
  <r>
    <n v="2407"/>
    <s v="Matress    (Pair)  5"/>
    <s v="Sugar Division"/>
    <x v="6"/>
    <m/>
    <s v="Common"/>
    <d v="1996-01-01T00:00:00"/>
    <n v="11179"/>
    <n v="0"/>
    <n v="10620.05"/>
    <n v="558.95000000000073"/>
    <n v="558.95000000000005"/>
    <n v="10"/>
    <n v="24.268493150684932"/>
    <n v="5310.0249999999996"/>
    <n v="25.268493150684932"/>
    <n v="6.8212102632969628E-14"/>
    <n v="5310.0249999999996"/>
    <n v="0"/>
  </r>
  <r>
    <n v="2408"/>
    <s v="Easy Chair 31"/>
    <s v="Sugar Division"/>
    <x v="6"/>
    <m/>
    <s v="Common"/>
    <d v="1996-01-01T00:00:00"/>
    <n v="10415"/>
    <n v="0"/>
    <n v="9894.25"/>
    <n v="520.75"/>
    <n v="520.75"/>
    <n v="10"/>
    <n v="24.268493150684932"/>
    <n v="4947.125"/>
    <n v="25.268493150684932"/>
    <n v="0"/>
    <n v="4947.125"/>
    <n v="0"/>
  </r>
  <r>
    <n v="2409"/>
    <s v="Chair (4 Nos.)"/>
    <s v="Sugar Division"/>
    <x v="6"/>
    <m/>
    <s v="Common"/>
    <d v="2011-05-15T00:00:00"/>
    <n v="1690.65"/>
    <n v="0"/>
    <n v="785.01743013698638"/>
    <n v="905.63256986301371"/>
    <n v="84.532500000000013"/>
    <n v="10"/>
    <n v="8.8904109589041092"/>
    <n v="642.88703219178069"/>
    <n v="9.8904109589041092"/>
    <n v="82.110006986301372"/>
    <n v="724.9970391780821"/>
    <n v="0"/>
  </r>
  <r>
    <n v="2410"/>
    <s v="Ceiling Fan (2 Nos)"/>
    <s v="Sugar Division"/>
    <x v="6"/>
    <m/>
    <s v="Common"/>
    <d v="2012-06-15T00:00:00"/>
    <n v="1680.86"/>
    <n v="0"/>
    <n v="1596.817"/>
    <n v="84.042999999999893"/>
    <n v="84.043000000000006"/>
    <n v="5"/>
    <n v="7.8027397260273972"/>
    <n v="798.4085"/>
    <n v="8.8027397260273972"/>
    <n v="-2.2737367544323207E-14"/>
    <n v="798.4085"/>
    <n v="0"/>
  </r>
  <r>
    <n v="2411"/>
    <s v="Dining Table 3"/>
    <s v="Sugar Division"/>
    <x v="6"/>
    <m/>
    <s v="Common"/>
    <d v="1996-01-01T00:00:00"/>
    <n v="9050"/>
    <n v="0"/>
    <n v="8597.5"/>
    <n v="452.5"/>
    <n v="452.5"/>
    <n v="10"/>
    <n v="24.268493150684932"/>
    <n v="4298.75"/>
    <n v="25.268493150684932"/>
    <n v="0"/>
    <n v="4298.75"/>
    <n v="0"/>
  </r>
  <r>
    <n v="2412"/>
    <s v="Central Table 10"/>
    <s v="Sugar Division"/>
    <x v="6"/>
    <m/>
    <s v="Common"/>
    <d v="1996-01-01T00:00:00"/>
    <n v="6771"/>
    <n v="0"/>
    <n v="6432.45"/>
    <n v="338.55000000000018"/>
    <n v="338.55"/>
    <n v="10"/>
    <n v="24.268493150684932"/>
    <n v="3216.2249999999999"/>
    <n v="25.268493150684932"/>
    <n v="1.7053025658242407E-14"/>
    <n v="3216.2249999999999"/>
    <n v="0"/>
  </r>
  <r>
    <n v="2413"/>
    <s v="Dressing Table 2"/>
    <s v="Sugar Division"/>
    <x v="6"/>
    <m/>
    <s v="Common"/>
    <d v="1996-01-01T00:00:00"/>
    <n v="4544"/>
    <n v="0"/>
    <n v="4316.8"/>
    <n v="227.19999999999982"/>
    <n v="227.20000000000002"/>
    <n v="10"/>
    <n v="24.268493150684932"/>
    <n v="2158.4"/>
    <n v="25.268493150684932"/>
    <n v="-1.9895196601282807E-14"/>
    <n v="2158.4"/>
    <n v="0"/>
  </r>
  <r>
    <n v="2414"/>
    <s v="Office Table 18"/>
    <s v="Sugar Division"/>
    <x v="6"/>
    <m/>
    <s v="Common"/>
    <d v="1996-01-01T00:00:00"/>
    <n v="3840"/>
    <n v="0"/>
    <n v="3648"/>
    <n v="192"/>
    <n v="192"/>
    <n v="10"/>
    <n v="24.268493150684932"/>
    <n v="1824"/>
    <n v="25.268493150684932"/>
    <n v="0"/>
    <n v="1824"/>
    <n v="0"/>
  </r>
  <r>
    <n v="2415"/>
    <s v="Exaust Fan"/>
    <s v="Sugar Division"/>
    <x v="6"/>
    <m/>
    <s v="Common"/>
    <d v="2012-12-15T00:00:00"/>
    <n v="1601.18"/>
    <n v="0"/>
    <n v="1521.1210000000001"/>
    <n v="80.058999999999969"/>
    <n v="80.059000000000012"/>
    <n v="5"/>
    <n v="7.3013698630136989"/>
    <n v="760.56050000000005"/>
    <n v="8.3013698630136989"/>
    <n v="-8.5265128291212035E-15"/>
    <n v="760.56050000000005"/>
    <n v="0"/>
  </r>
  <r>
    <n v="2416"/>
    <s v="Exaust Fan"/>
    <s v="Sugar Division"/>
    <x v="6"/>
    <m/>
    <s v="Common"/>
    <d v="2013-02-15T00:00:00"/>
    <n v="1601.18"/>
    <n v="0"/>
    <n v="1521.1210000000001"/>
    <n v="80.058999999999969"/>
    <n v="80.059000000000012"/>
    <n v="5"/>
    <n v="7.1315068493150688"/>
    <n v="760.56050000000005"/>
    <n v="8.131506849315068"/>
    <n v="-8.526512829121194E-15"/>
    <n v="760.56050000000005"/>
    <n v="0"/>
  </r>
  <r>
    <n v="2417"/>
    <s v="Wooden Takhat"/>
    <s v="Sugar Division"/>
    <x v="6"/>
    <m/>
    <s v="Common"/>
    <d v="2013-02-15T00:00:00"/>
    <n v="1586.68"/>
    <n v="0"/>
    <n v="471.61346082191778"/>
    <n v="1115.0665391780822"/>
    <n v="79.334000000000003"/>
    <n v="10"/>
    <n v="7.1315068493150688"/>
    <n v="603.35137150684943"/>
    <n v="8.131506849315068"/>
    <n v="103.57325391780812"/>
    <n v="706.92462542465751"/>
    <n v="0"/>
  </r>
  <r>
    <n v="2418"/>
    <s v="Wooden Takhat 35"/>
    <s v="Sugar Division"/>
    <x v="6"/>
    <m/>
    <s v="Common"/>
    <d v="1996-01-01T00:00:00"/>
    <n v="3360"/>
    <n v="0"/>
    <n v="3192"/>
    <n v="168"/>
    <n v="168"/>
    <n v="10"/>
    <n v="24.268493150684932"/>
    <n v="1596"/>
    <n v="25.268493150684932"/>
    <n v="0"/>
    <n v="1596"/>
    <n v="0"/>
  </r>
  <r>
    <n v="2419"/>
    <s v="Wooden Takhat"/>
    <s v="Sugar Division"/>
    <x v="6"/>
    <m/>
    <s v="Common"/>
    <d v="2009-01-15T00:00:00"/>
    <n v="1571.73"/>
    <n v="0"/>
    <n v="1493.1435000000001"/>
    <n v="78.586499999999887"/>
    <n v="78.586500000000001"/>
    <n v="10"/>
    <n v="11.219178082191782"/>
    <n v="746.57175000000007"/>
    <n v="12.219178082191782"/>
    <n v="-1.1368683772161604E-14"/>
    <n v="746.57175000000007"/>
    <n v="0"/>
  </r>
  <r>
    <n v="2420"/>
    <s v="Sofa Set 1"/>
    <s v="Sugar Division"/>
    <x v="6"/>
    <m/>
    <s v="Common"/>
    <d v="1996-01-01T00:00:00"/>
    <n v="3000"/>
    <n v="0"/>
    <n v="2850"/>
    <n v="150"/>
    <n v="150"/>
    <n v="10"/>
    <n v="24.268493150684932"/>
    <n v="1425"/>
    <n v="25.268493150684932"/>
    <n v="0"/>
    <n v="1425"/>
    <n v="0"/>
  </r>
  <r>
    <n v="2421"/>
    <s v="Table"/>
    <s v="Sugar Division"/>
    <x v="6"/>
    <m/>
    <s v="Common"/>
    <d v="2013-04-15T00:00:00"/>
    <n v="1550"/>
    <n v="0"/>
    <n v="436.90890410958906"/>
    <n v="1113.091095890411"/>
    <n v="77.5"/>
    <n v="10"/>
    <n v="6.9698630136986299"/>
    <n v="589.40342465753429"/>
    <n v="7.9698630136986299"/>
    <n v="103.5591095890411"/>
    <n v="692.96253424657539"/>
    <n v="0"/>
  </r>
  <r>
    <n v="2422"/>
    <s v="Study Table 1"/>
    <s v="Sugar Division"/>
    <x v="6"/>
    <m/>
    <s v="Common"/>
    <d v="1996-01-01T00:00:00"/>
    <n v="2589"/>
    <n v="0"/>
    <n v="2459.5500000000002"/>
    <n v="129.44999999999982"/>
    <n v="129.45000000000002"/>
    <n v="10"/>
    <n v="24.268493150684932"/>
    <n v="1229.7750000000001"/>
    <n v="25.268493150684932"/>
    <n v="-1.9895196601282807E-14"/>
    <n v="1229.7750000000001"/>
    <n v="0"/>
  </r>
  <r>
    <n v="2423"/>
    <s v="Steel Table 2"/>
    <s v="Sugar Division"/>
    <x v="6"/>
    <m/>
    <s v="Common"/>
    <d v="1996-01-01T00:00:00"/>
    <n v="2280"/>
    <n v="0"/>
    <n v="2166"/>
    <n v="114"/>
    <n v="114"/>
    <n v="10"/>
    <n v="24.268493150684932"/>
    <n v="1083"/>
    <n v="25.268493150684932"/>
    <n v="0"/>
    <n v="1083"/>
    <n v="0"/>
  </r>
  <r>
    <n v="2424"/>
    <s v="Double Blower Heat"/>
    <s v="Sugar Division"/>
    <x v="6"/>
    <m/>
    <s v="Common"/>
    <d v="2013-03-15T00:00:00"/>
    <n v="1478.47"/>
    <n v="0"/>
    <n v="428.67528794520547"/>
    <n v="1049.7947120547947"/>
    <n v="73.923500000000004"/>
    <n v="10"/>
    <n v="7.0547945205479454"/>
    <n v="562.20340726027393"/>
    <n v="8.0547945205479454"/>
    <n v="97.587121205479477"/>
    <n v="659.79052846575337"/>
    <n v="0"/>
  </r>
  <r>
    <n v="2425"/>
    <s v="Chair Armless 70"/>
    <s v="Sugar Division"/>
    <x v="6"/>
    <m/>
    <s v="Common"/>
    <d v="1996-01-01T00:00:00"/>
    <n v="2230"/>
    <n v="0"/>
    <n v="2118.5"/>
    <n v="111.5"/>
    <n v="111.5"/>
    <n v="10"/>
    <n v="24.268493150684932"/>
    <n v="1059.25"/>
    <n v="25.268493150684932"/>
    <n v="0"/>
    <n v="1059.25"/>
    <n v="0"/>
  </r>
  <r>
    <n v="2426"/>
    <s v="Chair 24"/>
    <s v="Sugar Division"/>
    <x v="6"/>
    <m/>
    <s v="Common"/>
    <d v="1996-01-01T00:00:00"/>
    <n v="1462"/>
    <n v="0"/>
    <n v="1388.9"/>
    <n v="73.099999999999909"/>
    <n v="73.100000000000009"/>
    <n v="10"/>
    <n v="24.268493150684932"/>
    <n v="694.45"/>
    <n v="25.268493150684932"/>
    <n v="-9.9475983006414035E-15"/>
    <n v="694.45"/>
    <n v="0"/>
  </r>
  <r>
    <n v="2427"/>
    <s v="Lko-Matress"/>
    <s v="Sugar Division"/>
    <x v="6"/>
    <m/>
    <s v="Common"/>
    <d v="1996-01-01T00:00:00"/>
    <n v="1460"/>
    <n v="0"/>
    <n v="1387"/>
    <n v="73"/>
    <n v="73"/>
    <n v="10"/>
    <n v="24.268493150684932"/>
    <n v="693.5"/>
    <n v="25.268493150684932"/>
    <n v="0"/>
    <n v="693.5"/>
    <n v="0"/>
  </r>
  <r>
    <n v="2428"/>
    <s v="Fax Machine 1"/>
    <s v="Sugar Division"/>
    <x v="6"/>
    <m/>
    <s v="Common"/>
    <d v="1996-03-16T00:00:00"/>
    <n v="24105"/>
    <n v="0"/>
    <n v="22899.75"/>
    <n v="1205.25"/>
    <n v="1205.25"/>
    <n v="5"/>
    <n v="24.063013698630137"/>
    <n v="11449.875"/>
    <n v="25.063013698630137"/>
    <n v="0"/>
    <n v="11449.875"/>
    <n v="0"/>
  </r>
  <r>
    <n v="2429"/>
    <s v="Lko-Double Bed"/>
    <s v="Sugar Division"/>
    <x v="6"/>
    <m/>
    <s v="Common"/>
    <d v="1996-01-01T00:00:00"/>
    <n v="1300"/>
    <n v="0"/>
    <n v="1235"/>
    <n v="65"/>
    <n v="65"/>
    <n v="10"/>
    <n v="24.268493150684932"/>
    <n v="617.5"/>
    <n v="25.268493150684932"/>
    <n v="0"/>
    <n v="617.5"/>
    <n v="0"/>
  </r>
  <r>
    <n v="2430"/>
    <s v="Peg Table 4"/>
    <s v="Sugar Division"/>
    <x v="6"/>
    <m/>
    <s v="Common"/>
    <d v="1996-01-01T00:00:00"/>
    <n v="1057"/>
    <n v="0"/>
    <n v="1004.15"/>
    <n v="52.850000000000023"/>
    <n v="52.85"/>
    <n v="10"/>
    <n v="24.268493150684932"/>
    <n v="502.07499999999999"/>
    <n v="25.268493150684932"/>
    <n v="2.1316282072803009E-15"/>
    <n v="502.07499999999999"/>
    <n v="0"/>
  </r>
  <r>
    <n v="2431"/>
    <s v="Tea Table 20"/>
    <s v="Sugar Division"/>
    <x v="6"/>
    <m/>
    <s v="Common"/>
    <d v="1996-01-01T00:00:00"/>
    <n v="718"/>
    <n v="0"/>
    <n v="682.1"/>
    <n v="35.899999999999977"/>
    <n v="35.9"/>
    <n v="10"/>
    <n v="24.268493150684932"/>
    <n v="341.05"/>
    <n v="25.268493150684932"/>
    <n v="-2.1316282072803009E-15"/>
    <n v="341.05"/>
    <n v="0"/>
  </r>
  <r>
    <n v="2432"/>
    <s v="Chair (4 Nos.)"/>
    <s v="Sugar Division"/>
    <x v="6"/>
    <m/>
    <s v="Common"/>
    <d v="2010-09-15T00:00:00"/>
    <n v="1408.08"/>
    <n v="0"/>
    <n v="1337.6759999999999"/>
    <n v="70.403999999999996"/>
    <n v="70.403999999999996"/>
    <n v="10"/>
    <n v="9.5534246575342472"/>
    <n v="1337.6759999999999"/>
    <n v="10.553424657534247"/>
    <n v="0"/>
    <n v="1337.6759999999999"/>
    <n v="0"/>
  </r>
  <r>
    <n v="2433"/>
    <s v="Study Chair 1"/>
    <s v="Sugar Division"/>
    <x v="6"/>
    <m/>
    <s v="Common"/>
    <d v="1996-01-01T00:00:00"/>
    <n v="528"/>
    <n v="0"/>
    <n v="501.6"/>
    <n v="26.399999999999977"/>
    <n v="26.400000000000002"/>
    <n v="10"/>
    <n v="24.268493150684932"/>
    <n v="250.8"/>
    <n v="25.268493150684932"/>
    <n v="-2.4868995751603509E-15"/>
    <n v="250.8"/>
    <n v="0"/>
  </r>
  <r>
    <n v="2434"/>
    <s v="Table 3 Nos."/>
    <s v="Sugar Division"/>
    <x v="6"/>
    <m/>
    <s v="Common"/>
    <d v="2009-01-15T00:00:00"/>
    <n v="1365"/>
    <n v="0"/>
    <n v="1296.75"/>
    <n v="68.25"/>
    <n v="68.25"/>
    <n v="10"/>
    <n v="11.219178082191782"/>
    <n v="648.375"/>
    <n v="12.219178082191782"/>
    <n v="0"/>
    <n v="648.375"/>
    <n v="0"/>
  </r>
  <r>
    <n v="2435"/>
    <s v="Lko-Sofa Set"/>
    <s v="Sugar Division"/>
    <x v="6"/>
    <m/>
    <s v="Common"/>
    <d v="1996-01-01T00:00:00"/>
    <n v="475"/>
    <n v="0"/>
    <n v="451.25"/>
    <n v="23.75"/>
    <n v="23.75"/>
    <n v="10"/>
    <n v="24.268493150684932"/>
    <n v="225.625"/>
    <n v="25.268493150684932"/>
    <n v="0"/>
    <n v="225.625"/>
    <n v="0"/>
  </r>
  <r>
    <n v="2436"/>
    <s v="Wooden Stool 10"/>
    <s v="Sugar Division"/>
    <x v="6"/>
    <m/>
    <s v="Common"/>
    <d v="1996-01-01T00:00:00"/>
    <n v="350"/>
    <n v="0"/>
    <n v="332.5"/>
    <n v="17.5"/>
    <n v="17.5"/>
    <n v="10"/>
    <n v="24.268493150684932"/>
    <n v="166.25"/>
    <n v="25.268493150684932"/>
    <n v="0"/>
    <n v="166.25"/>
    <n v="0"/>
  </r>
  <r>
    <n v="2437"/>
    <s v="Chair - 2"/>
    <s v="Sugar Division"/>
    <x v="6"/>
    <m/>
    <s v="Common"/>
    <d v="2013-01-15T00:00:00"/>
    <n v="1341.98"/>
    <n v="0"/>
    <n v="409.70833232876709"/>
    <n v="932.27166767123299"/>
    <n v="67.099000000000004"/>
    <n v="10"/>
    <n v="7.2164383561643834"/>
    <n v="510.30168246575346"/>
    <n v="8.2164383561643834"/>
    <n v="86.517266767123303"/>
    <n v="596.81894923287678"/>
    <n v="0"/>
  </r>
  <r>
    <n v="2438"/>
    <s v="Lko- Side Table"/>
    <s v="Sugar Division"/>
    <x v="6"/>
    <m/>
    <s v="Common"/>
    <d v="1996-01-01T00:00:00"/>
    <n v="350"/>
    <n v="0"/>
    <n v="332.5"/>
    <n v="17.5"/>
    <n v="17.5"/>
    <n v="10"/>
    <n v="24.268493150684932"/>
    <n v="166.25"/>
    <n v="25.268493150684932"/>
    <n v="0"/>
    <n v="166.25"/>
    <n v="0"/>
  </r>
  <r>
    <n v="2439"/>
    <s v="Lko-Central Table"/>
    <s v="Sugar Division"/>
    <x v="6"/>
    <m/>
    <s v="Common"/>
    <d v="1996-01-01T00:00:00"/>
    <n v="225"/>
    <n v="0"/>
    <n v="213.75"/>
    <n v="11.25"/>
    <n v="11.25"/>
    <n v="10"/>
    <n v="24.268493150684932"/>
    <n v="106.875"/>
    <n v="25.268493150684932"/>
    <n v="0"/>
    <n v="106.875"/>
    <n v="0"/>
  </r>
  <r>
    <n v="2440"/>
    <s v="Table  "/>
    <s v="Sugar Division"/>
    <x v="6"/>
    <m/>
    <s v="Common"/>
    <d v="2011-04-15T00:00:00"/>
    <n v="1279.76"/>
    <n v="0"/>
    <n v="604.22202958904097"/>
    <n v="675.53797041095902"/>
    <n v="63.988"/>
    <n v="10"/>
    <n v="8.9726027397260282"/>
    <n v="486.64188821917821"/>
    <n v="9.9726027397260282"/>
    <n v="61.154997041095911"/>
    <n v="547.79688526027417"/>
    <n v="0"/>
  </r>
  <r>
    <n v="2441"/>
    <s v="Lko-Sofa Patty"/>
    <s v="Sugar Division"/>
    <x v="6"/>
    <m/>
    <s v="Common"/>
    <d v="1996-01-01T00:00:00"/>
    <n v="225"/>
    <n v="0"/>
    <n v="213.75"/>
    <n v="11.25"/>
    <n v="11.25"/>
    <n v="10"/>
    <n v="24.268493150684932"/>
    <n v="106.875"/>
    <n v="25.268493150684932"/>
    <n v="0"/>
    <n v="106.875"/>
    <n v="0"/>
  </r>
  <r>
    <n v="2442"/>
    <s v="Lko-Chair"/>
    <s v="Sugar Division"/>
    <x v="6"/>
    <m/>
    <s v="Common"/>
    <d v="1996-01-01T00:00:00"/>
    <n v="30"/>
    <n v="0"/>
    <n v="28.5"/>
    <n v="1.5"/>
    <n v="1.5"/>
    <n v="10"/>
    <n v="24.268493150684932"/>
    <n v="14.25"/>
    <n v="25.268493150684932"/>
    <n v="0"/>
    <n v="14.25"/>
    <n v="0"/>
  </r>
  <r>
    <n v="2443"/>
    <s v="Table(Lko)"/>
    <s v="Sugar Division"/>
    <x v="6"/>
    <m/>
    <s v="Common"/>
    <d v="2007-01-01T00:00:00"/>
    <n v="1215"/>
    <n v="0"/>
    <n v="1154.25"/>
    <n v="60.75"/>
    <n v="60.75"/>
    <n v="10"/>
    <n v="13.260273972602739"/>
    <n v="577.125"/>
    <n v="14.260273972602739"/>
    <n v="0"/>
    <n v="577.125"/>
    <n v="0"/>
  </r>
  <r>
    <n v="2444"/>
    <s v="Steel Almirah 8"/>
    <s v="Sugar Division"/>
    <x v="6"/>
    <m/>
    <s v="Common"/>
    <d v="1997-01-01T00:00:00"/>
    <n v="27330"/>
    <n v="0"/>
    <n v="25963.5"/>
    <n v="1366.5"/>
    <n v="1366.5"/>
    <n v="10"/>
    <n v="23.265753424657536"/>
    <n v="12981.75"/>
    <n v="24.265753424657536"/>
    <n v="0"/>
    <n v="12981.75"/>
    <n v="0"/>
  </r>
  <r>
    <n v="2445"/>
    <s v="Ceiling Fan"/>
    <s v="Sugar Division"/>
    <x v="6"/>
    <m/>
    <s v="Common"/>
    <d v="2013-07-15T00:00:00"/>
    <n v="1116.24"/>
    <n v="0"/>
    <n v="1060.4280000000001"/>
    <n v="55.811999999999898"/>
    <n v="55.812000000000005"/>
    <n v="5"/>
    <n v="6.720547945205479"/>
    <n v="530.21400000000006"/>
    <n v="7.720547945205479"/>
    <n v="-2.1316282072803006E-14"/>
    <n v="530.21400000000006"/>
    <n v="0"/>
  </r>
  <r>
    <n v="2446"/>
    <s v="Ceiling Fan"/>
    <s v="Sugar Division"/>
    <x v="6"/>
    <m/>
    <s v="Common"/>
    <d v="2013-06-15T00:00:00"/>
    <n v="1116.23"/>
    <n v="0"/>
    <n v="1060.4185"/>
    <n v="55.811500000000024"/>
    <n v="55.811500000000002"/>
    <n v="5"/>
    <n v="6.8027397260273972"/>
    <n v="530.20925"/>
    <n v="7.8027397260273972"/>
    <n v="4.2632564145606017E-15"/>
    <n v="530.20925"/>
    <n v="0"/>
  </r>
  <r>
    <n v="2447"/>
    <s v="Exaust Fan"/>
    <s v="Sugar Division"/>
    <x v="6"/>
    <m/>
    <s v="Common"/>
    <d v="2012-05-15T00:00:00"/>
    <n v="1096.6400000000001"/>
    <n v="0"/>
    <n v="1041.808"/>
    <n v="54.832000000000107"/>
    <n v="54.832000000000008"/>
    <n v="5"/>
    <n v="7.8876712328767127"/>
    <n v="520.904"/>
    <n v="8.8876712328767127"/>
    <n v="1.9895196601282807E-14"/>
    <n v="520.904"/>
    <n v="0"/>
  </r>
  <r>
    <n v="2448"/>
    <s v="Double Bed   5"/>
    <s v="Sugar Division"/>
    <x v="6"/>
    <m/>
    <s v="Common"/>
    <d v="1997-01-01T00:00:00"/>
    <n v="10440"/>
    <n v="0"/>
    <n v="9918"/>
    <n v="522"/>
    <n v="522"/>
    <n v="10"/>
    <n v="23.265753424657536"/>
    <n v="4959"/>
    <n v="24.265753424657536"/>
    <n v="0"/>
    <n v="4959"/>
    <n v="0"/>
  </r>
  <r>
    <n v="2449"/>
    <s v="Table 16"/>
    <s v="Sugar Division"/>
    <x v="6"/>
    <m/>
    <s v="Common"/>
    <d v="1997-01-01T00:00:00"/>
    <n v="8041"/>
    <n v="0"/>
    <n v="7638.95"/>
    <n v="402.05000000000018"/>
    <n v="402.05"/>
    <n v="10"/>
    <n v="23.265753424657536"/>
    <n v="3819.4749999999999"/>
    <n v="24.265753424657536"/>
    <n v="1.7053025658242407E-14"/>
    <n v="3819.4749999999999"/>
    <n v="0"/>
  </r>
  <r>
    <n v="2450"/>
    <s v="Chair 24"/>
    <s v="Sugar Division"/>
    <x v="6"/>
    <m/>
    <s v="Common"/>
    <d v="1997-01-01T00:00:00"/>
    <n v="7730"/>
    <n v="0"/>
    <n v="7343.5"/>
    <n v="386.5"/>
    <n v="386.5"/>
    <n v="10"/>
    <n v="23.265753424657536"/>
    <n v="3671.75"/>
    <n v="24.265753424657536"/>
    <n v="0"/>
    <n v="3671.75"/>
    <n v="0"/>
  </r>
  <r>
    <n v="2451"/>
    <s v="Matress  3 Pair"/>
    <s v="Sugar Division"/>
    <x v="6"/>
    <m/>
    <s v="Common"/>
    <d v="1997-01-01T00:00:00"/>
    <n v="6140"/>
    <n v="0"/>
    <n v="5833"/>
    <n v="307"/>
    <n v="307"/>
    <n v="10"/>
    <n v="23.265753424657536"/>
    <n v="2916.5"/>
    <n v="24.265753424657536"/>
    <n v="0"/>
    <n v="2916.5"/>
    <n v="0"/>
  </r>
  <r>
    <n v="2452"/>
    <s v="Table 2"/>
    <s v="Sugar Division"/>
    <x v="6"/>
    <m/>
    <s v="Common"/>
    <d v="2013-10-31T00:00:00"/>
    <n v="1000"/>
    <n v="0"/>
    <n v="230.08219178082189"/>
    <n v="769.91780821917814"/>
    <n v="50"/>
    <n v="10"/>
    <n v="6.4246575342465757"/>
    <n v="380.26027397260282"/>
    <n v="7.4246575342465757"/>
    <n v="71.991780821917814"/>
    <n v="452.25205479452063"/>
    <n v="0"/>
  </r>
  <r>
    <n v="2453"/>
    <s v="Heater"/>
    <s v="Sugar Division"/>
    <x v="6"/>
    <m/>
    <s v="Common"/>
    <d v="2012-12-15T00:00:00"/>
    <n v="997.44"/>
    <n v="0"/>
    <n v="947.5680000000001"/>
    <n v="49.871999999999957"/>
    <n v="49.872000000000007"/>
    <n v="5"/>
    <n v="7.3013698630136989"/>
    <n v="473.78400000000005"/>
    <n v="8.3013698630136989"/>
    <n v="-9.9475983006414035E-15"/>
    <n v="473.78400000000005"/>
    <n v="0"/>
  </r>
  <r>
    <n v="2454"/>
    <s v="Takath (2 Nos)"/>
    <s v="Sugar Division"/>
    <x v="6"/>
    <m/>
    <s v="Common"/>
    <d v="2011-12-15T00:00:00"/>
    <n v="980"/>
    <n v="0"/>
    <n v="400.45753424657534"/>
    <n v="579.54246575342472"/>
    <n v="49"/>
    <n v="10"/>
    <n v="8.3041095890410954"/>
    <n v="372.65506849315062"/>
    <n v="9.3041095890410954"/>
    <n v="53.054246575342475"/>
    <n v="425.70931506849308"/>
    <n v="0"/>
  </r>
  <r>
    <n v="2455"/>
    <s v="Takath (2 Nos)"/>
    <s v="Sugar Division"/>
    <x v="6"/>
    <m/>
    <s v="Common"/>
    <d v="2012-02-15T00:00:00"/>
    <n v="973.4"/>
    <n v="0"/>
    <n v="382.05283287671233"/>
    <n v="591.34716712328759"/>
    <n v="48.67"/>
    <n v="10"/>
    <n v="8.1342465753424662"/>
    <n v="370.14535068493154"/>
    <n v="9.1342465753424662"/>
    <n v="54.267716712328763"/>
    <n v="424.41306739726031"/>
    <n v="0"/>
  </r>
  <r>
    <n v="2456"/>
    <s v="Sofa Set 1"/>
    <s v="Sugar Division"/>
    <x v="6"/>
    <m/>
    <s v="Common"/>
    <d v="1997-01-01T00:00:00"/>
    <n v="3750"/>
    <n v="0"/>
    <n v="3562.5"/>
    <n v="187.5"/>
    <n v="187.5"/>
    <n v="10"/>
    <n v="23.265753424657536"/>
    <n v="1781.25"/>
    <n v="24.265753424657536"/>
    <n v="0"/>
    <n v="1781.25"/>
    <n v="0"/>
  </r>
  <r>
    <n v="2457"/>
    <s v="Chairs Armless 112"/>
    <s v="Sugar Division"/>
    <x v="6"/>
    <m/>
    <s v="Common"/>
    <d v="1997-01-01T00:00:00"/>
    <n v="3609"/>
    <n v="0"/>
    <n v="3428.55"/>
    <n v="180.44999999999982"/>
    <n v="180.45000000000002"/>
    <n v="10"/>
    <n v="23.265753424657536"/>
    <n v="1714.2750000000001"/>
    <n v="24.265753424657536"/>
    <n v="-1.9895196601282807E-14"/>
    <n v="1714.2750000000001"/>
    <n v="0"/>
  </r>
  <r>
    <n v="2458"/>
    <s v="Wooden Takhat (3 Nos.)"/>
    <s v="Sugar Division"/>
    <x v="6"/>
    <m/>
    <s v="Common"/>
    <d v="2009-05-15T00:00:00"/>
    <n v="943.04"/>
    <n v="0"/>
    <n v="895.88799999999992"/>
    <n v="47.152000000000044"/>
    <n v="47.152000000000001"/>
    <n v="10"/>
    <n v="10.890410958904109"/>
    <n v="447.94399999999996"/>
    <n v="11.890410958904109"/>
    <n v="4.2632564145606017E-15"/>
    <n v="447.94399999999996"/>
    <n v="0"/>
  </r>
  <r>
    <n v="2459"/>
    <s v="Wooden Takhat"/>
    <s v="Sugar Division"/>
    <x v="6"/>
    <m/>
    <s v="Common"/>
    <d v="2008-11-15T00:00:00"/>
    <n v="931.59"/>
    <n v="0"/>
    <n v="885.01049999999998"/>
    <n v="46.579500000000053"/>
    <n v="46.579500000000003"/>
    <n v="10"/>
    <n v="11.386301369863014"/>
    <n v="442.50524999999999"/>
    <n v="12.386301369863014"/>
    <n v="4.9737991503207018E-15"/>
    <n v="442.50524999999999"/>
    <n v="0"/>
  </r>
  <r>
    <n v="2460"/>
    <s v="Wooden Takhat 36"/>
    <s v="Sugar Division"/>
    <x v="6"/>
    <m/>
    <s v="Common"/>
    <d v="1997-01-01T00:00:00"/>
    <n v="3170"/>
    <n v="0"/>
    <n v="3011.5"/>
    <n v="158.5"/>
    <n v="158.5"/>
    <n v="10"/>
    <n v="23.265753424657536"/>
    <n v="1505.75"/>
    <n v="24.265753424657536"/>
    <n v="0"/>
    <n v="1505.75"/>
    <n v="0"/>
  </r>
  <r>
    <n v="2461"/>
    <s v="Centre Table"/>
    <s v="Sugar Division"/>
    <x v="6"/>
    <m/>
    <s v="Common"/>
    <d v="2013-02-15T00:00:00"/>
    <n v="900"/>
    <n v="0"/>
    <n v="267.50958904109586"/>
    <n v="632.49041095890414"/>
    <n v="45"/>
    <n v="10"/>
    <n v="7.1315068493150688"/>
    <n v="342.23424657534247"/>
    <n v="8.131506849315068"/>
    <n v="58.749041095890362"/>
    <n v="400.9832876712328"/>
    <n v="0"/>
  </r>
  <r>
    <n v="2462"/>
    <s v="Dressing Table 2"/>
    <s v="Sugar Division"/>
    <x v="6"/>
    <m/>
    <s v="Common"/>
    <d v="1997-01-01T00:00:00"/>
    <n v="2510"/>
    <n v="0"/>
    <n v="2384.5"/>
    <n v="125.5"/>
    <n v="125.5"/>
    <n v="10"/>
    <n v="23.265753424657536"/>
    <n v="1192.25"/>
    <n v="24.265753424657536"/>
    <n v="0"/>
    <n v="1192.25"/>
    <n v="0"/>
  </r>
  <r>
    <n v="2463"/>
    <s v="Central Table  3"/>
    <s v="Sugar Division"/>
    <x v="6"/>
    <m/>
    <s v="Common"/>
    <d v="1997-01-01T00:00:00"/>
    <n v="1842"/>
    <n v="0"/>
    <n v="1749.9"/>
    <n v="92.099999999999909"/>
    <n v="92.100000000000009"/>
    <n v="10"/>
    <n v="23.265753424657536"/>
    <n v="874.95"/>
    <n v="24.265753424657536"/>
    <n v="-9.9475983006414035E-15"/>
    <n v="874.95"/>
    <n v="0"/>
  </r>
  <r>
    <n v="2464"/>
    <s v="Tea Table 7"/>
    <s v="Sugar Division"/>
    <x v="6"/>
    <m/>
    <s v="Common"/>
    <d v="1997-01-01T00:00:00"/>
    <n v="128"/>
    <n v="0"/>
    <n v="121.6"/>
    <n v="6.4000000000000057"/>
    <n v="6.4"/>
    <n v="10"/>
    <n v="23.265753424657536"/>
    <n v="60.8"/>
    <n v="24.265753424657536"/>
    <n v="5.3290705182007522E-16"/>
    <n v="60.8"/>
    <n v="0"/>
  </r>
  <r>
    <n v="2465"/>
    <s v="Wooden Stool 2  "/>
    <s v="Sugar Division"/>
    <x v="6"/>
    <m/>
    <s v="Common"/>
    <d v="1997-01-01T00:00:00"/>
    <n v="46"/>
    <n v="0"/>
    <n v="43.7"/>
    <n v="2.2999999999999972"/>
    <n v="2.3000000000000003"/>
    <n v="10"/>
    <n v="23.265753424657536"/>
    <n v="21.85"/>
    <n v="24.265753424657536"/>
    <n v="-3.1086244689504386E-16"/>
    <n v="21.85"/>
    <n v="0"/>
  </r>
  <r>
    <n v="2466"/>
    <s v="Ceiling Fan  48&quot;"/>
    <s v="Sugar Division"/>
    <x v="6"/>
    <m/>
    <s v="Common"/>
    <d v="2012-07-15T00:00:00"/>
    <n v="845.54"/>
    <n v="0"/>
    <n v="803.26299999999992"/>
    <n v="42.277000000000044"/>
    <n v="42.277000000000001"/>
    <n v="5"/>
    <n v="7.720547945205479"/>
    <n v="401.63149999999996"/>
    <n v="8.7205479452054799"/>
    <n v="8.5265128291212098E-15"/>
    <n v="401.63149999999996"/>
    <n v="0"/>
  </r>
  <r>
    <n v="2467"/>
    <s v="Chairs (2 Nos.)"/>
    <s v="Sugar Division"/>
    <x v="6"/>
    <m/>
    <s v="Common"/>
    <d v="2011-07-15T00:00:00"/>
    <n v="845.32"/>
    <n v="0"/>
    <n v="379.08549095890413"/>
    <n v="466.23450904109592"/>
    <n v="42.266000000000005"/>
    <n v="10"/>
    <n v="8.7232876712328764"/>
    <n v="321.4416147945206"/>
    <n v="9.7232876712328764"/>
    <n v="42.396850904109591"/>
    <n v="363.83846569863022"/>
    <n v="0"/>
  </r>
  <r>
    <n v="2468"/>
    <s v="Ceiling Fan"/>
    <s v="Sugar Division"/>
    <x v="6"/>
    <m/>
    <s v="Common"/>
    <d v="2013-07-15T00:00:00"/>
    <n v="835.32"/>
    <n v="0"/>
    <n v="793.55400000000009"/>
    <n v="41.765999999999963"/>
    <n v="41.766000000000005"/>
    <n v="5"/>
    <n v="6.720547945205479"/>
    <n v="396.77700000000004"/>
    <n v="7.720547945205479"/>
    <n v="-8.5265128291212035E-15"/>
    <n v="396.77700000000004"/>
    <n v="0"/>
  </r>
  <r>
    <n v="2469"/>
    <s v="Fan-1 No."/>
    <s v="Sugar Division"/>
    <x v="6"/>
    <m/>
    <s v="Common"/>
    <d v="2014-02-15T00:00:00"/>
    <n v="835.32"/>
    <n v="0"/>
    <n v="793.55400000000009"/>
    <n v="41.765999999999963"/>
    <n v="41.766000000000005"/>
    <n v="5"/>
    <n v="6.1315068493150688"/>
    <n v="396.77700000000004"/>
    <n v="7.1315068493150688"/>
    <n v="-8.5265128291212035E-15"/>
    <n v="396.77700000000004"/>
    <n v="0"/>
  </r>
  <r>
    <n v="2470"/>
    <s v="Mattress 12"/>
    <s v="Sugar Division"/>
    <x v="6"/>
    <m/>
    <s v="Common"/>
    <d v="1998-01-01T00:00:00"/>
    <n v="41236"/>
    <n v="0"/>
    <n v="39174.199999999997"/>
    <n v="2061.8000000000029"/>
    <n v="2061.8000000000002"/>
    <n v="10"/>
    <n v="22.265753424657536"/>
    <n v="19587.099999999999"/>
    <n v="23.265753424657536"/>
    <n v="2.7284841053187851E-13"/>
    <n v="19587.099999999999"/>
    <n v="0"/>
  </r>
  <r>
    <n v="2471"/>
    <s v="Double Bed 8"/>
    <s v="Sugar Division"/>
    <x v="6"/>
    <m/>
    <s v="Common"/>
    <d v="1998-01-01T00:00:00"/>
    <n v="38165"/>
    <n v="0"/>
    <n v="36256.75"/>
    <n v="1908.25"/>
    <n v="1908.25"/>
    <n v="10"/>
    <n v="22.265753424657536"/>
    <n v="18128.375"/>
    <n v="23.265753424657536"/>
    <n v="0"/>
    <n v="18128.375"/>
    <n v="0"/>
  </r>
  <r>
    <n v="2472"/>
    <s v="Steel Almirah 11"/>
    <s v="Sugar Division"/>
    <x v="6"/>
    <m/>
    <s v="Common"/>
    <d v="1998-01-01T00:00:00"/>
    <n v="31125"/>
    <n v="0"/>
    <n v="29568.75"/>
    <n v="1556.25"/>
    <n v="1556.25"/>
    <n v="10"/>
    <n v="22.265753424657536"/>
    <n v="14784.375"/>
    <n v="23.265753424657536"/>
    <n v="0"/>
    <n v="14784.375"/>
    <n v="0"/>
  </r>
  <r>
    <n v="2473"/>
    <s v="Easy Chair 74"/>
    <s v="Sugar Division"/>
    <x v="6"/>
    <m/>
    <s v="Common"/>
    <d v="1998-01-01T00:00:00"/>
    <n v="25124"/>
    <n v="0"/>
    <n v="23867.8"/>
    <n v="1256.2000000000007"/>
    <n v="1256.2"/>
    <n v="10"/>
    <n v="22.265753424657536"/>
    <n v="11933.9"/>
    <n v="23.265753424657536"/>
    <n v="6.8212102632969628E-14"/>
    <n v="11933.9"/>
    <n v="0"/>
  </r>
  <r>
    <n v="2474"/>
    <s v="Wooden Takhat 70"/>
    <s v="Sugar Division"/>
    <x v="6"/>
    <m/>
    <s v="Common"/>
    <d v="1998-01-01T00:00:00"/>
    <n v="16347"/>
    <n v="0"/>
    <n v="15529.65"/>
    <n v="817.35000000000036"/>
    <n v="817.35"/>
    <n v="10"/>
    <n v="22.265753424657536"/>
    <n v="7764.8249999999998"/>
    <n v="23.265753424657536"/>
    <n v="3.4106051316484814E-14"/>
    <n v="7764.8249999999998"/>
    <n v="0"/>
  </r>
  <r>
    <n v="2475"/>
    <s v="Dressing Table 7"/>
    <s v="Sugar Division"/>
    <x v="6"/>
    <m/>
    <s v="Common"/>
    <d v="1998-01-01T00:00:00"/>
    <n v="14728"/>
    <n v="0"/>
    <n v="13991.6"/>
    <n v="736.39999999999964"/>
    <n v="736.40000000000009"/>
    <n v="10"/>
    <n v="22.265753424657536"/>
    <n v="6995.8"/>
    <n v="23.265753424657536"/>
    <n v="-4.5474735088646414E-14"/>
    <n v="6995.8"/>
    <n v="0"/>
  </r>
  <r>
    <n v="2476"/>
    <s v="Table (1 No.)"/>
    <s v="Sugar Division"/>
    <x v="6"/>
    <m/>
    <s v="Common"/>
    <d v="2010-09-15T00:00:00"/>
    <n v="691"/>
    <n v="0"/>
    <n v="364.37471232876715"/>
    <n v="326.62528767123285"/>
    <n v="34.550000000000004"/>
    <n v="10"/>
    <n v="9.5534246575342472"/>
    <n v="262.75984931506866"/>
    <n v="10.553424657534247"/>
    <n v="29.207528767123286"/>
    <n v="291.96737808219194"/>
    <n v="0"/>
  </r>
  <r>
    <n v="2477"/>
    <s v="Table Big 12"/>
    <s v="Sugar Division"/>
    <x v="6"/>
    <m/>
    <s v="Common"/>
    <d v="1998-01-01T00:00:00"/>
    <n v="12130"/>
    <n v="0"/>
    <n v="11523.5"/>
    <n v="606.5"/>
    <n v="606.5"/>
    <n v="10"/>
    <n v="22.265753424657536"/>
    <n v="5761.75"/>
    <n v="23.265753424657536"/>
    <n v="0"/>
    <n v="5761.75"/>
    <n v="0"/>
  </r>
  <r>
    <n v="2478"/>
    <s v="Revolving Chair 8"/>
    <s v="Sugar Division"/>
    <x v="6"/>
    <m/>
    <s v="Common"/>
    <d v="1998-01-01T00:00:00"/>
    <n v="10980"/>
    <n v="0"/>
    <n v="10431"/>
    <n v="549"/>
    <n v="549"/>
    <n v="10"/>
    <n v="22.265753424657536"/>
    <n v="5215.5"/>
    <n v="23.265753424657536"/>
    <n v="0"/>
    <n v="5215.5"/>
    <n v="0"/>
  </r>
  <r>
    <n v="2479"/>
    <s v="Central Table 8"/>
    <s v="Sugar Division"/>
    <x v="6"/>
    <m/>
    <s v="Common"/>
    <d v="1998-01-01T00:00:00"/>
    <n v="9040"/>
    <n v="0"/>
    <n v="8588"/>
    <n v="452"/>
    <n v="452"/>
    <n v="10"/>
    <n v="22.265753424657536"/>
    <n v="4294"/>
    <n v="23.265753424657536"/>
    <n v="0"/>
    <n v="4294"/>
    <n v="0"/>
  </r>
  <r>
    <n v="2480"/>
    <s v="Stool 10"/>
    <s v="Sugar Division"/>
    <x v="6"/>
    <m/>
    <s v="Common"/>
    <d v="1998-01-01T00:00:00"/>
    <n v="6600"/>
    <n v="0"/>
    <n v="6270"/>
    <n v="330"/>
    <n v="330"/>
    <n v="10"/>
    <n v="22.265753424657536"/>
    <n v="3135"/>
    <n v="23.265753424657536"/>
    <n v="0"/>
    <n v="3135"/>
    <n v="0"/>
  </r>
  <r>
    <n v="2481"/>
    <s v="Steel Box 7"/>
    <s v="Sugar Division"/>
    <x v="6"/>
    <m/>
    <s v="Common"/>
    <d v="1998-01-01T00:00:00"/>
    <n v="5665"/>
    <n v="0"/>
    <n v="5381.75"/>
    <n v="283.25"/>
    <n v="283.25"/>
    <n v="10"/>
    <n v="22.265753424657536"/>
    <n v="2690.875"/>
    <n v="23.265753424657536"/>
    <n v="0"/>
    <n v="2690.875"/>
    <n v="0"/>
  </r>
  <r>
    <n v="2482"/>
    <s v="Dining Table 1"/>
    <s v="Sugar Division"/>
    <x v="6"/>
    <m/>
    <s v="Common"/>
    <d v="1998-01-01T00:00:00"/>
    <n v="4500"/>
    <n v="0"/>
    <n v="4275"/>
    <n v="225"/>
    <n v="225"/>
    <n v="10"/>
    <n v="22.265753424657536"/>
    <n v="2137.5"/>
    <n v="23.265753424657536"/>
    <n v="0"/>
    <n v="2137.5"/>
    <n v="0"/>
  </r>
  <r>
    <n v="2483"/>
    <s v="Moving Chair 2"/>
    <s v="Sugar Division"/>
    <x v="6"/>
    <m/>
    <s v="Common"/>
    <d v="1998-01-01T00:00:00"/>
    <n v="3174"/>
    <n v="0"/>
    <n v="3015.3"/>
    <n v="158.69999999999982"/>
    <n v="158.70000000000002"/>
    <n v="10"/>
    <n v="22.265753424657536"/>
    <n v="1507.65"/>
    <n v="23.265753424657536"/>
    <n v="-1.9895196601282807E-14"/>
    <n v="1507.65"/>
    <n v="0"/>
  </r>
  <r>
    <n v="2484"/>
    <s v="Water Filter 1"/>
    <s v="Sugar Division"/>
    <x v="6"/>
    <m/>
    <s v="Common"/>
    <d v="1998-01-01T00:00:00"/>
    <n v="2280"/>
    <n v="0"/>
    <n v="2166"/>
    <n v="114"/>
    <n v="114"/>
    <n v="10"/>
    <n v="22.265753424657536"/>
    <n v="1083"/>
    <n v="23.265753424657536"/>
    <n v="0"/>
    <n v="1083"/>
    <n v="0"/>
  </r>
  <r>
    <n v="2485"/>
    <s v="Table"/>
    <s v="Sugar Division"/>
    <x v="6"/>
    <m/>
    <s v="Common"/>
    <d v="2009-03-15T00:00:00"/>
    <n v="600"/>
    <n v="0"/>
    <n v="570"/>
    <n v="30"/>
    <n v="30"/>
    <n v="10"/>
    <n v="11.057534246575342"/>
    <n v="285"/>
    <n v="12.057534246575342"/>
    <n v="0"/>
    <n v="285"/>
    <n v="0"/>
  </r>
  <r>
    <n v="2486"/>
    <s v="Table"/>
    <s v="Sugar Division"/>
    <x v="6"/>
    <m/>
    <s v="Common"/>
    <d v="2009-10-15T00:00:00"/>
    <n v="600"/>
    <n v="0"/>
    <n v="570"/>
    <n v="30"/>
    <n v="30"/>
    <n v="10"/>
    <n v="10.471232876712328"/>
    <n v="285"/>
    <n v="11.471232876712328"/>
    <n v="0"/>
    <n v="285"/>
    <n v="0"/>
  </r>
  <r>
    <n v="2487"/>
    <s v="Cair Armless 62"/>
    <s v="Sugar Division"/>
    <x v="6"/>
    <m/>
    <s v="Common"/>
    <d v="1998-01-01T00:00:00"/>
    <n v="1831"/>
    <n v="0"/>
    <n v="1739.45"/>
    <n v="91.549999999999955"/>
    <n v="91.550000000000011"/>
    <n v="10"/>
    <n v="22.265753424657536"/>
    <n v="869.72500000000002"/>
    <n v="23.265753424657536"/>
    <n v="-5.6843418860808018E-15"/>
    <n v="869.72500000000002"/>
    <n v="0"/>
  </r>
  <r>
    <n v="2488"/>
    <s v="Folding Bed 2"/>
    <s v="Sugar Division"/>
    <x v="6"/>
    <m/>
    <s v="Common"/>
    <d v="1998-01-01T00:00:00"/>
    <n v="620"/>
    <n v="0"/>
    <n v="589"/>
    <n v="31"/>
    <n v="31"/>
    <n v="10"/>
    <n v="22.265753424657536"/>
    <n v="294.5"/>
    <n v="23.265753424657536"/>
    <n v="0"/>
    <n v="294.5"/>
    <n v="0"/>
  </r>
  <r>
    <n v="2489"/>
    <s v="Thale 13"/>
    <s v="Sugar Division"/>
    <x v="6"/>
    <m/>
    <s v="Common"/>
    <d v="1998-01-01T00:00:00"/>
    <n v="578"/>
    <n v="0"/>
    <n v="549.1"/>
    <n v="28.899999999999977"/>
    <n v="28.900000000000002"/>
    <n v="10"/>
    <n v="22.265753424657536"/>
    <n v="274.55"/>
    <n v="23.265753424657536"/>
    <n v="-2.4868995751603509E-15"/>
    <n v="274.55"/>
    <n v="0"/>
  </r>
  <r>
    <n v="2490"/>
    <s v="Mattress (I)"/>
    <s v="Sugar Division"/>
    <x v="6"/>
    <m/>
    <s v="Common"/>
    <d v="2011-07-15T00:00:00"/>
    <n v="560"/>
    <n v="0"/>
    <n v="251.13315068493151"/>
    <n v="308.86684931506852"/>
    <n v="28"/>
    <n v="10"/>
    <n v="8.7232876712328764"/>
    <n v="212.94575342465757"/>
    <n v="9.7232876712328764"/>
    <n v="28.086684931506852"/>
    <n v="241.03243835616442"/>
    <n v="0"/>
  </r>
  <r>
    <n v="2491"/>
    <s v="Chair"/>
    <s v="Sugar Division"/>
    <x v="6"/>
    <m/>
    <s v="Common"/>
    <d v="2008-08-15T00:00:00"/>
    <n v="554.83000000000004"/>
    <n v="0"/>
    <n v="527.08850000000007"/>
    <n v="27.741499999999974"/>
    <n v="27.741500000000002"/>
    <n v="10"/>
    <n v="11.638356164383561"/>
    <n v="263.54425000000003"/>
    <n v="12.638356164383561"/>
    <n v="-2.8421709430404009E-15"/>
    <n v="263.54425000000003"/>
    <n v="0"/>
  </r>
  <r>
    <n v="2492"/>
    <s v="File Cabinet(Lko)"/>
    <s v="Sugar Division"/>
    <x v="6"/>
    <m/>
    <s v="Common"/>
    <d v="2007-01-01T00:00:00"/>
    <n v="540"/>
    <n v="0"/>
    <n v="513"/>
    <n v="27"/>
    <n v="27"/>
    <n v="10"/>
    <n v="13.260273972602739"/>
    <n v="256.5"/>
    <n v="14.260273972602739"/>
    <n v="0"/>
    <n v="256.5"/>
    <n v="0"/>
  </r>
  <r>
    <n v="2493"/>
    <s v="Wooden Takhat"/>
    <s v="Sugar Division"/>
    <x v="6"/>
    <m/>
    <s v="Common"/>
    <d v="2013-03-15T00:00:00"/>
    <n v="528"/>
    <n v="0"/>
    <n v="153.09106849315071"/>
    <n v="374.90893150684929"/>
    <n v="26.400000000000002"/>
    <n v="10"/>
    <n v="7.0547945205479454"/>
    <n v="200.77742465753425"/>
    <n v="8.0547945205479454"/>
    <n v="34.850893150684932"/>
    <n v="235.62831780821918"/>
    <n v="0"/>
  </r>
  <r>
    <n v="2494"/>
    <s v="Double Bed              24 Nos. "/>
    <s v="Sugar Division"/>
    <x v="6"/>
    <m/>
    <s v="Common"/>
    <d v="1999-01-01T00:00:00"/>
    <n v="96585"/>
    <n v="0"/>
    <n v="91755.75"/>
    <n v="4829.25"/>
    <n v="4829.25"/>
    <n v="10"/>
    <n v="21.265753424657536"/>
    <n v="45877.875"/>
    <n v="22.265753424657536"/>
    <n v="0"/>
    <n v="45877.875"/>
    <n v="0"/>
  </r>
  <r>
    <n v="2495"/>
    <s v="Steel Almirah   11 Nos."/>
    <s v="Sugar Division"/>
    <x v="6"/>
    <m/>
    <s v="Common"/>
    <d v="1999-01-01T00:00:00"/>
    <n v="43209"/>
    <n v="0"/>
    <n v="41048.550000000003"/>
    <n v="2160.4499999999971"/>
    <n v="2160.4500000000003"/>
    <n v="10"/>
    <n v="21.265753424657536"/>
    <n v="20524.275000000001"/>
    <n v="22.265753424657536"/>
    <n v="-3.1832314562052491E-13"/>
    <n v="20524.275000000001"/>
    <n v="0"/>
  </r>
  <r>
    <n v="2496"/>
    <s v="Table "/>
    <s v="Sugar Division"/>
    <x v="6"/>
    <m/>
    <s v="Common"/>
    <d v="2012-03-15T00:00:00"/>
    <n v="488.1"/>
    <n v="0"/>
    <n v="187.89175479452055"/>
    <n v="300.20824520547944"/>
    <n v="24.405000000000001"/>
    <n v="10"/>
    <n v="8.0547945205479454"/>
    <n v="185.6050397260274"/>
    <n v="9.0547945205479454"/>
    <n v="27.580324520547947"/>
    <n v="213.18536424657535"/>
    <n v="0"/>
  </r>
  <r>
    <n v="2497"/>
    <s v="Takath "/>
    <s v="Sugar Division"/>
    <x v="6"/>
    <m/>
    <s v="Common"/>
    <d v="2012-03-15T00:00:00"/>
    <n v="486.66"/>
    <n v="0"/>
    <n v="187.33743369863015"/>
    <n v="299.32256630136987"/>
    <n v="24.333000000000002"/>
    <n v="10"/>
    <n v="8.0547945205479454"/>
    <n v="185.05746493150684"/>
    <n v="9.0547945205479454"/>
    <n v="27.498956630136988"/>
    <n v="212.55642156164384"/>
    <n v="0"/>
  </r>
  <r>
    <n v="2498"/>
    <s v="Geizer                   12 Nos."/>
    <s v="Sugar Division"/>
    <x v="6"/>
    <m/>
    <s v="Common"/>
    <d v="1999-01-01T00:00:00"/>
    <n v="42731"/>
    <n v="0"/>
    <n v="40594.449999999997"/>
    <n v="2136.5500000000029"/>
    <n v="2136.5500000000002"/>
    <n v="10"/>
    <n v="21.265753424657536"/>
    <n v="20297.224999999999"/>
    <n v="22.265753424657536"/>
    <n v="2.7284841053187851E-13"/>
    <n v="20297.224999999999"/>
    <n v="0"/>
  </r>
  <r>
    <n v="2499"/>
    <s v="Matress              29 Nos. "/>
    <s v="Sugar Division"/>
    <x v="6"/>
    <m/>
    <s v="Common"/>
    <d v="1999-01-01T00:00:00"/>
    <n v="41475"/>
    <n v="0"/>
    <n v="39401.25"/>
    <n v="2073.75"/>
    <n v="2073.75"/>
    <n v="10"/>
    <n v="21.265753424657536"/>
    <n v="19700.625"/>
    <n v="22.265753424657536"/>
    <n v="0"/>
    <n v="19700.625"/>
    <n v="0"/>
  </r>
  <r>
    <n v="2500"/>
    <s v="Cooler                     11 Nos."/>
    <s v="Sugar Division"/>
    <x v="6"/>
    <m/>
    <s v="Common"/>
    <d v="1999-01-01T00:00:00"/>
    <n v="39079"/>
    <n v="0"/>
    <n v="37125.050000000003"/>
    <n v="1953.9499999999971"/>
    <n v="1953.95"/>
    <n v="10"/>
    <n v="21.265753424657536"/>
    <n v="18562.525000000001"/>
    <n v="22.265753424657536"/>
    <n v="-2.9558577807620169E-13"/>
    <n v="18562.525000000001"/>
    <n v="0"/>
  </r>
  <r>
    <n v="2501"/>
    <s v="Table"/>
    <s v="Sugar Division"/>
    <x v="6"/>
    <m/>
    <s v="Common"/>
    <d v="2012-10-18T00:00:00"/>
    <n v="475"/>
    <n v="0"/>
    <n v="156.02123287671233"/>
    <n v="318.97876712328764"/>
    <n v="23.75"/>
    <n v="10"/>
    <n v="7.4602739726027396"/>
    <n v="180.62363013698629"/>
    <n v="8.4602739726027405"/>
    <n v="29.522876712328792"/>
    <n v="210.14650684931507"/>
    <n v="0"/>
  </r>
  <r>
    <n v="2502"/>
    <s v="Table Plastic"/>
    <s v="Sugar Division"/>
    <x v="6"/>
    <m/>
    <s v="Common"/>
    <d v="2013-03-15T00:00:00"/>
    <n v="475"/>
    <n v="0"/>
    <n v="137.72397260273974"/>
    <n v="337.27602739726024"/>
    <n v="23.75"/>
    <n v="10"/>
    <n v="7.0547945205479454"/>
    <n v="180.62363013698629"/>
    <n v="8.0547945205479454"/>
    <n v="31.352602739726024"/>
    <n v="211.97623287671232"/>
    <n v="0"/>
  </r>
  <r>
    <n v="2503"/>
    <s v="Table"/>
    <s v="Sugar Division"/>
    <x v="6"/>
    <m/>
    <s v="Common"/>
    <d v="2008-10-15T00:00:00"/>
    <n v="473.25"/>
    <n v="0"/>
    <n v="449.58749999999998"/>
    <n v="23.662500000000023"/>
    <n v="23.662500000000001"/>
    <n v="10"/>
    <n v="11.471232876712328"/>
    <n v="224.79374999999999"/>
    <n v="12.471232876712328"/>
    <n v="2.1316282072803009E-15"/>
    <n v="224.79374999999999"/>
    <n v="0"/>
  </r>
  <r>
    <n v="2504"/>
    <s v="Table  "/>
    <s v="Sugar Division"/>
    <x v="6"/>
    <m/>
    <s v="Common"/>
    <d v="2011-02-15T00:00:00"/>
    <n v="460"/>
    <n v="0"/>
    <n v="224.24684931506852"/>
    <n v="235.75315068493148"/>
    <n v="23"/>
    <n v="10"/>
    <n v="9.1342465753424662"/>
    <n v="174.9197260273973"/>
    <n v="10.134246575342466"/>
    <n v="21.27531506849315"/>
    <n v="196.19504109589045"/>
    <n v="0"/>
  </r>
  <r>
    <n v="2505"/>
    <s v="Wooden Takhat 83 Nos."/>
    <s v="Sugar Division"/>
    <x v="6"/>
    <m/>
    <s v="Common"/>
    <d v="1999-01-01T00:00:00"/>
    <n v="30259"/>
    <n v="0"/>
    <n v="28746.05"/>
    <n v="1512.9500000000007"/>
    <n v="1512.95"/>
    <n v="10"/>
    <n v="21.265753424657536"/>
    <n v="14373.025"/>
    <n v="22.265753424657536"/>
    <n v="6.8212102632969628E-14"/>
    <n v="14373.025"/>
    <n v="0"/>
  </r>
  <r>
    <n v="2506"/>
    <s v="Chair Armed       42 Nos."/>
    <s v="Sugar Division"/>
    <x v="6"/>
    <m/>
    <s v="Common"/>
    <d v="1999-01-01T00:00:00"/>
    <n v="25655"/>
    <n v="0"/>
    <n v="24372.25"/>
    <n v="1282.75"/>
    <n v="1282.75"/>
    <n v="10"/>
    <n v="21.265753424657536"/>
    <n v="12186.125"/>
    <n v="22.265753424657536"/>
    <n v="0"/>
    <n v="12186.125"/>
    <n v="0"/>
  </r>
  <r>
    <n v="2507"/>
    <s v="Chair               105 Nos."/>
    <s v="Sugar Division"/>
    <x v="6"/>
    <m/>
    <s v="Common"/>
    <d v="1999-01-01T00:00:00"/>
    <n v="20894"/>
    <n v="0"/>
    <n v="19849.3"/>
    <n v="1044.7000000000007"/>
    <n v="1044.7"/>
    <n v="10"/>
    <n v="21.265753424657536"/>
    <n v="9924.65"/>
    <n v="22.265753424657536"/>
    <n v="6.8212102632969628E-14"/>
    <n v="9924.65"/>
    <n v="0"/>
  </r>
  <r>
    <n v="2508"/>
    <s v="Stabilizer            5 Nos."/>
    <s v="Sugar Division"/>
    <x v="6"/>
    <m/>
    <s v="Common"/>
    <d v="1999-01-01T00:00:00"/>
    <n v="17491"/>
    <n v="0"/>
    <n v="16616.45"/>
    <n v="874.54999999999927"/>
    <n v="874.55000000000007"/>
    <n v="10"/>
    <n v="21.265753424657536"/>
    <n v="8308.2250000000004"/>
    <n v="22.265753424657536"/>
    <n v="-7.9580786405131228E-14"/>
    <n v="8308.2250000000004"/>
    <n v="0"/>
  </r>
  <r>
    <n v="2509"/>
    <s v="Table                   42 Nos."/>
    <s v="Sugar Division"/>
    <x v="6"/>
    <m/>
    <s v="Common"/>
    <d v="1999-01-01T00:00:00"/>
    <n v="16740"/>
    <n v="0"/>
    <n v="15903"/>
    <n v="837"/>
    <n v="837"/>
    <n v="10"/>
    <n v="21.265753424657536"/>
    <n v="7951.5"/>
    <n v="22.265753424657536"/>
    <n v="0"/>
    <n v="7951.5"/>
    <n v="0"/>
  </r>
  <r>
    <n v="2510"/>
    <s v="Table  "/>
    <s v="Sugar Division"/>
    <x v="6"/>
    <m/>
    <s v="Common"/>
    <d v="2011-05-15T00:00:00"/>
    <n v="410"/>
    <n v="0"/>
    <n v="190.37479452054797"/>
    <n v="219.62520547945203"/>
    <n v="20.5"/>
    <n v="10"/>
    <n v="8.8904109589041092"/>
    <n v="155.9067123287671"/>
    <n v="9.8904109589041092"/>
    <n v="19.912520547945206"/>
    <n v="175.81923287671231"/>
    <n v="0"/>
  </r>
  <r>
    <n v="2511"/>
    <s v="Chair"/>
    <s v="Sugar Division"/>
    <x v="6"/>
    <m/>
    <s v="Common"/>
    <d v="2010-04-15T00:00:00"/>
    <n v="406"/>
    <n v="0"/>
    <n v="230.25761643835617"/>
    <n v="175.74238356164383"/>
    <n v="20.3"/>
    <n v="10"/>
    <n v="9.9726027397260282"/>
    <n v="154.38567123287672"/>
    <n v="10.972602739726028"/>
    <n v="15.544238356164383"/>
    <n v="169.9299095890411"/>
    <n v="0"/>
  </r>
  <r>
    <n v="2512"/>
    <s v="Wooden Stool"/>
    <s v="Sugar Division"/>
    <x v="6"/>
    <m/>
    <s v="Common"/>
    <d v="2008-01-01T00:00:00"/>
    <n v="379.2"/>
    <n v="0"/>
    <n v="360.24"/>
    <n v="18.95999999999998"/>
    <n v="18.96"/>
    <n v="10"/>
    <n v="12.260273972602739"/>
    <n v="180.12"/>
    <n v="13.260273972602739"/>
    <n v="-2.1316282072803009E-15"/>
    <n v="180.12"/>
    <n v="0"/>
  </r>
  <r>
    <n v="2513"/>
    <s v="Dressing Table          7 Nos."/>
    <s v="Sugar Division"/>
    <x v="6"/>
    <m/>
    <s v="Common"/>
    <d v="1999-01-01T00:00:00"/>
    <n v="16100"/>
    <n v="0"/>
    <n v="15295"/>
    <n v="805"/>
    <n v="805"/>
    <n v="10"/>
    <n v="21.265753424657536"/>
    <n v="7647.5"/>
    <n v="22.265753424657536"/>
    <n v="0"/>
    <n v="7647.5"/>
    <n v="0"/>
  </r>
  <r>
    <n v="2514"/>
    <s v="Moving Chair             7 Nos."/>
    <s v="Sugar Division"/>
    <x v="6"/>
    <m/>
    <s v="Common"/>
    <d v="1999-01-01T00:00:00"/>
    <n v="6750"/>
    <n v="0"/>
    <n v="6412.5"/>
    <n v="337.5"/>
    <n v="337.5"/>
    <n v="10"/>
    <n v="21.265753424657536"/>
    <n v="3206.25"/>
    <n v="22.265753424657536"/>
    <n v="0"/>
    <n v="3206.25"/>
    <n v="0"/>
  </r>
  <r>
    <n v="2515"/>
    <s v="Exhaust Fan        5 Nos. "/>
    <s v="Sugar Division"/>
    <x v="6"/>
    <m/>
    <s v="Common"/>
    <d v="1999-01-01T00:00:00"/>
    <n v="5944"/>
    <n v="0"/>
    <n v="5646.8"/>
    <n v="297.19999999999982"/>
    <n v="297.2"/>
    <n v="10"/>
    <n v="21.265753424657536"/>
    <n v="2823.4"/>
    <n v="22.265753424657536"/>
    <n v="-1.7053025658242407E-14"/>
    <n v="2823.4"/>
    <n v="0"/>
  </r>
  <r>
    <n v="2516"/>
    <s v="Padestal Fan          4 Nos. "/>
    <s v="Sugar Division"/>
    <x v="6"/>
    <m/>
    <s v="Common"/>
    <d v="1999-01-01T00:00:00"/>
    <n v="4970"/>
    <n v="0"/>
    <n v="4721.5"/>
    <n v="248.5"/>
    <n v="248.5"/>
    <n v="10"/>
    <n v="21.265753424657536"/>
    <n v="2360.75"/>
    <n v="22.265753424657536"/>
    <n v="0"/>
    <n v="2360.75"/>
    <n v="0"/>
  </r>
  <r>
    <n v="2517"/>
    <s v="Wooden Takhat"/>
    <s v="Sugar Division"/>
    <x v="6"/>
    <m/>
    <s v="Common"/>
    <d v="2009-02-15T00:00:00"/>
    <n v="314.35000000000002"/>
    <n v="0"/>
    <n v="298.63250000000005"/>
    <n v="15.717499999999973"/>
    <n v="15.717500000000001"/>
    <n v="10"/>
    <n v="11.134246575342466"/>
    <n v="149.31625000000003"/>
    <n v="12.134246575342466"/>
    <n v="-2.8421709430404009E-15"/>
    <n v="149.31625000000003"/>
    <n v="0"/>
  </r>
  <r>
    <n v="2518"/>
    <s v="Wooden Takhat"/>
    <s v="Sugar Division"/>
    <x v="6"/>
    <m/>
    <s v="Common"/>
    <d v="2009-03-15T00:00:00"/>
    <n v="314.35000000000002"/>
    <n v="0"/>
    <n v="298.63250000000005"/>
    <n v="15.717499999999973"/>
    <n v="15.717500000000001"/>
    <n v="10"/>
    <n v="11.057534246575342"/>
    <n v="149.31625000000003"/>
    <n v="12.057534246575342"/>
    <n v="-2.8421709430404009E-15"/>
    <n v="149.31625000000003"/>
    <n v="0"/>
  </r>
  <r>
    <n v="2519"/>
    <s v="Wooden Takhat"/>
    <s v="Sugar Division"/>
    <x v="6"/>
    <m/>
    <s v="Common"/>
    <d v="2009-04-15T00:00:00"/>
    <n v="314.33999999999997"/>
    <n v="0"/>
    <n v="298.62299999999999"/>
    <n v="15.716999999999985"/>
    <n v="15.716999999999999"/>
    <n v="10"/>
    <n v="10.972602739726028"/>
    <n v="149.3115"/>
    <n v="11.972602739726028"/>
    <n v="-1.4210854715202005E-15"/>
    <n v="149.3115"/>
    <n v="0"/>
  </r>
  <r>
    <n v="2520"/>
    <s v="Stool                    10 Nos. "/>
    <s v="Sugar Division"/>
    <x v="6"/>
    <m/>
    <s v="Common"/>
    <d v="1999-01-01T00:00:00"/>
    <n v="4776"/>
    <n v="0"/>
    <n v="4537.2"/>
    <n v="238.80000000000018"/>
    <n v="238.8"/>
    <n v="10"/>
    <n v="21.265753424657536"/>
    <n v="2268.6"/>
    <n v="22.265753424657536"/>
    <n v="1.7053025658242407E-14"/>
    <n v="2268.6"/>
    <n v="0"/>
  </r>
  <r>
    <n v="2521"/>
    <s v="Fax Machine 1"/>
    <s v="Sugar Division"/>
    <x v="6"/>
    <m/>
    <s v="Common"/>
    <d v="1999-06-30T00:00:00"/>
    <n v="14500"/>
    <n v="0"/>
    <n v="13775"/>
    <n v="725"/>
    <n v="725"/>
    <n v="5"/>
    <n v="20.772602739726029"/>
    <n v="6887.5"/>
    <n v="21.772602739726029"/>
    <n v="0"/>
    <n v="6887.5"/>
    <n v="0"/>
  </r>
  <r>
    <n v="2522"/>
    <s v="Blower                     2 Nos."/>
    <s v="Sugar Division"/>
    <x v="6"/>
    <m/>
    <s v="Common"/>
    <d v="1999-01-01T00:00:00"/>
    <n v="1640"/>
    <n v="0"/>
    <n v="1558"/>
    <n v="82"/>
    <n v="82"/>
    <n v="10"/>
    <n v="21.265753424657536"/>
    <n v="779"/>
    <n v="22.265753424657536"/>
    <n v="0"/>
    <n v="779"/>
    <n v="0"/>
  </r>
  <r>
    <n v="2523"/>
    <s v="Steel Rack             1 Nos."/>
    <s v="Sugar Division"/>
    <x v="6"/>
    <m/>
    <s v="Common"/>
    <d v="1999-01-01T00:00:00"/>
    <n v="753"/>
    <n v="0"/>
    <n v="715.35"/>
    <n v="37.649999999999977"/>
    <n v="37.65"/>
    <n v="10"/>
    <n v="21.265753424657536"/>
    <n v="357.67500000000001"/>
    <n v="22.265753424657536"/>
    <n v="-2.1316282072803009E-15"/>
    <n v="357.67500000000001"/>
    <n v="0"/>
  </r>
  <r>
    <n v="2524"/>
    <s v="Pillow                      4 Nos. "/>
    <s v="Sugar Division"/>
    <x v="6"/>
    <m/>
    <s v="Common"/>
    <d v="1999-01-01T00:00:00"/>
    <n v="600"/>
    <n v="0"/>
    <n v="570"/>
    <n v="30"/>
    <n v="30"/>
    <n v="10"/>
    <n v="21.265753424657536"/>
    <n v="285"/>
    <n v="22.265753424657536"/>
    <n v="0"/>
    <n v="285"/>
    <n v="0"/>
  </r>
  <r>
    <n v="2525"/>
    <s v="Peg Table                 6 Nos. "/>
    <s v="Sugar Division"/>
    <x v="6"/>
    <m/>
    <s v="Common"/>
    <d v="1999-01-01T00:00:00"/>
    <n v="120"/>
    <n v="0"/>
    <n v="114"/>
    <n v="6"/>
    <n v="6"/>
    <n v="10"/>
    <n v="21.265753424657536"/>
    <n v="57"/>
    <n v="22.265753424657536"/>
    <n v="0"/>
    <n v="57"/>
    <n v="0"/>
  </r>
  <r>
    <n v="2526"/>
    <s v="Tea Table-1 No."/>
    <s v="Sugar Division"/>
    <x v="6"/>
    <m/>
    <s v="Common"/>
    <d v="2014-01-15T00:00:00"/>
    <n v="242.56"/>
    <n v="0"/>
    <n v="51.010700273972603"/>
    <n v="191.54929972602741"/>
    <n v="12.128"/>
    <n v="10"/>
    <n v="6.2164383561643834"/>
    <n v="92.235932054794532"/>
    <n v="7.2164383561643834"/>
    <n v="17.942129972602743"/>
    <n v="110.17806202739727"/>
    <n v="0"/>
  </r>
  <r>
    <n v="2527"/>
    <s v="Takhat 171 Nos."/>
    <s v="Sugar Division"/>
    <x v="6"/>
    <m/>
    <s v="Common"/>
    <d v="2000-01-01T00:00:00"/>
    <n v="40815"/>
    <n v="0"/>
    <n v="38774.25"/>
    <n v="2040.75"/>
    <n v="2040.75"/>
    <n v="10"/>
    <n v="20.265753424657536"/>
    <n v="19387.125"/>
    <n v="21.265753424657536"/>
    <n v="0"/>
    <n v="19387.125"/>
    <n v="0"/>
  </r>
  <r>
    <n v="2528"/>
    <s v="Chair 131 Nos."/>
    <s v="Sugar Division"/>
    <x v="6"/>
    <m/>
    <s v="Common"/>
    <d v="2000-01-01T00:00:00"/>
    <n v="21180"/>
    <n v="0"/>
    <n v="20121"/>
    <n v="1059"/>
    <n v="1059"/>
    <n v="10"/>
    <n v="20.265753424657536"/>
    <n v="10060.5"/>
    <n v="21.265753424657536"/>
    <n v="0"/>
    <n v="10060.5"/>
    <n v="0"/>
  </r>
  <r>
    <n v="2529"/>
    <s v="Table 41 Nos."/>
    <s v="Sugar Division"/>
    <x v="6"/>
    <m/>
    <s v="Common"/>
    <d v="2000-01-01T00:00:00"/>
    <n v="20825"/>
    <n v="0"/>
    <n v="19783.75"/>
    <n v="1041.25"/>
    <n v="1041.25"/>
    <n v="10"/>
    <n v="20.265753424657536"/>
    <n v="9891.875"/>
    <n v="21.265753424657536"/>
    <n v="0"/>
    <n v="9891.875"/>
    <n v="0"/>
  </r>
  <r>
    <n v="2530"/>
    <s v="Steel Almirah 3 Nos."/>
    <s v="Sugar Division"/>
    <x v="6"/>
    <m/>
    <s v="Common"/>
    <d v="2000-01-01T00:00:00"/>
    <n v="11536"/>
    <n v="0"/>
    <n v="10959.2"/>
    <n v="576.79999999999927"/>
    <n v="576.80000000000007"/>
    <n v="10"/>
    <n v="20.265753424657536"/>
    <n v="5479.6"/>
    <n v="21.265753424657536"/>
    <n v="-7.9580786405131228E-14"/>
    <n v="5479.6"/>
    <n v="0"/>
  </r>
  <r>
    <n v="2531"/>
    <s v="Double Bed 4 Nos."/>
    <s v="Sugar Division"/>
    <x v="6"/>
    <m/>
    <s v="Common"/>
    <d v="2000-01-01T00:00:00"/>
    <n v="10800"/>
    <n v="0"/>
    <n v="10260"/>
    <n v="540"/>
    <n v="540"/>
    <n v="10"/>
    <n v="20.265753424657536"/>
    <n v="5130"/>
    <n v="21.265753424657536"/>
    <n v="0"/>
    <n v="5130"/>
    <n v="0"/>
  </r>
  <r>
    <n v="2532"/>
    <s v="Dining Table 1 Nos."/>
    <s v="Sugar Division"/>
    <x v="6"/>
    <m/>
    <s v="Common"/>
    <d v="2000-01-01T00:00:00"/>
    <n v="4800"/>
    <n v="0"/>
    <n v="4560"/>
    <n v="240"/>
    <n v="240"/>
    <n v="10"/>
    <n v="20.265753424657536"/>
    <n v="2280"/>
    <n v="21.265753424657536"/>
    <n v="0"/>
    <n v="2280"/>
    <n v="0"/>
  </r>
  <r>
    <n v="2533"/>
    <s v="Table"/>
    <s v="Sugar Division"/>
    <x v="6"/>
    <m/>
    <s v="Common"/>
    <d v="2010-04-15T00:00:00"/>
    <n v="189.6"/>
    <n v="0"/>
    <n v="107.52917260273972"/>
    <n v="82.070827397260274"/>
    <n v="9.48"/>
    <n v="10"/>
    <n v="9.9726027397260282"/>
    <n v="72.097347945205513"/>
    <n v="10.972602739726028"/>
    <n v="7.2590827397260274"/>
    <n v="79.356430684931539"/>
    <n v="0"/>
  </r>
  <r>
    <n v="2534"/>
    <s v="Wooden Box 22 Nos."/>
    <s v="Sugar Division"/>
    <x v="6"/>
    <m/>
    <s v="Common"/>
    <d v="2000-01-01T00:00:00"/>
    <n v="3640"/>
    <n v="0"/>
    <n v="3458"/>
    <n v="182"/>
    <n v="182"/>
    <n v="10"/>
    <n v="20.265753424657536"/>
    <n v="1729"/>
    <n v="21.265753424657536"/>
    <n v="0"/>
    <n v="1729"/>
    <n v="0"/>
  </r>
  <r>
    <n v="2535"/>
    <s v="Dressing Table 1 No."/>
    <s v="Sugar Division"/>
    <x v="6"/>
    <m/>
    <s v="Common"/>
    <d v="2000-01-01T00:00:00"/>
    <n v="1350"/>
    <n v="0"/>
    <n v="1282.5"/>
    <n v="67.5"/>
    <n v="67.5"/>
    <n v="10"/>
    <n v="20.265753424657536"/>
    <n v="641.25"/>
    <n v="21.265753424657536"/>
    <n v="0"/>
    <n v="641.25"/>
    <n v="0"/>
  </r>
  <r>
    <n v="2536"/>
    <s v="Central Table 1 No."/>
    <s v="Sugar Division"/>
    <x v="6"/>
    <m/>
    <s v="Common"/>
    <d v="2000-01-01T00:00:00"/>
    <n v="700"/>
    <n v="0"/>
    <n v="665"/>
    <n v="35"/>
    <n v="35"/>
    <n v="10"/>
    <n v="20.265753424657536"/>
    <n v="332.5"/>
    <n v="21.265753424657536"/>
    <n v="0"/>
    <n v="332.5"/>
    <n v="0"/>
  </r>
  <r>
    <n v="2537"/>
    <s v="Wooden Takhat 130 Nos."/>
    <s v="Sugar Division"/>
    <x v="6"/>
    <m/>
    <s v="Common"/>
    <d v="2001-01-01T00:00:00"/>
    <n v="36426"/>
    <n v="0"/>
    <n v="34604.699999999997"/>
    <n v="1821.3000000000029"/>
    <n v="1821.3000000000002"/>
    <n v="10"/>
    <n v="19.263013698630136"/>
    <n v="17302.349999999999"/>
    <n v="20.263013698630136"/>
    <n v="2.7284841053187851E-13"/>
    <n v="17302.349999999999"/>
    <n v="0"/>
  </r>
  <r>
    <n v="2538"/>
    <s v="Chair 179 Nos."/>
    <s v="Sugar Division"/>
    <x v="6"/>
    <m/>
    <s v="Common"/>
    <d v="2001-01-01T00:00:00"/>
    <n v="32565"/>
    <n v="0"/>
    <n v="30936.75"/>
    <n v="1628.25"/>
    <n v="1628.25"/>
    <n v="10"/>
    <n v="19.263013698630136"/>
    <n v="15468.375"/>
    <n v="20.263013698630136"/>
    <n v="0"/>
    <n v="15468.375"/>
    <n v="0"/>
  </r>
  <r>
    <n v="2539"/>
    <s v="Steel Almirah 3 No."/>
    <s v="Sugar Division"/>
    <x v="6"/>
    <m/>
    <s v="Common"/>
    <d v="2001-01-01T00:00:00"/>
    <n v="11243"/>
    <n v="0"/>
    <n v="10680.85"/>
    <n v="562.14999999999964"/>
    <n v="562.15"/>
    <n v="10"/>
    <n v="19.263013698630136"/>
    <n v="5340.4250000000002"/>
    <n v="20.263013698630136"/>
    <n v="-3.4106051316484814E-14"/>
    <n v="5340.4250000000002"/>
    <n v="0"/>
  </r>
  <r>
    <n v="2540"/>
    <s v="Table 37 Nos."/>
    <s v="Sugar Division"/>
    <x v="6"/>
    <m/>
    <s v="Common"/>
    <d v="2001-01-01T00:00:00"/>
    <n v="6620"/>
    <n v="0"/>
    <n v="6289"/>
    <n v="331"/>
    <n v="331"/>
    <n v="10"/>
    <n v="19.263013698630136"/>
    <n v="3144.5"/>
    <n v="20.263013698630136"/>
    <n v="0"/>
    <n v="3144.5"/>
    <n v="0"/>
  </r>
  <r>
    <n v="2541"/>
    <s v="Central Table 4 No."/>
    <s v="Sugar Division"/>
    <x v="6"/>
    <m/>
    <s v="Common"/>
    <d v="2001-01-01T00:00:00"/>
    <n v="5705"/>
    <n v="0"/>
    <n v="5419.75"/>
    <n v="285.25"/>
    <n v="285.25"/>
    <n v="10"/>
    <n v="19.263013698630136"/>
    <n v="2709.875"/>
    <n v="20.263013698630136"/>
    <n v="0"/>
    <n v="2709.875"/>
    <n v="0"/>
  </r>
  <r>
    <n v="2542"/>
    <s v="Spectrometer"/>
    <s v="Sugar Division"/>
    <x v="6"/>
    <m/>
    <s v="Common"/>
    <d v="2001-03-28T00:00:00"/>
    <n v="282850"/>
    <n v="0"/>
    <n v="218707.5"/>
    <n v="64142.5"/>
    <n v="14142.5"/>
    <n v="5"/>
    <n v="19.027397260273972"/>
    <n v="109353.75"/>
    <n v="20.027397260273972"/>
    <n v="10000"/>
    <n v="119353.75"/>
    <n v="0"/>
  </r>
  <r>
    <n v="2543"/>
    <s v="Aquagaurd  1 No."/>
    <s v="Sugar Division"/>
    <x v="6"/>
    <m/>
    <s v="Common"/>
    <d v="2001-03-31T00:00:00"/>
    <n v="6240"/>
    <n v="0"/>
    <n v="5928"/>
    <n v="312"/>
    <n v="312"/>
    <n v="5"/>
    <n v="19.019178082191782"/>
    <n v="2964"/>
    <n v="20.019178082191782"/>
    <n v="0"/>
    <n v="2964"/>
    <n v="0"/>
  </r>
  <r>
    <n v="2544"/>
    <s v="Wooden Box 14 No."/>
    <s v="Sugar Division"/>
    <x v="6"/>
    <m/>
    <s v="Common"/>
    <d v="2001-01-01T00:00:00"/>
    <n v="2170"/>
    <n v="0"/>
    <n v="2061.5"/>
    <n v="108.5"/>
    <n v="108.5"/>
    <n v="10"/>
    <n v="19.263013698630136"/>
    <n v="1030.75"/>
    <n v="20.263013698630136"/>
    <n v="0"/>
    <n v="1030.75"/>
    <n v="0"/>
  </r>
  <r>
    <n v="2545"/>
    <s v="Dessing Table 1 No."/>
    <s v="Sugar Division"/>
    <x v="6"/>
    <m/>
    <s v="Common"/>
    <d v="2001-01-01T00:00:00"/>
    <n v="1350"/>
    <n v="0"/>
    <n v="1282.5"/>
    <n v="67.5"/>
    <n v="67.5"/>
    <n v="10"/>
    <n v="19.263013698630136"/>
    <n v="641.25"/>
    <n v="20.263013698630136"/>
    <n v="0"/>
    <n v="641.25"/>
    <n v="0"/>
  </r>
  <r>
    <n v="2546"/>
    <s v="Revolving Chair 1 No."/>
    <s v="Sugar Division"/>
    <x v="6"/>
    <m/>
    <s v="Common"/>
    <d v="2001-01-01T00:00:00"/>
    <n v="900"/>
    <n v="0"/>
    <n v="855"/>
    <n v="45"/>
    <n v="45"/>
    <n v="10"/>
    <n v="19.263013698630136"/>
    <n v="427.5"/>
    <n v="20.263013698630136"/>
    <n v="0"/>
    <n v="427.5"/>
    <n v="0"/>
  </r>
  <r>
    <n v="2547"/>
    <s v="Rack For File 1 No."/>
    <s v="Sugar Division"/>
    <x v="6"/>
    <m/>
    <s v="Common"/>
    <d v="2001-01-01T00:00:00"/>
    <n v="885"/>
    <n v="0"/>
    <n v="840.75"/>
    <n v="44.25"/>
    <n v="44.25"/>
    <n v="10"/>
    <n v="19.263013698630136"/>
    <n v="420.375"/>
    <n v="20.263013698630136"/>
    <n v="0"/>
    <n v="420.375"/>
    <n v="0"/>
  </r>
  <r>
    <n v="2548"/>
    <s v="Steel Almirah 9 Nos. "/>
    <s v="Sugar Division"/>
    <x v="6"/>
    <m/>
    <s v="Common"/>
    <d v="2002-01-01T00:00:00"/>
    <n v="41914"/>
    <n v="0"/>
    <n v="39818.300000000003"/>
    <n v="2095.6999999999971"/>
    <n v="2095.7000000000003"/>
    <n v="10"/>
    <n v="18.263013698630136"/>
    <n v="19909.150000000001"/>
    <n v="19.263013698630136"/>
    <n v="-3.1832314562052491E-13"/>
    <n v="19909.150000000001"/>
    <n v="0"/>
  </r>
  <r>
    <n v="2549"/>
    <s v="Chair 114 Nos."/>
    <s v="Sugar Division"/>
    <x v="6"/>
    <m/>
    <s v="Common"/>
    <d v="2002-01-01T00:00:00"/>
    <n v="32908"/>
    <n v="0"/>
    <n v="31262.6"/>
    <n v="1645.4000000000015"/>
    <n v="1645.4"/>
    <n v="10"/>
    <n v="18.263013698630136"/>
    <n v="15631.3"/>
    <n v="19.263013698630136"/>
    <n v="1.3642420526593926E-13"/>
    <n v="15631.3"/>
    <n v="0"/>
  </r>
  <r>
    <n v="2550"/>
    <s v="Takhat  93 Nos."/>
    <s v="Sugar Division"/>
    <x v="6"/>
    <m/>
    <s v="Common"/>
    <d v="2002-01-01T00:00:00"/>
    <n v="26005"/>
    <n v="0"/>
    <n v="24704.75"/>
    <n v="1300.25"/>
    <n v="1300.25"/>
    <n v="10"/>
    <n v="18.263013698630136"/>
    <n v="12352.375"/>
    <n v="19.263013698630136"/>
    <n v="0"/>
    <n v="12352.375"/>
    <n v="0"/>
  </r>
  <r>
    <n v="2551"/>
    <s v="Table 29 Nos."/>
    <s v="Sugar Division"/>
    <x v="6"/>
    <m/>
    <s v="Common"/>
    <d v="2002-01-01T00:00:00"/>
    <n v="16134"/>
    <n v="0"/>
    <n v="15327.3"/>
    <n v="806.70000000000073"/>
    <n v="806.7"/>
    <n v="10"/>
    <n v="18.263013698630136"/>
    <n v="7663.65"/>
    <n v="19.263013698630136"/>
    <n v="6.8212102632969628E-14"/>
    <n v="7663.65"/>
    <n v="0"/>
  </r>
  <r>
    <n v="2552"/>
    <s v="Double Bed 6 Nos."/>
    <s v="Sugar Division"/>
    <x v="6"/>
    <m/>
    <s v="Common"/>
    <d v="2002-01-01T00:00:00"/>
    <n v="14800"/>
    <n v="0"/>
    <n v="14060"/>
    <n v="740"/>
    <n v="740"/>
    <n v="10"/>
    <n v="18.263013698630136"/>
    <n v="7030"/>
    <n v="19.263013698630136"/>
    <n v="0"/>
    <n v="7030"/>
    <n v="0"/>
  </r>
  <r>
    <n v="2553"/>
    <s v="Dressing Table 2 Nos. "/>
    <s v="Sugar Division"/>
    <x v="6"/>
    <m/>
    <s v="Common"/>
    <d v="2002-01-01T00:00:00"/>
    <n v="3900"/>
    <n v="0"/>
    <n v="3705"/>
    <n v="195"/>
    <n v="195"/>
    <n v="10"/>
    <n v="18.263013698630136"/>
    <n v="1852.5"/>
    <n v="19.263013698630136"/>
    <n v="0"/>
    <n v="1852.5"/>
    <n v="0"/>
  </r>
  <r>
    <n v="2554"/>
    <s v="Wodden Box 25 Nos."/>
    <s v="Sugar Division"/>
    <x v="6"/>
    <m/>
    <s v="Common"/>
    <d v="2002-01-01T00:00:00"/>
    <n v="3538"/>
    <n v="0"/>
    <n v="3361.1"/>
    <n v="176.90000000000009"/>
    <n v="176.9"/>
    <n v="10"/>
    <n v="18.263013698630136"/>
    <n v="1680.55"/>
    <n v="19.263013698630136"/>
    <n v="8.5265128291212035E-15"/>
    <n v="1680.55"/>
    <n v="0"/>
  </r>
  <r>
    <n v="2555"/>
    <s v="Mattress  One Set "/>
    <s v="Sugar Division"/>
    <x v="6"/>
    <m/>
    <s v="Common"/>
    <d v="2002-01-01T00:00:00"/>
    <n v="2250"/>
    <n v="0"/>
    <n v="2137.5"/>
    <n v="112.5"/>
    <n v="112.5"/>
    <n v="10"/>
    <n v="18.263013698630136"/>
    <n v="1068.75"/>
    <n v="19.263013698630136"/>
    <n v="0"/>
    <n v="1068.75"/>
    <n v="0"/>
  </r>
  <r>
    <n v="2556"/>
    <s v="Central Table 3 Nos."/>
    <s v="Sugar Division"/>
    <x v="6"/>
    <m/>
    <s v="Common"/>
    <d v="2002-01-01T00:00:00"/>
    <n v="1050"/>
    <n v="0"/>
    <n v="997.5"/>
    <n v="52.5"/>
    <n v="52.5"/>
    <n v="10"/>
    <n v="18.263013698630136"/>
    <n v="498.75"/>
    <n v="19.263013698630136"/>
    <n v="0"/>
    <n v="498.75"/>
    <n v="0"/>
  </r>
  <r>
    <n v="2557"/>
    <s v="Steel Almirah  5 Nos."/>
    <s v="Sugar Division"/>
    <x v="6"/>
    <m/>
    <s v="Common"/>
    <d v="2003-01-01T00:00:00"/>
    <n v="18615"/>
    <n v="0"/>
    <n v="17684.25"/>
    <n v="930.75"/>
    <n v="930.75"/>
    <n v="10"/>
    <n v="17.263013698630136"/>
    <n v="8842.125"/>
    <n v="18.263013698630136"/>
    <n v="0"/>
    <n v="8842.125"/>
    <n v="0"/>
  </r>
  <r>
    <n v="2558"/>
    <s v="Attendence System 2 Nos."/>
    <s v="Sugar Division"/>
    <x v="6"/>
    <m/>
    <s v="Common"/>
    <d v="2004-10-07T00:00:00"/>
    <n v="43070.16"/>
    <n v="0"/>
    <n v="40916.652000000002"/>
    <n v="2153.5080000000016"/>
    <n v="2153.5080000000003"/>
    <n v="5"/>
    <n v="15.495890410958904"/>
    <n v="20458.326000000001"/>
    <n v="16.495890410958904"/>
    <n v="2.7284841053187851E-13"/>
    <n v="20458.326000000001"/>
    <n v="0"/>
  </r>
  <r>
    <n v="2559"/>
    <s v="Note Counting Machine &amp; Fag"/>
    <s v="Sugar Division"/>
    <x v="6"/>
    <m/>
    <s v="Common"/>
    <d v="2005-08-05T00:00:00"/>
    <n v="18000"/>
    <n v="0"/>
    <n v="17100"/>
    <n v="900"/>
    <n v="900"/>
    <n v="5"/>
    <n v="14.668493150684931"/>
    <n v="8550"/>
    <n v="15.668493150684931"/>
    <n v="0"/>
    <n v="8550"/>
    <n v="0"/>
  </r>
  <r>
    <n v="2560"/>
    <s v="Fax Machine"/>
    <s v="Sugar Division"/>
    <x v="6"/>
    <m/>
    <s v="Common"/>
    <d v="2005-08-31T00:00:00"/>
    <n v="6500"/>
    <n v="0"/>
    <n v="6175"/>
    <n v="325"/>
    <n v="325"/>
    <n v="5"/>
    <n v="14.597260273972603"/>
    <n v="3087.5"/>
    <n v="15.597260273972603"/>
    <n v="0"/>
    <n v="3087.5"/>
    <n v="0"/>
  </r>
  <r>
    <n v="2561"/>
    <s v="Fax Machine"/>
    <s v="Sugar Division"/>
    <x v="6"/>
    <m/>
    <s v="Common"/>
    <d v="2005-09-16T00:00:00"/>
    <n v="7000"/>
    <n v="0"/>
    <n v="6650"/>
    <n v="350"/>
    <n v="350"/>
    <n v="5"/>
    <n v="14.553424657534247"/>
    <n v="3325"/>
    <n v="15.553424657534247"/>
    <n v="0"/>
    <n v="3325"/>
    <n v="0"/>
  </r>
  <r>
    <n v="2562"/>
    <s v="Attendence System"/>
    <s v="Sugar Division"/>
    <x v="6"/>
    <m/>
    <s v="Common"/>
    <d v="2005-12-19T00:00:00"/>
    <n v="85139.6"/>
    <n v="0"/>
    <n v="80882.62000000001"/>
    <n v="4256.9799999999959"/>
    <n v="4256.9800000000005"/>
    <n v="5"/>
    <n v="14.295890410958904"/>
    <n v="40441.310000000005"/>
    <n v="15.295890410958904"/>
    <n v="-9.0949470177292824E-13"/>
    <n v="40441.310000000005"/>
    <n v="0"/>
  </r>
  <r>
    <n v="2563"/>
    <s v="Mattress 2 Nos."/>
    <s v="Sugar Division"/>
    <x v="6"/>
    <m/>
    <s v="Common"/>
    <d v="2003-01-01T00:00:00"/>
    <n v="6400"/>
    <n v="0"/>
    <n v="6080"/>
    <n v="320"/>
    <n v="320"/>
    <n v="10"/>
    <n v="17.263013698630136"/>
    <n v="3040"/>
    <n v="18.263013698630136"/>
    <n v="0"/>
    <n v="3040"/>
    <n v="0"/>
  </r>
  <r>
    <n v="2564"/>
    <s v="Double Bed 2 Nos."/>
    <s v="Sugar Division"/>
    <x v="6"/>
    <m/>
    <s v="Common"/>
    <d v="2003-01-01T00:00:00"/>
    <n v="5200"/>
    <n v="0"/>
    <n v="4940"/>
    <n v="260"/>
    <n v="260"/>
    <n v="10"/>
    <n v="17.263013698630136"/>
    <n v="2470"/>
    <n v="18.263013698630136"/>
    <n v="0"/>
    <n v="2470"/>
    <n v="0"/>
  </r>
  <r>
    <n v="2565"/>
    <s v="Revolving Chair  2 Nos."/>
    <s v="Sugar Division"/>
    <x v="6"/>
    <m/>
    <s v="Common"/>
    <d v="2003-01-01T00:00:00"/>
    <n v="4500"/>
    <n v="0"/>
    <n v="4275"/>
    <n v="225"/>
    <n v="225"/>
    <n v="10"/>
    <n v="17.263013698630136"/>
    <n v="2137.5"/>
    <n v="18.263013698630136"/>
    <n v="0"/>
    <n v="2137.5"/>
    <n v="0"/>
  </r>
  <r>
    <n v="2566"/>
    <s v="Fan"/>
    <s v="Sugar Division"/>
    <x v="6"/>
    <m/>
    <s v="Common"/>
    <d v="2006-05-02T00:00:00"/>
    <n v="1437"/>
    <n v="0"/>
    <n v="1365.15"/>
    <n v="71.849999999999909"/>
    <n v="71.850000000000009"/>
    <n v="5"/>
    <n v="13.92876712328767"/>
    <n v="682.57500000000005"/>
    <n v="14.92876712328767"/>
    <n v="-1.9895196601282807E-14"/>
    <n v="682.57500000000005"/>
    <n v="0"/>
  </r>
  <r>
    <n v="2567"/>
    <s v="Fridge"/>
    <s v="Sugar Division"/>
    <x v="6"/>
    <m/>
    <s v="Common"/>
    <d v="2006-05-22T00:00:00"/>
    <n v="2238"/>
    <n v="0"/>
    <n v="2126.1"/>
    <n v="111.90000000000009"/>
    <n v="111.9"/>
    <n v="5"/>
    <n v="13.873972602739727"/>
    <n v="1063.05"/>
    <n v="14.873972602739727"/>
    <n v="1.7053025658242407E-14"/>
    <n v="1063.05"/>
    <n v="0"/>
  </r>
  <r>
    <n v="2568"/>
    <s v="Televesion"/>
    <s v="Sugar Division"/>
    <x v="6"/>
    <m/>
    <s v="Common"/>
    <d v="2006-05-22T00:00:00"/>
    <n v="1847"/>
    <n v="0"/>
    <n v="1754.65"/>
    <n v="92.349999999999909"/>
    <n v="92.350000000000009"/>
    <n v="5"/>
    <n v="13.873972602739727"/>
    <n v="877.32500000000005"/>
    <n v="14.873972602739727"/>
    <n v="-1.9895196601282807E-14"/>
    <n v="877.32500000000005"/>
    <n v="0"/>
  </r>
  <r>
    <n v="2569"/>
    <s v="Note Counting Machine"/>
    <s v="Sugar Division"/>
    <x v="6"/>
    <m/>
    <s v="Common"/>
    <d v="2006-09-15T00:00:00"/>
    <n v="45000"/>
    <n v="0"/>
    <n v="42750"/>
    <n v="2250"/>
    <n v="2250"/>
    <n v="5"/>
    <n v="13.556164383561644"/>
    <n v="21375"/>
    <n v="14.556164383561644"/>
    <n v="0"/>
    <n v="21375"/>
    <n v="0"/>
  </r>
  <r>
    <n v="2570"/>
    <s v="Inverter"/>
    <s v="Sugar Division"/>
    <x v="6"/>
    <m/>
    <s v="Common"/>
    <d v="2006-06-24T00:00:00"/>
    <n v="3200"/>
    <n v="0"/>
    <n v="3040"/>
    <n v="160"/>
    <n v="160"/>
    <n v="5"/>
    <n v="13.783561643835617"/>
    <n v="1520"/>
    <n v="14.783561643835617"/>
    <n v="0"/>
    <n v="1520"/>
    <n v="0"/>
  </r>
  <r>
    <n v="2571"/>
    <s v="Blutooth"/>
    <s v="Sugar Division"/>
    <x v="6"/>
    <m/>
    <s v="Common"/>
    <d v="2013-10-01T00:00:00"/>
    <n v="1199"/>
    <n v="0"/>
    <n v="1139.05"/>
    <n v="59.950000000000045"/>
    <n v="59.95"/>
    <n v="5"/>
    <n v="6.506849315068493"/>
    <n v="569.52499999999998"/>
    <n v="7.506849315068493"/>
    <n v="8.5265128291212035E-15"/>
    <n v="569.52499999999998"/>
    <n v="0"/>
  </r>
  <r>
    <n v="2572"/>
    <s v="Mobile "/>
    <s v="Sugar Division"/>
    <x v="6"/>
    <m/>
    <s v="Common"/>
    <d v="2013-12-19T00:00:00"/>
    <n v="1100"/>
    <n v="0"/>
    <n v="1045"/>
    <n v="55"/>
    <n v="55"/>
    <n v="5"/>
    <n v="6.2904109589041095"/>
    <n v="522.5"/>
    <n v="7.2904109589041095"/>
    <n v="0"/>
    <n v="522.5"/>
    <n v="0"/>
  </r>
  <r>
    <n v="2573"/>
    <s v="Ceiling Fan"/>
    <s v="Sugar Division"/>
    <x v="6"/>
    <m/>
    <s v="Common"/>
    <d v="2014-07-15T00:00:00"/>
    <n v="1040.78"/>
    <n v="0"/>
    <n v="169.8467416438356"/>
    <n v="870.9332583561644"/>
    <n v="52.039000000000001"/>
    <n v="10"/>
    <n v="5.720547945205479"/>
    <n v="395.76728794520545"/>
    <n v="6.720547945205479"/>
    <n v="81.88942583561645"/>
    <n v="477.65671378082192"/>
    <n v="0"/>
  </r>
  <r>
    <n v="2574"/>
    <s v="Ceiling Fan 2"/>
    <s v="Sugar Division"/>
    <x v="6"/>
    <m/>
    <s v="Common"/>
    <d v="2014-07-15T00:00:00"/>
    <n v="1670.64"/>
    <n v="0"/>
    <n v="272.63471671232878"/>
    <n v="1398.0052832876713"/>
    <n v="83.532000000000011"/>
    <n v="10"/>
    <n v="5.720547945205479"/>
    <n v="635.27802410958896"/>
    <n v="6.720547945205479"/>
    <n v="131.44732832876716"/>
    <n v="766.72535243835614"/>
    <n v="0"/>
  </r>
  <r>
    <n v="2575"/>
    <s v="Chair 4"/>
    <s v="Sugar Division"/>
    <x v="6"/>
    <m/>
    <s v="Common"/>
    <d v="2014-08-15T00:00:00"/>
    <n v="1850"/>
    <n v="0"/>
    <n v="286.9780821917808"/>
    <n v="1563.0219178082193"/>
    <n v="92.5"/>
    <n v="10"/>
    <n v="5.6356164383561644"/>
    <n v="703.48150684931511"/>
    <n v="6.6356164383561644"/>
    <n v="147.05219178082194"/>
    <n v="850.533698630137"/>
    <n v="0"/>
  </r>
  <r>
    <n v="2576"/>
    <s v="Exhuast Fan"/>
    <s v="Sugar Division"/>
    <x v="6"/>
    <m/>
    <s v="Common"/>
    <d v="2014-07-15T00:00:00"/>
    <n v="2199.27"/>
    <n v="0"/>
    <n v="358.90278780821922"/>
    <n v="1840.3672121917807"/>
    <n v="109.96350000000001"/>
    <n v="10"/>
    <n v="5.720547945205479"/>
    <n v="836.29501273972596"/>
    <n v="6.720547945205479"/>
    <n v="173.04037121917807"/>
    <n v="1009.335383958904"/>
    <n v="0"/>
  </r>
  <r>
    <n v="2577"/>
    <s v="Wooden Table"/>
    <s v="Sugar Division"/>
    <x v="6"/>
    <m/>
    <s v="Common"/>
    <d v="2014-07-15T00:00:00"/>
    <n v="2800"/>
    <n v="0"/>
    <n v="456.93698630136987"/>
    <n v="2343.0630136986301"/>
    <n v="140"/>
    <n v="10"/>
    <n v="5.720547945205479"/>
    <n v="1064.7287671232875"/>
    <n v="6.720547945205479"/>
    <n v="220.30630136986304"/>
    <n v="1285.0350684931504"/>
    <n v="0"/>
  </r>
  <r>
    <n v="2578"/>
    <s v="Ceiling Fan 3"/>
    <s v="Sugar Division"/>
    <x v="6"/>
    <m/>
    <s v="Common"/>
    <d v="2014-08-15T00:00:00"/>
    <n v="3122.34"/>
    <n v="0"/>
    <n v="484.34764602739722"/>
    <n v="2637.9923539726028"/>
    <n v="156.11700000000002"/>
    <n v="10"/>
    <n v="5.6356164383561644"/>
    <n v="1187.3018638356166"/>
    <n v="6.6356164383561644"/>
    <n v="248.18753539726026"/>
    <n v="1435.4893992328768"/>
    <n v="0"/>
  </r>
  <r>
    <n v="2579"/>
    <s v="Heat Converter (3)"/>
    <s v="Sugar Division"/>
    <x v="6"/>
    <m/>
    <s v="Common"/>
    <d v="2014-12-15T00:00:00"/>
    <n v="6303.62"/>
    <n v="0"/>
    <n v="777.67673589041101"/>
    <n v="5525.9432641095891"/>
    <n v="315.18100000000004"/>
    <n v="10"/>
    <n v="5.3013698630136989"/>
    <n v="2397.0162682191785"/>
    <n v="6.3013698630136989"/>
    <n v="521.07622641095895"/>
    <n v="2918.0924946301375"/>
    <n v="0"/>
  </r>
  <r>
    <n v="2580"/>
    <s v="Chair Revolving"/>
    <s v="Sugar Division"/>
    <x v="6"/>
    <m/>
    <s v="Common"/>
    <d v="2014-08-15T00:00:00"/>
    <n v="12732"/>
    <n v="0"/>
    <n v="1975.0296986301369"/>
    <n v="10756.970301369864"/>
    <n v="636.6"/>
    <n v="10"/>
    <n v="5.6356164383561644"/>
    <n v="4841.473808219178"/>
    <n v="6.6356164383561644"/>
    <n v="1012.0370301369863"/>
    <n v="5853.5108383561646"/>
    <n v="0"/>
  </r>
  <r>
    <n v="2581"/>
    <s v="Executive Chair"/>
    <s v="Sugar Division"/>
    <x v="6"/>
    <m/>
    <s v="Common"/>
    <d v="2014-08-15T00:00:00"/>
    <n v="12732"/>
    <n v="0"/>
    <n v="1975.0296986301369"/>
    <n v="10756.970301369864"/>
    <n v="636.6"/>
    <n v="10"/>
    <n v="5.6356164383561644"/>
    <n v="4841.473808219178"/>
    <n v="6.6356164383561644"/>
    <n v="1012.0370301369863"/>
    <n v="5853.5108383561646"/>
    <n v="0"/>
  </r>
  <r>
    <n v="2582"/>
    <s v="Table Wooden Tea (55)"/>
    <s v="Sugar Division"/>
    <x v="6"/>
    <m/>
    <s v="Common"/>
    <d v="2014-12-15T00:00:00"/>
    <n v="13326.42"/>
    <n v="0"/>
    <n v="1644.0786098630138"/>
    <n v="11682.341390136986"/>
    <n v="666.32100000000003"/>
    <n v="10"/>
    <n v="5.3013698630136989"/>
    <n v="5067.508120273973"/>
    <n v="6.3013698630136989"/>
    <n v="1101.6020390136987"/>
    <n v="6169.1101592876712"/>
    <n v="0"/>
  </r>
  <r>
    <n v="2583"/>
    <s v="Table Office Wooden (34)"/>
    <s v="Sugar Division"/>
    <x v="6"/>
    <m/>
    <s v="Common"/>
    <d v="2014-12-15T00:00:00"/>
    <n v="13329.01"/>
    <n v="0"/>
    <n v="1644.3981378082192"/>
    <n v="11684.611862191781"/>
    <n v="666.45050000000003"/>
    <n v="10"/>
    <n v="5.3013698630136989"/>
    <n v="5068.4929943835623"/>
    <n v="6.3013698630136989"/>
    <n v="1101.8161362191781"/>
    <n v="6170.30913060274"/>
    <n v="0"/>
  </r>
  <r>
    <n v="2584"/>
    <s v="Chairs Armless (80)"/>
    <s v="Sugar Division"/>
    <x v="6"/>
    <m/>
    <s v="Common"/>
    <d v="2014-12-15T00:00:00"/>
    <n v="19154.62"/>
    <n v="0"/>
    <n v="2363.1028454794518"/>
    <n v="16791.517154520549"/>
    <n v="957.73099999999999"/>
    <n v="10"/>
    <n v="5.3013698630136989"/>
    <n v="7283.7410490410948"/>
    <n v="6.3013698630136989"/>
    <n v="1583.3786154520549"/>
    <n v="8867.1196644931497"/>
    <n v="0"/>
  </r>
  <r>
    <n v="2585"/>
    <s v="Geyster, 15 Ltr (10)"/>
    <s v="Sugar Division"/>
    <x v="6"/>
    <m/>
    <s v="Common"/>
    <d v="2014-12-15T00:00:00"/>
    <n v="45750"/>
    <n v="0"/>
    <n v="5644.1712328767126"/>
    <n v="40105.82876712329"/>
    <n v="2287.5"/>
    <n v="10"/>
    <n v="5.3013698630136989"/>
    <n v="17396.907534246577"/>
    <n v="6.3013698630136989"/>
    <n v="3781.8328767123294"/>
    <n v="21178.740410958904"/>
    <n v="0"/>
  </r>
  <r>
    <n v="2586"/>
    <s v="Chairs Plastic Supreme (24)"/>
    <s v="Sugar Division"/>
    <x v="6"/>
    <m/>
    <s v="Common"/>
    <d v="2014-12-15T00:00:00"/>
    <n v="47100"/>
    <n v="0"/>
    <n v="5810.7205479452059"/>
    <n v="41289.27945205479"/>
    <n v="2355"/>
    <n v="10"/>
    <n v="5.3013698630136989"/>
    <n v="17910.258904109589"/>
    <n v="6.3013698630136989"/>
    <n v="3893.4279452054793"/>
    <n v="21803.686849315069"/>
    <n v="0"/>
  </r>
  <r>
    <n v="2587"/>
    <s v="Wooden Takhat  (121)"/>
    <s v="Sugar Division"/>
    <x v="6"/>
    <m/>
    <s v="Common"/>
    <d v="2014-12-15T00:00:00"/>
    <n v="77403.710000000006"/>
    <n v="0"/>
    <n v="9549.2850994520559"/>
    <n v="67854.424900547951"/>
    <n v="3870.1855000000005"/>
    <n v="10"/>
    <n v="5.3013698630136989"/>
    <n v="29433.555971095891"/>
    <n v="6.3013698630136989"/>
    <n v="6398.4239400547958"/>
    <n v="35831.979911150687"/>
    <n v="0"/>
  </r>
  <r>
    <n v="2588"/>
    <s v="Fans "/>
    <s v="Sugar Division"/>
    <x v="6"/>
    <m/>
    <s v="Common"/>
    <d v="2016-04-15T00:00:00"/>
    <n v="1580.9"/>
    <n v="0"/>
    <n v="0"/>
    <n v="1580.9"/>
    <n v="79.045000000000016"/>
    <n v="10"/>
    <n v="3.967123287671233"/>
    <n v="595.80439452054793"/>
    <n v="4.9671232876712326"/>
    <n v="150.18549999999993"/>
    <n v="745.98989452054786"/>
    <n v="0"/>
  </r>
  <r>
    <n v="2589"/>
    <s v="Table"/>
    <s v="Sugar Division"/>
    <x v="6"/>
    <m/>
    <s v="Common"/>
    <d v="2016-04-15T00:00:00"/>
    <n v="3872.73"/>
    <n v="0"/>
    <n v="0"/>
    <n v="3872.73"/>
    <n v="193.63650000000001"/>
    <n v="10"/>
    <n v="3.967123287671233"/>
    <n v="1459.5417501369864"/>
    <n v="4.9671232876712326"/>
    <n v="367.90934999999979"/>
    <n v="1827.451100136986"/>
    <n v="0"/>
  </r>
  <r>
    <n v="2590"/>
    <s v="Cooler -2"/>
    <s v="Sugar Division"/>
    <x v="6"/>
    <m/>
    <s v="Common"/>
    <d v="2016-04-15T00:00:00"/>
    <n v="20200"/>
    <n v="0"/>
    <n v="0"/>
    <n v="20200"/>
    <n v="1010"/>
    <n v="10"/>
    <n v="3.967123287671233"/>
    <n v="7612.9095890410963"/>
    <n v="4.9671232876712326"/>
    <n v="1918.9999999999991"/>
    <n v="9531.9095890410954"/>
    <n v="0"/>
  </r>
  <r>
    <n v="2591"/>
    <s v="Cooler -4"/>
    <s v="Sugar Division"/>
    <x v="6"/>
    <m/>
    <s v="Common"/>
    <d v="2016-04-15T00:00:00"/>
    <n v="36400"/>
    <n v="0"/>
    <n v="0"/>
    <n v="36400"/>
    <n v="1820"/>
    <n v="5"/>
    <n v="3.967123287671233"/>
    <n v="27436.624657534248"/>
    <n v="4.9671232876712326"/>
    <n v="6915.9999999999964"/>
    <n v="34352.624657534245"/>
    <n v="0"/>
  </r>
  <r>
    <n v="2592"/>
    <s v="Cooler - 6"/>
    <s v="Sugar Division"/>
    <x v="6"/>
    <m/>
    <s v="Common"/>
    <d v="2016-04-15T00:00:00"/>
    <n v="35400"/>
    <n v="0"/>
    <n v="0"/>
    <n v="35400"/>
    <n v="1770"/>
    <n v="10"/>
    <n v="3.967123287671233"/>
    <n v="13341.435616438357"/>
    <n v="4.9671232876712326"/>
    <n v="3362.9999999999982"/>
    <n v="16704.435616438357"/>
    <n v="0"/>
  </r>
  <r>
    <n v="2593"/>
    <s v="T.V.- Led -3"/>
    <s v="Sugar Division"/>
    <x v="6"/>
    <m/>
    <s v="Common"/>
    <d v="2016-04-15T00:00:00"/>
    <n v="69000"/>
    <n v="0"/>
    <n v="0"/>
    <n v="69000"/>
    <n v="3450"/>
    <n v="10"/>
    <n v="3.967123287671233"/>
    <n v="26004.493150684932"/>
    <n v="4.9671232876712326"/>
    <n v="6554.9999999999964"/>
    <n v="32559.493150684928"/>
    <n v="0"/>
  </r>
  <r>
    <n v="2594"/>
    <s v="Set Box -1"/>
    <s v="Sugar Division"/>
    <x v="6"/>
    <m/>
    <s v="Common"/>
    <d v="2016-04-15T00:00:00"/>
    <n v="5790"/>
    <n v="0"/>
    <n v="0"/>
    <n v="5790"/>
    <n v="289.5"/>
    <n v="10"/>
    <n v="3.967123287671233"/>
    <n v="2182.1161643835617"/>
    <n v="4.9671232876712326"/>
    <n v="550.04999999999973"/>
    <n v="2732.1661643835614"/>
    <n v="0"/>
  </r>
  <r>
    <n v="2595"/>
    <s v="Water Cooler"/>
    <s v="Sugar Division"/>
    <x v="6"/>
    <m/>
    <s v="Common"/>
    <d v="2016-04-15T00:00:00"/>
    <n v="33250"/>
    <n v="0"/>
    <n v="0"/>
    <n v="33250"/>
    <n v="1662.5"/>
    <n v="10"/>
    <n v="3.967123287671233"/>
    <n v="12531.150684931506"/>
    <n v="4.9671232876712326"/>
    <n v="3158.7499999999986"/>
    <n v="15689.900684931505"/>
    <n v="0"/>
  </r>
  <r>
    <n v="2596"/>
    <s v="R.O. 25 Ltr"/>
    <s v="Sugar Division"/>
    <x v="6"/>
    <m/>
    <s v="Common"/>
    <d v="2016-04-15T00:00:00"/>
    <n v="25000"/>
    <n v="0"/>
    <n v="0"/>
    <n v="25000"/>
    <n v="1250"/>
    <n v="10"/>
    <n v="3.967123287671233"/>
    <n v="9421.9178082191793"/>
    <n v="4.9671232876712326"/>
    <n v="2374.9999999999986"/>
    <n v="11796.917808219177"/>
    <n v="0"/>
  </r>
  <r>
    <n v="2597"/>
    <s v="Exaust Fan"/>
    <s v="Sugar Division"/>
    <x v="6"/>
    <m/>
    <s v="Common"/>
    <d v="2016-05-15T00:00:00"/>
    <n v="1250"/>
    <n v="0"/>
    <n v="0"/>
    <n v="1250"/>
    <n v="62.5"/>
    <n v="10"/>
    <n v="3.8849315068493149"/>
    <n v="461.33561643835617"/>
    <n v="4.8849315068493153"/>
    <n v="118.75000000000006"/>
    <n v="580.08561643835628"/>
    <n v="0"/>
  </r>
  <r>
    <n v="2598"/>
    <s v="Chair Plastic - 9"/>
    <s v="Sugar Division"/>
    <x v="6"/>
    <m/>
    <s v="Common"/>
    <d v="2016-05-15T00:00:00"/>
    <n v="5798.08"/>
    <n v="0"/>
    <n v="0"/>
    <n v="5798.08"/>
    <n v="289.904"/>
    <n v="10"/>
    <n v="3.8849315068493149"/>
    <n v="2139.888648767123"/>
    <n v="4.8849315068493153"/>
    <n v="550.8176000000002"/>
    <n v="2690.7062487671233"/>
    <n v="0"/>
  </r>
  <r>
    <n v="2599"/>
    <s v="Cooler"/>
    <s v="Sugar Division"/>
    <x v="6"/>
    <m/>
    <s v="Common"/>
    <d v="2016-05-15T00:00:00"/>
    <n v="5250"/>
    <n v="0"/>
    <n v="0"/>
    <n v="5250"/>
    <n v="262.5"/>
    <n v="10"/>
    <n v="3.8849315068493149"/>
    <n v="1937.6095890410959"/>
    <n v="4.8849315068493153"/>
    <n v="498.75000000000023"/>
    <n v="2436.3595890410961"/>
    <n v="0"/>
  </r>
  <r>
    <n v="2600"/>
    <s v="Almirah"/>
    <s v="Sugar Division"/>
    <x v="6"/>
    <m/>
    <s v="Common"/>
    <d v="2016-05-15T00:00:00"/>
    <n v="11450"/>
    <n v="0"/>
    <n v="0"/>
    <n v="11450"/>
    <n v="572.5"/>
    <n v="10"/>
    <n v="3.8849315068493149"/>
    <n v="4225.8342465753421"/>
    <n v="4.8849315068493153"/>
    <n v="1087.7500000000005"/>
    <n v="5313.5842465753431"/>
    <n v="0"/>
  </r>
  <r>
    <n v="2601"/>
    <s v="A.C."/>
    <s v="Sugar Division"/>
    <x v="6"/>
    <m/>
    <s v="Common"/>
    <d v="2016-05-15T00:00:00"/>
    <n v="21500"/>
    <n v="0"/>
    <n v="0"/>
    <n v="21500"/>
    <n v="1075"/>
    <n v="10"/>
    <n v="3.8849315068493149"/>
    <n v="7934.9726027397255"/>
    <n v="4.8849315068493153"/>
    <n v="2042.5000000000009"/>
    <n v="9977.4726027397264"/>
    <n v="0"/>
  </r>
  <r>
    <n v="2602"/>
    <s v="Almirah Ww"/>
    <s v="Sugar Division"/>
    <x v="6"/>
    <m/>
    <s v="Common"/>
    <d v="2016-05-17T00:00:00"/>
    <n v="8500"/>
    <n v="0"/>
    <n v="0"/>
    <n v="8500"/>
    <n v="425"/>
    <n v="10"/>
    <n v="3.8794520547945206"/>
    <n v="3132.6575342465753"/>
    <n v="4.8794520547945206"/>
    <n v="807.5"/>
    <n v="3940.1575342465753"/>
    <n v="0"/>
  </r>
  <r>
    <n v="2603"/>
    <s v="Exaust Fan"/>
    <s v="Sugar Division"/>
    <x v="6"/>
    <m/>
    <s v="Common"/>
    <d v="2016-06-15T00:00:00"/>
    <n v="901.1"/>
    <n v="0"/>
    <n v="0"/>
    <n v="901.1"/>
    <n v="45.055000000000007"/>
    <n v="10"/>
    <n v="3.8"/>
    <n v="325.2971"/>
    <n v="4.8"/>
    <n v="85.604500000000016"/>
    <n v="410.90160000000003"/>
    <n v="0"/>
  </r>
  <r>
    <n v="2604"/>
    <s v="Chair"/>
    <s v="Sugar Division"/>
    <x v="6"/>
    <m/>
    <s v="Common"/>
    <d v="2016-06-15T00:00:00"/>
    <n v="8152.4"/>
    <n v="0"/>
    <n v="0"/>
    <n v="8152.4"/>
    <n v="407.62"/>
    <n v="10"/>
    <n v="3.8"/>
    <n v="2943.0163999999995"/>
    <n v="4.8"/>
    <n v="774.47800000000007"/>
    <n v="3717.4943999999996"/>
    <n v="0"/>
  </r>
  <r>
    <n v="2605"/>
    <s v="Chair - 8"/>
    <s v="Sugar Division"/>
    <x v="6"/>
    <m/>
    <s v="Common"/>
    <d v="2016-06-15T00:00:00"/>
    <n v="22625.200000000001"/>
    <n v="0"/>
    <n v="0"/>
    <n v="22625.200000000001"/>
    <n v="1131.26"/>
    <n v="10"/>
    <n v="3.8"/>
    <n v="8167.6972000000005"/>
    <n v="4.8"/>
    <n v="2149.3940000000002"/>
    <n v="10317.091200000001"/>
    <n v="0"/>
  </r>
  <r>
    <n v="2606"/>
    <s v="R.O. - 2"/>
    <s v="Sugar Division"/>
    <x v="6"/>
    <m/>
    <s v="Common"/>
    <d v="2016-06-15T00:00:00"/>
    <n v="97400"/>
    <n v="0"/>
    <n v="50000"/>
    <n v="47400"/>
    <n v="2370"/>
    <n v="10"/>
    <n v="3.8"/>
    <n v="17111.400000000001"/>
    <n v="4.8"/>
    <n v="4503"/>
    <n v="21614.400000000001"/>
    <n v="0"/>
  </r>
  <r>
    <n v="2607"/>
    <s v="Fan (3)"/>
    <s v="Sugar Division"/>
    <x v="6"/>
    <m/>
    <s v="Common"/>
    <d v="2016-07-15T00:00:00"/>
    <n v="5574.64"/>
    <n v="0"/>
    <n v="0"/>
    <n v="5574.64"/>
    <n v="278.73200000000003"/>
    <n v="10"/>
    <n v="3.7178082191780821"/>
    <n v="1968.9170290410962"/>
    <n v="4.7178082191780826"/>
    <n v="529.59080000000029"/>
    <n v="2498.5078290410966"/>
    <n v="0"/>
  </r>
  <r>
    <n v="2608"/>
    <s v="Chairs Plastic (11)"/>
    <s v="Sugar Division"/>
    <x v="6"/>
    <m/>
    <s v="Common"/>
    <d v="2016-07-15T00:00:00"/>
    <n v="6528.07"/>
    <n v="0"/>
    <n v="0"/>
    <n v="6528.07"/>
    <n v="326.40350000000001"/>
    <n v="10"/>
    <n v="3.7178082191780821"/>
    <n v="2305.6606686301366"/>
    <n v="4.7178082191780826"/>
    <n v="620.16665000000023"/>
    <n v="2925.8273186301367"/>
    <n v="0"/>
  </r>
  <r>
    <n v="2609"/>
    <s v="Almira"/>
    <s v="Sugar Division"/>
    <x v="6"/>
    <m/>
    <s v="Common"/>
    <d v="2016-07-15T00:00:00"/>
    <n v="15500"/>
    <n v="0"/>
    <n v="0"/>
    <n v="15500"/>
    <n v="775"/>
    <n v="10"/>
    <n v="3.7178082191780821"/>
    <n v="5474.4726027397255"/>
    <n v="4.7178082191780826"/>
    <n v="1472.5000000000007"/>
    <n v="6946.9726027397264"/>
    <n v="0"/>
  </r>
  <r>
    <n v="2610"/>
    <s v="Office Table"/>
    <s v="Sugar Division"/>
    <x v="6"/>
    <m/>
    <s v="Common"/>
    <d v="2016-07-15T00:00:00"/>
    <n v="3600"/>
    <n v="0"/>
    <n v="0"/>
    <n v="3600"/>
    <n v="180"/>
    <n v="10"/>
    <n v="3.7178082191780821"/>
    <n v="1271.490410958904"/>
    <n v="4.7178082191780826"/>
    <n v="342.00000000000017"/>
    <n v="1613.4904109589042"/>
    <n v="0"/>
  </r>
  <r>
    <n v="2611"/>
    <s v="Chair (7)"/>
    <s v="Sugar Division"/>
    <x v="6"/>
    <m/>
    <s v="Common"/>
    <d v="2016-08-15T00:00:00"/>
    <n v="18359"/>
    <n v="0"/>
    <n v="0"/>
    <n v="18359"/>
    <n v="917.95"/>
    <n v="10"/>
    <n v="3.6328767123287671"/>
    <n v="6336.118438356164"/>
    <n v="4.6328767123287671"/>
    <n v="1744.105"/>
    <n v="8080.2234383561645"/>
    <n v="10278.776561643836"/>
  </r>
  <r>
    <n v="2612"/>
    <s v="Mobile (2)"/>
    <s v="Sugar Division"/>
    <x v="6"/>
    <m/>
    <s v="Common"/>
    <d v="2016-08-15T00:00:00"/>
    <n v="17800"/>
    <n v="0"/>
    <n v="0"/>
    <n v="17800"/>
    <n v="890"/>
    <n v="10"/>
    <n v="3.6328767123287671"/>
    <n v="6143.1945205479451"/>
    <n v="4.6328767123287671"/>
    <n v="1691"/>
    <n v="7834.1945205479451"/>
    <n v="9965.805479452054"/>
  </r>
  <r>
    <n v="2613"/>
    <s v="Chair (6)"/>
    <s v="Sugar Division"/>
    <x v="6"/>
    <m/>
    <s v="Common"/>
    <d v="2016-09-15T00:00:00"/>
    <n v="2850"/>
    <n v="0"/>
    <n v="0"/>
    <n v="2850"/>
    <n v="142.5"/>
    <n v="10"/>
    <n v="3.547945205479452"/>
    <n v="960.60616438356169"/>
    <n v="4.5479452054794525"/>
    <n v="270.75000000000011"/>
    <n v="1231.3561643835619"/>
    <n v="1618.6438356164381"/>
  </r>
  <r>
    <n v="2614"/>
    <s v="Table"/>
    <s v="Sugar Division"/>
    <x v="6"/>
    <m/>
    <s v="Common"/>
    <d v="2016-09-15T00:00:00"/>
    <n v="3300"/>
    <n v="0"/>
    <n v="0"/>
    <n v="3300"/>
    <n v="165"/>
    <n v="10"/>
    <n v="3.547945205479452"/>
    <n v="1112.2808219178082"/>
    <n v="4.5479452054794525"/>
    <n v="313.50000000000017"/>
    <n v="1425.7808219178085"/>
    <n v="1874.2191780821915"/>
  </r>
  <r>
    <n v="2615"/>
    <s v="Steel Almirah"/>
    <s v="Sugar Division"/>
    <x v="6"/>
    <m/>
    <s v="Common"/>
    <d v="2016-09-15T00:00:00"/>
    <n v="14850"/>
    <n v="0"/>
    <n v="0"/>
    <n v="14850"/>
    <n v="742.5"/>
    <n v="10"/>
    <n v="3.547945205479452"/>
    <n v="5005.2636986301368"/>
    <n v="4.5479452054794525"/>
    <n v="1410.7500000000007"/>
    <n v="6416.0136986301377"/>
    <n v="8433.9863013698632"/>
  </r>
  <r>
    <n v="2616"/>
    <s v="Exaust Fan 2"/>
    <s v="Sugar Division"/>
    <x v="6"/>
    <m/>
    <s v="Common"/>
    <d v="2016-10-15T00:00:00"/>
    <n v="1802.2"/>
    <n v="0"/>
    <n v="0"/>
    <n v="1802.2"/>
    <n v="90.110000000000014"/>
    <n v="10"/>
    <n v="3.4657534246575343"/>
    <n v="593.36817808219178"/>
    <n v="4.4657534246575343"/>
    <n v="171.20900000000003"/>
    <n v="764.57717808219184"/>
    <n v="1037.6228219178083"/>
  </r>
  <r>
    <n v="2617"/>
    <s v="Office Table - 3"/>
    <s v="Sugar Division"/>
    <x v="6"/>
    <m/>
    <s v="Common"/>
    <d v="2016-10-15T00:00:00"/>
    <n v="8100"/>
    <n v="0"/>
    <n v="0"/>
    <n v="8100"/>
    <n v="405"/>
    <n v="10"/>
    <n v="3.4657534246575343"/>
    <n v="2666.8972602739727"/>
    <n v="4.4657534246575343"/>
    <n v="769.5"/>
    <n v="3436.3972602739727"/>
    <n v="4663.6027397260277"/>
  </r>
  <r>
    <n v="2618"/>
    <s v="Sofa Sets - 2"/>
    <s v="Sugar Division"/>
    <x v="6"/>
    <m/>
    <s v="Common"/>
    <d v="2016-10-15T00:00:00"/>
    <n v="36456"/>
    <n v="0"/>
    <n v="0"/>
    <n v="36456"/>
    <n v="1822.8000000000002"/>
    <n v="10"/>
    <n v="3.4657534246575343"/>
    <n v="12003.01315068493"/>
    <n v="4.4657534246575343"/>
    <n v="3463.3199999999997"/>
    <n v="15466.33315068493"/>
    <n v="20989.666849315072"/>
  </r>
  <r>
    <n v="2619"/>
    <s v="Chair Revolving 1"/>
    <s v="Sugar Division"/>
    <x v="6"/>
    <m/>
    <s v="Common"/>
    <d v="2016-11-15T00:00:00"/>
    <n v="14500"/>
    <n v="0"/>
    <n v="0"/>
    <n v="14500"/>
    <n v="725"/>
    <n v="10"/>
    <n v="3.3808219178082193"/>
    <n v="4657.0821917808216"/>
    <n v="4.3808219178082188"/>
    <n v="1377.4999999999993"/>
    <n v="6034.5821917808207"/>
    <n v="8465.4178082191793"/>
  </r>
  <r>
    <n v="2620"/>
    <s v="Wooden Takhat - 4"/>
    <s v="Sugar Division"/>
    <x v="6"/>
    <m/>
    <s v="Common"/>
    <d v="2016-11-15T00:00:00"/>
    <n v="6600"/>
    <n v="0"/>
    <n v="0"/>
    <n v="6600"/>
    <n v="330"/>
    <n v="10"/>
    <n v="3.3808219178082193"/>
    <n v="2119.7753424657535"/>
    <n v="4.3808219178082188"/>
    <n v="626.99999999999966"/>
    <n v="2746.7753424657531"/>
    <n v="3853.2246575342469"/>
  </r>
  <r>
    <n v="2621"/>
    <s v="Exective Chair-1"/>
    <s v="Sugar Division"/>
    <x v="6"/>
    <m/>
    <s v="Common"/>
    <d v="2018-05-15T00:00:00"/>
    <n v="8130"/>
    <n v="0"/>
    <n v="0"/>
    <n v="8130"/>
    <n v="406.5"/>
    <n v="10"/>
    <n v="1.8849315068493151"/>
    <n v="1455.8268493150686"/>
    <n v="2.8849315068493149"/>
    <n v="772.3499999999998"/>
    <n v="2228.1768493150685"/>
    <n v="5901.8231506849315"/>
  </r>
  <r>
    <n v="2622"/>
    <s v="Exective Visitors Chair 2"/>
    <s v="Sugar Division"/>
    <x v="6"/>
    <m/>
    <s v="Common"/>
    <d v="2018-05-15T00:00:00"/>
    <n v="12490"/>
    <n v="0"/>
    <n v="0"/>
    <n v="12490"/>
    <n v="624.5"/>
    <n v="10"/>
    <n v="1.8849315068493151"/>
    <n v="2236.5654794520547"/>
    <n v="2.8849315068493149"/>
    <n v="1186.5499999999997"/>
    <n v="3423.1154794520544"/>
    <n v="9066.8845205479447"/>
  </r>
  <r>
    <n v="2623"/>
    <s v="Mediam Chair 4"/>
    <s v="Sugar Division"/>
    <x v="6"/>
    <m/>
    <s v="Common"/>
    <d v="2018-05-15T00:00:00"/>
    <n v="31940"/>
    <n v="0"/>
    <n v="0"/>
    <n v="31940"/>
    <n v="1597"/>
    <n v="10"/>
    <n v="1.8849315068493151"/>
    <n v="5719.4476712328769"/>
    <n v="2.8849315068493149"/>
    <n v="3034.2999999999993"/>
    <n v="8753.7476712328753"/>
    <n v="23186.252328767125"/>
  </r>
  <r>
    <n v="2624"/>
    <s v="Office Table 6"/>
    <s v="Sugar Division"/>
    <x v="6"/>
    <m/>
    <s v="Common"/>
    <d v="2018-05-15T00:00:00"/>
    <n v="55500"/>
    <n v="0"/>
    <n v="0"/>
    <n v="55500"/>
    <n v="2775"/>
    <n v="10"/>
    <n v="1.8849315068493151"/>
    <n v="9938.301369863013"/>
    <n v="2.8849315068493149"/>
    <n v="5272.4999999999991"/>
    <n v="15210.801369863013"/>
    <n v="40289.198630136991"/>
  </r>
  <r>
    <n v="2625"/>
    <s v="Chair Plastic-4"/>
    <s v="Sugar Division"/>
    <x v="6"/>
    <m/>
    <s v="Common"/>
    <d v="2018-06-15T00:00:00"/>
    <n v="6357.08"/>
    <n v="0"/>
    <n v="0"/>
    <n v="6357.08"/>
    <n v="317.85400000000004"/>
    <n v="10"/>
    <n v="1.8"/>
    <n v="1087.06068"/>
    <n v="2.8"/>
    <n v="603.92259999999987"/>
    <n v="1690.9832799999999"/>
    <n v="4666.0967199999996"/>
  </r>
  <r>
    <n v="2626"/>
    <s v="Cooler Plastic Body-2"/>
    <s v="Sugar Division"/>
    <x v="6"/>
    <m/>
    <s v="Common"/>
    <d v="2018-06-15T00:00:00"/>
    <n v="11271.2"/>
    <n v="0"/>
    <n v="0"/>
    <n v="11271.2"/>
    <n v="563.56000000000006"/>
    <n v="5"/>
    <n v="1.8"/>
    <n v="3854.7504000000004"/>
    <n v="2.8"/>
    <n v="2141.5279999999998"/>
    <n v="5996.2784000000001"/>
    <n v="5274.9216000000006"/>
  </r>
  <r>
    <n v="2627"/>
    <s v="Ceiling Fan 36&quot; 2 Nos"/>
    <s v="Sugar Division"/>
    <x v="6"/>
    <m/>
    <s v="Common"/>
    <d v="2018-07-15T00:00:00"/>
    <n v="2800"/>
    <n v="0"/>
    <n v="0"/>
    <n v="2800"/>
    <n v="140"/>
    <n v="5"/>
    <n v="1.7178082191780821"/>
    <n v="913.87397260273974"/>
    <n v="2.7178082191780821"/>
    <n v="532"/>
    <n v="1445.8739726027397"/>
    <n v="1354.1260273972603"/>
  </r>
  <r>
    <n v="2628"/>
    <s v="Exhaust Fan 15&quot; 3 Nos"/>
    <s v="Sugar Division"/>
    <x v="6"/>
    <m/>
    <s v="Common"/>
    <d v="2018-07-15T00:00:00"/>
    <n v="8344"/>
    <n v="0"/>
    <n v="0"/>
    <n v="8344"/>
    <n v="417.20000000000005"/>
    <n v="5"/>
    <n v="1.7178082191780821"/>
    <n v="2723.3444383561646"/>
    <n v="2.7178082191780821"/>
    <n v="1585.3600000000001"/>
    <n v="4308.7044383561642"/>
    <n v="4035.2955616438358"/>
  </r>
  <r>
    <n v="2629"/>
    <s v="Chair Plastic 1 No."/>
    <s v="Sugar Division"/>
    <x v="6"/>
    <m/>
    <s v="Common"/>
    <d v="2018-07-15T00:00:00"/>
    <n v="1589.25"/>
    <n v="0"/>
    <n v="0"/>
    <n v="1589.25"/>
    <n v="79.462500000000006"/>
    <n v="10"/>
    <n v="1.7178082191780821"/>
    <n v="259.35253767123282"/>
    <n v="2.7178082191780821"/>
    <n v="150.97874999999999"/>
    <n v="410.33128767123281"/>
    <n v="1178.9187123287672"/>
  </r>
  <r>
    <n v="2630"/>
    <s v="Wodden Thakhat Long 4 Nos."/>
    <s v="Sugar Division"/>
    <x v="6"/>
    <m/>
    <s v="Common"/>
    <d v="2018-07-15T00:00:00"/>
    <n v="12577.4"/>
    <n v="0"/>
    <n v="0"/>
    <n v="12577.4"/>
    <n v="628.87"/>
    <n v="10"/>
    <n v="1.7178082191780821"/>
    <n v="2052.5283041095886"/>
    <n v="2.7178082191780821"/>
    <n v="1194.8529999999998"/>
    <n v="3247.3813041095882"/>
    <n v="9330.0186958904123"/>
  </r>
  <r>
    <n v="2631"/>
    <s v="Ceiling Fan 36&quot; 3 Nos"/>
    <s v="Sugar Division"/>
    <x v="6"/>
    <m/>
    <s v="Common"/>
    <d v="2018-09-15T00:00:00"/>
    <n v="4100"/>
    <n v="0"/>
    <n v="0"/>
    <n v="4100"/>
    <n v="205"/>
    <n v="5"/>
    <n v="1.547945205479452"/>
    <n v="1205.8493150684931"/>
    <n v="2.547945205479452"/>
    <n v="779"/>
    <n v="1984.8493150684931"/>
    <n v="2115.1506849315069"/>
  </r>
  <r>
    <n v="2632"/>
    <s v="Exhaust Fan Sweep Size 1 No."/>
    <s v="Sugar Division"/>
    <x v="6"/>
    <m/>
    <s v="Common"/>
    <d v="2018-09-15T00:00:00"/>
    <n v="901.1"/>
    <n v="0"/>
    <n v="0"/>
    <n v="901.1"/>
    <n v="45.055000000000007"/>
    <n v="5"/>
    <n v="1.547945205479452"/>
    <n v="265.02215068493149"/>
    <n v="2.547945205479452"/>
    <n v="171.20900000000003"/>
    <n v="436.23115068493155"/>
    <n v="464.86884931506847"/>
  </r>
  <r>
    <n v="2633"/>
    <s v="Wodden Thakhat  16 Nos."/>
    <s v="Sugar Division"/>
    <x v="6"/>
    <m/>
    <s v="Common"/>
    <d v="2018-10-15T00:00:00"/>
    <n v="19778.88"/>
    <n v="0"/>
    <n v="0"/>
    <n v="19778.88"/>
    <n v="988.94400000000007"/>
    <n v="10"/>
    <n v="1.4657534246575343"/>
    <n v="2754.1413041095898"/>
    <n v="2.4657534246575343"/>
    <n v="1878.9936000000002"/>
    <n v="4633.13490410959"/>
    <n v="15145.745095890412"/>
  </r>
  <r>
    <n v="2634"/>
    <s v="Exhaust Fan 12&quot; 1 No."/>
    <s v="Sugar Division"/>
    <x v="6"/>
    <m/>
    <s v="Common"/>
    <d v="2018-11-15T00:00:00"/>
    <n v="1350"/>
    <n v="0"/>
    <n v="0"/>
    <n v="1350"/>
    <n v="67.5"/>
    <n v="5"/>
    <n v="1.3808219178082193"/>
    <n v="354.18082191780826"/>
    <n v="2.3808219178082193"/>
    <n v="256.5"/>
    <n v="610.68082191780832"/>
    <n v="739.31917808219168"/>
  </r>
  <r>
    <n v="2635"/>
    <s v="Geyser Capacity 15 Ltrs. 2 Nos."/>
    <s v="Sugar Division"/>
    <x v="6"/>
    <m/>
    <s v="Common"/>
    <d v="2018-11-15T00:00:00"/>
    <n v="6949.14"/>
    <n v="0"/>
    <n v="0"/>
    <n v="6949.14"/>
    <n v="347.45700000000005"/>
    <n v="10"/>
    <n v="1.3808219178082193"/>
    <n v="911.57485808219189"/>
    <n v="2.3808219178082193"/>
    <n v="660.16830000000004"/>
    <n v="1571.7431580821919"/>
    <n v="5377.3968419178082"/>
  </r>
  <r>
    <n v="2636"/>
    <s v="Chair Plastic Supreme 7 Nos"/>
    <s v="Sugar Division"/>
    <x v="6"/>
    <m/>
    <s v="Common"/>
    <d v="2018-11-15T00:00:00"/>
    <n v="8400"/>
    <n v="0"/>
    <n v="0"/>
    <n v="8400"/>
    <n v="420"/>
    <n v="10"/>
    <n v="1.3808219178082193"/>
    <n v="1101.8958904109591"/>
    <n v="2.3808219178082193"/>
    <n v="798"/>
    <n v="1899.8958904109591"/>
    <n v="6500.1041095890414"/>
  </r>
  <r>
    <n v="2637"/>
    <s v="Wodden Thakhat  4 Nos."/>
    <s v="Sugar Division"/>
    <x v="6"/>
    <m/>
    <s v="Common"/>
    <d v="2018-11-15T00:00:00"/>
    <n v="4944.72"/>
    <n v="0"/>
    <n v="0"/>
    <n v="4944.72"/>
    <n v="247.23600000000002"/>
    <n v="10"/>
    <n v="1.3808219178082193"/>
    <n v="648.63888657534255"/>
    <n v="2.3808219178082193"/>
    <n v="469.74840000000006"/>
    <n v="1118.3872865753426"/>
    <n v="3826.3327134246574"/>
  </r>
  <r>
    <n v="2638"/>
    <s v="Geyser Capacity 15 Ltrs. 6 Nos."/>
    <s v="Sugar Division"/>
    <x v="6"/>
    <m/>
    <s v="Common"/>
    <d v="2018-12-15T00:00:00"/>
    <n v="20847.46"/>
    <n v="0"/>
    <n v="0"/>
    <n v="20847.46"/>
    <n v="1042.373"/>
    <n v="10"/>
    <n v="1.2986301369863014"/>
    <n v="2571.9482843835613"/>
    <n v="2.2986301369863016"/>
    <n v="1980.5087000000003"/>
    <n v="4552.4569843835616"/>
    <n v="16295.003015616438"/>
  </r>
  <r>
    <n v="2639"/>
    <s v="Table Wooden 18 Nos."/>
    <s v="Sugar Division"/>
    <x v="6"/>
    <m/>
    <s v="Common"/>
    <d v="2018-12-15T00:00:00"/>
    <n v="14023.62"/>
    <n v="0"/>
    <n v="0"/>
    <n v="14023.62"/>
    <n v="701.18100000000004"/>
    <n v="10"/>
    <n v="1.2986301369863014"/>
    <n v="1730.0920783561644"/>
    <n v="2.2986301369863016"/>
    <n v="1332.2439000000004"/>
    <n v="3062.3359783561646"/>
    <n v="10961.284021643836"/>
  </r>
  <r>
    <n v="2640"/>
    <s v="Table Wooden Tea  12 Nos."/>
    <s v="Sugar Division"/>
    <x v="6"/>
    <m/>
    <s v="Common"/>
    <d v="2018-12-15T00:00:00"/>
    <n v="7800"/>
    <n v="0"/>
    <n v="0"/>
    <n v="7800"/>
    <n v="390"/>
    <n v="10"/>
    <n v="1.2986301369863014"/>
    <n v="962.28493150684926"/>
    <n v="2.2986301369863016"/>
    <n v="741.00000000000011"/>
    <n v="1703.2849315068493"/>
    <n v="6096.7150684931512"/>
  </r>
  <r>
    <n v="2641"/>
    <s v="Wooden Takhat 33 Nos"/>
    <s v="Sugar Division"/>
    <x v="6"/>
    <m/>
    <s v="Common"/>
    <d v="2018-12-15T00:00:00"/>
    <n v="30525"/>
    <n v="0"/>
    <n v="0"/>
    <n v="30525"/>
    <n v="1526.25"/>
    <n v="10"/>
    <n v="1.2986301369863014"/>
    <n v="3765.8650684931508"/>
    <n v="2.2986301369863016"/>
    <n v="2899.8750000000005"/>
    <n v="6665.7400684931508"/>
    <n v="23859.259931506851"/>
  </r>
  <r>
    <n v="2642"/>
    <s v="Geyser Capacity 25 Ltrs.3 Nos"/>
    <s v="Sugar Division"/>
    <x v="6"/>
    <m/>
    <s v="Common"/>
    <d v="2018-12-15T00:00:00"/>
    <n v="21097.5"/>
    <n v="0"/>
    <n v="0"/>
    <n v="21097.5"/>
    <n v="1054.875"/>
    <n v="10"/>
    <n v="1.2986301369863014"/>
    <n v="2602.7956849315069"/>
    <n v="2.2986301369863016"/>
    <n v="2004.2625000000005"/>
    <n v="4607.0581849315076"/>
    <n v="16490.441815068494"/>
  </r>
  <r>
    <n v="2643"/>
    <s v="Wooden Takhat 39 Nos"/>
    <s v="Sugar Division"/>
    <x v="6"/>
    <m/>
    <s v="Common"/>
    <d v="2018-12-15T00:00:00"/>
    <n v="50454.69"/>
    <n v="0"/>
    <n v="0"/>
    <n v="50454.69"/>
    <n v="2522.7345000000005"/>
    <n v="10"/>
    <n v="1.2986301369863014"/>
    <n v="6224.5881936986307"/>
    <n v="2.2986301369863016"/>
    <n v="4793.1955500000013"/>
    <n v="11017.783743698632"/>
    <n v="39436.906256301372"/>
  </r>
  <r>
    <n v="2644"/>
    <s v="Chair Plastic 24 Nos."/>
    <s v="Sugar Division"/>
    <x v="6"/>
    <m/>
    <s v="Common"/>
    <d v="2018-12-15T00:00:00"/>
    <n v="13471.86"/>
    <n v="0"/>
    <n v="0"/>
    <n v="13471.86"/>
    <n v="673.59300000000007"/>
    <n v="10"/>
    <n v="1.2986301369863014"/>
    <n v="1662.0215227397262"/>
    <n v="2.2986301369863016"/>
    <n v="1279.8267000000003"/>
    <n v="2941.8482227397262"/>
    <n v="10530.011777260275"/>
  </r>
  <r>
    <n v="2645"/>
    <s v="Table Computer 1 No."/>
    <s v="Sugar Division"/>
    <x v="6"/>
    <m/>
    <s v="Common"/>
    <d v="2019-01-15T00:00:00"/>
    <n v="9250"/>
    <n v="0"/>
    <n v="0"/>
    <n v="9250"/>
    <n v="462.5"/>
    <n v="10"/>
    <n v="1.2136986301369863"/>
    <n v="1066.5376712328766"/>
    <n v="2.2136986301369861"/>
    <n v="878.74999999999977"/>
    <n v="1945.2876712328764"/>
    <n v="7304.7123287671238"/>
  </r>
  <r>
    <n v="2646"/>
    <s v="Table Wooden 3 Nos"/>
    <s v="Sugar Division"/>
    <x v="6"/>
    <m/>
    <s v="Common"/>
    <d v="2019-01-15T00:00:00"/>
    <n v="3113.36"/>
    <n v="0"/>
    <n v="0"/>
    <n v="3113.36"/>
    <n v="155.66800000000001"/>
    <n v="10"/>
    <n v="1.2136986301369863"/>
    <n v="358.97467287671236"/>
    <n v="2.2136986301369861"/>
    <n v="295.76919999999996"/>
    <n v="654.74387287671232"/>
    <n v="2458.6161271232877"/>
  </r>
  <r>
    <n v="2647"/>
    <s v="Wooden Takhat 3 Nos"/>
    <s v="Sugar Division"/>
    <x v="6"/>
    <m/>
    <s v="Common"/>
    <d v="2019-01-15T00:00:00"/>
    <n v="6473.95"/>
    <n v="0"/>
    <n v="0"/>
    <n v="6473.95"/>
    <n v="323.69749999999999"/>
    <n v="10"/>
    <n v="1.2136986301369863"/>
    <n v="746.45530342465747"/>
    <n v="2.2136986301369861"/>
    <n v="615.0252499999998"/>
    <n v="1361.4805534246573"/>
    <n v="5112.4694465753428"/>
  </r>
  <r>
    <n v="2648"/>
    <s v="Table Centre Wooden 1 No."/>
    <s v="Sugar Division"/>
    <x v="6"/>
    <m/>
    <s v="Common"/>
    <d v="2019-01-15T00:00:00"/>
    <n v="1275"/>
    <n v="0"/>
    <n v="0"/>
    <n v="1275"/>
    <n v="63.75"/>
    <n v="10"/>
    <n v="1.2136986301369863"/>
    <n v="147.00924657534247"/>
    <n v="2.2136986301369861"/>
    <n v="121.12499999999997"/>
    <n v="268.13424657534244"/>
    <n v="1006.8657534246576"/>
  </r>
  <r>
    <n v="2649"/>
    <s v="Wooden Box Small Size 4 Nos"/>
    <s v="Sugar Division"/>
    <x v="6"/>
    <m/>
    <s v="Common"/>
    <d v="2019-01-15T00:00:00"/>
    <n v="4000"/>
    <n v="0"/>
    <n v="0"/>
    <n v="4000"/>
    <n v="200"/>
    <n v="10"/>
    <n v="1.2136986301369863"/>
    <n v="461.20547945205482"/>
    <n v="2.2136986301369861"/>
    <n v="379.99999999999994"/>
    <n v="841.20547945205476"/>
    <n v="3158.7945205479455"/>
  </r>
  <r>
    <n v="2650"/>
    <s v="Steel Almirah 78X36 2 Nos"/>
    <s v="Sugar Division"/>
    <x v="6"/>
    <m/>
    <s v="Common"/>
    <d v="2019-01-15T00:00:00"/>
    <n v="14581"/>
    <n v="0"/>
    <n v="0"/>
    <n v="14581"/>
    <n v="729.05000000000007"/>
    <n v="10"/>
    <n v="1.2136986301369863"/>
    <n v="1681.2092739726029"/>
    <n v="2.2136986301369861"/>
    <n v="1385.1949999999997"/>
    <n v="3066.4042739726028"/>
    <n v="11514.595726027397"/>
  </r>
  <r>
    <n v="2651"/>
    <s v="Wooden Thakhat 4 Nos"/>
    <s v="Sugar Division"/>
    <x v="6"/>
    <m/>
    <s v="Common"/>
    <d v="2019-01-15T00:00:00"/>
    <n v="2587.42"/>
    <n v="0"/>
    <n v="0"/>
    <n v="2587.42"/>
    <n v="129.37100000000001"/>
    <n v="10"/>
    <n v="1.2136986301369863"/>
    <n v="298.3330704109589"/>
    <n v="2.2136986301369861"/>
    <n v="245.80489999999995"/>
    <n v="544.13797041095881"/>
    <n v="2043.2820295890413"/>
  </r>
  <r>
    <n v="2652"/>
    <s v="Cabin Table (Plato) 1 No"/>
    <s v="Sugar Division"/>
    <x v="6"/>
    <m/>
    <s v="Common"/>
    <d v="2019-01-15T00:00:00"/>
    <n v="14000"/>
    <n v="0"/>
    <n v="0"/>
    <n v="14000"/>
    <n v="700"/>
    <n v="10"/>
    <n v="1.2136986301369863"/>
    <n v="1614.2191780821918"/>
    <n v="2.2136986301369861"/>
    <n v="1329.9999999999998"/>
    <n v="2944.2191780821913"/>
    <n v="11055.780821917808"/>
  </r>
  <r>
    <n v="2653"/>
    <s v="Excutive High Back 2 No"/>
    <s v="Sugar Division"/>
    <x v="6"/>
    <m/>
    <s v="Common"/>
    <d v="2019-01-15T00:00:00"/>
    <n v="16260"/>
    <n v="0"/>
    <n v="0"/>
    <n v="16260"/>
    <n v="813"/>
    <n v="10"/>
    <n v="1.2136986301369863"/>
    <n v="1874.8002739726028"/>
    <n v="2.2136986301369861"/>
    <n v="1544.6999999999996"/>
    <n v="3419.5002739726024"/>
    <n v="12840.499726027398"/>
  </r>
  <r>
    <n v="2654"/>
    <s v="Excutive Visitor Chair 3 Nos."/>
    <s v="Sugar Division"/>
    <x v="6"/>
    <m/>
    <s v="Common"/>
    <d v="2019-01-15T00:00:00"/>
    <n v="18735"/>
    <n v="0"/>
    <n v="0"/>
    <n v="18735"/>
    <n v="936.75"/>
    <n v="10"/>
    <n v="1.2136986301369863"/>
    <n v="2160.1711643835615"/>
    <n v="2.2136986301369861"/>
    <n v="1779.8249999999996"/>
    <n v="3939.9961643835613"/>
    <n v="14795.003835616439"/>
  </r>
  <r>
    <n v="2655"/>
    <s v="Office Table Size 150 1 No"/>
    <s v="Sugar Division"/>
    <x v="6"/>
    <m/>
    <s v="Common"/>
    <d v="2019-01-15T00:00:00"/>
    <n v="9250"/>
    <n v="0"/>
    <n v="0"/>
    <n v="9250"/>
    <n v="462.5"/>
    <n v="10"/>
    <n v="1.2136986301369863"/>
    <n v="1066.5376712328766"/>
    <n v="2.2136986301369861"/>
    <n v="878.74999999999977"/>
    <n v="1945.2876712328764"/>
    <n v="7304.7123287671238"/>
  </r>
  <r>
    <n v="2656"/>
    <s v="Table Wooden 9 Nos"/>
    <s v="Sugar Division"/>
    <x v="6"/>
    <m/>
    <s v="Common"/>
    <d v="2019-02-15T00:00:00"/>
    <n v="7005.02"/>
    <n v="0"/>
    <n v="0"/>
    <n v="7005.02"/>
    <n v="350.25100000000003"/>
    <n v="10"/>
    <n v="1.1287671232876713"/>
    <n v="751.16844602739729"/>
    <n v="2.128767123287671"/>
    <n v="665.47689999999989"/>
    <n v="1416.6453460273972"/>
    <n v="5588.3746539726035"/>
  </r>
  <r>
    <n v="2657"/>
    <s v="Wooden Takhat 33 Nos"/>
    <s v="Sugar Division"/>
    <x v="6"/>
    <m/>
    <s v="Common"/>
    <d v="2019-02-15T00:00:00"/>
    <n v="30520.05"/>
    <n v="0"/>
    <n v="0"/>
    <n v="30520.05"/>
    <n v="1526.0025000000001"/>
    <n v="10"/>
    <n v="1.1287671232876713"/>
    <n v="3272.7527589041097"/>
    <n v="2.128767123287671"/>
    <n v="2899.4047499999992"/>
    <n v="6172.1575089041089"/>
    <n v="24347.892491095889"/>
  </r>
  <r>
    <n v="2658"/>
    <s v="Wooden Box Small Size 15 Nos"/>
    <s v="Sugar Division"/>
    <x v="6"/>
    <m/>
    <s v="Common"/>
    <d v="2019-02-15T00:00:00"/>
    <n v="15000"/>
    <n v="0"/>
    <n v="0"/>
    <n v="15000"/>
    <n v="750"/>
    <n v="10"/>
    <n v="1.1287671232876713"/>
    <n v="1608.4931506849316"/>
    <n v="2.128767123287671"/>
    <n v="1424.9999999999998"/>
    <n v="3033.4931506849316"/>
    <n v="11966.506849315068"/>
  </r>
  <r>
    <n v="2659"/>
    <s v="Steel Almirah 78X36 6 Nos"/>
    <s v="Sugar Division"/>
    <x v="6"/>
    <m/>
    <s v="Common"/>
    <d v="2019-02-15T00:00:00"/>
    <n v="41973"/>
    <n v="0"/>
    <n v="0"/>
    <n v="41973"/>
    <n v="2098.65"/>
    <n v="10"/>
    <n v="1.1287671232876713"/>
    <n v="4500.8855342465749"/>
    <n v="2.128767123287671"/>
    <n v="3987.434999999999"/>
    <n v="8488.3205342465735"/>
    <n v="33484.679465753426"/>
  </r>
  <r>
    <n v="2660"/>
    <s v="Wooden Takhat 4 Nos"/>
    <s v="Sugar Division"/>
    <x v="6"/>
    <m/>
    <s v="Common"/>
    <d v="2019-02-15T00:00:00"/>
    <n v="2587.42"/>
    <n v="0"/>
    <n v="0"/>
    <n v="2587.42"/>
    <n v="129.37100000000001"/>
    <n v="10"/>
    <n v="1.1287671232876713"/>
    <n v="277.4564898630137"/>
    <n v="2.128767123287671"/>
    <n v="245.80489999999995"/>
    <n v="523.26138986301362"/>
    <n v="2064.1586101369867"/>
  </r>
  <r>
    <n v="2661"/>
    <s v="Chair Plastic 24 Nos."/>
    <s v="Sugar Division"/>
    <x v="6"/>
    <m/>
    <s v="Common"/>
    <d v="2019-02-15T00:00:00"/>
    <n v="13331.88"/>
    <n v="0"/>
    <n v="0"/>
    <n v="13331.88"/>
    <n v="666.59400000000005"/>
    <n v="10"/>
    <n v="1.1287671232876713"/>
    <n v="1429.6158443835618"/>
    <n v="2.128767123287671"/>
    <n v="1266.5285999999996"/>
    <n v="2696.1444443835617"/>
    <n v="10635.735555616437"/>
  </r>
  <r>
    <n v="2662"/>
    <s v="Chair Plastic 12 Nos."/>
    <s v="Sugar Division"/>
    <x v="6"/>
    <m/>
    <s v="Common"/>
    <d v="2019-03-15T00:00:00"/>
    <n v="20400"/>
    <n v="0"/>
    <n v="0"/>
    <n v="20400"/>
    <n v="1020"/>
    <n v="10"/>
    <n v="1.0520547945205478"/>
    <n v="2038.8821917808218"/>
    <n v="2.0520547945205481"/>
    <n v="1938.0000000000005"/>
    <n v="3976.8821917808223"/>
    <n v="16423.117808219176"/>
  </r>
  <r>
    <n v="2663"/>
    <s v="Executive Chairs At Gurgaon Office"/>
    <s v="Sugar Division"/>
    <x v="6"/>
    <m/>
    <s v="Common"/>
    <d v="2019-08-15T00:00:00"/>
    <n v="259400"/>
    <n v="0"/>
    <n v="0"/>
    <n v="259400"/>
    <n v="12970"/>
    <n v="10"/>
    <n v="0.63287671232876708"/>
    <n v="48484.580821917807"/>
    <n v="1.6328767123287671"/>
    <n v="128142"/>
    <n v="176626.5808219178"/>
    <n v="82773.4191780822"/>
  </r>
  <r>
    <n v="2664"/>
    <s v="Ceiling Fan-2 Nos"/>
    <s v="Sugar Division"/>
    <x v="6"/>
    <m/>
    <s v="Common"/>
    <d v="2019-04-15T00:00:00"/>
    <n v="2416.44"/>
    <n v="0"/>
    <n v="0"/>
    <n v="2416.44"/>
    <n v="120.822"/>
    <n v="10"/>
    <n v="0.9671232876712329"/>
    <n v="222.01456273972605"/>
    <n v="1.9671232876712328"/>
    <n v="229.56179999999998"/>
    <n v="451.57636273972605"/>
    <n v="1964.8636372602741"/>
  </r>
  <r>
    <n v="2665"/>
    <s v="Exhaust Fan-1 No."/>
    <s v="Sugar Division"/>
    <x v="6"/>
    <m/>
    <s v="Common"/>
    <d v="2019-04-15T00:00:00"/>
    <n v="1250"/>
    <n v="0"/>
    <n v="0"/>
    <n v="1250"/>
    <n v="62.5"/>
    <n v="10"/>
    <n v="0.9671232876712329"/>
    <n v="114.8458904109589"/>
    <n v="1.9671232876712328"/>
    <n v="118.74999999999999"/>
    <n v="233.59589041095887"/>
    <n v="1016.4041095890411"/>
  </r>
  <r>
    <n v="2666"/>
    <s v="Pedestal Fan"/>
    <s v="Sugar Division"/>
    <x v="6"/>
    <m/>
    <s v="Common"/>
    <d v="2019-04-15T00:00:00"/>
    <n v="3550"/>
    <n v="0"/>
    <n v="0"/>
    <n v="3550"/>
    <n v="177.5"/>
    <n v="10"/>
    <n v="0.9671232876712329"/>
    <n v="326.16232876712331"/>
    <n v="1.9671232876712328"/>
    <n v="337.25"/>
    <n v="663.41232876712331"/>
    <n v="2886.5876712328768"/>
  </r>
  <r>
    <n v="2667"/>
    <s v="Exhaust Fan Sweep-1 No."/>
    <s v="Sugar Division"/>
    <x v="6"/>
    <m/>
    <s v="Common"/>
    <d v="2019-04-15T00:00:00"/>
    <n v="901.1"/>
    <n v="0"/>
    <n v="0"/>
    <n v="901.1"/>
    <n v="45.055000000000007"/>
    <n v="10"/>
    <n v="0.9671232876712329"/>
    <n v="82.790105479452052"/>
    <n v="1.9671232876712328"/>
    <n v="85.604500000000002"/>
    <n v="168.39460547945205"/>
    <n v="732.705394520548"/>
  </r>
  <r>
    <n v="2668"/>
    <s v="Insustrial Exhaust 15&quot;-16 Nos"/>
    <s v="Sugar Division"/>
    <x v="6"/>
    <m/>
    <s v="Common"/>
    <d v="2019-04-15T00:00:00"/>
    <n v="44668.49"/>
    <n v="0"/>
    <n v="0"/>
    <n v="44668.49"/>
    <n v="2233.4245000000001"/>
    <n v="10"/>
    <n v="0.9671232876712329"/>
    <n v="4103.9940058904112"/>
    <n v="1.9671232876712328"/>
    <n v="4243.5065499999992"/>
    <n v="8347.5005558904104"/>
    <n v="36320.989444109589"/>
  </r>
  <r>
    <n v="2669"/>
    <s v="Ceiling Fan-2 Nos"/>
    <s v="Sugar Division"/>
    <x v="6"/>
    <m/>
    <s v="Common"/>
    <d v="2019-05-15T00:00:00"/>
    <n v="7203"/>
    <n v="0"/>
    <n v="0"/>
    <n v="7203"/>
    <n v="360.15000000000003"/>
    <n v="10"/>
    <n v="0.8849315068493151"/>
    <n v="605.54535616438363"/>
    <n v="1.8849315068493151"/>
    <n v="684.28500000000008"/>
    <n v="1289.8303561643838"/>
    <n v="5913.1696438356157"/>
  </r>
  <r>
    <n v="2670"/>
    <s v="Axial Flow Exhaust Fan-2 No"/>
    <s v="Sugar Division"/>
    <x v="6"/>
    <m/>
    <s v="Common"/>
    <d v="2019-06-15T00:00:00"/>
    <n v="37756"/>
    <n v="0"/>
    <n v="0"/>
    <n v="37756"/>
    <n v="1887.8000000000002"/>
    <n v="10"/>
    <n v="0.8"/>
    <n v="2869.4560000000001"/>
    <n v="1.8"/>
    <n v="3586.8199999999997"/>
    <n v="6456.2759999999998"/>
    <n v="31299.724000000002"/>
  </r>
  <r>
    <n v="2671"/>
    <s v="Fan Table-2 Nos"/>
    <s v="Sugar Division"/>
    <x v="6"/>
    <m/>
    <s v="Common"/>
    <d v="2019-07-15T00:00:00"/>
    <n v="1809.27"/>
    <n v="0"/>
    <n v="0"/>
    <n v="1809.27"/>
    <n v="90.46350000000001"/>
    <n v="10"/>
    <n v="0.71780821917808224"/>
    <n v="123.37734328767124"/>
    <n v="1.7178082191780821"/>
    <n v="171.88064999999997"/>
    <n v="295.25799328767118"/>
    <n v="1514.0120067123289"/>
  </r>
  <r>
    <n v="2672"/>
    <s v="Bed Singal-4 Nos"/>
    <s v="Sugar Division"/>
    <x v="6"/>
    <m/>
    <s v="Common"/>
    <d v="2019-07-15T00:00:00"/>
    <n v="22000"/>
    <n v="0"/>
    <n v="0"/>
    <n v="22000"/>
    <n v="1100"/>
    <n v="10"/>
    <n v="0.71780821917808224"/>
    <n v="1500.2191780821918"/>
    <n v="1.7178082191780821"/>
    <n v="2090"/>
    <n v="3590.2191780821918"/>
    <n v="18409.780821917808"/>
  </r>
  <r>
    <n v="2673"/>
    <s v="Wooden Thakhat-7 Nos"/>
    <s v="Sugar Division"/>
    <x v="6"/>
    <m/>
    <s v="Common"/>
    <d v="2019-07-15T00:00:00"/>
    <n v="9055.9699999999993"/>
    <n v="0"/>
    <n v="0"/>
    <n v="9055.9699999999993"/>
    <n v="452.79849999999999"/>
    <n v="10"/>
    <n v="0.71780821917808224"/>
    <n v="617.54272136986299"/>
    <n v="1.7178082191780821"/>
    <n v="860.31714999999974"/>
    <n v="1477.8598713698627"/>
    <n v="7578.1101286301364"/>
  </r>
  <r>
    <n v="2674"/>
    <s v="Air Conditioner-2 Ton-2 Nos"/>
    <s v="Sugar Division"/>
    <x v="6"/>
    <m/>
    <s v="Common"/>
    <d v="2019-08-15T00:00:00"/>
    <n v="45562.48"/>
    <n v="0"/>
    <n v="0"/>
    <n v="45562.48"/>
    <n v="2278.1240000000003"/>
    <n v="10"/>
    <n v="0.63287671232876708"/>
    <n v="2739.3660920547941"/>
    <n v="1.6328767123287671"/>
    <n v="4328.4355999999998"/>
    <n v="7067.8016920547943"/>
    <n v="38494.678307945207"/>
  </r>
  <r>
    <n v="2675"/>
    <s v="Celling Fan-3 Nos"/>
    <s v="Sugar Division"/>
    <x v="6"/>
    <m/>
    <s v="Common"/>
    <d v="2019-09-15T00:00:00"/>
    <n v="3636"/>
    <n v="0"/>
    <n v="0"/>
    <n v="3636"/>
    <n v="181.8"/>
    <n v="10"/>
    <n v="0.54794520547945202"/>
    <n v="189.2712328767123"/>
    <n v="1.547945205479452"/>
    <n v="345.42"/>
    <n v="534.69123287671232"/>
    <n v="3101.3087671232879"/>
  </r>
  <r>
    <n v="2676"/>
    <s v="Exhaust Fan-3 Nos."/>
    <s v="Sugar Division"/>
    <x v="6"/>
    <m/>
    <s v="Common"/>
    <d v="2019-09-15T00:00:00"/>
    <n v="9222.6200000000008"/>
    <n v="0"/>
    <n v="0"/>
    <n v="9222.6200000000008"/>
    <n v="461.13100000000009"/>
    <n v="10"/>
    <n v="0.54794520547945202"/>
    <n v="480.08158904109592"/>
    <n v="1.547945205479452"/>
    <n v="876.14890000000014"/>
    <n v="1356.230489041096"/>
    <n v="7866.3895109589048"/>
  </r>
  <r>
    <n v="2677"/>
    <s v="Celling Fan-2 Nos"/>
    <s v="Sugar Division"/>
    <x v="6"/>
    <m/>
    <s v="Common"/>
    <d v="2019-11-15T00:00:00"/>
    <n v="2400"/>
    <n v="0"/>
    <n v="0"/>
    <n v="2400"/>
    <n v="120"/>
    <n v="10"/>
    <n v="0.38082191780821917"/>
    <n v="86.827397260273969"/>
    <n v="1.3808219178082193"/>
    <n v="228"/>
    <n v="314.82739726027398"/>
    <n v="2085.1726027397262"/>
  </r>
  <r>
    <n v="2678"/>
    <s v="Wooden Thakhat-5 Nos"/>
    <s v="Sugar Division"/>
    <x v="6"/>
    <m/>
    <s v="Common"/>
    <d v="2019-11-15T00:00:00"/>
    <n v="4624.3"/>
    <n v="0"/>
    <n v="0"/>
    <n v="4624.3"/>
    <n v="231.21500000000003"/>
    <n v="10"/>
    <n v="0.38082191780821917"/>
    <n v="167.29830547945204"/>
    <n v="1.3808219178082193"/>
    <n v="439.30850000000004"/>
    <n v="606.60680547945208"/>
    <n v="4017.6931945205479"/>
  </r>
  <r>
    <n v="2679"/>
    <s v="Plastic Chair 4 Nos"/>
    <s v="Sugar Division"/>
    <x v="6"/>
    <m/>
    <s v="Common"/>
    <d v="2019-11-15T00:00:00"/>
    <n v="1900"/>
    <n v="0"/>
    <n v="0"/>
    <n v="1900"/>
    <n v="95"/>
    <n v="10"/>
    <n v="0.38082191780821917"/>
    <n v="68.738356164383561"/>
    <n v="1.3808219178082193"/>
    <n v="180.5"/>
    <n v="249.23835616438356"/>
    <n v="1650.7616438356165"/>
  </r>
  <r>
    <n v="2680"/>
    <s v="Gyser 1 No."/>
    <s v="Sugar Division"/>
    <x v="6"/>
    <m/>
    <s v="Common"/>
    <d v="2019-11-15T00:00:00"/>
    <n v="7032"/>
    <n v="0"/>
    <n v="0"/>
    <n v="7032"/>
    <n v="351.6"/>
    <n v="10"/>
    <n v="0.38082191780821917"/>
    <n v="254.40427397260271"/>
    <n v="1.3808219178082193"/>
    <n v="668.04"/>
    <n v="922.44427397260267"/>
    <n v="6109.5557260273972"/>
  </r>
  <r>
    <n v="2681"/>
    <s v="Hot Air Oven-1 No"/>
    <s v="Sugar Division"/>
    <x v="6"/>
    <m/>
    <s v="Common"/>
    <d v="2019-12-15T00:00:00"/>
    <n v="41084"/>
    <n v="0"/>
    <n v="0"/>
    <n v="41084"/>
    <n v="2054.2000000000003"/>
    <n v="10"/>
    <n v="0.29863013698630136"/>
    <n v="1165.5474520547946"/>
    <n v="1.2986301369863014"/>
    <n v="3902.9800000000005"/>
    <n v="5068.5274520547955"/>
    <n v="36015.472547945203"/>
  </r>
  <r>
    <n v="2682"/>
    <s v="Exhaust Fan 12&quot;-2 Nos"/>
    <s v="Sugar Division"/>
    <x v="6"/>
    <m/>
    <s v="Common"/>
    <d v="2019-12-15T00:00:00"/>
    <n v="2245.02"/>
    <n v="0"/>
    <n v="0"/>
    <n v="2245.02"/>
    <n v="112.251"/>
    <n v="10"/>
    <n v="0.29863013698630136"/>
    <n v="63.690909863013694"/>
    <n v="1.2986301369863014"/>
    <n v="213.27689999999998"/>
    <n v="276.96780986301366"/>
    <n v="1968.0521901369864"/>
  </r>
  <r>
    <n v="2683"/>
    <s v="Refrigerator -1 No."/>
    <s v="Sugar Division"/>
    <x v="6"/>
    <m/>
    <s v="Common"/>
    <d v="2019-12-15T00:00:00"/>
    <n v="12158.98"/>
    <n v="0"/>
    <n v="0"/>
    <n v="12158.98"/>
    <n v="607.94899999999996"/>
    <n v="10"/>
    <n v="0.29863013698630136"/>
    <n v="344.94859698630131"/>
    <n v="1.2986301369863014"/>
    <n v="1155.1031"/>
    <n v="1500.0516969863013"/>
    <n v="10658.928303013698"/>
  </r>
  <r>
    <n v="2684"/>
    <s v="Wooden Takhat-2 Nos"/>
    <s v="Sugar Division"/>
    <x v="6"/>
    <m/>
    <s v="Common"/>
    <d v="2019-12-15T00:00:00"/>
    <n v="1849.7"/>
    <n v="0"/>
    <n v="0"/>
    <n v="1849.7"/>
    <n v="92.485000000000014"/>
    <n v="10"/>
    <n v="0.29863013698630136"/>
    <n v="52.475735616438364"/>
    <n v="1.2986301369863014"/>
    <n v="175.72150000000002"/>
    <n v="228.19723561643838"/>
    <n v="1621.5027643835617"/>
  </r>
  <r>
    <n v="2685"/>
    <s v="Geyser 25 Ltrs-1 No"/>
    <s v="Sugar Division"/>
    <x v="6"/>
    <m/>
    <s v="Common"/>
    <d v="2019-12-15T00:00:00"/>
    <n v="6440.68"/>
    <n v="0"/>
    <n v="0"/>
    <n v="6440.68"/>
    <n v="322.03400000000005"/>
    <n v="10"/>
    <n v="0.29863013698630136"/>
    <n v="182.72120931506853"/>
    <n v="1.2986301369863014"/>
    <n v="611.86460000000011"/>
    <n v="794.58580931506867"/>
    <n v="5646.0941906849312"/>
  </r>
  <r>
    <n v="2686"/>
    <s v="Chair Plastic-50 Nos"/>
    <s v="Sugar Division"/>
    <x v="6"/>
    <m/>
    <s v="Common"/>
    <d v="2019-12-15T00:00:00"/>
    <n v="29770"/>
    <n v="0"/>
    <n v="0"/>
    <n v="29770"/>
    <n v="1488.5"/>
    <n v="10"/>
    <n v="0.29863013698630136"/>
    <n v="844.57082191780819"/>
    <n v="1.2986301369863014"/>
    <n v="2828.15"/>
    <n v="3672.7208219178083"/>
    <n v="26097.279178082194"/>
  </r>
  <r>
    <n v="2687"/>
    <s v="Air Conditioner Installation Pipe Copper Cable 4 Nos"/>
    <s v="Sugar Division"/>
    <x v="6"/>
    <m/>
    <s v="Common"/>
    <d v="2020-01-15T00:00:00"/>
    <n v="103620"/>
    <n v="0"/>
    <n v="0"/>
    <n v="103620"/>
    <n v="5181"/>
    <n v="10"/>
    <n v="0.21369863013698631"/>
    <n v="2103.6279452054796"/>
    <n v="1.2136986301369863"/>
    <n v="9843.9000000000015"/>
    <n v="11947.527945205482"/>
    <n v="91672.472054794518"/>
  </r>
  <r>
    <n v="2688"/>
    <s v="Exhaust Fan 1 No."/>
    <s v="Sugar Division"/>
    <x v="6"/>
    <m/>
    <s v="Common"/>
    <d v="2020-01-15T00:00:00"/>
    <n v="4048.57"/>
    <n v="0"/>
    <n v="0"/>
    <n v="4048.57"/>
    <n v="202.42850000000001"/>
    <n v="10"/>
    <n v="0.21369863013698631"/>
    <n v="82.191516986301366"/>
    <n v="1.2136986301369863"/>
    <n v="384.61415000000005"/>
    <n v="466.80566698630139"/>
    <n v="3581.7643330136989"/>
  </r>
  <r>
    <n v="2689"/>
    <s v="Exhaust Fan 1 No."/>
    <s v="Sugar Division"/>
    <x v="6"/>
    <m/>
    <s v="Common"/>
    <d v="2020-01-15T00:00:00"/>
    <n v="1122.51"/>
    <n v="0"/>
    <n v="0"/>
    <n v="1122.51"/>
    <n v="56.125500000000002"/>
    <n v="10"/>
    <n v="0.21369863013698631"/>
    <n v="22.788490684931507"/>
    <n v="1.2136986301369863"/>
    <n v="106.63844999999999"/>
    <n v="129.42694068493151"/>
    <n v="993.08305931506845"/>
  </r>
  <r>
    <n v="2690"/>
    <s v="Insustrial Exhaust 15&quot;-12 Nos"/>
    <s v="Sugar Division"/>
    <x v="6"/>
    <m/>
    <s v="Common"/>
    <d v="2020-01-15T00:00:00"/>
    <n v="4917.24"/>
    <n v="0"/>
    <n v="0"/>
    <n v="4917.24"/>
    <n v="245.86199999999999"/>
    <n v="10"/>
    <n v="0.21369863013698631"/>
    <n v="99.826707945205484"/>
    <n v="1.2136986301369863"/>
    <n v="467.13779999999997"/>
    <n v="566.96450794520547"/>
    <n v="4350.2754920547941"/>
  </r>
  <r>
    <n v="2691"/>
    <s v="Mattress Foam 3 Nos"/>
    <s v="Sugar Division"/>
    <x v="6"/>
    <m/>
    <s v="Common"/>
    <d v="2020-01-15T00:00:00"/>
    <n v="6900"/>
    <n v="0"/>
    <n v="0"/>
    <n v="6900"/>
    <n v="345"/>
    <n v="10"/>
    <n v="0.21369863013698631"/>
    <n v="140.07945205479453"/>
    <n v="1.2136986301369863"/>
    <n v="655.5"/>
    <n v="795.5794520547945"/>
    <n v="6104.4205479452057"/>
  </r>
  <r>
    <n v="2692"/>
    <s v="Invertor 1400 Va 1 No."/>
    <s v="Sugar Division"/>
    <x v="6"/>
    <m/>
    <s v="Common"/>
    <d v="2020-02-15T00:00:00"/>
    <n v="5850"/>
    <n v="0"/>
    <n v="0"/>
    <n v="5850"/>
    <n v="292.5"/>
    <n v="10"/>
    <n v="0.12876712328767123"/>
    <n v="71.56232876712329"/>
    <n v="1.1287671232876713"/>
    <n v="555.75"/>
    <n v="627.31232876712329"/>
    <n v="5222.6876712328767"/>
  </r>
  <r>
    <n v="2693"/>
    <s v="Tubler Battery 12V"/>
    <s v="Sugar Division"/>
    <x v="6"/>
    <m/>
    <s v="Common"/>
    <d v="2020-02-15T00:00:00"/>
    <n v="22916.67"/>
    <n v="0"/>
    <n v="0"/>
    <n v="22916.67"/>
    <n v="1145.8335"/>
    <n v="10"/>
    <n v="0.12876712328767123"/>
    <n v="280.33679876712324"/>
    <n v="1.1287671232876713"/>
    <n v="2177.08365"/>
    <n v="2457.4204487671232"/>
    <n v="20459.249551232875"/>
  </r>
  <r>
    <n v="2694"/>
    <s v="Celling Fan 1 No."/>
    <s v="Sugar Division"/>
    <x v="6"/>
    <m/>
    <s v="Common"/>
    <d v="2020-03-15T00:00:00"/>
    <n v="1272.58"/>
    <n v="0"/>
    <n v="0"/>
    <n v="1272.58"/>
    <n v="63.628999999999998"/>
    <n v="10"/>
    <n v="4.9315068493150684E-2"/>
    <n v="5.9619501369863013"/>
    <n v="1.0493150684931507"/>
    <n v="120.89510000000001"/>
    <n v="126.85705013698632"/>
    <n v="1145.7229498630136"/>
  </r>
  <r>
    <n v="2695"/>
    <s v="Wall Fan 1 No."/>
    <s v="Sugar Division"/>
    <x v="6"/>
    <m/>
    <s v="Common"/>
    <d v="2020-03-15T00:00:00"/>
    <n v="1867.01"/>
    <n v="0"/>
    <n v="0"/>
    <n v="1867.01"/>
    <n v="93.350500000000011"/>
    <n v="10"/>
    <n v="4.9315068493150684E-2"/>
    <n v="8.7468139726027392"/>
    <n v="1.0493150684931507"/>
    <n v="177.36595"/>
    <n v="186.11276397260275"/>
    <n v="1680.8972360273972"/>
  </r>
  <r>
    <n v="2696"/>
    <s v="Exhaust Fan 1 No."/>
    <s v="Sugar Division"/>
    <x v="6"/>
    <m/>
    <s v="Common"/>
    <d v="2020-03-15T00:00:00"/>
    <n v="1044.94"/>
    <n v="0"/>
    <n v="0"/>
    <n v="1044.94"/>
    <n v="52.247000000000007"/>
    <n v="10"/>
    <n v="4.9315068493150684E-2"/>
    <n v="4.8954723287671236"/>
    <n v="1.0493150684931507"/>
    <n v="99.269300000000015"/>
    <n v="104.16477232876714"/>
    <n v="940.77522767123287"/>
  </r>
  <r>
    <n v="2697"/>
    <s v="Ceiling Fan 1 No."/>
    <s v="Sugar Division"/>
    <x v="6"/>
    <m/>
    <s v="Common"/>
    <d v="2020-04-15T00:00:00"/>
    <n v="0"/>
    <n v="1272.57"/>
    <n v="0"/>
    <n v="1272.57"/>
    <n v="63.628500000000003"/>
    <n v="10"/>
    <n v="0"/>
    <n v="0"/>
    <n v="0.96438356164383565"/>
    <n v="116.58833095890411"/>
    <n v="116.58833095890411"/>
    <n v="1155.9816690410958"/>
  </r>
  <r>
    <n v="2698"/>
    <s v="Cooler -2 Nos"/>
    <s v="Sugar Division"/>
    <x v="6"/>
    <m/>
    <s v="Common"/>
    <d v="2020-04-15T00:00:00"/>
    <n v="0"/>
    <n v="15113.34"/>
    <n v="0"/>
    <n v="15113.34"/>
    <n v="755.66700000000003"/>
    <n v="5"/>
    <n v="0"/>
    <n v="0"/>
    <n v="0.96438356164383565"/>
    <n v="2769.2607649315069"/>
    <n v="2769.2607649315069"/>
    <n v="12344.079235068493"/>
  </r>
  <r>
    <n v="2699"/>
    <s v="Cooler -1 Nos"/>
    <s v="Sugar Division"/>
    <x v="6"/>
    <m/>
    <s v="Common"/>
    <d v="2020-05-15T00:00:00"/>
    <n v="0"/>
    <n v="7556.66"/>
    <n v="0"/>
    <n v="7556.66"/>
    <n v="377.83300000000003"/>
    <n v="5"/>
    <n v="0"/>
    <n v="0"/>
    <n v="0.88219178082191785"/>
    <n v="1266.6204350684934"/>
    <n v="1266.6204350684934"/>
    <n v="6290.0395649315069"/>
  </r>
  <r>
    <n v="2700"/>
    <s v="Cooler Plastic Body-1 No."/>
    <s v="Sugar Division"/>
    <x v="6"/>
    <m/>
    <s v="Common"/>
    <d v="2020-05-15T00:00:00"/>
    <n v="0"/>
    <n v="5720.34"/>
    <n v="0"/>
    <n v="5720.34"/>
    <n v="286.017"/>
    <n v="5"/>
    <n v="0"/>
    <n v="0"/>
    <n v="0.88219178082191785"/>
    <n v="958.82301698630158"/>
    <n v="958.82301698630158"/>
    <n v="4761.5169830136983"/>
  </r>
  <r>
    <n v="2701"/>
    <s v="Cooler -3 Nos"/>
    <s v="Sugar Division"/>
    <x v="6"/>
    <m/>
    <s v="Common"/>
    <d v="2020-06-15T00:00:00"/>
    <n v="0"/>
    <n v="15381"/>
    <n v="0"/>
    <n v="15381"/>
    <n v="769.05000000000007"/>
    <n v="5"/>
    <n v="0"/>
    <n v="0"/>
    <n v="0.79726027397260268"/>
    <n v="2609.9054520547948"/>
    <n v="2609.9054520547948"/>
    <n v="12771.094547945206"/>
  </r>
  <r>
    <n v="2702"/>
    <s v="Exhaust Fan-2 Nos"/>
    <s v="Sugar Division"/>
    <x v="6"/>
    <m/>
    <s v="Common"/>
    <d v="2020-07-15T00:00:00"/>
    <n v="0"/>
    <n v="1802"/>
    <n v="0"/>
    <n v="1802"/>
    <n v="90.100000000000009"/>
    <n v="5"/>
    <n v="0"/>
    <n v="0"/>
    <n v="0.71506849315068488"/>
    <n v="244.82515068493149"/>
    <n v="244.82515068493149"/>
    <n v="1557.1748493150685"/>
  </r>
  <r>
    <n v="2703"/>
    <s v="Plastic Chair-6 Nos"/>
    <s v="Sugar Division"/>
    <x v="6"/>
    <m/>
    <s v="Common"/>
    <d v="2020-07-15T00:00:00"/>
    <n v="0"/>
    <n v="3203.97"/>
    <n v="0"/>
    <n v="3203.97"/>
    <n v="160.1985"/>
    <n v="10"/>
    <n v="0"/>
    <n v="0"/>
    <n v="0.71506849315068488"/>
    <n v="217.65050999999997"/>
    <n v="217.65050999999997"/>
    <n v="2986.3194899999999"/>
  </r>
  <r>
    <n v="2704"/>
    <s v="Wooden Takhat"/>
    <s v="Sugar Division"/>
    <x v="6"/>
    <m/>
    <s v="Common"/>
    <d v="2013-12-19T00:00:00"/>
    <n v="32467.22"/>
    <n v="0"/>
    <n v="0"/>
    <n v="32467.22"/>
    <n v="1623.3610000000001"/>
    <n v="10"/>
    <n v="6.2904109589041095"/>
    <n v="19402.054866849317"/>
    <n v="7.2904109589041095"/>
    <n v="3084.3859000000002"/>
    <n v="22486.440766849319"/>
    <n v="9980.7792331506826"/>
  </r>
  <r>
    <n v="2705"/>
    <s v="Cooling Tower Civil Const. Works"/>
    <s v="Sugar Division"/>
    <x v="7"/>
    <s v="RCC Framework"/>
    <s v="Utilities - Cooling Tower"/>
    <d v="2016-11-12T00:00:00"/>
    <n v="38590345.728477307"/>
    <n v="0"/>
    <n v="0"/>
    <n v="38590345.728477307"/>
    <n v="1929517.2864238655"/>
    <n v="25"/>
    <n v="3.3890410958904109"/>
    <n v="4969802.1679802863"/>
    <n v="4.3890410958904109"/>
    <n v="1466433.1376821378"/>
    <n v="6436235.3056624243"/>
    <n v="35101522.422814883"/>
  </r>
  <r>
    <n v="2706"/>
    <s v="Foundation &amp; Civil Work For Juice Heaters Evp.Etc."/>
    <s v="Sugar Division"/>
    <x v="7"/>
    <s v="RCC Framework"/>
    <s v="50% each in RS and 50% in DS"/>
    <d v="2016-11-12T00:00:00"/>
    <n v="61914846.3384059"/>
    <n v="0"/>
    <n v="0"/>
    <n v="61914846.3384059"/>
    <n v="3095742.3169202954"/>
    <n v="25"/>
    <n v="3.3890410958904109"/>
    <n v="7973614.4300907059"/>
    <n v="4.3890410958904109"/>
    <n v="2352764.1608594242"/>
    <n v="10326378.59095013"/>
    <n v="60430705.747455768"/>
  </r>
  <r>
    <n v="2707"/>
    <s v="Foundation For Misc. Pumps In Milling System (Refin"/>
    <s v="Sugar Division"/>
    <x v="7"/>
    <s v="RCC Framework"/>
    <s v="Juice Costing"/>
    <d v="2016-11-12T00:00:00"/>
    <n v="563328.63730022963"/>
    <n v="0"/>
    <n v="0"/>
    <n v="563328.63730022963"/>
    <n v="28166.431865011484"/>
    <n v="25"/>
    <n v="3.3890410958904109"/>
    <n v="72547.46828749204"/>
    <n v="4.3890410958904109"/>
    <n v="21406.488217408729"/>
    <n v="93953.956504900765"/>
    <n v="469374.68079532887"/>
  </r>
  <r>
    <n v="2708"/>
    <s v="Modification In The Existing Last Mill Grpf"/>
    <s v="Sugar Division"/>
    <x v="7"/>
    <s v="RCC Framework"/>
    <s v="Juice Costing"/>
    <d v="2016-11-12T00:00:00"/>
    <n v="32764.204816688882"/>
    <n v="0"/>
    <n v="0"/>
    <n v="32764.204816688882"/>
    <n v="1638.2102408344442"/>
    <n v="25"/>
    <n v="3.3890410958904109"/>
    <n v="4219.4909907213087"/>
    <n v="4.3890410958904109"/>
    <n v="1245.0397830341776"/>
    <n v="5464.5307737554867"/>
    <n v="27299.674042933395"/>
  </r>
  <r>
    <n v="2709"/>
    <s v="Pan &amp; C.F House Of Raw Sugar Process House Refinery"/>
    <s v="Sugar Division"/>
    <x v="7"/>
    <s v="RCC Framework"/>
    <s v="RS Costing"/>
    <d v="2016-11-12T00:00:00"/>
    <n v="194111707.35598338"/>
    <n v="0"/>
    <n v="0"/>
    <n v="194111707.35598338"/>
    <n v="9705585.3677991685"/>
    <n v="25"/>
    <n v="3.3890410958904109"/>
    <n v="17354233.030069467"/>
    <n v="4.3890410958904109"/>
    <n v="8390008.8795273677"/>
    <n v="25744241.909596834"/>
    <n v="183104525.44638655"/>
  </r>
  <r>
    <n v="2710"/>
    <s v="Strengthening Of Exiting Mill House (1.3)"/>
    <s v="Sugar Division"/>
    <x v="7"/>
    <s v="RCC Framework"/>
    <s v="Juice Costing"/>
    <d v="2016-11-12T00:00:00"/>
    <n v="6201123.8138762563"/>
    <n v="0"/>
    <n v="0"/>
    <n v="6201123.8138762563"/>
    <n v="310056.19069381285"/>
    <n v="25"/>
    <n v="3.3890410958904109"/>
    <n v="798602.81094538991"/>
    <n v="4.3890410958904109"/>
    <n v="235642.70492729777"/>
    <n v="1034245.5158726877"/>
    <n v="5166878.2980035683"/>
  </r>
  <r>
    <n v="2711"/>
    <s v="Zero Mill Foundation"/>
    <s v="Sugar Division"/>
    <x v="7"/>
    <s v="RCC Framework"/>
    <s v="Juice Costing"/>
    <d v="2016-11-12T00:00:00"/>
    <n v="63387508.816070199"/>
    <n v="0"/>
    <n v="0"/>
    <n v="63387508.816070199"/>
    <n v="3169375.4408035101"/>
    <n v="25"/>
    <n v="3.3890410958904109"/>
    <n v="4635516.149063549"/>
    <n v="4.3890410958904109"/>
    <n v="2408725.3350106673"/>
    <n v="7044241.4840742163"/>
    <n v="59290679.331995979"/>
  </r>
  <r>
    <n v="2712"/>
    <s v="Adm Building"/>
    <s v="Sugar Division"/>
    <x v="8"/>
    <s v="RCC Framework"/>
    <s v="Common"/>
    <d v="2016-11-12T00:00:00"/>
    <n v="35698952.173636384"/>
    <n v="0"/>
    <n v="0"/>
    <n v="35698952.173636384"/>
    <n v="1784947.6086818194"/>
    <n v="60"/>
    <n v="3.3890410958904109"/>
    <n v="915599.25328076701"/>
    <n v="4.3890410958904109"/>
    <n v="565233.40941590944"/>
    <n v="1480832.6626966763"/>
    <n v="34218119.51093971"/>
  </r>
  <r>
    <n v="2713"/>
    <s v="Change Room"/>
    <s v="Sugar Division"/>
    <x v="7"/>
    <s v="RCC Framework"/>
    <s v="Common"/>
    <d v="2018-01-10T00:00:00"/>
    <n v="1370151.7480803938"/>
    <n v="0"/>
    <n v="0"/>
    <n v="1370151.7480803938"/>
    <n v="68507.587404019694"/>
    <n v="25"/>
    <n v="2.2273972602739724"/>
    <n v="115971.14549368681"/>
    <n v="3.2273972602739724"/>
    <n v="52065.766427054965"/>
    <n v="168036.91192074178"/>
    <n v="1202114.8361596521"/>
  </r>
  <r>
    <n v="2714"/>
    <s v="Boundry Wall"/>
    <s v="Sugar Division"/>
    <x v="7"/>
    <s v="RCC Framework"/>
    <s v="Common"/>
    <d v="2018-01-10T00:00:00"/>
    <n v="1320854.1210444733"/>
    <n v="0"/>
    <n v="0"/>
    <n v="1320854.1210444733"/>
    <n v="66042.706052223672"/>
    <n v="25"/>
    <n v="2.2273972602739724"/>
    <n v="111798.54031656974"/>
    <n v="3.2273972602739724"/>
    <n v="50192.456599689984"/>
    <n v="161990.99691625973"/>
    <n v="1158863.1241282136"/>
  </r>
  <r>
    <n v="2715"/>
    <s v="Precast Slab For Drain"/>
    <s v="Sugar Division"/>
    <x v="7"/>
    <s v="RCC Framework"/>
    <s v="Common"/>
    <d v="2018-01-10T00:00:00"/>
    <n v="90811.889669272161"/>
    <n v="0"/>
    <n v="0"/>
    <n v="90811.889669272161"/>
    <n v="4540.5944834636084"/>
    <n v="25"/>
    <n v="2.2273972602739724"/>
    <n v="7686.4178614862858"/>
    <n v="3.2273972602739724"/>
    <n v="3450.8518074323424"/>
    <n v="11137.269668918629"/>
    <n v="79674.620000353534"/>
  </r>
  <r>
    <n v="2716"/>
    <s v="Refinary Rack"/>
    <s v="Sugar Division"/>
    <x v="7"/>
    <s v="RCC Framework"/>
    <s v="RS Costing"/>
    <d v="2018-01-10T00:00:00"/>
    <n v="67529.685803980654"/>
    <n v="0"/>
    <n v="0"/>
    <n v="67529.685803980654"/>
    <n v="3376.4842901990328"/>
    <n v="25"/>
    <n v="2.2273972602739724"/>
    <n v="5715.7866115840498"/>
    <n v="3.2273972602739724"/>
    <n v="2566.1280605512648"/>
    <n v="8281.9146721353136"/>
    <n v="59247.771131845337"/>
  </r>
  <r>
    <n v="2717"/>
    <s v="Construction Of Toilets"/>
    <s v="Sugar Division"/>
    <x v="7"/>
    <s v="RCC Framework"/>
    <s v="Common"/>
    <d v="2018-01-10T00:00:00"/>
    <n v="742797.04862930847"/>
    <n v="0"/>
    <n v="0"/>
    <n v="742797.04862930847"/>
    <n v="37139.852431465428"/>
    <n v="25"/>
    <n v="2.2273972602739724"/>
    <n v="62871.156220147546"/>
    <n v="3.2273972602739724"/>
    <n v="28226.287847913722"/>
    <n v="91097.444068061275"/>
    <n v="651699.60456124716"/>
  </r>
  <r>
    <n v="2718"/>
    <s v="Extension Of Cane Carrier"/>
    <s v="Sugar Division"/>
    <x v="7"/>
    <s v="RCC Framework"/>
    <s v="Juice Costing"/>
    <d v="2018-01-10T00:00:00"/>
    <n v="621357.85047094757"/>
    <n v="0"/>
    <n v="0"/>
    <n v="621357.85047094757"/>
    <n v="31067.89252354738"/>
    <n v="25"/>
    <n v="2.2273972602739724"/>
    <n v="52592.409403971098"/>
    <n v="3.2273972602739724"/>
    <n v="23611.598317896009"/>
    <n v="76204.007721867107"/>
    <n v="545153.8427490805"/>
  </r>
  <r>
    <n v="2719"/>
    <s v="Mill Fdn For Air Compressor"/>
    <s v="Sugar Division"/>
    <x v="7"/>
    <s v="RCC Framework"/>
    <s v="Juice Costing"/>
    <d v="2018-01-10T00:00:00"/>
    <n v="863666.62265350274"/>
    <n v="0"/>
    <n v="0"/>
    <n v="863666.62265350274"/>
    <n v="43183.331132675143"/>
    <n v="25"/>
    <n v="2.2273972602739724"/>
    <n v="73101.689425362492"/>
    <n v="3.2273972602739724"/>
    <n v="32819.331660833101"/>
    <n v="105921.0210861956"/>
    <n v="757745.60156730714"/>
  </r>
  <r>
    <n v="2720"/>
    <s v="Godown No.8"/>
    <s v="Sugar Division"/>
    <x v="8"/>
    <s v="RCC Framework"/>
    <s v="Sugar Godown - Distribution"/>
    <d v="2018-01-10T00:00:00"/>
    <n v="1631265.2124030164"/>
    <n v="0"/>
    <n v="0"/>
    <n v="1631265.2124030164"/>
    <n v="81563.260620150832"/>
    <n v="30"/>
    <n v="2.2273972602739724"/>
    <n v="115060.06272141275"/>
    <n v="3.2273972602739724"/>
    <n v="51656.731726095517"/>
    <n v="166716.79444750826"/>
    <n v="1464548.4179555082"/>
  </r>
  <r>
    <n v="2721"/>
    <s v="Modification Of Centrifugal"/>
    <s v="Sugar Division"/>
    <x v="7"/>
    <s v="RCC Framework"/>
    <s v="RS Costing"/>
    <d v="2018-01-10T00:00:00"/>
    <n v="1669723.0612451052"/>
    <n v="0"/>
    <n v="0"/>
    <n v="1669723.0612451052"/>
    <n v="83486.153062255267"/>
    <n v="25"/>
    <n v="2.2273972602739724"/>
    <n v="141327.18973727748"/>
    <n v="3.2273972602739724"/>
    <n v="63449.476327313998"/>
    <n v="204776.6660645915"/>
    <n v="1464946.3951805136"/>
  </r>
  <r>
    <n v="2722"/>
    <s v="New Lime Godown"/>
    <s v="Sugar Division"/>
    <x v="8"/>
    <s v="RCC Framework"/>
    <s v="50% each in RS and 50% in DS"/>
    <d v="2018-02-26T00:00:00"/>
    <n v="554918.04"/>
    <n v="0"/>
    <n v="0"/>
    <n v="554918.04"/>
    <n v="27745.902000000002"/>
    <n v="30"/>
    <n v="2.0986301369863014"/>
    <n v="36877.97787287672"/>
    <n v="3.0986301369863014"/>
    <n v="17572.404600000002"/>
    <n v="54450.382472876721"/>
    <n v="500467.65752712335"/>
  </r>
  <r>
    <n v="2723"/>
    <s v="Adm. Block Road"/>
    <s v="Sugar Division"/>
    <x v="8"/>
    <s v="RCC Framework"/>
    <s v="Common"/>
    <d v="2019-02-28T00:00:00"/>
    <n v="137014.56776788118"/>
    <n v="0"/>
    <n v="0"/>
    <n v="137014.56776788118"/>
    <n v="6850.728388394059"/>
    <n v="60"/>
    <n v="1.0931506849315069"/>
    <n v="2371.4781695166835"/>
    <n v="2.0931506849315067"/>
    <n v="2169.3973229914513"/>
    <n v="4540.8754925081348"/>
    <n v="132473.69227537303"/>
  </r>
  <r>
    <n v="2724"/>
    <s v="Labour Change Room &amp; Lunch Room"/>
    <s v="Sugar Division"/>
    <x v="7"/>
    <s v="RCC Framework"/>
    <s v="Common"/>
    <d v="2019-02-28T00:00:00"/>
    <n v="262230.49893719709"/>
    <n v="0"/>
    <n v="0"/>
    <n v="262230.49893719709"/>
    <n v="13111.524946859856"/>
    <n v="25"/>
    <n v="1.0931506849315069"/>
    <n v="10892.983081878856"/>
    <n v="2.0931506849315067"/>
    <n v="9964.7589596134876"/>
    <n v="20857.742041492344"/>
    <n v="241372.75689570475"/>
  </r>
  <r>
    <n v="2725"/>
    <s v="Road From Sugar Plant To Power Plant"/>
    <s v="Sugar Division"/>
    <x v="7"/>
    <s v="RCC Framework"/>
    <s v="Common"/>
    <d v="2019-02-28T00:00:00"/>
    <n v="4124995.6047767308"/>
    <n v="0"/>
    <n v="0"/>
    <n v="4124995.6047767308"/>
    <n v="206249.78023883654"/>
    <n v="25"/>
    <n v="1.0931506849315069"/>
    <n v="171351.18728664328"/>
    <n v="2.0931506849315067"/>
    <n v="156749.83298151573"/>
    <n v="328101.02026815899"/>
    <n v="3796894.5845085718"/>
  </r>
  <r>
    <n v="2726"/>
    <s v="Road From Sugar Plant To Power Plant"/>
    <s v="Sugar Division"/>
    <x v="7"/>
    <s v="RCC Framework"/>
    <s v="Common"/>
    <d v="2019-03-25T00:00:00"/>
    <n v="983592.44624098809"/>
    <n v="0"/>
    <n v="0"/>
    <n v="983592.44624098809"/>
    <n v="49179.622312049411"/>
    <n v="25"/>
    <n v="1.0246575342465754"/>
    <n v="38298.125605416222"/>
    <n v="2.0246575342465754"/>
    <n v="37376.512957157553"/>
    <n v="75674.638562573775"/>
    <n v="907917.80767841428"/>
  </r>
  <r>
    <n v="2727"/>
    <s v="Kishan Toilet Sanitory &amp; Tiles"/>
    <s v="Sugar Division"/>
    <x v="8"/>
    <s v="RCC Framework"/>
    <s v="Common"/>
    <d v="2019-03-25T00:00:00"/>
    <n v="29901.904732690171"/>
    <n v="0"/>
    <n v="0"/>
    <n v="29901.904732690171"/>
    <n v="1495.0952366345086"/>
    <n v="25"/>
    <n v="1.0246575342465754"/>
    <n v="1164.2900549616238"/>
    <n v="2.0246575342465754"/>
    <n v="1136.2723798422264"/>
    <n v="2300.56243480385"/>
    <n v="27601.34229788632"/>
  </r>
  <r>
    <n v="2728"/>
    <s v="Tata Blue Scope Make Roofing Cladding Sheets At Mills &amp; Boiling House"/>
    <s v="Sugar Division"/>
    <x v="7"/>
    <s v="RCC Framework"/>
    <s v="RS Costing"/>
    <d v="2019-03-25T00:00:00"/>
    <n v="10106897.839712735"/>
    <n v="0"/>
    <n v="0"/>
    <n v="10106897.839712735"/>
    <n v="505344.89198563679"/>
    <n v="25"/>
    <n v="1.0246575342465754"/>
    <n v="393532.14273423946"/>
    <n v="2.0246575342465754"/>
    <n v="384062.11790908396"/>
    <n v="777594.26064332342"/>
    <n v="9329303.5790694114"/>
  </r>
  <r>
    <n v="2729"/>
    <s v="Flooring At Mill House"/>
    <s v="Sugar Division"/>
    <x v="7"/>
    <s v="RCC Framework"/>
    <s v="Juice Costing"/>
    <d v="2019-03-25T00:00:00"/>
    <n v="562292.73003453086"/>
    <n v="0"/>
    <n v="0"/>
    <n v="562292.73003453086"/>
    <n v="28114.636501726545"/>
    <n v="25"/>
    <n v="1.0246575342465754"/>
    <n v="21893.984326714388"/>
    <n v="2.0246575342465754"/>
    <n v="21367.123741312171"/>
    <n v="43261.108068026559"/>
    <n v="519031.62196650432"/>
  </r>
  <r>
    <n v="2730"/>
    <s v="Sheets For Roofing Sugar Godown No.9 &amp; Others"/>
    <s v="Sugar Division"/>
    <x v="8"/>
    <s v="RCC Framework"/>
    <s v="Sugar Godown - Distribution"/>
    <d v="2019-03-25T00:00:00"/>
    <n v="2963165.375683065"/>
    <n v="0"/>
    <n v="0"/>
    <n v="2963165.375683065"/>
    <n v="148158.26878415325"/>
    <n v="25"/>
    <n v="1.0246575342465754"/>
    <n v="115376.72964166498"/>
    <n v="2.0246575342465754"/>
    <n v="112600.28427595647"/>
    <n v="227977.01391762146"/>
    <n v="2735188.3617654433"/>
  </r>
  <r>
    <n v="2731"/>
    <s v="Cane Carrier Plat Form"/>
    <s v="Sugar Division"/>
    <x v="8"/>
    <s v="RCC Framework"/>
    <s v="Juice Costing"/>
    <d v="2019-03-25T00:00:00"/>
    <n v="291453.34912042896"/>
    <n v="0"/>
    <n v="0"/>
    <n v="291453.34912042896"/>
    <n v="14572.667456021449"/>
    <n v="25"/>
    <n v="1.0246575342465754"/>
    <n v="11348.31506219051"/>
    <n v="2.0246575342465754"/>
    <n v="11075.227266576299"/>
    <n v="22423.542328766809"/>
    <n v="269029.80679166212"/>
  </r>
  <r>
    <n v="2732"/>
    <s v="Sugar Godown No.-2 Flooring &amp; Painting &amp; Brick Wall"/>
    <s v="Sugar Division"/>
    <x v="7"/>
    <s v="RCC Framework"/>
    <s v="Sugar Godown - Distribution"/>
    <d v="2019-03-25T00:00:00"/>
    <n v="978940.94299375184"/>
    <n v="0"/>
    <n v="0"/>
    <n v="978940.94299375184"/>
    <n v="48947.047149687598"/>
    <n v="25"/>
    <n v="1.0246575342465754"/>
    <n v="38117.010087197807"/>
    <n v="2.0246575342465754"/>
    <n v="37199.755833762567"/>
    <n v="75316.765920960373"/>
    <n v="903624.1770727915"/>
  </r>
  <r>
    <n v="2733"/>
    <s v="New Cantene Building"/>
    <s v="Sugar Division"/>
    <x v="8"/>
    <s v="RCC Framework"/>
    <s v="Common"/>
    <d v="2020-03-31T00:00:00"/>
    <n v="2119587.77"/>
    <n v="0"/>
    <n v="0"/>
    <n v="2119587.77"/>
    <n v="105979.3885"/>
    <n v="30"/>
    <n v="5.4794520547945206E-3"/>
    <n v="367.78235278538818"/>
    <n v="1.0054794520547945"/>
    <n v="67120.279383333342"/>
    <n v="67488.061736118732"/>
    <n v="2052099.7082638813"/>
  </r>
  <r>
    <n v="2734"/>
    <s v="Cables (1.4) Electricals"/>
    <s v="Sugar Division"/>
    <x v="2"/>
    <s v="Electrical Works"/>
    <s v="RS Costing"/>
    <d v="2016-11-12T00:00:00"/>
    <n v="39577406.873110346"/>
    <n v="0"/>
    <n v="0"/>
    <n v="39577406.873110346"/>
    <n v="1978870.3436555173"/>
    <n v="25"/>
    <n v="3.3890410958904109"/>
    <n v="5096919.4177463697"/>
    <n v="4.3890410958904109"/>
    <n v="1503941.4611781931"/>
    <n v="6600860.8789245626"/>
    <n v="32976545.994185783"/>
  </r>
  <r>
    <n v="2735"/>
    <s v="Contracts Package (Cable Tray,L.T Bus Duct Lighting"/>
    <s v="Sugar Division"/>
    <x v="2"/>
    <s v="Electrical Works"/>
    <s v="RS Costing"/>
    <d v="2016-11-12T00:00:00"/>
    <n v="9262870.3233854417"/>
    <n v="0"/>
    <n v="0"/>
    <n v="9262870.3233854417"/>
    <n v="463143.51616927213"/>
    <n v="25"/>
    <n v="3.3890410958904109"/>
    <n v="1192905.4312905646"/>
    <n v="4.3890410958904109"/>
    <n v="351989.07228864677"/>
    <n v="1544894.5035792114"/>
    <n v="7717975.8198062303"/>
  </r>
  <r>
    <n v="2736"/>
    <s v="L T Package (1.2) Electrical Work Sugar Plant"/>
    <s v="Sugar Division"/>
    <x v="2"/>
    <s v="Electrical Works"/>
    <s v="RS Costing"/>
    <d v="2016-11-12T00:00:00"/>
    <n v="105281791.00571306"/>
    <n v="0"/>
    <n v="0"/>
    <n v="105281791.00571306"/>
    <n v="5264089.5502856532"/>
    <n v="25"/>
    <n v="3.3890410958904109"/>
    <n v="6058564.0219576657"/>
    <n v="4.3890410958904109"/>
    <n v="4000708.0582170966"/>
    <n v="10059272.080174763"/>
    <n v="95222518.925538301"/>
  </r>
  <r>
    <n v="2737"/>
    <s v="Vfd Package (Sugar Plant)"/>
    <s v="Sugar Division"/>
    <x v="2"/>
    <s v="Electrical Works"/>
    <s v="RS Costing"/>
    <d v="2016-11-12T00:00:00"/>
    <n v="19410712.823085234"/>
    <n v="0"/>
    <n v="0"/>
    <n v="19410712.823085234"/>
    <n v="970535.64115426177"/>
    <n v="25"/>
    <n v="3.3890410958904109"/>
    <n v="2499780.7314025876"/>
    <n v="4.3890410958904109"/>
    <n v="737607.08727723884"/>
    <n v="3237387.8186798263"/>
    <n v="16173325.004405407"/>
  </r>
  <r>
    <n v="2738"/>
    <s v="Balance Of Plant Instru For Sugar Plant( C1.2)"/>
    <s v="Sugar Division"/>
    <x v="2"/>
    <s v="Instrumentation Works"/>
    <s v="RS Costing"/>
    <d v="2016-11-12T00:00:00"/>
    <n v="9844446.2149472367"/>
    <n v="0"/>
    <n v="0"/>
    <n v="9844446.2149472367"/>
    <n v="492222.31074736186"/>
    <n v="25"/>
    <n v="3.3890410958904109"/>
    <n v="1267802.8459720814"/>
    <n v="4.3890410958904109"/>
    <n v="374088.95616799494"/>
    <n v="1641891.8021400764"/>
    <n v="8202554.4128071601"/>
  </r>
  <r>
    <n v="2739"/>
    <s v="Distributed Control Systems Including Ups (1.1)"/>
    <s v="Sugar Division"/>
    <x v="2"/>
    <s v="Instrumentation Works"/>
    <s v="RS Costing"/>
    <d v="2016-11-12T00:00:00"/>
    <n v="40511356.176728927"/>
    <n v="0"/>
    <n v="0"/>
    <n v="40511356.176728927"/>
    <n v="2025567.8088364464"/>
    <n v="25"/>
    <n v="3.3890410958904109"/>
    <n v="5217196.7354611503"/>
    <n v="4.3890410958904109"/>
    <n v="1539431.5347156993"/>
    <n v="6756628.2701768493"/>
    <n v="33754727.906552076"/>
  </r>
  <r>
    <n v="2740"/>
    <s v="100 T Batch Pan (100 T)"/>
    <s v="Sugar Division"/>
    <x v="2"/>
    <s v="Mechancial Works"/>
    <s v="50% each in RS and 50% in DS"/>
    <d v="2016-11-12T00:00:00"/>
    <n v="3728806.8640767732"/>
    <n v="0"/>
    <n v="0"/>
    <n v="3728806.8640767732"/>
    <n v="186440.34320383868"/>
    <n v="25"/>
    <n v="3.3890410958904109"/>
    <n v="480209.02863778855"/>
    <n v="4.3890410958904109"/>
    <n v="141694.66083491739"/>
    <n v="621903.68947270594"/>
    <n v="3106903.1746040671"/>
  </r>
  <r>
    <n v="2741"/>
    <s v="50 T Batch Pan (50 Ton)"/>
    <s v="Sugar Division"/>
    <x v="2"/>
    <s v="Mechancial Works"/>
    <s v="50% each in RS and 50% in DS"/>
    <d v="2016-11-12T00:00:00"/>
    <n v="3083763.4869500771"/>
    <n v="0"/>
    <n v="0"/>
    <n v="3083763.4869500771"/>
    <n v="154188.17434750387"/>
    <n v="25"/>
    <n v="3.3890410958904109"/>
    <n v="397138.0451166447"/>
    <n v="4.3890410958904109"/>
    <n v="117183.01250410292"/>
    <n v="514321.0576207476"/>
    <n v="2569442.4293293296"/>
  </r>
  <r>
    <n v="2742"/>
    <s v="90 T Water Cooled Xlr"/>
    <s v="Sugar Division"/>
    <x v="2"/>
    <s v="Mechancial Works"/>
    <s v="50% each in RS and 50% in DS"/>
    <d v="2016-11-12T00:00:00"/>
    <n v="707551.46303073387"/>
    <n v="0"/>
    <n v="0"/>
    <n v="707551.46303073387"/>
    <n v="35377.573151536693"/>
    <n v="25"/>
    <n v="3.3890410958904109"/>
    <n v="91120.997455404591"/>
    <n v="4.3890410958904109"/>
    <n v="26886.955595167885"/>
    <n v="118007.95305057248"/>
    <n v="589543.50998016144"/>
  </r>
  <r>
    <n v="2743"/>
    <s v="A'Batch Machine-1750 Kg/Charge"/>
    <s v="Sugar Division"/>
    <x v="2"/>
    <s v="Mechancial Works"/>
    <s v="50% each in RS and 50% in DS"/>
    <d v="2016-11-12T00:00:00"/>
    <n v="44020518.338287838"/>
    <n v="0"/>
    <n v="0"/>
    <n v="44020518.338287838"/>
    <n v="2201025.9169143918"/>
    <n v="25"/>
    <n v="3.3890410958904109"/>
    <n v="5669119.1370124882"/>
    <n v="4.3890410958904109"/>
    <n v="1672779.6968549381"/>
    <n v="7341898.833867426"/>
    <n v="36678619.504420415"/>
  </r>
  <r>
    <n v="2744"/>
    <s v="Additional Vacuum Filter With All Accessories( Ref)"/>
    <s v="Sugar Division"/>
    <x v="2"/>
    <s v="Mechancial Works"/>
    <s v="50% each in RS and 50% in DS"/>
    <d v="2016-11-12T00:00:00"/>
    <n v="16047150.481989726"/>
    <n v="0"/>
    <n v="0"/>
    <n v="16047150.481989726"/>
    <n v="802357.52409948641"/>
    <n v="25"/>
    <n v="3.3890410958904109"/>
    <n v="2066609.1933052305"/>
    <n v="4.3890410958904109"/>
    <n v="609791.71831560961"/>
    <n v="2676400.91162084"/>
    <n v="13370749.570368886"/>
  </r>
  <r>
    <n v="2745"/>
    <s v="Air Compressors For Sugar"/>
    <s v="Sugar Division"/>
    <x v="2"/>
    <s v="Mechancial Works"/>
    <s v="50% each in RS and 50% in DS"/>
    <d v="2016-11-12T00:00:00"/>
    <n v="6092555.902641654"/>
    <n v="0"/>
    <n v="0"/>
    <n v="6092555.902641654"/>
    <n v="304627.79513208271"/>
    <n v="25"/>
    <n v="3.3890410958904109"/>
    <n v="784621.04865636595"/>
    <n v="4.3890410958904109"/>
    <n v="231517.12430038286"/>
    <n v="1016138.1729567489"/>
    <n v="5076417.7296849051"/>
  </r>
  <r>
    <n v="2746"/>
    <s v="Air Conditioning System (Sugar Plant)"/>
    <s v="Sugar Division"/>
    <x v="2"/>
    <s v="Mechancial Works"/>
    <s v="50% each in RS and 50% in DS"/>
    <d v="2016-11-12T00:00:00"/>
    <n v="1568454.5861389567"/>
    <n v="0"/>
    <n v="0"/>
    <n v="1568454.5861389567"/>
    <n v="78422.729306947833"/>
    <n v="25"/>
    <n v="3.3890410958904109"/>
    <n v="201991.16787958299"/>
    <n v="4.3890410958904109"/>
    <n v="59601.274273280353"/>
    <n v="261592.44215286334"/>
    <n v="1306862.1439860933"/>
  </r>
  <r>
    <n v="2747"/>
    <s v="Cane Weighbridge (50 T Capacity)"/>
    <s v="Sugar Division"/>
    <x v="2"/>
    <s v="Weighbridge"/>
    <s v="50% each in RS and 50% in DS"/>
    <d v="2016-11-12T00:00:00"/>
    <n v="4217038.7849318394"/>
    <n v="0"/>
    <n v="0"/>
    <n v="4217038.7849318394"/>
    <n v="210851.939246592"/>
    <n v="25"/>
    <n v="3.3890410958904109"/>
    <n v="543085.27431371517"/>
    <n v="4.3890410958904109"/>
    <n v="160247.47382740991"/>
    <n v="703332.74814112508"/>
    <n v="3513706.0367907146"/>
  </r>
  <r>
    <n v="2748"/>
    <s v="Centrifugal Pumps With Base Frames(3.6)"/>
    <s v="Sugar Division"/>
    <x v="2"/>
    <s v="Mechancial Works"/>
    <s v="50% each in RS and 50% in DS"/>
    <d v="2016-11-12T00:00:00"/>
    <n v="8470415.8279670533"/>
    <n v="0"/>
    <n v="0"/>
    <n v="8470415.8279670533"/>
    <n v="423520.79139835271"/>
    <n v="25"/>
    <n v="3.3890410958904109"/>
    <n v="1090850.318929916"/>
    <n v="4.3890410958904109"/>
    <n v="321875.80146274803"/>
    <n v="1412726.1203926641"/>
    <n v="7057689.7075743889"/>
  </r>
  <r>
    <n v="2749"/>
    <s v="Clear Juice Dch Shifting To Ext Sj Dch (2.2.4)"/>
    <s v="Sugar Division"/>
    <x v="2"/>
    <s v="Mechancial Works"/>
    <s v="50% each in RS and 50% in DS"/>
    <d v="2016-11-12T00:00:00"/>
    <n v="111386.69047738569"/>
    <n v="0"/>
    <n v="0"/>
    <n v="111386.69047738569"/>
    <n v="5569.3345238692855"/>
    <n v="25"/>
    <n v="3.3890410958904109"/>
    <n v="14344.774719397237"/>
    <n v="4.3890410958904109"/>
    <n v="4232.6942381406561"/>
    <n v="18577.468957537894"/>
    <n v="92809.221519847808"/>
  </r>
  <r>
    <n v="2750"/>
    <s v="Clear Juice Pump 300 Cum 75 Kw"/>
    <s v="Sugar Division"/>
    <x v="2"/>
    <s v="Mechancial Works"/>
    <s v="50% each in RS and 50% in DS"/>
    <d v="2016-11-12T00:00:00"/>
    <n v="419234.7114848661"/>
    <n v="0"/>
    <n v="0"/>
    <n v="419234.7114848661"/>
    <n v="20961.735574243306"/>
    <n v="25"/>
    <n v="3.3890410958904109"/>
    <n v="53990.539309746891"/>
    <n v="4.3890410958904109"/>
    <n v="15930.919036424912"/>
    <n v="69921.458346171799"/>
    <n v="349313.25313869433"/>
  </r>
  <r>
    <n v="2751"/>
    <s v="Complete Refinery Process Plant (B-1)"/>
    <s v="Sugar Division"/>
    <x v="2"/>
    <s v="Mechancial Works"/>
    <s v="50% each in RS and 50% in DS"/>
    <d v="2016-11-12T00:00:00"/>
    <n v="223643447.32178235"/>
    <n v="0"/>
    <n v="0"/>
    <n v="223643447.32178235"/>
    <n v="11182172.366089119"/>
    <n v="25"/>
    <n v="3.3890410958904109"/>
    <n v="18801599.684404664"/>
    <n v="4.3890410958904109"/>
    <n v="14606091.99822773"/>
    <n v="33407691.682632394"/>
    <n v="211094435.63914996"/>
  </r>
  <r>
    <n v="2752"/>
    <s v="Condensers For Evaporators (2.1.11)"/>
    <s v="Sugar Division"/>
    <x v="2"/>
    <s v="Mechancial Works"/>
    <s v="50% each in RS and 50% in DS"/>
    <d v="2016-11-12T00:00:00"/>
    <n v="1083234.5223449443"/>
    <n v="0"/>
    <n v="0"/>
    <n v="1083234.5223449443"/>
    <n v="54161.726117247221"/>
    <n v="25"/>
    <n v="3.3890410958904109"/>
    <n v="139502.79988314098"/>
    <n v="4.3890410958904109"/>
    <n v="41162.911849107884"/>
    <n v="180665.71173224886"/>
    <n v="902568.81061269541"/>
  </r>
  <r>
    <n v="2753"/>
    <s v="Cooling Tower - 2 Cells Of 2400Cu/M/Hr Each(2.1.25)"/>
    <s v="Sugar Division"/>
    <x v="2"/>
    <s v="Cooling Tower"/>
    <s v="Utilities - Cooling Tower"/>
    <d v="2016-11-12T00:00:00"/>
    <n v="6105134.7225608844"/>
    <n v="0"/>
    <n v="0"/>
    <n v="6105134.7225608844"/>
    <n v="305256.73612804426"/>
    <n v="25"/>
    <n v="3.3890410958904109"/>
    <n v="786240.99388684088"/>
    <n v="4.3890410958904109"/>
    <n v="231995.11945731362"/>
    <n v="1018236.1133441546"/>
    <n v="5086898.6092167301"/>
  </r>
  <r>
    <n v="2754"/>
    <s v="Crystallisers (2.1.16)"/>
    <s v="Sugar Division"/>
    <x v="2"/>
    <s v="Mechancial Works"/>
    <s v="50% each in RS and 50% in DS"/>
    <d v="2016-11-12T00:00:00"/>
    <n v="52397083.157395966"/>
    <n v="0"/>
    <n v="0"/>
    <n v="52397083.157395966"/>
    <n v="2619854.1578697986"/>
    <n v="25"/>
    <n v="3.3890410958904109"/>
    <n v="4747882.9887576839"/>
    <n v="4.3890410958904109"/>
    <n v="1991089.1599810466"/>
    <n v="6738972.1487387307"/>
    <n v="45658111.008657232"/>
  </r>
  <r>
    <n v="2755"/>
    <s v="Defecated Juice Pumps-300 Cu.M 70 M Head-90 Kw"/>
    <s v="Sugar Division"/>
    <x v="2"/>
    <s v="Mechancial Works"/>
    <s v="50% each in RS and 50% in DS"/>
    <d v="2016-11-12T00:00:00"/>
    <n v="5858814.0799869699"/>
    <n v="0"/>
    <n v="0"/>
    <n v="5858814.0799869699"/>
    <n v="292940.70399934851"/>
    <n v="25"/>
    <n v="3.3890410958904109"/>
    <n v="754518.94422977394"/>
    <n v="4.3890410958904109"/>
    <n v="222634.93503950484"/>
    <n v="977153.87926927884"/>
    <n v="4881660.2007176913"/>
  </r>
  <r>
    <n v="2756"/>
    <s v="Effluent Treatment Plant(2.1.27)"/>
    <s v="Sugar Division"/>
    <x v="2"/>
    <s v="Mechancial Works"/>
    <s v="50% each in RS and 50% in DS"/>
    <d v="2016-11-12T00:00:00"/>
    <n v="8878533.064913258"/>
    <n v="0"/>
    <n v="0"/>
    <n v="8878533.064913258"/>
    <n v="443926.65324566292"/>
    <n v="25"/>
    <n v="3.3890410958904109"/>
    <n v="1143409.1102720893"/>
    <n v="4.3890410958904109"/>
    <n v="337384.25646670378"/>
    <n v="1480793.366738793"/>
    <n v="7397739.6981744654"/>
  </r>
  <r>
    <n v="2757"/>
    <s v="Evoporators Including Staging,Piping,Valvs,Insulati"/>
    <s v="Sugar Division"/>
    <x v="2"/>
    <s v="Mechancial Works"/>
    <s v="50% each in RS and 50% in DS"/>
    <d v="2016-11-12T00:00:00"/>
    <n v="106899158.36932757"/>
    <n v="0"/>
    <n v="0"/>
    <n v="106899158.36932757"/>
    <n v="5344957.9184663789"/>
    <n v="25"/>
    <n v="3.3890410958904109"/>
    <n v="9766854.3515304439"/>
    <n v="4.3890410958904109"/>
    <n v="8062168.0180344479"/>
    <n v="17829022.369564891"/>
    <n v="99499475.999762684"/>
  </r>
  <r>
    <n v="2758"/>
    <s v="Grpf With Independent Ac Vfd Motor(1.5)"/>
    <s v="Sugar Division"/>
    <x v="2"/>
    <s v="Mechancial Works"/>
    <s v="50% each in RS and 50% in DS"/>
    <d v="2016-11-12T00:00:00"/>
    <n v="4283792.5463179331"/>
    <n v="0"/>
    <n v="0"/>
    <n v="4283792.5463179331"/>
    <n v="214189.62731589668"/>
    <n v="25"/>
    <n v="3.3890410958904109"/>
    <n v="551682.0614581391"/>
    <n v="4.3890410958904109"/>
    <n v="162784.11676008147"/>
    <n v="714466.17821822059"/>
    <n v="3569326.3680997128"/>
  </r>
  <r>
    <n v="2759"/>
    <s v="Hot Water Imbibition Pumps (Mechnical)"/>
    <s v="Sugar Division"/>
    <x v="2"/>
    <s v="Mechancial Works"/>
    <s v="50% each in RS and 50% in DS"/>
    <d v="2016-11-12T00:00:00"/>
    <n v="1103959.8210301942"/>
    <n v="0"/>
    <n v="0"/>
    <n v="1103959.8210301942"/>
    <n v="55197.991051509714"/>
    <n v="25"/>
    <n v="3.3890410958904109"/>
    <n v="142171.87766395972"/>
    <n v="4.3890410958904109"/>
    <n v="41950.473199147375"/>
    <n v="184122.3508631071"/>
    <n v="919837.47016708704"/>
  </r>
  <r>
    <n v="2760"/>
    <s v="Injection Pump -2400 Cu.M/Hr, 32 M(2.1.24)"/>
    <s v="Sugar Division"/>
    <x v="2"/>
    <s v="Mechancial Works"/>
    <s v="50% each in RS and 50% in DS"/>
    <d v="2016-11-12T00:00:00"/>
    <n v="542221.0129019093"/>
    <n v="0"/>
    <n v="0"/>
    <n v="542221.0129019093"/>
    <n v="27111.050645095467"/>
    <n v="25"/>
    <n v="3.3890410958904109"/>
    <n v="69829.153239636027"/>
    <n v="4.3890410958904109"/>
    <n v="20604.398490272553"/>
    <n v="90433.551729908577"/>
    <n v="451787.46117200074"/>
  </r>
  <r>
    <n v="2761"/>
    <s v="Juice Clarifier Srt 10.2 M Dia (2.1.9)"/>
    <s v="Sugar Division"/>
    <x v="2"/>
    <s v="Mechancial Works"/>
    <s v="50% each in RS and 50% in DS"/>
    <d v="2016-11-12T00:00:00"/>
    <n v="32403734.656380702"/>
    <n v="0"/>
    <n v="0"/>
    <n v="32403734.656380702"/>
    <n v="1620186.7328190352"/>
    <n v="25"/>
    <n v="3.3890410958904109"/>
    <n v="4173068.359610497"/>
    <n v="4.3890410958904109"/>
    <n v="1231341.9169424667"/>
    <n v="5404410.276552964"/>
    <n v="26999324.379827738"/>
  </r>
  <r>
    <n v="2762"/>
    <s v="Juice Defecactor For 300Hl(2.1.7)"/>
    <s v="Sugar Division"/>
    <x v="2"/>
    <s v="Mechancial Works"/>
    <s v="50% each in RS and 50% in DS"/>
    <d v="2016-11-12T00:00:00"/>
    <n v="4572093.0581209697"/>
    <n v="0"/>
    <n v="0"/>
    <n v="4572093.0581209697"/>
    <n v="228604.65290604849"/>
    <n v="25"/>
    <n v="3.3890410958904109"/>
    <n v="588810.42819187487"/>
    <n v="4.3890410958904109"/>
    <n v="173739.53620859687"/>
    <n v="762549.96440047177"/>
    <n v="3809543.093720498"/>
  </r>
  <r>
    <n v="2763"/>
    <s v="Juice Heaters Vertical Tubular 293 Sq.M"/>
    <s v="Sugar Division"/>
    <x v="2"/>
    <s v="Mechancial Works"/>
    <s v="50% each in RS and 50% in DS"/>
    <d v="2016-11-12T00:00:00"/>
    <n v="756186.45927876583"/>
    <n v="0"/>
    <n v="0"/>
    <n v="756186.45927876583"/>
    <n v="37809.322963938292"/>
    <n v="25"/>
    <n v="3.3890410958904109"/>
    <n v="97384.385492760717"/>
    <n v="4.3890410958904109"/>
    <n v="28735.085452593099"/>
    <n v="126119.47094535382"/>
    <n v="630066.98833341198"/>
  </r>
  <r>
    <n v="2764"/>
    <s v="Juice Heaters Vertical Tubular Heaters500Sq.M"/>
    <s v="Sugar Division"/>
    <x v="2"/>
    <s v="Mechancial Works"/>
    <s v="50% each in RS and 50% in DS"/>
    <d v="2016-11-12T00:00:00"/>
    <n v="427298.66360577103"/>
    <n v="0"/>
    <n v="0"/>
    <n v="427298.66360577103"/>
    <n v="21364.933180288554"/>
    <n v="25"/>
    <n v="3.3890410958904109"/>
    <n v="55029.043784802394"/>
    <n v="4.3890410958904109"/>
    <n v="16237.3492170193"/>
    <n v="71266.393001821692"/>
    <n v="356032.27060394932"/>
  </r>
  <r>
    <n v="2765"/>
    <s v="Mechanical Circulators For Pans (2.1.15)"/>
    <s v="Sugar Division"/>
    <x v="2"/>
    <s v="Mechancial Works"/>
    <s v="50% each in RS and 50% in DS"/>
    <d v="2016-11-12T00:00:00"/>
    <n v="3357420.4289351795"/>
    <n v="0"/>
    <n v="0"/>
    <n v="3357420.4289351795"/>
    <n v="167871.021446759"/>
    <n v="25"/>
    <n v="3.3890410958904109"/>
    <n v="432380.56077404669"/>
    <n v="4.3890410958904109"/>
    <n v="127581.97629953682"/>
    <n v="559962.53707358357"/>
    <n v="2797457.8918615961"/>
  </r>
  <r>
    <n v="2766"/>
    <s v="Mill Pinion Replacement To Accommodate Setting"/>
    <s v="Sugar Division"/>
    <x v="2"/>
    <s v="Mechancial Works"/>
    <s v="Juice Costing"/>
    <d v="2016-11-12T00:00:00"/>
    <n v="0.12182852836344686"/>
    <n v="0"/>
    <n v="0"/>
    <n v="0.12182852836344686"/>
    <n v="6.0914264181723436E-3"/>
    <n v="25"/>
    <n v="3.3890410958904109"/>
    <n v="1.5689511792471734E-2"/>
    <n v="4.3890410958904109"/>
    <n v="4.6294840778109813E-3"/>
    <n v="2.0318995870282713E-2"/>
    <n v="0.10150953249316415"/>
  </r>
  <r>
    <n v="2767"/>
    <s v="Modification Of Existing Shredded Rake Carrier (1.7"/>
    <s v="Sugar Division"/>
    <x v="2"/>
    <s v="Mechancial Works"/>
    <s v="Juice Costing"/>
    <d v="2016-11-12T00:00:00"/>
    <n v="12560062.687324906"/>
    <n v="0"/>
    <n v="0"/>
    <n v="12560062.687324906"/>
    <n v="628003.13436624536"/>
    <n v="25"/>
    <n v="3.3890410958904109"/>
    <n v="1617529.6073435466"/>
    <n v="4.3890410958904109"/>
    <n v="477282.3821183464"/>
    <n v="2094811.989461893"/>
    <n v="10465250.697863013"/>
  </r>
  <r>
    <n v="2768"/>
    <s v="Mol Tank 20 Cu.M &amp;Pumps(2.1.6)"/>
    <s v="Sugar Division"/>
    <x v="2"/>
    <s v="Mechancial Works"/>
    <s v="50% each in RS and 50% in DS"/>
    <d v="2016-11-12T00:00:00"/>
    <n v="3692475.1359825204"/>
    <n v="0"/>
    <n v="0"/>
    <n v="3692475.1359825204"/>
    <n v="184623.75679912604"/>
    <n v="25"/>
    <n v="3.3890410958904109"/>
    <n v="475530.09929313522"/>
    <n v="4.3890410958904109"/>
    <n v="140314.05516733578"/>
    <n v="615844.15446047101"/>
    <n v="3076630.9815220493"/>
  </r>
  <r>
    <n v="2769"/>
    <s v="New 48X90 Zero Mill With Grpf"/>
    <s v="Sugar Division"/>
    <x v="2"/>
    <s v="Mechancial Works"/>
    <s v="50% each in RS and 50% in DS"/>
    <d v="2016-11-12T00:00:00"/>
    <n v="130969698.74848053"/>
    <n v="0"/>
    <n v="0"/>
    <n v="130969698.74848053"/>
    <n v="6548484.9374240264"/>
    <n v="25"/>
    <n v="3.3890410958904109"/>
    <n v="6866744.2722495236"/>
    <n v="4.3890410958904109"/>
    <n v="9976848.5524422601"/>
    <n v="16843592.824691784"/>
    <n v="124555445.92378874"/>
  </r>
  <r>
    <n v="2770"/>
    <s v="New Inline Swing Type Cutter (1.3)"/>
    <s v="Sugar Division"/>
    <x v="2"/>
    <s v="Mechancial Works"/>
    <s v="Juice Costing"/>
    <d v="2016-11-12T00:00:00"/>
    <n v="51395381.415212885"/>
    <n v="0"/>
    <n v="0"/>
    <n v="51395381.415212885"/>
    <n v="2569769.0707606445"/>
    <n v="25"/>
    <n v="3.3890410958904109"/>
    <n v="4618880.2706945119"/>
    <n v="4.3890410958904109"/>
    <n v="1953024.4937780895"/>
    <n v="6571904.7644726019"/>
    <n v="44823476.650740281"/>
  </r>
  <r>
    <n v="2771"/>
    <s v="New Mill House Eot Crane 35 Tones (1.11)"/>
    <s v="Sugar Division"/>
    <x v="2"/>
    <s v="Mechancial Works"/>
    <s v="Juice Costing"/>
    <d v="2016-11-12T00:00:00"/>
    <n v="10241135.741007308"/>
    <n v="0"/>
    <n v="0"/>
    <n v="10241135.741007308"/>
    <n v="512056.78705036541"/>
    <n v="25"/>
    <n v="3.3890410958904109"/>
    <n v="1318889.9360049029"/>
    <n v="4.3890410958904109"/>
    <n v="389163.15815827774"/>
    <n v="1708053.0941631808"/>
    <n v="8533082.6468441263"/>
  </r>
  <r>
    <n v="2772"/>
    <s v="New Motor &amp; Gear Box For Existing Main Cane Carrier"/>
    <s v="Sugar Division"/>
    <x v="2"/>
    <s v="Mechancial Works"/>
    <s v="Juice Costing"/>
    <d v="2016-11-12T00:00:00"/>
    <n v="290690.40986108989"/>
    <n v="0"/>
    <n v="0"/>
    <n v="290690.40986108989"/>
    <n v="14534.520493054495"/>
    <n v="25"/>
    <n v="3.3890410958904109"/>
    <n v="37436.146317617517"/>
    <n v="4.3890410958904109"/>
    <n v="11046.235574721417"/>
    <n v="48482.381892338934"/>
    <n v="242208.02796875098"/>
  </r>
  <r>
    <n v="2773"/>
    <s v="New Shredded Cane Rake Carrier With Drive (1.6)"/>
    <s v="Sugar Division"/>
    <x v="2"/>
    <s v="Mechancial Works"/>
    <s v="Juice Costing"/>
    <d v="2016-11-12T00:00:00"/>
    <n v="44455262.950686574"/>
    <n v="0"/>
    <n v="0"/>
    <n v="44455262.950686574"/>
    <n v="2222763.147534329"/>
    <n v="25"/>
    <n v="3.3890410958904109"/>
    <n v="5725107.0966026662"/>
    <n v="4.3890410958904109"/>
    <n v="1689299.99212609"/>
    <n v="7414407.0887287557"/>
    <n v="37040855.861957818"/>
  </r>
  <r>
    <n v="2774"/>
    <s v="Pans ( Continous ) -25 Vertical Tube Horizontal Pan"/>
    <s v="Sugar Division"/>
    <x v="2"/>
    <s v="Mechancial Works"/>
    <s v="50% each in RS and 50% in DS"/>
    <d v="2016-11-12T00:00:00"/>
    <n v="48942650.622593552"/>
    <n v="0"/>
    <n v="0"/>
    <n v="48942650.622593552"/>
    <n v="2447132.5311296778"/>
    <n v="25"/>
    <n v="3.3890410958904109"/>
    <n v="4303008.8634674866"/>
    <n v="4.3890410958904109"/>
    <n v="1859820.723658555"/>
    <n v="6162829.5871260418"/>
    <n v="42779821.035467513"/>
  </r>
  <r>
    <n v="2775"/>
    <s v="Power House Eotc Crane(3.10)"/>
    <s v="Sugar Division"/>
    <x v="2"/>
    <s v="Mechancial Works"/>
    <s v="Juice Costing"/>
    <d v="2016-11-12T00:00:00"/>
    <n v="6689740.9403886339"/>
    <n v="0"/>
    <n v="0"/>
    <n v="6689740.9403886339"/>
    <n v="334487.04701943172"/>
    <n v="25"/>
    <n v="3.3890410958904109"/>
    <n v="861528.66477783059"/>
    <n v="4.3890410958904109"/>
    <n v="254210.15573476811"/>
    <n v="1115738.8205125986"/>
    <n v="5574002.1198760355"/>
  </r>
  <r>
    <n v="2776"/>
    <s v="Screened Juice Pumps(1.9)"/>
    <s v="Sugar Division"/>
    <x v="2"/>
    <s v="Mechancial Works"/>
    <s v="50% each in RS and 50% in DS"/>
    <d v="2016-11-12T00:00:00"/>
    <n v="2865791.855612223"/>
    <n v="0"/>
    <n v="0"/>
    <n v="2865791.855612223"/>
    <n v="143289.59278061116"/>
    <n v="25"/>
    <n v="3.3890410958904109"/>
    <n v="369066.88209563878"/>
    <n v="4.3890410958904109"/>
    <n v="108900.09051326448"/>
    <n v="477966.97260890325"/>
    <n v="2387824.8830033196"/>
  </r>
  <r>
    <n v="2777"/>
    <s v="Sk-2500 Sq .M (2.2.5)"/>
    <s v="Sugar Division"/>
    <x v="2"/>
    <s v="Mechancial Works"/>
    <s v="50% each in RS and 50% in DS"/>
    <d v="2016-11-12T00:00:00"/>
    <n v="1228174.1783788467"/>
    <n v="0"/>
    <n v="0"/>
    <n v="1228174.1783788467"/>
    <n v="61408.708918942342"/>
    <n v="25"/>
    <n v="3.3890410958904109"/>
    <n v="158168.64501061937"/>
    <n v="4.3890410958904109"/>
    <n v="46670.618778396172"/>
    <n v="204839.26378901553"/>
    <n v="1023334.9145898311"/>
  </r>
  <r>
    <n v="2778"/>
    <s v="Syrup Extraction Pump-50 Cu.M/Hr, 30M Head 11Kw"/>
    <s v="Sugar Division"/>
    <x v="2"/>
    <s v="Mechancial Works"/>
    <s v="50% each in RS and 50% in DS"/>
    <d v="2016-11-12T00:00:00"/>
    <n v="1902534.8477021828"/>
    <n v="0"/>
    <n v="0"/>
    <n v="1902534.8477021828"/>
    <n v="95126.742385109144"/>
    <n v="25"/>
    <n v="3.3890410958904109"/>
    <n v="245015.21383859945"/>
    <n v="4.3890410958904109"/>
    <n v="72296.324212682943"/>
    <n v="317311.5380512824"/>
    <n v="1585223.3096509003"/>
  </r>
  <r>
    <n v="2779"/>
    <s v="Tanks And Vesels(3.9)"/>
    <s v="Sugar Division"/>
    <x v="2"/>
    <s v="Mechancial Works"/>
    <s v="50% each in RS and 50% in DS"/>
    <d v="2016-11-12T00:00:00"/>
    <n v="7308560.422213777"/>
    <n v="0"/>
    <n v="0"/>
    <n v="7308560.422213777"/>
    <n v="365428.02111068886"/>
    <n v="25"/>
    <n v="3.3890410958904109"/>
    <n v="941222.44166186522"/>
    <n v="4.3890410958904109"/>
    <n v="277725.29604412353"/>
    <n v="1218947.7377059888"/>
    <n v="6089612.6845077882"/>
  </r>
  <r>
    <n v="2780"/>
    <s v="Two Stage Rotary Screen For Mixed Juice Screening"/>
    <s v="Sugar Division"/>
    <x v="2"/>
    <s v="Mechancial Works"/>
    <s v="50% each in RS and 50% in DS"/>
    <d v="2016-11-12T00:00:00"/>
    <n v="19648863.254695803"/>
    <n v="0"/>
    <n v="0"/>
    <n v="19648863.254695803"/>
    <n v="982443.16273479024"/>
    <n v="25"/>
    <n v="3.3890410958904109"/>
    <n v="2530450.5921924128"/>
    <n v="4.3890410958904109"/>
    <n v="746656.80367844051"/>
    <n v="3277107.3958708532"/>
    <n v="16371755.85882495"/>
  </r>
  <r>
    <n v="2781"/>
    <s v="Unloading &amp; Stacking Boiler House Material"/>
    <s v="Sugar Division"/>
    <x v="2"/>
    <s v="Mechancial Works"/>
    <s v="50% each in RS and 50% in DS"/>
    <d v="2016-11-12T00:00:00"/>
    <n v="1157371.0194527451"/>
    <n v="0"/>
    <n v="0"/>
    <n v="1157371.0194527451"/>
    <n v="57868.550972637255"/>
    <n v="25"/>
    <n v="3.3890410958904109"/>
    <n v="149050.36202848147"/>
    <n v="4.3890410958904109"/>
    <n v="43980.098739204317"/>
    <n v="193030.46076768578"/>
    <n v="964340.55868505931"/>
  </r>
  <r>
    <n v="2782"/>
    <s v="80 T - Batch Pan ( 2.2.7)"/>
    <s v="Sugar Division"/>
    <x v="2"/>
    <s v="Mechancial Works"/>
    <s v="50% each in RS and 50% in DS"/>
    <d v="2016-11-12T00:00:00"/>
    <n v="2232295.3864038149"/>
    <n v="0"/>
    <n v="0"/>
    <n v="2232295.3864038149"/>
    <n v="111614.76932019075"/>
    <n v="25"/>
    <n v="3.3890410958904109"/>
    <n v="287482.9505021855"/>
    <n v="4.3890410958904109"/>
    <n v="84827.224683344961"/>
    <n v="372310.17518553045"/>
    <n v="1859985.2112182844"/>
  </r>
  <r>
    <n v="2783"/>
    <s v="Continuous Machines 1500Mm Dia(2.1.19)"/>
    <s v="Sugar Division"/>
    <x v="2"/>
    <s v="Mechancial Works"/>
    <s v="50% each in RS and 50% in DS"/>
    <d v="2016-11-12T00:00:00"/>
    <n v="35599353.873642363"/>
    <n v="0"/>
    <n v="0"/>
    <n v="35599353.873642363"/>
    <n v="1779967.6936821183"/>
    <n v="25"/>
    <n v="3.3890410958904109"/>
    <n v="4584611.5840669395"/>
    <n v="4.3890410958904109"/>
    <n v="1352775.4471984098"/>
    <n v="5937387.0312653491"/>
    <n v="29661966.842377014"/>
  </r>
  <r>
    <n v="2784"/>
    <s v="Fire Protection System For Sugar (3.13)"/>
    <s v="Sugar Division"/>
    <x v="2"/>
    <s v="Mechancial Works"/>
    <s v="50% each in RS and 50% in DS"/>
    <d v="2016-11-12T00:00:00"/>
    <n v="7885762.986361498"/>
    <n v="0"/>
    <n v="0"/>
    <n v="7885762.986361498"/>
    <n v="394288.14931807492"/>
    <n v="25"/>
    <n v="3.3890410958904109"/>
    <n v="1015556.6436627632"/>
    <n v="4.3890410958904109"/>
    <n v="299658.99348173692"/>
    <n v="1315215.6371445002"/>
    <n v="6570547.3492169976"/>
  </r>
  <r>
    <n v="2785"/>
    <s v="Juice Heater Horizontal Tubular Heater 105 Sq M. Hs"/>
    <s v="Sugar Division"/>
    <x v="2"/>
    <s v="Mechancial Works"/>
    <s v="50% each in RS and 50% in DS"/>
    <d v="2016-11-12T00:00:00"/>
    <n v="1904619.6993080664"/>
    <n v="0"/>
    <n v="0"/>
    <n v="1904619.6993080664"/>
    <n v="95230.984965403331"/>
    <n v="25"/>
    <n v="3.3890410958904109"/>
    <n v="245283.70845390399"/>
    <n v="4.3890410958904109"/>
    <n v="72375.548573706517"/>
    <n v="317659.2570276105"/>
    <n v="1586960.442280456"/>
  </r>
  <r>
    <n v="2786"/>
    <s v="Juice Heaters Modification ( 2.1.5)"/>
    <s v="Sugar Division"/>
    <x v="2"/>
    <s v="Mechancial Works"/>
    <s v="50% each in RS and 50% in DS"/>
    <d v="2016-11-12T00:00:00"/>
    <n v="3704.2938677132925"/>
    <n v="0"/>
    <n v="0"/>
    <n v="3704.2938677132925"/>
    <n v="185.21469338566465"/>
    <n v="25"/>
    <n v="3.3890410958904109"/>
    <n v="477.05215765953704"/>
    <n v="4.3890410958904109"/>
    <n v="140.76316697310511"/>
    <n v="617.81532463264216"/>
    <n v="3086.4785430806505"/>
  </r>
  <r>
    <n v="2787"/>
    <s v="Juice Heaters Vljh-500 Sq.M Hs"/>
    <s v="Sugar Division"/>
    <x v="2"/>
    <s v="Mechancial Works"/>
    <s v="50% each in RS and 50% in DS"/>
    <d v="2016-11-12T00:00:00"/>
    <n v="4878582.1428088201"/>
    <n v="0"/>
    <n v="0"/>
    <n v="4878582.1428088201"/>
    <n v="243929.10714044102"/>
    <n v="25"/>
    <n v="3.3890410958904109"/>
    <n v="628281.18412293529"/>
    <n v="4.3890410958904109"/>
    <n v="185386.12142673516"/>
    <n v="813667.30554967048"/>
    <n v="4064914.8372591496"/>
  </r>
  <r>
    <n v="2788"/>
    <s v="Juice Heater Tubular Heater-250Sq M Hs(2.1.3)"/>
    <s v="Sugar Division"/>
    <x v="2"/>
    <s v="Mechancial Works"/>
    <s v="50% each in RS and 50% in DS"/>
    <d v="2016-11-12T00:00:00"/>
    <n v="2550158.4068653821"/>
    <n v="0"/>
    <n v="0"/>
    <n v="2550158.4068653821"/>
    <n v="127507.92034326911"/>
    <n v="25"/>
    <n v="3.3890410958904109"/>
    <n v="328418.48239209357"/>
    <n v="4.3890410958904109"/>
    <n v="96906.01946088452"/>
    <n v="425324.50185297808"/>
    <n v="2124833.9050124041"/>
  </r>
  <r>
    <n v="2789"/>
    <s v="Pan Supply Tanks ( 2.1.17)"/>
    <s v="Sugar Division"/>
    <x v="2"/>
    <s v="Mechancial Works"/>
    <s v="50% each in RS and 50% in DS"/>
    <d v="2016-11-12T00:00:00"/>
    <n v="17179155.693197593"/>
    <n v="0"/>
    <n v="0"/>
    <n v="17179155.693197593"/>
    <n v="858957.78465987975"/>
    <n v="25"/>
    <n v="3.3890410958904109"/>
    <n v="2212392.8562039617"/>
    <n v="4.3890410958904109"/>
    <n v="652807.91634150862"/>
    <n v="2865200.7725454704"/>
    <n v="14313954.920652123"/>
  </r>
  <r>
    <n v="2790"/>
    <s v="Shifting &amp; Re-Erection Of Existing Equipment"/>
    <s v="Sugar Division"/>
    <x v="2"/>
    <s v="Mechancial Works"/>
    <s v="50% each in RS and 50% in DS"/>
    <d v="2016-11-12T00:00:00"/>
    <n v="981989.32588264544"/>
    <n v="0"/>
    <n v="0"/>
    <n v="981989.32588264544"/>
    <n v="49099.466294132275"/>
    <n v="25"/>
    <n v="3.3890410958904109"/>
    <n v="126464.08288339624"/>
    <n v="4.3890410958904109"/>
    <n v="37315.594383540527"/>
    <n v="163779.67726693678"/>
    <n v="818209.64861570869"/>
  </r>
  <r>
    <n v="2791"/>
    <s v="Strctures, Piping &amp; Calves ( Raw Sugar) Boiling Hou"/>
    <s v="Sugar Division"/>
    <x v="2"/>
    <s v="Mechancial Works"/>
    <s v="50% each in RS and 50% in DS"/>
    <d v="2016-11-12T00:00:00"/>
    <n v="198915459.06141996"/>
    <n v="0"/>
    <n v="0"/>
    <n v="198915459.06141996"/>
    <n v="9945772.9530709982"/>
    <n v="25"/>
    <n v="3.3890410958904109"/>
    <n v="15485602.283948235"/>
    <n v="4.3890410958904109"/>
    <n v="12558787.444333959"/>
    <n v="26553924.728282195"/>
    <n v="193220214.33313778"/>
  </r>
  <r>
    <n v="2792"/>
    <s v="Sugar Melter ( 2.1.20)"/>
    <s v="Sugar Division"/>
    <x v="2"/>
    <s v="Mechancial Works"/>
    <s v="50% each in RS and 50% in DS"/>
    <d v="2016-11-12T00:00:00"/>
    <n v="604626.36080797855"/>
    <n v="0"/>
    <n v="0"/>
    <n v="604626.36080797855"/>
    <n v="30231.318040398928"/>
    <n v="25"/>
    <n v="3.3890410958904109"/>
    <n v="77865.936208602317"/>
    <n v="4.3890410958904109"/>
    <n v="22975.801710703188"/>
    <n v="100841.73791930551"/>
    <n v="503784.62288867304"/>
  </r>
  <r>
    <n v="2793"/>
    <s v="Syrup Clarifier (2.1.12)"/>
    <s v="Sugar Division"/>
    <x v="2"/>
    <s v="Mechancial Works"/>
    <s v="50% each in RS and 50% in DS"/>
    <d v="2016-11-12T00:00:00"/>
    <n v="5081514.6758285537"/>
    <n v="0"/>
    <n v="0"/>
    <n v="5081514.6758285537"/>
    <n v="254075.73379142769"/>
    <n v="25"/>
    <n v="3.3890410958904109"/>
    <n v="654415.55849862192"/>
    <n v="4.3890410958904109"/>
    <n v="193097.55768148505"/>
    <n v="847513.116180107"/>
    <n v="4234001.5596484467"/>
  </r>
  <r>
    <n v="2794"/>
    <s v="Molasses New Tank 100000 Cap."/>
    <s v="Sugar Division"/>
    <x v="9"/>
    <s v="Molasses tank"/>
    <s v="Distillery division"/>
    <d v="2018-01-27T00:00:00"/>
    <n v="29853865.120000001"/>
    <n v="0"/>
    <n v="0"/>
    <n v="29853865.120000001"/>
    <n v="1492693.2560000001"/>
    <n v="15"/>
    <n v="2.1808219178082191"/>
    <n v="4123377.6810491323"/>
    <n v="3.1808219178082191"/>
    <n v="1890744.7909333333"/>
    <n v="6014122.4719824661"/>
    <n v="23839742.648017533"/>
  </r>
  <r>
    <n v="2795"/>
    <s v="100 T Batch Pan"/>
    <s v="Sugar Division"/>
    <x v="2"/>
    <s v="Mechancial Works"/>
    <s v="50% each in RS and 50% in DS"/>
    <d v="2018-01-01T00:00:00"/>
    <n v="2216592.3396951747"/>
    <n v="0"/>
    <n v="0"/>
    <n v="2216592.3396951747"/>
    <n v="110829.61698475874"/>
    <n v="25"/>
    <n v="2.2520547945205478"/>
    <n v="189691.72143210543"/>
    <n v="3.2520547945205478"/>
    <n v="84230.508908416654"/>
    <n v="273922.23034052207"/>
    <n v="1942670.1093546527"/>
  </r>
  <r>
    <n v="2796"/>
    <s v="50 T  Batch Pan"/>
    <s v="Sugar Division"/>
    <x v="2"/>
    <s v="Mechancial Works"/>
    <s v="50% each in RS and 50% in DS"/>
    <d v="2018-01-01T00:00:00"/>
    <n v="4693.7692512831263"/>
    <n v="0"/>
    <n v="0"/>
    <n v="4693.7692512831263"/>
    <n v="234.68846256415634"/>
    <n v="25"/>
    <n v="2.2520547945205478"/>
    <n v="401.6837707755609"/>
    <n v="3.2520547945205478"/>
    <n v="178.36323154875882"/>
    <n v="580.04700232431969"/>
    <n v="4113.7222489588066"/>
  </r>
  <r>
    <n v="2797"/>
    <s v="A'Batch Machine-1750 Kg/Change"/>
    <s v="Sugar Division"/>
    <x v="2"/>
    <s v="Mechancial Works"/>
    <s v="50% each in RS and 50% in DS"/>
    <d v="2018-01-01T00:00:00"/>
    <n v="1845821.7605920311"/>
    <n v="0"/>
    <n v="0"/>
    <n v="1845821.7605920311"/>
    <n v="92291.088029601553"/>
    <n v="25"/>
    <n v="2.2520547945205478"/>
    <n v="157961.8863393224"/>
    <n v="3.2520547945205478"/>
    <n v="70141.226902497176"/>
    <n v="228103.11324181958"/>
    <n v="1617718.6473502114"/>
  </r>
  <r>
    <n v="2798"/>
    <s v="Adm Building"/>
    <s v="Sugar Division"/>
    <x v="2"/>
    <s v="Mechancial Works"/>
    <s v="Common"/>
    <d v="2018-01-01T00:00:00"/>
    <n v="4414027.3090277817"/>
    <n v="0"/>
    <n v="0"/>
    <n v="4414027.3090277817"/>
    <n v="220701.36545138911"/>
    <n v="25"/>
    <n v="2.2520547945205478"/>
    <n v="377743.99184874457"/>
    <n v="3.2520547945205478"/>
    <n v="167733.0377430557"/>
    <n v="545477.0295918003"/>
    <n v="3868550.2794359815"/>
  </r>
  <r>
    <n v="2799"/>
    <s v="Air Compressors For Sugar"/>
    <s v="Sugar Division"/>
    <x v="2"/>
    <s v="Mechancial Works"/>
    <s v="50% each in RS and 50% in DS"/>
    <d v="2018-01-01T00:00:00"/>
    <n v="662945.51757778111"/>
    <n v="0"/>
    <n v="0"/>
    <n v="662945.51757778111"/>
    <n v="33147.275878889057"/>
    <n v="25"/>
    <n v="2.2520547945205478"/>
    <n v="56733.60599194403"/>
    <n v="3.2520547945205478"/>
    <n v="25191.929667955683"/>
    <n v="81925.535659899717"/>
    <n v="581019.98191788141"/>
  </r>
  <r>
    <n v="2800"/>
    <s v="Air Conditioning System "/>
    <s v="Sugar Division"/>
    <x v="2"/>
    <s v="Mechancial Works"/>
    <s v="50% each in RS and 50% in DS"/>
    <d v="2018-01-01T00:00:00"/>
    <n v="17379.590962993476"/>
    <n v="0"/>
    <n v="0"/>
    <n v="17379.590962993476"/>
    <n v="868.97954814967386"/>
    <n v="25"/>
    <n v="2.2520547945205478"/>
    <n v="1487.3120638905868"/>
    <n v="3.2520547945205478"/>
    <n v="660.4244565937521"/>
    <n v="2147.7365204843391"/>
    <n v="15231.854442509137"/>
  </r>
  <r>
    <n v="2801"/>
    <s v="Bag Handling Sytem"/>
    <s v="Sugar Division"/>
    <x v="2"/>
    <s v="Mechancial Works"/>
    <s v="RS Costing"/>
    <d v="2018-01-15T00:00:00"/>
    <n v="51340412.331409134"/>
    <n v="0"/>
    <n v="0"/>
    <n v="51340412.331409134"/>
    <n v="2567020.6165704569"/>
    <n v="25"/>
    <n v="2.2136986301369861"/>
    <n v="4318783.6170509206"/>
    <n v="3.2136986301369861"/>
    <n v="1950935.6685935471"/>
    <n v="6269719.2856444679"/>
    <n v="45070693.04576467"/>
  </r>
  <r>
    <n v="2802"/>
    <s v="Balance Of Plant Instrument "/>
    <s v="Sugar Division"/>
    <x v="2"/>
    <s v="Mechancial Works"/>
    <s v="50% each in RS and 50% in DS"/>
    <d v="2018-01-01T00:00:00"/>
    <n v="1486020.937200974"/>
    <n v="0"/>
    <n v="0"/>
    <n v="1486020.937200974"/>
    <n v="74301.046860048707"/>
    <n v="25"/>
    <n v="2.2520547945205478"/>
    <n v="127170.8219024921"/>
    <n v="3.2520547945205478"/>
    <n v="56468.795613637012"/>
    <n v="183639.6175161291"/>
    <n v="1302381.3196848449"/>
  </r>
  <r>
    <n v="2803"/>
    <s v="Bore-Well 1No. And Mag Flow"/>
    <s v="Sugar Division"/>
    <x v="2"/>
    <s v="Mechancial Works"/>
    <s v="Common"/>
    <d v="2018-01-01T00:00:00"/>
    <n v="845161.79579647293"/>
    <n v="0"/>
    <n v="0"/>
    <n v="845161.79579647293"/>
    <n v="42258.089789823651"/>
    <n v="25"/>
    <n v="2.2520547945205478"/>
    <n v="72327.325626023638"/>
    <n v="3.2520547945205478"/>
    <n v="32116.148240265971"/>
    <n v="104443.47386628961"/>
    <n v="740718.32193018333"/>
  </r>
  <r>
    <n v="2804"/>
    <s v="Bore-Well Mag Flow Meter"/>
    <s v="Sugar Division"/>
    <x v="2"/>
    <s v="Mechancial Works"/>
    <s v="Common"/>
    <d v="2018-01-01T00:00:00"/>
    <n v="646083.08329234505"/>
    <n v="0"/>
    <n v="0"/>
    <n v="646083.08329234505"/>
    <n v="32304.154164617255"/>
    <n v="25"/>
    <n v="2.2520547945205478"/>
    <n v="55290.551204711475"/>
    <n v="3.2520547945205478"/>
    <n v="24551.157165109111"/>
    <n v="79841.708369820582"/>
    <n v="566241.37492252444"/>
  </r>
  <r>
    <n v="2805"/>
    <s v="Cables (1.4) Electricals"/>
    <s v="Sugar Division"/>
    <x v="2"/>
    <s v="Electrical Works"/>
    <s v="50% each in RS and 50% in DS"/>
    <d v="2018-01-01T00:00:00"/>
    <n v="108010.48592805806"/>
    <n v="0"/>
    <n v="0"/>
    <n v="108010.48592805806"/>
    <n v="5400.524296402903"/>
    <n v="25"/>
    <n v="2.2520547945205478"/>
    <n v="9243.3302423255391"/>
    <n v="3.2520547945205478"/>
    <n v="4104.3984652662066"/>
    <n v="13347.728707591745"/>
    <n v="94662.757220466316"/>
  </r>
  <r>
    <n v="2806"/>
    <s v="Cane Carrier"/>
    <s v="Sugar Division"/>
    <x v="2"/>
    <s v="Cane yard"/>
    <s v="Juice Costing"/>
    <d v="2018-01-01T00:00:00"/>
    <n v="922745.39661529718"/>
    <n v="0"/>
    <n v="0"/>
    <n v="922745.39661529718"/>
    <n v="46137.269830764861"/>
    <n v="25"/>
    <n v="2.2520547945205478"/>
    <n v="78966.781393631303"/>
    <n v="3.2520547945205478"/>
    <n v="35064.325071381296"/>
    <n v="114031.10646501259"/>
    <n v="808714.29015028453"/>
  </r>
  <r>
    <n v="2807"/>
    <s v="Cane Weighbridge 50 T Capacity"/>
    <s v="Sugar Division"/>
    <x v="2"/>
    <s v="Weighbridge"/>
    <s v="Upto gate"/>
    <d v="2018-01-01T00:00:00"/>
    <n v="736869.47804043384"/>
    <n v="0"/>
    <n v="0"/>
    <n v="736869.47804043384"/>
    <n v="36843.473902021695"/>
    <n v="25"/>
    <n v="2.2520547945205478"/>
    <n v="63059.876756358877"/>
    <n v="3.2520547945205478"/>
    <n v="28001.040165536488"/>
    <n v="91060.916921895361"/>
    <n v="645808.56111853849"/>
  </r>
  <r>
    <n v="2808"/>
    <s v="Cane Yard"/>
    <s v="Sugar Division"/>
    <x v="2"/>
    <s v="Cane yard"/>
    <s v="Upto gate"/>
    <d v="2018-01-01T00:00:00"/>
    <n v="374579.47065971792"/>
    <n v="0"/>
    <n v="0"/>
    <n v="374579.47065971792"/>
    <n v="18728.973532985896"/>
    <n v="25"/>
    <n v="2.2520547945205478"/>
    <n v="32055.792727471093"/>
    <n v="3.2520547945205478"/>
    <n v="14234.019885069281"/>
    <n v="46289.812612540372"/>
    <n v="328289.65804717754"/>
  </r>
  <r>
    <n v="2809"/>
    <s v="Cane Yard Toilet"/>
    <s v="Sugar Division"/>
    <x v="2"/>
    <s v="Cane yard"/>
    <s v="Upto gate"/>
    <d v="2018-01-01T00:00:00"/>
    <n v="665235.40406231408"/>
    <n v="0"/>
    <n v="0"/>
    <n v="665235.40406231408"/>
    <n v="33261.770203115702"/>
    <n v="25"/>
    <n v="2.2520547945205478"/>
    <n v="56929.570085727239"/>
    <n v="3.2520547945205478"/>
    <n v="25278.945354367937"/>
    <n v="82208.515440095172"/>
    <n v="583026.88862221886"/>
  </r>
  <r>
    <n v="2810"/>
    <s v="Centrifugal Machine"/>
    <s v="Sugar Division"/>
    <x v="2"/>
    <s v="Mechancial Works"/>
    <s v="50% each in RS and 50% in DS"/>
    <d v="2018-01-01T00:00:00"/>
    <n v="2717086.6298411493"/>
    <n v="0"/>
    <n v="0"/>
    <n v="2717086.6298411493"/>
    <n v="135854.33149205748"/>
    <n v="25"/>
    <n v="2.2520547945205478"/>
    <n v="232523.06293073462"/>
    <n v="3.2520547945205478"/>
    <n v="103249.29193396367"/>
    <n v="335772.35486469831"/>
    <n v="2381314.2749764509"/>
  </r>
  <r>
    <n v="2811"/>
    <s v="Centrifugal Pumps With Base Frame"/>
    <s v="Sugar Division"/>
    <x v="2"/>
    <s v="Mechancial Works"/>
    <s v="50% each in RS and 50% in DS"/>
    <d v="2018-01-01T00:00:00"/>
    <n v="1229858.1136979403"/>
    <n v="0"/>
    <n v="0"/>
    <n v="1229858.1136979403"/>
    <n v="61492.905684897014"/>
    <n v="25"/>
    <n v="2.2520547945205478"/>
    <n v="105248.89873827084"/>
    <n v="3.2520547945205478"/>
    <n v="46734.608320521729"/>
    <n v="151983.50705879257"/>
    <n v="1077874.6066391477"/>
  </r>
  <r>
    <n v="2812"/>
    <s v="Complete Refinery Process Plant"/>
    <s v="Sugar Division"/>
    <x v="2"/>
    <s v="Mechancial Works"/>
    <s v="RS Costing"/>
    <d v="2018-01-15T00:00:00"/>
    <n v="9029342.7348389104"/>
    <n v="0"/>
    <n v="0"/>
    <n v="9029342.7348389104"/>
    <n v="451467.13674194552"/>
    <n v="25"/>
    <n v="2.2136986301369861"/>
    <n v="759553.25843970932"/>
    <n v="3.2136986301369861"/>
    <n v="343115.02392387862"/>
    <n v="1102668.282363588"/>
    <n v="7926674.4524753224"/>
  </r>
  <r>
    <n v="2813"/>
    <s v="Computer &amp; Printer"/>
    <s v="Sugar Division"/>
    <x v="2"/>
    <s v="Mechancial Works"/>
    <s v="Common"/>
    <d v="2018-01-01T00:00:00"/>
    <n v="2095939.8874212592"/>
    <n v="0"/>
    <n v="0"/>
    <n v="2095939.8874212592"/>
    <n v="104796.99437106296"/>
    <n v="25"/>
    <n v="2.2520547945205478"/>
    <n v="179366.51595476834"/>
    <n v="3.2520547945205478"/>
    <n v="79645.715722007852"/>
    <n v="259012.23167677619"/>
    <n v="1836927.655744483"/>
  </r>
  <r>
    <n v="2814"/>
    <s v="Condensers For Evaporators"/>
    <s v="Sugar Division"/>
    <x v="2"/>
    <s v="Mechancial Works"/>
    <s v="50% each in RS and 50% in DS"/>
    <d v="2018-01-01T00:00:00"/>
    <n v="683712.53204665217"/>
    <n v="0"/>
    <n v="0"/>
    <n v="683712.53204665217"/>
    <n v="34185.62660233261"/>
    <n v="25"/>
    <n v="2.2520547945205478"/>
    <n v="58510.80726303898"/>
    <n v="3.2520547945205478"/>
    <n v="25981.076217772785"/>
    <n v="84491.883480811768"/>
    <n v="599220.64856584044"/>
  </r>
  <r>
    <n v="2815"/>
    <s v="Continuous Machines 1500Mm Dia"/>
    <s v="Sugar Division"/>
    <x v="2"/>
    <s v="Mechancial Works"/>
    <s v="50% each in RS and 50% in DS"/>
    <d v="2018-01-15T00:00:00"/>
    <n v="15562135.438695606"/>
    <n v="0"/>
    <n v="0"/>
    <n v="15562135.438695606"/>
    <n v="778106.77193478029"/>
    <n v="25"/>
    <n v="2.2136986301369861"/>
    <n v="1309095.3603005749"/>
    <n v="3.2136986301369861"/>
    <n v="591361.14667043299"/>
    <n v="1900456.5069710079"/>
    <n v="13661678.931724599"/>
  </r>
  <r>
    <n v="2816"/>
    <s v="Contracts Package (Cable Tray)"/>
    <s v="Sugar Division"/>
    <x v="2"/>
    <s v="Mechancial Works"/>
    <s v="50% each in RS and 50% in DS"/>
    <d v="2018-01-01T00:00:00"/>
    <n v="10837.036739505693"/>
    <n v="0"/>
    <n v="0"/>
    <n v="10837.036739505693"/>
    <n v="541.85183697528464"/>
    <n v="25"/>
    <n v="2.2520547945205478"/>
    <n v="927.41282080876647"/>
    <n v="3.2520547945205478"/>
    <n v="411.80739610121628"/>
    <n v="1339.2202169099828"/>
    <n v="9497.8165225957091"/>
  </r>
  <r>
    <n v="2817"/>
    <s v="Cooling Tower"/>
    <s v="Sugar Division"/>
    <x v="2"/>
    <s v="Cooling Tower"/>
    <s v="Utilities - Cooling Tower"/>
    <d v="2018-01-01T00:00:00"/>
    <n v="1834184.9168057209"/>
    <n v="0"/>
    <n v="0"/>
    <n v="1834184.9168057209"/>
    <n v="91709.24584028605"/>
    <n v="25"/>
    <n v="2.2520547945205478"/>
    <n v="156966.02756532462"/>
    <n v="3.2520547945205478"/>
    <n v="69699.026838617385"/>
    <n v="226665.05440394202"/>
    <n v="1607519.8624017788"/>
  </r>
  <r>
    <n v="2818"/>
    <s v="Cot Crane"/>
    <s v="Sugar Division"/>
    <x v="2"/>
    <s v="Mechancial Works"/>
    <s v="Juice Costing"/>
    <d v="2018-01-01T00:00:00"/>
    <n v="489971.88452883769"/>
    <n v="0"/>
    <n v="0"/>
    <n v="489971.88452883769"/>
    <n v="24498.594226441885"/>
    <n v="25"/>
    <n v="2.2520547945205478"/>
    <n v="41930.854205870608"/>
    <n v="3.2520547945205478"/>
    <n v="18618.931612095832"/>
    <n v="60549.78581796644"/>
    <n v="429422.09871087124"/>
  </r>
  <r>
    <n v="2819"/>
    <s v="Crystallisers(2.1.16)"/>
    <s v="Sugar Division"/>
    <x v="2"/>
    <s v="Mechancial Works"/>
    <s v="50% each in RS and 50% in DS"/>
    <d v="2018-01-01T00:00:00"/>
    <n v="316793.21265715681"/>
    <n v="0"/>
    <n v="0"/>
    <n v="316793.21265715681"/>
    <n v="15839.660632857842"/>
    <n v="25"/>
    <n v="2.2520547945205478"/>
    <n v="27110.555590572469"/>
    <n v="3.2520547945205478"/>
    <n v="12038.14208097196"/>
    <n v="39148.697671544433"/>
    <n v="277644.51498561236"/>
  </r>
  <r>
    <n v="2820"/>
    <s v="Cutter Shredder"/>
    <s v="Sugar Division"/>
    <x v="2"/>
    <s v="Mechancial Works"/>
    <s v="Juice Costing"/>
    <d v="2018-01-01T00:00:00"/>
    <n v="3926646.2113643293"/>
    <n v="0"/>
    <n v="0"/>
    <n v="3926646.2113643293"/>
    <n v="196332.31056821649"/>
    <n v="25"/>
    <n v="2.2520547945205478"/>
    <n v="336034.85221418127"/>
    <n v="3.2520547945205478"/>
    <n v="149212.55603184452"/>
    <n v="485247.40824602579"/>
    <n v="3441398.8031183034"/>
  </r>
  <r>
    <n v="2821"/>
    <s v="Distributed Control Systems"/>
    <s v="Sugar Division"/>
    <x v="2"/>
    <s v="Mechancial Works"/>
    <s v="50% each in RS and 50% in DS"/>
    <d v="2018-01-01T00:00:00"/>
    <n v="582393.86307123478"/>
    <n v="0"/>
    <n v="0"/>
    <n v="582393.86307123478"/>
    <n v="29119.69315356174"/>
    <n v="25"/>
    <n v="2.2520547945205478"/>
    <n v="49840.149881898862"/>
    <n v="3.2520547945205478"/>
    <n v="22130.966796706922"/>
    <n v="71971.116678605787"/>
    <n v="510422.74639262899"/>
  </r>
  <r>
    <n v="2822"/>
    <s v="Effluent Treatment Plant(2.1.2)"/>
    <s v="Sugar Division"/>
    <x v="2"/>
    <s v="Mechancial Works"/>
    <s v="Utilities - ETP"/>
    <d v="2018-01-01T00:00:00"/>
    <n v="230400.63213701776"/>
    <n v="0"/>
    <n v="0"/>
    <n v="230400.63213701776"/>
    <n v="11520.031606850889"/>
    <n v="25"/>
    <n v="2.2520547945205478"/>
    <n v="19717.244234059963"/>
    <n v="3.2520547945205478"/>
    <n v="8755.2240212066754"/>
    <n v="28472.468255266638"/>
    <n v="201928.16388175113"/>
  </r>
  <r>
    <n v="2823"/>
    <s v="Evoporators Including Staging"/>
    <s v="Sugar Division"/>
    <x v="2"/>
    <s v="Mechancial Works"/>
    <s v="50% each in RS and 50% in DS"/>
    <d v="2018-01-01T00:00:00"/>
    <n v="301677.11886943318"/>
    <n v="0"/>
    <n v="0"/>
    <n v="301677.11886943318"/>
    <n v="15083.855943471659"/>
    <n v="25"/>
    <n v="2.2520547945205478"/>
    <n v="25816.949273987982"/>
    <n v="3.2520547945205478"/>
    <n v="11463.730517038461"/>
    <n v="37280.679791026443"/>
    <n v="264396.43907840672"/>
  </r>
  <r>
    <n v="2824"/>
    <s v="Extation Of Cane Carrier"/>
    <s v="Sugar Division"/>
    <x v="2"/>
    <s v="Mechancial Works"/>
    <s v="Juice Costing"/>
    <d v="2018-01-01T00:00:00"/>
    <n v="6643787.0148027819"/>
    <n v="0"/>
    <n v="0"/>
    <n v="6643787.0148027819"/>
    <n v="332189.35074013914"/>
    <n v="25"/>
    <n v="2.2520547945205478"/>
    <n v="568562.55121747858"/>
    <n v="3.2520547945205478"/>
    <n v="252463.9065625057"/>
    <n v="821026.45777998422"/>
    <n v="5822760.5570227979"/>
  </r>
  <r>
    <n v="2825"/>
    <s v="Fabrication &amp; Erection Refinery"/>
    <s v="Sugar Division"/>
    <x v="2"/>
    <s v="Mechancial Works"/>
    <s v="50% each in RS and 50% in DS"/>
    <d v="2018-01-01T00:00:00"/>
    <n v="7358816.2554872232"/>
    <n v="0"/>
    <n v="0"/>
    <n v="7358816.2554872232"/>
    <n v="367940.81277436117"/>
    <n v="25"/>
    <n v="2.2520547945205478"/>
    <n v="629753.38234629831"/>
    <n v="3.2520547945205478"/>
    <n v="279635.01770851447"/>
    <n v="909388.40005481278"/>
    <n v="6449427.8554324107"/>
  </r>
  <r>
    <n v="2826"/>
    <s v="Fire Fighting Sysrem"/>
    <s v="Sugar Division"/>
    <x v="2"/>
    <s v="Mechancial Works"/>
    <s v="Common"/>
    <d v="2018-01-01T00:00:00"/>
    <n v="1027566.7304838335"/>
    <n v="0"/>
    <n v="0"/>
    <n v="1027566.7304838335"/>
    <n v="51378.336524191676"/>
    <n v="25"/>
    <n v="2.2520547945205478"/>
    <n v="87937.190118884988"/>
    <n v="3.2520547945205478"/>
    <n v="39047.535758385675"/>
    <n v="126984.72587727066"/>
    <n v="900582.00460656278"/>
  </r>
  <r>
    <n v="2827"/>
    <s v="Foundation &amp; Civil Work For Juce Heater"/>
    <s v="Sugar Division"/>
    <x v="2"/>
    <s v="Mechancial Works"/>
    <s v="50% each in RS and 50% in DS"/>
    <d v="2018-01-01T00:00:00"/>
    <n v="2695204.9696856006"/>
    <n v="0"/>
    <n v="0"/>
    <n v="2695204.9696856006"/>
    <n v="134760.24848428005"/>
    <n v="25"/>
    <n v="2.2520547945205478"/>
    <n v="230650.47241945044"/>
    <n v="3.2520547945205478"/>
    <n v="102417.78884805283"/>
    <n v="333068.26126750326"/>
    <n v="2362136.7084180973"/>
  </r>
  <r>
    <n v="2828"/>
    <s v="Furniture For Sugar Process"/>
    <s v="Sugar Division"/>
    <x v="2"/>
    <s v="Mechancial Works"/>
    <s v="50% each in RS and 50% in DS"/>
    <d v="2018-01-01T00:00:00"/>
    <n v="759449.21555080824"/>
    <n v="0"/>
    <n v="0"/>
    <n v="759449.21555080824"/>
    <n v="37972.460777540415"/>
    <n v="25"/>
    <n v="2.2520547945205478"/>
    <n v="64992.207388890529"/>
    <n v="3.2520547945205478"/>
    <n v="28859.07019093071"/>
    <n v="93851.277579821239"/>
    <n v="665597.93797098706"/>
  </r>
  <r>
    <n v="2829"/>
    <s v="Juice Clearification"/>
    <s v="Sugar Division"/>
    <x v="2"/>
    <s v="Mechancial Works"/>
    <s v="50% each in RS and 50% in DS"/>
    <d v="2018-01-01T00:00:00"/>
    <n v="727132.1111410642"/>
    <n v="0"/>
    <n v="0"/>
    <n v="727132.1111410642"/>
    <n v="36356.605557053212"/>
    <n v="25"/>
    <n v="2.2520547945205478"/>
    <n v="62226.571571513094"/>
    <n v="3.2520547945205478"/>
    <n v="27631.02022336044"/>
    <n v="89857.59179487353"/>
    <n v="637274.51934619062"/>
  </r>
  <r>
    <n v="2830"/>
    <s v="Juice Heaters Modification"/>
    <s v="Sugar Division"/>
    <x v="2"/>
    <s v="Mechancial Works"/>
    <s v="50% each in RS and 50% in DS"/>
    <d v="2018-01-01T00:00:00"/>
    <n v="38319.259995222368"/>
    <n v="0"/>
    <n v="0"/>
    <n v="38319.259995222368"/>
    <n v="1915.9629997611185"/>
    <n v="25"/>
    <n v="2.2520547945205478"/>
    <n v="3279.2887813993584"/>
    <n v="3.2520547945205478"/>
    <n v="1456.13187981845"/>
    <n v="4735.4206612178086"/>
    <n v="33583.839334004559"/>
  </r>
  <r>
    <n v="2831"/>
    <s v="L T Package (1.2) Electrical W"/>
    <s v="Sugar Division"/>
    <x v="2"/>
    <s v="Electrical Works"/>
    <s v="50% each in RS and 50% in DS"/>
    <d v="2018-01-01T00:00:00"/>
    <n v="5696524.8879169803"/>
    <n v="0"/>
    <n v="0"/>
    <n v="5696524.8879169803"/>
    <n v="284826.244395849"/>
    <n v="25"/>
    <n v="2.2520547945205478"/>
    <n v="487497.67506568431"/>
    <n v="3.2520547945205478"/>
    <n v="216467.94574084526"/>
    <n v="703965.62080652954"/>
    <n v="4992559.2671104511"/>
  </r>
  <r>
    <n v="2832"/>
    <s v="Milling &amp; Mcc Rooms"/>
    <s v="Sugar Division"/>
    <x v="2"/>
    <s v="Mechancial Works"/>
    <s v="Juice Costing"/>
    <d v="2018-01-01T00:00:00"/>
    <n v="11336926.807852417"/>
    <n v="0"/>
    <n v="0"/>
    <n v="11336926.807852417"/>
    <n v="566846.34039262088"/>
    <n v="25"/>
    <n v="2.2520547945205478"/>
    <n v="970192.45416459756"/>
    <n v="3.2520547945205478"/>
    <n v="430803.21869839187"/>
    <n v="1400995.6728629894"/>
    <n v="9935931.1349894274"/>
  </r>
  <r>
    <n v="2833"/>
    <s v="Mills"/>
    <s v="Sugar Division"/>
    <x v="2"/>
    <s v="Mechancial Works"/>
    <s v="Juice Costing"/>
    <d v="2018-01-01T00:00:00"/>
    <n v="8921679.3911088519"/>
    <n v="0"/>
    <n v="0"/>
    <n v="8921679.3911088519"/>
    <n v="446083.96955544263"/>
    <n v="25"/>
    <n v="2.2520547945205478"/>
    <n v="763500.21222103038"/>
    <n v="3.2520547945205478"/>
    <n v="339023.81686213636"/>
    <n v="1102524.0290831667"/>
    <n v="7819155.3620256856"/>
  </r>
  <r>
    <n v="2834"/>
    <s v="Modification In The Existing L"/>
    <s v="Sugar Division"/>
    <x v="2"/>
    <s v="Mechancial Works"/>
    <s v="Juice Costing"/>
    <d v="2018-01-01T00:00:00"/>
    <n v="597246.90536509256"/>
    <n v="0"/>
    <n v="0"/>
    <n v="597246.90536509256"/>
    <n v="29862.34526825463"/>
    <n v="25"/>
    <n v="2.2520547945205478"/>
    <n v="51111.244756120635"/>
    <n v="3.2520547945205478"/>
    <n v="22695.382403873518"/>
    <n v="73806.627159994154"/>
    <n v="523440.27820509841"/>
  </r>
  <r>
    <n v="2835"/>
    <s v="New  Sugar Godown"/>
    <s v="Sugar Division"/>
    <x v="2"/>
    <s v="Mechancial Works"/>
    <s v="Sugar Godown - Distribution"/>
    <d v="2018-01-01T00:00:00"/>
    <n v="356430.91205676977"/>
    <n v="0"/>
    <n v="0"/>
    <n v="356430.91205676977"/>
    <n v="17821.545602838491"/>
    <n v="25"/>
    <n v="2.2520547945205478"/>
    <n v="30502.67388768564"/>
    <n v="3.2520547945205478"/>
    <n v="13544.37465815725"/>
    <n v="44047.048545842888"/>
    <n v="312383.86351092689"/>
  </r>
  <r>
    <n v="2836"/>
    <s v="New Mill House Eot Crane 35"/>
    <s v="Sugar Division"/>
    <x v="2"/>
    <s v="Mechancial Works"/>
    <s v="Juice Costing"/>
    <d v="2018-01-01T00:00:00"/>
    <n v="1401606.425058054"/>
    <n v="0"/>
    <n v="0"/>
    <n v="1401606.425058054"/>
    <n v="70080.321252902708"/>
    <n v="25"/>
    <n v="2.2520547945205478"/>
    <n v="119946.78984414622"/>
    <n v="3.2520547945205478"/>
    <n v="53261.04415220605"/>
    <n v="173207.83399635227"/>
    <n v="1228398.5910617018"/>
  </r>
  <r>
    <n v="2837"/>
    <s v="New Shredded Cane Rake Carrier"/>
    <s v="Sugar Division"/>
    <x v="2"/>
    <s v="Mechancial Works"/>
    <s v="Juice Costing"/>
    <d v="2018-01-01T00:00:00"/>
    <n v="524930.39854620118"/>
    <n v="0"/>
    <n v="0"/>
    <n v="524930.39854620118"/>
    <n v="26246.519927310059"/>
    <n v="25"/>
    <n v="2.2520547945205478"/>
    <n v="44922.536791751067"/>
    <n v="3.2520547945205478"/>
    <n v="19947.355144755646"/>
    <n v="64869.891936506712"/>
    <n v="460060.50660969445"/>
  </r>
  <r>
    <n v="2838"/>
    <s v="Pan &amp; C.F House Of Raw Sugar"/>
    <s v="Sugar Division"/>
    <x v="2"/>
    <s v="Mechancial Works"/>
    <s v="50% each in RS and 50% in DS"/>
    <d v="2018-01-01T00:00:00"/>
    <n v="17700096.225705326"/>
    <n v="0"/>
    <n v="0"/>
    <n v="17700096.225705326"/>
    <n v="885004.8112852663"/>
    <n v="25"/>
    <n v="2.2520547945205478"/>
    <n v="1514740.2896058401"/>
    <n v="3.2520547945205478"/>
    <n v="672603.65657680249"/>
    <n v="2187343.9461826426"/>
    <n v="15512752.279522683"/>
  </r>
  <r>
    <n v="2839"/>
    <s v="Raw Water Piping"/>
    <s v="Sugar Division"/>
    <x v="2"/>
    <s v="Mechancial Works"/>
    <s v="50% each in RS and 50% in DS"/>
    <d v="2018-01-01T00:00:00"/>
    <n v="823439.15169276693"/>
    <n v="0"/>
    <n v="0"/>
    <n v="823439.15169276693"/>
    <n v="41171.957584638352"/>
    <n v="25"/>
    <n v="2.2520547945205478"/>
    <n v="70468.343403493884"/>
    <n v="3.2520547945205478"/>
    <n v="31290.687764325143"/>
    <n v="101759.03116781902"/>
    <n v="721680.12052494788"/>
  </r>
  <r>
    <n v="2840"/>
    <s v="Refind Sugar Process"/>
    <s v="Sugar Division"/>
    <x v="2"/>
    <s v="Mechancial Works"/>
    <s v="RS Costing"/>
    <d v="2018-01-01T00:00:00"/>
    <n v="5683763.7847862663"/>
    <n v="0"/>
    <n v="0"/>
    <n v="5683763.7847862663"/>
    <n v="284188.1892393133"/>
    <n v="25"/>
    <n v="2.2520547945205478"/>
    <n v="486405.60433310631"/>
    <n v="3.2520547945205478"/>
    <n v="215983.02382187813"/>
    <n v="702388.62815498444"/>
    <n v="4981375.1566312816"/>
  </r>
  <r>
    <n v="2841"/>
    <s v="Shifting &amp; Re-Erection Of Exis"/>
    <s v="Sugar Division"/>
    <x v="2"/>
    <s v="Mechancial Works"/>
    <s v="50% each in RS and 50% in DS"/>
    <d v="2018-01-01T00:00:00"/>
    <n v="260704.5977113609"/>
    <n v="0"/>
    <n v="0"/>
    <n v="260704.5977113609"/>
    <n v="13035.229885568046"/>
    <n v="25"/>
    <n v="2.2520547945205478"/>
    <n v="22310.599490717992"/>
    <n v="3.2520547945205478"/>
    <n v="9906.774713031713"/>
    <n v="32217.374203749707"/>
    <n v="228487.2235076112"/>
  </r>
  <r>
    <n v="2842"/>
    <s v="Soil Filling And Brick Out Tru."/>
    <s v="Sugar Division"/>
    <x v="2"/>
    <s v="Mechancial Works"/>
    <s v="Upto gate"/>
    <d v="2018-01-01T00:00:00"/>
    <n v="489189.23226236686"/>
    <n v="0"/>
    <n v="0"/>
    <n v="489189.23226236686"/>
    <n v="24459.461613118343"/>
    <n v="25"/>
    <n v="2.2520547945205478"/>
    <n v="41863.876325882986"/>
    <n v="3.2520547945205478"/>
    <n v="18589.190825969941"/>
    <n v="60453.067151852927"/>
    <n v="428736.16511051392"/>
  </r>
  <r>
    <n v="2843"/>
    <s v="Strctures ,Piping &amp; Calves"/>
    <s v="Sugar Division"/>
    <x v="2"/>
    <s v="Mechancial Works"/>
    <s v="50% each in RS and 50% in DS"/>
    <d v="2018-01-01T00:00:00"/>
    <n v="13141609.122511879"/>
    <n v="0"/>
    <n v="0"/>
    <n v="13141609.122511879"/>
    <n v="657080.45612559398"/>
    <n v="25"/>
    <n v="2.2520547945205478"/>
    <n v="1124633.705618578"/>
    <n v="3.2520547945205478"/>
    <n v="499381.14665545139"/>
    <n v="1624014.8522740295"/>
    <n v="11517594.270237848"/>
  </r>
  <r>
    <n v="2844"/>
    <s v="Tanks And Vesels (3.9)"/>
    <s v="Sugar Division"/>
    <x v="2"/>
    <s v="Mechancial Works"/>
    <s v="50% each in RS and 50% in DS"/>
    <d v="2018-01-01T00:00:00"/>
    <n v="100666.74120773893"/>
    <n v="0"/>
    <n v="0"/>
    <n v="100666.74120773893"/>
    <n v="5033.3370603869471"/>
    <n v="25"/>
    <n v="2.2520547945205478"/>
    <n v="8614.8666530546107"/>
    <n v="3.2520547945205478"/>
    <n v="3825.3361658940798"/>
    <n v="12440.20281894869"/>
    <n v="88226.538388790243"/>
  </r>
  <r>
    <n v="2845"/>
    <s v="Truck Trippler"/>
    <s v="Sugar Division"/>
    <x v="2"/>
    <s v="Mechancial Works"/>
    <s v="Juice Costing"/>
    <d v="2018-01-01T00:00:00"/>
    <n v="62707.178219511858"/>
    <n v="0"/>
    <n v="0"/>
    <n v="62707.178219511858"/>
    <n v="3135.3589109755931"/>
    <n v="25"/>
    <n v="2.2520547945205478"/>
    <n v="5366.3600516840334"/>
    <n v="3.2520547945205478"/>
    <n v="2382.8727723414509"/>
    <n v="7749.2328240254847"/>
    <n v="54957.945395486371"/>
  </r>
  <r>
    <n v="2846"/>
    <s v="Tube Well"/>
    <s v="Sugar Division"/>
    <x v="2"/>
    <s v="Mechancial Works"/>
    <s v="50% each in RS and 50% in DS"/>
    <d v="2018-01-01T00:00:00"/>
    <n v="447546.08370375243"/>
    <n v="0"/>
    <n v="0"/>
    <n v="447546.08370375243"/>
    <n v="22377.304185187622"/>
    <n v="25"/>
    <n v="2.2520547945205478"/>
    <n v="38300.135535809342"/>
    <n v="3.2520547945205478"/>
    <n v="17006.751180742594"/>
    <n v="55306.886716551933"/>
    <n v="392239.19698720053"/>
  </r>
  <r>
    <n v="2847"/>
    <s v="Vfd Package "/>
    <s v="Sugar Division"/>
    <x v="2"/>
    <s v="Mechancial Works"/>
    <s v="50% each in RS and 50% in DS"/>
    <d v="2018-01-01T00:00:00"/>
    <n v="2439557.331443836"/>
    <n v="0"/>
    <n v="0"/>
    <n v="2439557.331443836"/>
    <n v="121977.86657219181"/>
    <n v="25"/>
    <n v="2.2520547945205478"/>
    <n v="208772.63782186207"/>
    <n v="3.2520547945205478"/>
    <n v="92703.178594865763"/>
    <n v="301475.81641672784"/>
    <n v="2138081.5150271081"/>
  </r>
  <r>
    <n v="2848"/>
    <s v="Weigh Bridge 100 Tcapacity"/>
    <s v="Sugar Division"/>
    <x v="2"/>
    <s v="Weighbridge"/>
    <s v="Upto gate"/>
    <d v="2018-01-01T00:00:00"/>
    <n v="4465173.6870974628"/>
    <n v="0"/>
    <n v="0"/>
    <n v="4465173.6870974628"/>
    <n v="223258.68435487314"/>
    <n v="25"/>
    <n v="2.2520547945205478"/>
    <n v="382121.00079500367"/>
    <n v="3.2520547945205478"/>
    <n v="169676.60010970358"/>
    <n v="551797.60090470721"/>
    <n v="3913376.0861927555"/>
  </r>
  <r>
    <n v="2849"/>
    <s v="Weigh Bridge 500 Capacity"/>
    <s v="Sugar Division"/>
    <x v="2"/>
    <s v="Weighbridge"/>
    <s v="Upto gate"/>
    <d v="2018-01-01T00:00:00"/>
    <n v="13488.637762323297"/>
    <n v="0"/>
    <n v="0"/>
    <n v="13488.637762323297"/>
    <n v="674.43188811616483"/>
    <n v="25"/>
    <n v="2.2520547945205478"/>
    <n v="1154.3317510792615"/>
    <n v="3.2520547945205478"/>
    <n v="512.56823496828531"/>
    <n v="1666.8999860475469"/>
    <n v="11821.73777627575"/>
  </r>
  <r>
    <n v="2850"/>
    <s v="Zero Discharge"/>
    <s v="Sugar Division"/>
    <x v="2"/>
    <s v="Mechancial Works"/>
    <s v="50% each in RS and 50% in DS"/>
    <d v="2018-01-01T00:00:00"/>
    <n v="17826919.706698004"/>
    <n v="0"/>
    <n v="0"/>
    <n v="17826919.706698004"/>
    <n v="891345.98533490021"/>
    <n v="25"/>
    <n v="2.2520547945205478"/>
    <n v="1525593.5998860791"/>
    <n v="3.2520547945205478"/>
    <n v="677422.94885452418"/>
    <n v="2203016.548740603"/>
    <n v="15623903.157957401"/>
  </r>
  <r>
    <n v="2851"/>
    <s v="Vfd Fan For Pan"/>
    <s v="Sugar Division"/>
    <x v="2"/>
    <s v="Mechancial Works"/>
    <s v="50% each in RS and 50% in DS"/>
    <d v="2019-02-28T00:00:00"/>
    <n v="681103.19000000006"/>
    <n v="0"/>
    <n v="0"/>
    <n v="681103.19000000006"/>
    <n v="34055.159500000002"/>
    <n v="25"/>
    <n v="1.0931506849315069"/>
    <n v="28292.839908986309"/>
    <n v="2.0931506849315067"/>
    <n v="25881.92122"/>
    <n v="54174.761128986313"/>
    <n v="626928.42887101369"/>
  </r>
  <r>
    <n v="2852"/>
    <s v="Fire Proction System"/>
    <s v="Sugar Division"/>
    <x v="2"/>
    <s v="Mechancial Works"/>
    <s v="Common"/>
    <d v="2019-02-28T00:00:00"/>
    <n v="22697.24"/>
    <n v="0"/>
    <n v="0"/>
    <n v="22697.24"/>
    <n v="1134.8620000000001"/>
    <n v="25"/>
    <n v="1.0931506849315069"/>
    <n v="942.83713117808225"/>
    <n v="2.0931506849315067"/>
    <n v="862.49511999999993"/>
    <n v="1805.3322511780821"/>
    <n v="20891.907748821919"/>
  </r>
  <r>
    <n v="2853"/>
    <s v="Strctures, Piping &amp; Calves ( Raw Sugar) Boiling Hou"/>
    <s v="Sugar Division"/>
    <x v="2"/>
    <s v="Mechancial Works"/>
    <s v="50% each in RS and 50% in DS"/>
    <d v="2019-02-28T00:00:00"/>
    <n v="31065646.18"/>
    <n v="0"/>
    <n v="0"/>
    <n v="31065646.18"/>
    <n v="1553282.3090000001"/>
    <n v="25"/>
    <n v="1.0931506849315069"/>
    <n v="1290458.4311812602"/>
    <n v="2.0931506849315067"/>
    <n v="1180494.5548399999"/>
    <n v="2470952.9860212598"/>
    <n v="28594693.193978742"/>
  </r>
  <r>
    <n v="2854"/>
    <s v="Balance Of Plant Instru For Sugar Plant( C1.2)"/>
    <s v="Sugar Division"/>
    <x v="2"/>
    <s v="Mechancial Works"/>
    <s v="50% each in RS and 50% in DS"/>
    <d v="2019-02-28T00:00:00"/>
    <n v="864971.89"/>
    <n v="0"/>
    <n v="0"/>
    <n v="864971.89"/>
    <n v="43248.594500000007"/>
    <n v="25"/>
    <n v="1.0931506849315069"/>
    <n v="35930.695332000003"/>
    <n v="2.0931506849315067"/>
    <n v="32868.931819999998"/>
    <n v="68799.627152000001"/>
    <n v="796172.26284800004"/>
  </r>
  <r>
    <n v="2855"/>
    <s v="Pakka Molasses Pit (Lagoon)"/>
    <s v="Sugar Division"/>
    <x v="2"/>
    <s v="Molasses tank"/>
    <s v="50% each in RS and 50% in DS"/>
    <d v="2019-02-28T00:00:00"/>
    <n v="10966046.68"/>
    <n v="0"/>
    <n v="0"/>
    <n v="10966046.68"/>
    <n v="548302.33400000003"/>
    <n v="25"/>
    <n v="1.0931506849315069"/>
    <n v="455526.57469084935"/>
    <n v="2.0931506849315067"/>
    <n v="416709.77383999992"/>
    <n v="872236.34853084921"/>
    <n v="10093810.33146915"/>
  </r>
  <r>
    <n v="2856"/>
    <s v="New 48X90 Zero Mill With Grpf"/>
    <s v="Sugar Division"/>
    <x v="2"/>
    <s v="Mechancial Works"/>
    <s v="Juice Costing"/>
    <d v="2019-03-25T00:00:00"/>
    <n v="6827574.1399999997"/>
    <n v="0"/>
    <n v="0"/>
    <n v="6827574.1399999997"/>
    <n v="341378.70699999999"/>
    <n v="25"/>
    <n v="1.0246575342465754"/>
    <n v="265845.16076076712"/>
    <n v="2.0246575342465754"/>
    <n v="259447.81731999997"/>
    <n v="525292.97808076709"/>
    <n v="6302281.1619192325"/>
  </r>
  <r>
    <n v="2857"/>
    <s v="De Shelling &amp; Re-Shelling Feed Roller 3 Nos.Mills"/>
    <s v="Sugar Division"/>
    <x v="2"/>
    <s v="Mechancial Works"/>
    <s v="Juice Costing"/>
    <d v="2019-03-25T00:00:00"/>
    <n v="1150338.8500000001"/>
    <n v="0"/>
    <n v="0"/>
    <n v="1150338.8500000001"/>
    <n v="57516.942500000005"/>
    <n v="25"/>
    <n v="1.0246575342465754"/>
    <n v="44790.72804438357"/>
    <n v="2.0246575342465754"/>
    <n v="43712.876300000011"/>
    <n v="88503.604344383581"/>
    <n v="1061835.2456556165"/>
  </r>
  <r>
    <n v="2858"/>
    <s v="Gear Coupling For Planetary Gear Box-Mills"/>
    <s v="Sugar Division"/>
    <x v="2"/>
    <s v="Mechancial Works"/>
    <s v="Juice Costing"/>
    <d v="2019-03-25T00:00:00"/>
    <n v="686824.36"/>
    <n v="0"/>
    <n v="0"/>
    <n v="686824.36"/>
    <n v="34341.218000000001"/>
    <n v="25"/>
    <n v="1.0246575342465754"/>
    <n v="26742.870696767121"/>
    <n v="2.0246575342465754"/>
    <n v="26099.325680000002"/>
    <n v="52842.196376767126"/>
    <n v="633982.16362323286"/>
  </r>
  <r>
    <n v="2859"/>
    <s v="Hydrulic Trolley With Cabin For Cane Carrier 2 Set"/>
    <s v="Sugar Division"/>
    <x v="2"/>
    <s v="Mechancial Works"/>
    <s v="Juice Costing"/>
    <d v="2019-03-25T00:00:00"/>
    <n v="5802235.2999999998"/>
    <n v="0"/>
    <n v="0"/>
    <n v="5802235.2999999998"/>
    <n v="290111.76500000001"/>
    <n v="25"/>
    <n v="1.0246575342465754"/>
    <n v="225921.55639342466"/>
    <n v="2.0246575342465754"/>
    <n v="220484.94140000001"/>
    <n v="446406.49779342464"/>
    <n v="5355828.8022065749"/>
  </r>
  <r>
    <n v="2860"/>
    <s v="Bag Handling Sytem"/>
    <s v="Sugar Division"/>
    <x v="2"/>
    <s v="Mechancial Works"/>
    <s v="50% each in RS and 50% in DS"/>
    <d v="2019-03-25T00:00:00"/>
    <n v="7018343.8700000001"/>
    <n v="0"/>
    <n v="0"/>
    <n v="7018343.8700000001"/>
    <n v="350917.19350000005"/>
    <n v="25"/>
    <n v="1.0246575342465754"/>
    <n v="273273.15912449319"/>
    <n v="2.0246575342465754"/>
    <n v="266697.06706000003"/>
    <n v="539970.22618449316"/>
    <n v="6478373.6438155072"/>
  </r>
  <r>
    <n v="2861"/>
    <s v="Refine Sugar Packing Machines"/>
    <s v="Sugar Division"/>
    <x v="2"/>
    <s v="Mechancial Works"/>
    <s v="RS Costing"/>
    <d v="2019-03-25T00:00:00"/>
    <n v="9208814.6999999993"/>
    <n v="0"/>
    <n v="0"/>
    <n v="9208814.6999999993"/>
    <n v="460440.73499999999"/>
    <n v="25"/>
    <n v="1.0246575342465754"/>
    <n v="358563.49182575342"/>
    <n v="2.0246575342465754"/>
    <n v="349934.95860000001"/>
    <n v="708498.45042575337"/>
    <n v="8500316.2495742459"/>
  </r>
  <r>
    <n v="2862"/>
    <s v="Fssc Certification Machineries"/>
    <s v="Sugar Division"/>
    <x v="2"/>
    <s v="Instrumentation Works"/>
    <s v="50% each in RS and 50% in DS"/>
    <d v="2021-03-15T00:00:00"/>
    <n v="0"/>
    <n v="10216504.140000001"/>
    <n v="0"/>
    <n v="10216504.140000001"/>
    <n v="0"/>
    <n v="25"/>
    <n v="0"/>
    <n v="0"/>
    <n v="4.9315068493150684E-2"/>
    <n v="20153.104056986303"/>
    <n v="20153.104056986303"/>
    <n v="10196351.035943015"/>
  </r>
  <r>
    <n v="2863"/>
    <s v="Godown No -2 -Refineary Packing"/>
    <s v="Sugar Division"/>
    <x v="2"/>
    <s v="Mechancial Works"/>
    <s v="RS Costing"/>
    <d v="2021-03-15T00:00:00"/>
    <n v="0"/>
    <n v="5708721.4199999999"/>
    <n v="0"/>
    <n v="5708721.4199999999"/>
    <n v="0"/>
    <n v="25"/>
    <n v="0"/>
    <n v="0"/>
    <n v="4.9315068493150684E-2"/>
    <n v="11261.039513424657"/>
    <n v="11261.039513424657"/>
    <n v="5697460.380486575"/>
  </r>
  <r>
    <n v="2864"/>
    <s v="Dcb Heavy Diversion Modifie"/>
    <s v="Sugar Division"/>
    <x v="2"/>
    <s v="Mechancial Works"/>
    <s v="Juice Costing"/>
    <d v="2021-03-15T00:00:00"/>
    <n v="0"/>
    <n v="1489005.6"/>
    <n v="0"/>
    <n v="1489005.6"/>
    <n v="0"/>
    <n v="25"/>
    <n v="0"/>
    <n v="0"/>
    <n v="4.9315068493150684E-2"/>
    <n v="2937.2165260273973"/>
    <n v="2937.2165260273973"/>
    <n v="1486068.3834739728"/>
  </r>
  <r>
    <n v="2865"/>
    <s v="Electrical Heating System"/>
    <s v="Sugar Division"/>
    <x v="2"/>
    <s v="Mechancial Works"/>
    <s v="50% each in RS and 50% in DS"/>
    <d v="2021-03-15T00:00:00"/>
    <n v="0"/>
    <n v="1618974.35"/>
    <n v="0"/>
    <n v="1618974.35"/>
    <n v="0"/>
    <n v="25"/>
    <n v="0"/>
    <n v="0"/>
    <n v="4.9315068493150684E-2"/>
    <n v="3193.5932383561644"/>
    <n v="3193.5932383561644"/>
    <n v="1615780.756761644"/>
  </r>
  <r>
    <n v="2866"/>
    <s v="New Process Office Ac &amp; Ventilation (E5)"/>
    <s v="Sugar Division"/>
    <x v="5"/>
    <s v="Air Conditioning"/>
    <s v="Common"/>
    <d v="2016-11-12T00:00:00"/>
    <n v="3767042.2055442007"/>
    <n v="0"/>
    <n v="0"/>
    <n v="3767042.2055442007"/>
    <n v="188352.11027721004"/>
    <n v="5"/>
    <n v="3.3890410958904109"/>
    <n v="2830777.5604631603"/>
    <n v="4.3890410958904109"/>
    <n v="224344.01905339817"/>
    <n v="3042279.5795165584"/>
    <n v="324762.62602764228"/>
  </r>
  <r>
    <n v="2867"/>
    <s v="Printer Laser Hp1020 1 No."/>
    <s v="Sugar Division"/>
    <x v="5"/>
    <s v="Office Equipments"/>
    <s v="Common"/>
    <d v="2019-02-28T00:00:00"/>
    <n v="10238.01"/>
    <n v="0"/>
    <n v="0"/>
    <n v="10238.01"/>
    <n v="511.90050000000002"/>
    <n v="5"/>
    <n v="1.0931506849315069"/>
    <n v="2126.4206523287671"/>
    <n v="2.0931506849315067"/>
    <n v="1945.2218999999998"/>
    <n v="4071.6425523287671"/>
    <n v="6166.3674476712331"/>
  </r>
  <r>
    <n v="2868"/>
    <s v="Hhc Printer 15 Nos."/>
    <s v="Sugar Division"/>
    <x v="5"/>
    <s v="Office Equipments"/>
    <s v="Common"/>
    <d v="2019-02-28T00:00:00"/>
    <n v="42750"/>
    <n v="0"/>
    <n v="0"/>
    <n v="42750"/>
    <n v="2137.5"/>
    <n v="5"/>
    <n v="1.0931506849315069"/>
    <n v="8879.1164383561645"/>
    <n v="2.0931506849315067"/>
    <n v="8122.4999999999982"/>
    <n v="17001.616438356163"/>
    <n v="25748.383561643837"/>
  </r>
  <r>
    <n v="2869"/>
    <s v="Hand Held Computer 20 Nos."/>
    <s v="Sugar Division"/>
    <x v="5"/>
    <s v="Office Equipments"/>
    <s v="Common"/>
    <d v="2019-02-28T00:00:00"/>
    <n v="320000"/>
    <n v="0"/>
    <n v="0"/>
    <n v="320000"/>
    <n v="16000"/>
    <n v="5"/>
    <n v="1.0931506849315069"/>
    <n v="66463.561643835623"/>
    <n v="2.0931506849315067"/>
    <n v="60799.999999999985"/>
    <n v="127263.56164383561"/>
    <n v="135749.43835616438"/>
  </r>
  <r>
    <n v="2870"/>
    <s v="Pen Drive 8 Gb 2 Nos"/>
    <s v="Sugar Division"/>
    <x v="5"/>
    <s v="Office Equipments"/>
    <s v="Common"/>
    <d v="2019-02-28T00:00:00"/>
    <n v="677.93"/>
    <n v="0"/>
    <n v="0"/>
    <n v="677.93"/>
    <n v="33.896499999999996"/>
    <n v="5"/>
    <n v="1.0931506849315069"/>
    <n v="140.80513232876714"/>
    <n v="2.0931506849315067"/>
    <n v="128.80669999999998"/>
    <n v="269.61183232876715"/>
    <n v="408.3181676712328"/>
  </r>
  <r>
    <n v="2871"/>
    <s v="Pen Drive 64Gb 2 Nos"/>
    <s v="Sugar Division"/>
    <x v="5"/>
    <s v="Office Equipments"/>
    <s v="Common"/>
    <d v="2019-02-28T00:00:00"/>
    <n v="2800"/>
    <n v="0"/>
    <n v="0"/>
    <n v="2800"/>
    <n v="140"/>
    <n v="5"/>
    <n v="1.0931506849315069"/>
    <n v="581.55616438356162"/>
    <n v="2.0931506849315067"/>
    <n v="531.99999999999989"/>
    <n v="1113.5561643835615"/>
    <n v="1686.4438356164385"/>
  </r>
  <r>
    <n v="2872"/>
    <s v="Camera With Voice 1 No."/>
    <s v="Sugar Division"/>
    <x v="5"/>
    <s v="Office Equipments"/>
    <s v="Common"/>
    <d v="2019-02-28T00:00:00"/>
    <n v="8553.75"/>
    <n v="0"/>
    <n v="0"/>
    <n v="8553.75"/>
    <n v="427.6875"/>
    <n v="5"/>
    <n v="1.0931506849315069"/>
    <n v="1776.6021575342468"/>
    <n v="2.0931506849315067"/>
    <n v="1625.2124999999996"/>
    <n v="3401.8146575342462"/>
    <n v="5151.9353424657538"/>
  </r>
  <r>
    <n v="2873"/>
    <s v="Camera 3 Megapixel 2 Nos."/>
    <s v="Sugar Division"/>
    <x v="5"/>
    <s v="Office Equipments"/>
    <s v="Common"/>
    <d v="2019-02-28T00:00:00"/>
    <n v="13646.619999999999"/>
    <n v="0"/>
    <n v="0"/>
    <n v="13646.619999999999"/>
    <n v="682.33100000000002"/>
    <n v="5"/>
    <n v="1.0931506849315069"/>
    <n v="2834.3842799999998"/>
    <n v="2.0931506849315067"/>
    <n v="2592.8577999999993"/>
    <n v="5427.2420799999991"/>
    <n v="8219.377919999999"/>
  </r>
  <r>
    <n v="2874"/>
    <s v="Backup Media 1 No."/>
    <s v="Sugar Division"/>
    <x v="5"/>
    <s v="Office Equipments"/>
    <s v="Common"/>
    <d v="2019-02-28T00:00:00"/>
    <n v="209864.39"/>
    <n v="0"/>
    <n v="0"/>
    <n v="209864.39"/>
    <n v="10493.219500000001"/>
    <n v="3"/>
    <n v="1.0931506849315069"/>
    <n v="72647.577195890422"/>
    <n v="2.0931506849315067"/>
    <n v="66457.056833333321"/>
    <n v="139104.63402922376"/>
    <n v="70759.755970776256"/>
  </r>
  <r>
    <n v="2875"/>
    <s v="Printer Laser Jet 2 Nos."/>
    <s v="Sugar Division"/>
    <x v="5"/>
    <s v="Office Equipments"/>
    <s v="Common"/>
    <d v="2019-02-28T00:00:00"/>
    <n v="57385.05"/>
    <n v="0"/>
    <n v="0"/>
    <n v="57385.05"/>
    <n v="2869.2525000000005"/>
    <n v="5"/>
    <n v="1.0931506849315069"/>
    <n v="11918.796275342465"/>
    <n v="2.0931506849315067"/>
    <n v="10903.159499999998"/>
    <n v="22821.955775342463"/>
    <n v="34563.094224657543"/>
  </r>
  <r>
    <n v="2876"/>
    <s v="Printer Laser Hp 1020 1 No."/>
    <s v="Sugar Division"/>
    <x v="5"/>
    <s v="Office Equipments"/>
    <s v="Common"/>
    <d v="2019-02-28T00:00:00"/>
    <n v="10305.01"/>
    <n v="0"/>
    <n v="0"/>
    <n v="10305.01"/>
    <n v="515.25049999999999"/>
    <n v="5"/>
    <n v="1.0931506849315069"/>
    <n v="2140.3364605479455"/>
    <n v="2.0931506849315067"/>
    <n v="1957.9518999999996"/>
    <n v="4098.2883605479456"/>
    <n v="6206.7216394520547"/>
  </r>
  <r>
    <n v="2877"/>
    <s v="Laptop 1 No."/>
    <s v="Sugar Division"/>
    <x v="5"/>
    <s v="Office Equipments"/>
    <s v="Common"/>
    <d v="2019-02-28T00:00:00"/>
    <n v="55722.46"/>
    <n v="0"/>
    <n v="0"/>
    <n v="55722.46"/>
    <n v="2786.123"/>
    <n v="3"/>
    <n v="1.0931506849315069"/>
    <n v="19289.131016438358"/>
    <n v="2.0931506849315067"/>
    <n v="17645.445666666663"/>
    <n v="36934.57668310502"/>
    <n v="18787.883316894979"/>
  </r>
  <r>
    <n v="2878"/>
    <s v="Laptop 6 Nos"/>
    <s v="Sugar Division"/>
    <x v="5"/>
    <s v="Office Equipments"/>
    <s v="Common"/>
    <d v="2019-02-28T00:00:00"/>
    <n v="334399.52999999997"/>
    <n v="0"/>
    <n v="0"/>
    <n v="334399.52999999997"/>
    <n v="16719.976500000001"/>
    <n v="3"/>
    <n v="1.0931506849315069"/>
    <n v="115757.20716575343"/>
    <n v="2.0931506849315067"/>
    <n v="105893.18449999997"/>
    <n v="221650.39166575338"/>
    <n v="112749.13833424659"/>
  </r>
  <r>
    <n v="2879"/>
    <s v="Desk Top Computer 4 Nos."/>
    <s v="Sugar Division"/>
    <x v="5"/>
    <s v="Office Equipments"/>
    <s v="Common"/>
    <d v="2019-02-28T00:00:00"/>
    <n v="184104.41"/>
    <n v="0"/>
    <n v="0"/>
    <n v="184104.41"/>
    <n v="9205.2205000000013"/>
    <n v="3"/>
    <n v="1.0931506849315069"/>
    <n v="63730.389598630143"/>
    <n v="2.0931506849315067"/>
    <n v="58299.729833333324"/>
    <n v="122030.11943196347"/>
    <n v="62074.290568036537"/>
  </r>
  <r>
    <n v="2880"/>
    <s v="Printer Laser Jet 2 Nos."/>
    <s v="Sugar Division"/>
    <x v="5"/>
    <s v="Office Equipments"/>
    <s v="Common"/>
    <d v="2019-02-28T00:00:00"/>
    <n v="57888.179999999993"/>
    <n v="0"/>
    <n v="0"/>
    <n v="57888.179999999993"/>
    <n v="2894.4089999999997"/>
    <n v="5"/>
    <n v="1.0931506849315069"/>
    <n v="12023.295687123287"/>
    <n v="2.0931506849315067"/>
    <n v="10998.754199999996"/>
    <n v="23022.049887123285"/>
    <n v="34866.130112876708"/>
  </r>
  <r>
    <n v="2881"/>
    <s v="Printer Laser Jet 1 No."/>
    <s v="Sugar Division"/>
    <x v="5"/>
    <s v="Office Equipments"/>
    <s v="Common"/>
    <d v="2019-02-28T00:00:00"/>
    <n v="28893.759999999998"/>
    <n v="0"/>
    <n v="0"/>
    <n v="28893.759999999998"/>
    <n v="1444.6880000000001"/>
    <n v="5"/>
    <n v="1.0931506849315069"/>
    <n v="6001.1943715068501"/>
    <n v="2.0931506849315067"/>
    <n v="5489.8143999999984"/>
    <n v="11491.008771506848"/>
    <n v="17402.751228493151"/>
  </r>
  <r>
    <n v="2882"/>
    <s v="Cabins &amp; Cabinet Tables At Adm Block"/>
    <s v="Sugar Division"/>
    <x v="5"/>
    <s v="Office Equipments"/>
    <s v="Common"/>
    <d v="2019-08-12T00:00:00"/>
    <n v="927108"/>
    <n v="0"/>
    <n v="0"/>
    <n v="927108"/>
    <n v="46355.4"/>
    <n v="5"/>
    <n v="0.64109589041095894"/>
    <n v="112929.37446575343"/>
    <n v="1.6410958904109589"/>
    <n v="176150.52000000002"/>
    <n v="289079.89446575346"/>
    <n v="638028.10553424654"/>
  </r>
  <r>
    <n v="2883"/>
    <s v="Furniture For Sugar Process Control Room ( E2)"/>
    <s v="Sugar Division"/>
    <x v="6"/>
    <s v="Furnitures for cogen office WTP building office inc."/>
    <s v="Common"/>
    <d v="2016-11-12T00:00:00"/>
    <n v="23849.21030475591"/>
    <n v="0"/>
    <n v="0"/>
    <n v="23849.21030475591"/>
    <n v="1192.4605152377956"/>
    <n v="10"/>
    <n v="3.3890410958904109"/>
    <n v="7678.4656135983314"/>
    <n v="4.3890410958904109"/>
    <n v="2265.6749789518117"/>
    <n v="9944.1405925501422"/>
    <n v="8864.2897122057693"/>
  </r>
  <r>
    <n v="2884"/>
    <s v="Celling Fan 4 Nos"/>
    <s v="Sugar Division"/>
    <x v="6"/>
    <s v="Furniture &amp; Fittings"/>
    <s v="Common"/>
    <d v="2019-02-28T00:00:00"/>
    <n v="5100"/>
    <n v="0"/>
    <n v="0"/>
    <n v="5100"/>
    <n v="255"/>
    <n v="5"/>
    <n v="1.0931506849315069"/>
    <n v="1059.2630136986302"/>
    <n v="2.0931506849315067"/>
    <n v="968.99999999999977"/>
    <n v="2028.2630136986299"/>
    <n v="3071.7369863013701"/>
  </r>
  <r>
    <n v="2885"/>
    <s v="Exective High Black Chair 1 No."/>
    <s v="Sugar Division"/>
    <x v="6"/>
    <s v="Furniture &amp; Fittings"/>
    <s v="Common"/>
    <d v="2019-02-28T00:00:00"/>
    <n v="8130"/>
    <n v="0"/>
    <n v="0"/>
    <n v="8130"/>
    <n v="406.5"/>
    <n v="10"/>
    <n v="1.0931506849315069"/>
    <n v="844.29493150684937"/>
    <n v="2.0931506849315067"/>
    <n v="772.3499999999998"/>
    <n v="1616.6449315068492"/>
    <n v="6513.3550684931506"/>
  </r>
  <r>
    <n v="2886"/>
    <s v="Exective  Visitor Chair 2 Nos."/>
    <s v="Sugar Division"/>
    <x v="6"/>
    <s v="Furniture &amp; Fittings"/>
    <s v="Common"/>
    <d v="2019-02-28T00:00:00"/>
    <n v="12490"/>
    <n v="0"/>
    <n v="0"/>
    <n v="12490"/>
    <n v="624.5"/>
    <n v="10"/>
    <n v="1.0931506849315069"/>
    <n v="1297.0779452054794"/>
    <n v="2.0931506849315067"/>
    <n v="1186.5499999999997"/>
    <n v="2483.6279452054791"/>
    <n v="10006.372054794521"/>
  </r>
  <r>
    <n v="2887"/>
    <s v="Medium Black Chair 6 Nos."/>
    <s v="Sugar Division"/>
    <x v="6"/>
    <s v="Furniture &amp; Fittings"/>
    <s v="Common"/>
    <d v="2019-02-28T00:00:00"/>
    <n v="47908.21"/>
    <n v="0"/>
    <n v="0"/>
    <n v="47908.21"/>
    <n v="2395.4105"/>
    <n v="10"/>
    <n v="1.0931506849315069"/>
    <n v="4975.2347946575346"/>
    <n v="2.0931506849315067"/>
    <n v="4551.2799499999992"/>
    <n v="9526.5147446575338"/>
    <n v="38381.695255342463"/>
  </r>
  <r>
    <n v="2886"/>
    <s v="Office Table 6 Nos."/>
    <s v="Sugar Division"/>
    <x v="6"/>
    <s v="Furniture &amp; Fittings"/>
    <s v="Common"/>
    <d v="2019-02-28T00:00:00"/>
    <n v="55500"/>
    <n v="0"/>
    <n v="0"/>
    <n v="55500"/>
    <n v="2775"/>
    <n v="10"/>
    <n v="1.0931506849315069"/>
    <n v="5763.6369863013706"/>
    <n v="2.0931506849315067"/>
    <n v="5272.4999999999991"/>
    <n v="11036.13698630137"/>
    <n v="44463.863013698632"/>
  </r>
  <r>
    <m/>
    <s v="Intrangible"/>
    <s v="Sugar Division"/>
    <x v="10"/>
    <s v="ERP"/>
    <m/>
    <d v="2017-02-15T00:00:00"/>
    <n v="4567297"/>
    <n v="0"/>
    <n v="0"/>
    <n v="4567297"/>
    <n v="228364.85"/>
    <n v="5"/>
    <n v="3.128767123287671"/>
    <n v="2972707.1622191779"/>
    <n v="4.1287671232876715"/>
    <n v="711803.43000000052"/>
    <n v="3684510.5922191786"/>
    <n v="882786.40778082144"/>
  </r>
  <r>
    <m/>
    <s v="Right to Use"/>
    <s v="Sugar Division"/>
    <x v="11"/>
    <s v="Stock Godowns"/>
    <m/>
    <d v="2019-09-30T00:00:00"/>
    <n v="52773160.229999997"/>
    <n v="0"/>
    <n v="0"/>
    <n v="52773160.229999997"/>
    <n v="2638658.0115"/>
    <n v="3"/>
    <n v="0.50684931506849318"/>
    <n v="4185908.57"/>
    <n v="1.5068493150684932"/>
    <n v="10819776"/>
    <n v="15005684.57"/>
    <n v="37767475.65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16" firstHeaderRow="0" firstDataRow="1" firstDataCol="1"/>
  <pivotFields count="19">
    <pivotField showAll="0"/>
    <pivotField showAll="0"/>
    <pivotField showAll="0"/>
    <pivotField axis="axisRow" showAll="0">
      <items count="15">
        <item x="1"/>
        <item x="7"/>
        <item m="1" x="12"/>
        <item x="6"/>
        <item x="3"/>
        <item x="10"/>
        <item x="0"/>
        <item x="9"/>
        <item m="1" x="13"/>
        <item x="8"/>
        <item x="5"/>
        <item x="2"/>
        <item x="1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numFmtId="164" showAll="0"/>
    <pivotField numFmtId="164" showAll="0"/>
    <pivotField dataField="1" numFmtId="164" showAll="0"/>
    <pivotField numFmtId="164" showAll="0"/>
    <pivotField dataField="1" showAll="0"/>
    <pivotField dataField="1" numFmtId="164" showAll="0"/>
    <pivotField dataField="1" numFmtId="164" showAll="0"/>
  </pivotFields>
  <rowFields count="1">
    <field x="3"/>
  </rowFields>
  <rowItems count="13">
    <i>
      <x/>
    </i>
    <i>
      <x v="1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Closing Balance" fld="10" baseField="0" baseItem="0"/>
    <dataField name="Sum of Opening Acc Dep" fld="14" baseField="0" baseItem="0"/>
    <dataField name="Sum of Dep for the Year" fld="16" baseField="0" baseItem="0"/>
    <dataField name="Sum of Net Block as on 31 Mar 2021" fld="18" baseField="0" baseItem="0"/>
    <dataField name="Sum of Accumulated Dep as at 31 mar 2021" fld="17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6"/>
  <sheetViews>
    <sheetView workbookViewId="0">
      <selection activeCell="F19" sqref="F19"/>
    </sheetView>
  </sheetViews>
  <sheetFormatPr defaultRowHeight="15" x14ac:dyDescent="0.25"/>
  <cols>
    <col min="1" max="1" width="19.85546875" customWidth="1"/>
    <col min="2" max="2" width="21.7109375" customWidth="1"/>
    <col min="3" max="3" width="23" customWidth="1"/>
    <col min="4" max="4" width="22.42578125" customWidth="1"/>
    <col min="5" max="5" width="32.5703125" customWidth="1"/>
    <col min="6" max="6" width="39.28515625" customWidth="1"/>
    <col min="7" max="7" width="12.85546875" bestFit="1" customWidth="1"/>
  </cols>
  <sheetData>
    <row r="3" spans="1:6" x14ac:dyDescent="0.25">
      <c r="A3" s="61" t="s">
        <v>2618</v>
      </c>
      <c r="B3" t="s">
        <v>2620</v>
      </c>
      <c r="C3" t="s">
        <v>2621</v>
      </c>
      <c r="D3" t="s">
        <v>2622</v>
      </c>
      <c r="E3" t="s">
        <v>2623</v>
      </c>
      <c r="F3" t="s">
        <v>2625</v>
      </c>
    </row>
    <row r="4" spans="1:6" x14ac:dyDescent="0.25">
      <c r="A4" s="62" t="s">
        <v>56</v>
      </c>
      <c r="B4" s="63">
        <v>73049882.572772399</v>
      </c>
      <c r="C4" s="63">
        <v>28876834.897804052</v>
      </c>
      <c r="D4" s="63">
        <v>1586621.5611317256</v>
      </c>
      <c r="E4" s="63">
        <v>13112303.781613423</v>
      </c>
      <c r="F4" s="63">
        <v>30463456.458935767</v>
      </c>
    </row>
    <row r="5" spans="1:6" x14ac:dyDescent="0.25">
      <c r="A5" s="62" t="s">
        <v>2288</v>
      </c>
      <c r="B5" s="63">
        <v>388567466.98522282</v>
      </c>
      <c r="C5" s="63">
        <v>37053685.315619782</v>
      </c>
      <c r="D5" s="63">
        <v>15779327.745438466</v>
      </c>
      <c r="E5" s="63">
        <v>365208575.92416465</v>
      </c>
      <c r="F5" s="63">
        <v>52833013.061058246</v>
      </c>
    </row>
    <row r="6" spans="1:6" x14ac:dyDescent="0.25">
      <c r="A6" s="62" t="s">
        <v>1708</v>
      </c>
      <c r="B6" s="63">
        <v>7484404.6559190117</v>
      </c>
      <c r="C6" s="63">
        <v>5524350.6888530571</v>
      </c>
      <c r="D6" s="63">
        <v>808611.73133393785</v>
      </c>
      <c r="E6" s="63">
        <v>1151451.1403675489</v>
      </c>
      <c r="F6" s="63">
        <v>6332962.4201869844</v>
      </c>
    </row>
    <row r="7" spans="1:6" x14ac:dyDescent="0.25">
      <c r="A7" s="62" t="s">
        <v>1142</v>
      </c>
      <c r="B7" s="63">
        <v>2868978.9527032329</v>
      </c>
      <c r="C7" s="63">
        <v>1183367.9939999999</v>
      </c>
      <c r="D7" s="63">
        <v>1514132.6718408966</v>
      </c>
      <c r="E7" s="63">
        <v>168199.37450000003</v>
      </c>
      <c r="F7" s="63">
        <v>2697500.6658408963</v>
      </c>
    </row>
    <row r="8" spans="1:6" x14ac:dyDescent="0.25">
      <c r="A8" s="62" t="s">
        <v>2614</v>
      </c>
      <c r="B8" s="63">
        <v>4567297</v>
      </c>
      <c r="C8" s="63">
        <v>2972707.1622191779</v>
      </c>
      <c r="D8" s="63">
        <v>711803.43000000052</v>
      </c>
      <c r="E8" s="63">
        <v>882786.40778082144</v>
      </c>
      <c r="F8" s="63">
        <v>3684510.5922191786</v>
      </c>
    </row>
    <row r="9" spans="1:6" x14ac:dyDescent="0.25">
      <c r="A9" s="62" t="s">
        <v>42</v>
      </c>
      <c r="B9" s="63">
        <v>159727130.06</v>
      </c>
      <c r="C9" s="63">
        <v>0</v>
      </c>
      <c r="D9" s="63">
        <v>0</v>
      </c>
      <c r="E9" s="63">
        <v>159727130.06</v>
      </c>
      <c r="F9" s="63">
        <v>0</v>
      </c>
    </row>
    <row r="10" spans="1:6" x14ac:dyDescent="0.25">
      <c r="A10" s="62" t="s">
        <v>2382</v>
      </c>
      <c r="B10" s="63">
        <v>29853865.120000001</v>
      </c>
      <c r="C10" s="63">
        <v>4123377.6810491323</v>
      </c>
      <c r="D10" s="63">
        <v>1890744.7909333333</v>
      </c>
      <c r="E10" s="63">
        <v>23839742.648017533</v>
      </c>
      <c r="F10" s="63">
        <v>6014122.4719824661</v>
      </c>
    </row>
    <row r="11" spans="1:6" x14ac:dyDescent="0.25">
      <c r="A11" s="62" t="s">
        <v>2297</v>
      </c>
      <c r="B11" s="63">
        <v>43426258.393343464</v>
      </c>
      <c r="C11" s="63">
        <v>1198165.8891561755</v>
      </c>
      <c r="D11" s="63">
        <v>828564.00637070462</v>
      </c>
      <c r="E11" s="63">
        <v>41399528.4978166</v>
      </c>
      <c r="F11" s="63">
        <v>2026729.8955268802</v>
      </c>
    </row>
    <row r="12" spans="1:6" x14ac:dyDescent="0.25">
      <c r="A12" s="62" t="s">
        <v>1200</v>
      </c>
      <c r="B12" s="63">
        <v>16442791.404386392</v>
      </c>
      <c r="C12" s="63">
        <v>11064168.843912747</v>
      </c>
      <c r="D12" s="63">
        <v>2763916.5178243932</v>
      </c>
      <c r="E12" s="63">
        <v>2627547.9454284636</v>
      </c>
      <c r="F12" s="63">
        <v>13815243.361737138</v>
      </c>
    </row>
    <row r="13" spans="1:6" x14ac:dyDescent="0.25">
      <c r="A13" s="62" t="s">
        <v>500</v>
      </c>
      <c r="B13" s="63">
        <v>1994794317.5971804</v>
      </c>
      <c r="C13" s="63">
        <v>290922886.74200422</v>
      </c>
      <c r="D13" s="63">
        <v>93136809.98080714</v>
      </c>
      <c r="E13" s="63">
        <v>1612228356.8111267</v>
      </c>
      <c r="F13" s="63">
        <v>382569231.72281116</v>
      </c>
    </row>
    <row r="14" spans="1:6" x14ac:dyDescent="0.25">
      <c r="A14" s="62" t="s">
        <v>2616</v>
      </c>
      <c r="B14" s="63">
        <v>52773160.229999997</v>
      </c>
      <c r="C14" s="63">
        <v>4185908.57</v>
      </c>
      <c r="D14" s="63">
        <v>10819776</v>
      </c>
      <c r="E14" s="63">
        <v>37767475.659999996</v>
      </c>
      <c r="F14" s="63">
        <v>15005684.57</v>
      </c>
    </row>
    <row r="15" spans="1:6" x14ac:dyDescent="0.25">
      <c r="A15" s="62" t="s">
        <v>1162</v>
      </c>
      <c r="B15" s="63">
        <v>6583309.4594452055</v>
      </c>
      <c r="C15" s="63">
        <v>3979329.5299143842</v>
      </c>
      <c r="D15" s="63">
        <v>1028967.8502686641</v>
      </c>
      <c r="E15" s="63">
        <v>2997120.8989999993</v>
      </c>
      <c r="F15" s="63">
        <v>3586186.3801830476</v>
      </c>
    </row>
    <row r="16" spans="1:6" x14ac:dyDescent="0.25">
      <c r="A16" s="62" t="s">
        <v>2619</v>
      </c>
      <c r="B16" s="63">
        <v>2780138862.4309726</v>
      </c>
      <c r="C16" s="63">
        <v>391084783.3145327</v>
      </c>
      <c r="D16" s="63">
        <v>130869276.28594926</v>
      </c>
      <c r="E16" s="63">
        <v>2261110219.1498156</v>
      </c>
      <c r="F16" s="63">
        <v>519028641.60048175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3224"/>
  <sheetViews>
    <sheetView topLeftCell="F2926" zoomScale="120" zoomScaleNormal="120" workbookViewId="0">
      <selection activeCell="L2931" sqref="L2931"/>
    </sheetView>
  </sheetViews>
  <sheetFormatPr defaultColWidth="8.7109375" defaultRowHeight="15" customHeight="1" x14ac:dyDescent="0.2"/>
  <cols>
    <col min="1" max="1" width="7.28515625" style="2" customWidth="1"/>
    <col min="2" max="2" width="15.5703125" style="2" customWidth="1"/>
    <col min="3" max="3" width="16.28515625" style="2" customWidth="1"/>
    <col min="4" max="4" width="29.85546875" style="2" bestFit="1" customWidth="1"/>
    <col min="5" max="5" width="9.7109375" style="2" customWidth="1"/>
    <col min="6" max="6" width="11.140625" style="64" customWidth="1"/>
    <col min="7" max="7" width="24.85546875" style="2" customWidth="1"/>
    <col min="8" max="8" width="16.7109375" style="7" customWidth="1"/>
    <col min="9" max="9" width="13.28515625" style="7" customWidth="1"/>
    <col min="10" max="10" width="19.5703125" style="7" customWidth="1"/>
    <col min="11" max="11" width="15.85546875" style="7" customWidth="1"/>
    <col min="12" max="12" width="14.28515625" style="7" customWidth="1"/>
    <col min="13" max="13" width="13.5703125" style="8" customWidth="1"/>
    <col min="14" max="14" width="24" style="7" customWidth="1"/>
    <col min="15" max="15" width="16.28515625" style="7" customWidth="1"/>
    <col min="16" max="16" width="24.5703125" style="7" customWidth="1"/>
    <col min="17" max="17" width="17.140625" style="7" customWidth="1"/>
    <col min="18" max="18" width="16.5703125" style="7" customWidth="1"/>
    <col min="19" max="19" width="25.140625" style="7" bestFit="1" customWidth="1"/>
    <col min="20" max="16384" width="8.7109375" style="2"/>
  </cols>
  <sheetData>
    <row r="3" spans="2:4" ht="15" customHeight="1" x14ac:dyDescent="0.2">
      <c r="B3" s="1" t="s">
        <v>0</v>
      </c>
      <c r="C3" s="1" t="s">
        <v>1</v>
      </c>
      <c r="D3" s="1" t="s">
        <v>2</v>
      </c>
    </row>
    <row r="4" spans="2:4" ht="15" customHeight="1" x14ac:dyDescent="0.2">
      <c r="B4" s="3" t="s">
        <v>3</v>
      </c>
      <c r="C4" s="1"/>
      <c r="D4" s="1"/>
    </row>
    <row r="5" spans="2:4" ht="15" customHeight="1" x14ac:dyDescent="0.2">
      <c r="B5" s="2" t="s">
        <v>4</v>
      </c>
      <c r="C5" s="4">
        <f t="shared" ref="C5:C18" si="0">SUMIF(F37:F2929,B5,K37:K2929)</f>
        <v>281524951.57450223</v>
      </c>
      <c r="D5" s="4">
        <f t="shared" ref="D5:D18" si="1">SUMIF(F37:F2929,B5,Q37:Q2929)</f>
        <v>6751250.0378638431</v>
      </c>
    </row>
    <row r="6" spans="2:4" ht="15" customHeight="1" x14ac:dyDescent="0.2">
      <c r="B6" s="2" t="s">
        <v>5</v>
      </c>
      <c r="C6" s="4">
        <f t="shared" si="0"/>
        <v>55522</v>
      </c>
      <c r="D6" s="4">
        <f t="shared" si="1"/>
        <v>0</v>
      </c>
    </row>
    <row r="7" spans="2:4" ht="15" customHeight="1" x14ac:dyDescent="0.2">
      <c r="B7" s="2" t="s">
        <v>6</v>
      </c>
      <c r="C7" s="4">
        <f t="shared" si="0"/>
        <v>21957718.998005327</v>
      </c>
      <c r="D7" s="4">
        <f t="shared" si="1"/>
        <v>521423.08540734393</v>
      </c>
    </row>
    <row r="8" spans="2:4" ht="15" customHeight="1" x14ac:dyDescent="0.2">
      <c r="B8" s="2" t="s">
        <v>7</v>
      </c>
      <c r="C8" s="4">
        <f t="shared" si="0"/>
        <v>35075010.988509007</v>
      </c>
      <c r="D8" s="4">
        <f t="shared" si="1"/>
        <v>1310500.5194756035</v>
      </c>
    </row>
    <row r="9" spans="2:4" ht="15" customHeight="1" x14ac:dyDescent="0.2">
      <c r="B9" s="2" t="s">
        <v>8</v>
      </c>
      <c r="C9" s="4">
        <f t="shared" si="0"/>
        <v>365205888.0059498</v>
      </c>
      <c r="D9" s="4">
        <f t="shared" si="1"/>
        <v>12999654.836175693</v>
      </c>
    </row>
    <row r="10" spans="2:4" ht="15" customHeight="1" x14ac:dyDescent="0.2">
      <c r="B10" s="2" t="s">
        <v>9</v>
      </c>
      <c r="C10" s="4">
        <f t="shared" si="0"/>
        <v>3275423.8109561997</v>
      </c>
      <c r="D10" s="4">
        <f t="shared" si="1"/>
        <v>101453.29142776388</v>
      </c>
    </row>
    <row r="11" spans="2:4" ht="15" customHeight="1" x14ac:dyDescent="0.2">
      <c r="B11" s="2" t="s">
        <v>10</v>
      </c>
      <c r="C11" s="4">
        <f t="shared" si="0"/>
        <v>12691690.355262136</v>
      </c>
      <c r="D11" s="4">
        <f t="shared" si="1"/>
        <v>354202.97193803493</v>
      </c>
    </row>
    <row r="12" spans="2:4" ht="15" customHeight="1" x14ac:dyDescent="0.2">
      <c r="B12" s="2" t="s">
        <v>11</v>
      </c>
      <c r="C12" s="4">
        <f t="shared" si="0"/>
        <v>1354162187.2691321</v>
      </c>
      <c r="D12" s="4">
        <f t="shared" si="1"/>
        <v>70771988.326352432</v>
      </c>
    </row>
    <row r="13" spans="2:4" ht="15" customHeight="1" x14ac:dyDescent="0.2">
      <c r="B13" s="2" t="s">
        <v>12</v>
      </c>
      <c r="C13" s="4">
        <f t="shared" si="0"/>
        <v>31124288.579309933</v>
      </c>
      <c r="D13" s="4">
        <f t="shared" si="1"/>
        <v>215894.13550621807</v>
      </c>
    </row>
    <row r="14" spans="2:4" ht="15" customHeight="1" x14ac:dyDescent="0.2">
      <c r="B14" s="2" t="s">
        <v>13</v>
      </c>
      <c r="C14" s="4">
        <f t="shared" si="0"/>
        <v>4493597.6917321272</v>
      </c>
      <c r="D14" s="4">
        <f t="shared" si="1"/>
        <v>153951.13161793051</v>
      </c>
    </row>
    <row r="15" spans="2:4" ht="15" customHeight="1" x14ac:dyDescent="0.2">
      <c r="B15" s="2" t="s">
        <v>14</v>
      </c>
      <c r="C15" s="4">
        <f t="shared" si="0"/>
        <v>31205457.877461042</v>
      </c>
      <c r="D15" s="4">
        <f t="shared" si="1"/>
        <v>1912750.805511775</v>
      </c>
    </row>
    <row r="16" spans="2:4" ht="15" customHeight="1" x14ac:dyDescent="0.2">
      <c r="B16" s="2" t="s">
        <v>15</v>
      </c>
      <c r="C16" s="4">
        <f t="shared" si="0"/>
        <v>15351699.564142466</v>
      </c>
      <c r="D16" s="4">
        <f t="shared" si="1"/>
        <v>572629.95326569863</v>
      </c>
    </row>
    <row r="17" spans="2:6" ht="15" customHeight="1" x14ac:dyDescent="0.2">
      <c r="B17" s="2" t="s">
        <v>16</v>
      </c>
      <c r="C17" s="4">
        <f t="shared" si="0"/>
        <v>517279232.0907498</v>
      </c>
      <c r="D17" s="4">
        <f t="shared" si="1"/>
        <v>20363409.38127216</v>
      </c>
    </row>
    <row r="18" spans="2:6" ht="15" customHeight="1" x14ac:dyDescent="0.2">
      <c r="B18" s="2" t="s">
        <v>17</v>
      </c>
      <c r="C18" s="4">
        <f t="shared" si="0"/>
        <v>47905271.565260351</v>
      </c>
      <c r="D18" s="4">
        <f t="shared" si="1"/>
        <v>1818123.9801347263</v>
      </c>
      <c r="F18" s="65"/>
    </row>
    <row r="19" spans="2:6" ht="15" customHeight="1" x14ac:dyDescent="0.2">
      <c r="C19" s="5">
        <f>SUM(C5:C18)</f>
        <v>2721307940.3709726</v>
      </c>
      <c r="D19" s="5">
        <f>SUM(D5:D18)</f>
        <v>117847232.45594922</v>
      </c>
    </row>
    <row r="20" spans="2:6" ht="15" customHeight="1" x14ac:dyDescent="0.2">
      <c r="B20" s="3" t="s">
        <v>18</v>
      </c>
      <c r="C20" s="4"/>
      <c r="D20" s="4"/>
    </row>
    <row r="21" spans="2:6" ht="15" customHeight="1" x14ac:dyDescent="0.25">
      <c r="B21" t="s">
        <v>19</v>
      </c>
      <c r="C21" s="4">
        <f>SUMIF('Capex &amp; Depreciation-31-03-2021'!F2937:F3085,'Capex &amp; Depreciation-31-03-2021'!B21,'Capex &amp; Depreciation-31-03-2021'!K2937:K3085)</f>
        <v>1644967542.1421585</v>
      </c>
      <c r="D21" s="4">
        <f>SUMIF('Capex &amp; Depreciation-31-03-2021'!F2937:F3085,'Capex &amp; Depreciation-31-03-2021'!B21,'Capex &amp; Depreciation-31-03-2021'!Q2937:Q3085)</f>
        <v>58743478.86343395</v>
      </c>
    </row>
    <row r="22" spans="2:6" ht="15" customHeight="1" x14ac:dyDescent="0.25">
      <c r="B22" t="s">
        <v>17</v>
      </c>
      <c r="C22" s="4">
        <f>SUMIF('Capex &amp; Depreciation-31-03-2021'!F2938:F3086,'Capex &amp; Depreciation-31-03-2021'!B22,'Capex &amp; Depreciation-31-03-2021'!K2938:K3086)</f>
        <v>11679067.297528051</v>
      </c>
      <c r="D22" s="4">
        <f>SUMIF('Capex &amp; Depreciation-31-03-2021'!F2938:F3086,'Capex &amp; Depreciation-31-03-2021'!B22,'Capex &amp; Depreciation-31-03-2021'!Q2938:Q3086)</f>
        <v>443804.55730606592</v>
      </c>
    </row>
    <row r="23" spans="2:6" ht="15" customHeight="1" x14ac:dyDescent="0.2">
      <c r="C23" s="5">
        <f>SUM(C21:C22)</f>
        <v>1656646609.4396865</v>
      </c>
      <c r="D23" s="5">
        <f>SUM(D21:D22)</f>
        <v>59187283.420740016</v>
      </c>
    </row>
    <row r="24" spans="2:6" ht="15" customHeight="1" x14ac:dyDescent="0.2">
      <c r="B24" s="3" t="s">
        <v>20</v>
      </c>
      <c r="C24" s="4"/>
      <c r="D24" s="4"/>
    </row>
    <row r="25" spans="2:6" ht="15" customHeight="1" x14ac:dyDescent="0.25">
      <c r="B25" t="s">
        <v>21</v>
      </c>
      <c r="C25" s="4">
        <f>SUMIF('Capex &amp; Depreciation-31-03-2021'!F3094:F3217,'Capex &amp; Depreciation-31-03-2021'!B25,'Capex &amp; Depreciation-31-03-2021'!K3094:K3217)</f>
        <v>88310318.200223386</v>
      </c>
      <c r="D25" s="4">
        <f>SUMIF('Capex &amp; Depreciation-31-03-2021'!F3094:F3217,'Capex &amp; Depreciation-31-03-2021'!B25,'Capex &amp; Depreciation-31-03-2021'!Q3094:Q3217)</f>
        <v>2219386.3089510733</v>
      </c>
    </row>
    <row r="26" spans="2:6" ht="15" customHeight="1" x14ac:dyDescent="0.25">
      <c r="B26" t="s">
        <v>15</v>
      </c>
      <c r="C26" s="4">
        <f>SUMIF('Capex &amp; Depreciation-31-03-2021'!F3095:F3218,'Capex &amp; Depreciation-31-03-2021'!B26,'Capex &amp; Depreciation-31-03-2021'!K3095:K3218)</f>
        <v>995089160.29632533</v>
      </c>
      <c r="D26" s="4">
        <f>SUMIF('Capex &amp; Depreciation-31-03-2021'!F3095:F3218,'Capex &amp; Depreciation-31-03-2021'!B26,'Capex &amp; Depreciation-31-03-2021'!Q3095:Q3218)</f>
        <v>37856384.823304236</v>
      </c>
    </row>
    <row r="27" spans="2:6" ht="15" customHeight="1" x14ac:dyDescent="0.25">
      <c r="B27" t="s">
        <v>12</v>
      </c>
      <c r="C27" s="4">
        <f>SUMIF('Capex &amp; Depreciation-31-03-2021'!F3096:F3219,'Capex &amp; Depreciation-31-03-2021'!B27,'Capex &amp; Depreciation-31-03-2021'!K3096:K3219)</f>
        <v>633475254.71535587</v>
      </c>
      <c r="D27" s="4">
        <f>SUMIF('Capex &amp; Depreciation-31-03-2021'!F3096:F3219,'Capex &amp; Depreciation-31-03-2021'!B27,'Capex &amp; Depreciation-31-03-2021'!Q3096:Q3219)</f>
        <v>24071466.70338824</v>
      </c>
    </row>
    <row r="28" spans="2:6" ht="15" customHeight="1" x14ac:dyDescent="0.25">
      <c r="B28" t="s">
        <v>22</v>
      </c>
      <c r="C28" s="4">
        <f>SUMIF('Capex &amp; Depreciation-31-03-2021'!F3097:F3220,'Capex &amp; Depreciation-31-03-2021'!B28,'Capex &amp; Depreciation-31-03-2021'!K3097:K3220)</f>
        <v>67163533.128131405</v>
      </c>
      <c r="D28" s="4">
        <f>SUMIF('Capex &amp; Depreciation-31-03-2021'!F3097:F3220,'Capex &amp; Depreciation-31-03-2021'!B28,'Capex &amp; Depreciation-31-03-2021'!Q3097:Q3220)</f>
        <v>2654087.1611689939</v>
      </c>
    </row>
    <row r="29" spans="2:6" ht="15" customHeight="1" x14ac:dyDescent="0.25">
      <c r="B29" t="s">
        <v>17</v>
      </c>
      <c r="C29" s="4">
        <f>SUMIF('Capex &amp; Depreciation-31-03-2021'!F3098:F3221,'Capex &amp; Depreciation-31-03-2021'!B29,'Capex &amp; Depreciation-31-03-2021'!K3098:K3221)</f>
        <v>32943667.049964152</v>
      </c>
      <c r="D29" s="4">
        <f>SUMIF('Capex &amp; Depreciation-31-03-2021'!F3098:F3221,'Capex &amp; Depreciation-31-03-2021'!B29,'Capex &amp; Depreciation-31-03-2021'!Q3098:Q3221)</f>
        <v>1251859.3478986379</v>
      </c>
    </row>
    <row r="30" spans="2:6" ht="15" customHeight="1" x14ac:dyDescent="0.2">
      <c r="C30" s="5">
        <f>SUM(C25:C29)</f>
        <v>1816981933.3900001</v>
      </c>
      <c r="D30" s="5">
        <f>SUM(D25:D29)</f>
        <v>68053184.34471117</v>
      </c>
    </row>
    <row r="32" spans="2:6" ht="15" customHeight="1" x14ac:dyDescent="0.2">
      <c r="C32" s="6">
        <f>C30+C23+C19</f>
        <v>6194936483.2006588</v>
      </c>
      <c r="D32" s="6">
        <f>D30+D23+D19</f>
        <v>245087700.22140041</v>
      </c>
    </row>
    <row r="34" spans="1:19" ht="15" customHeight="1" x14ac:dyDescent="0.2">
      <c r="A34" s="1" t="s">
        <v>23</v>
      </c>
      <c r="D34" s="1"/>
      <c r="E34" s="1"/>
      <c r="F34" s="66"/>
    </row>
    <row r="35" spans="1:19" ht="15" customHeight="1" x14ac:dyDescent="0.2">
      <c r="N35" s="9">
        <v>43922</v>
      </c>
      <c r="P35" s="9">
        <v>44287</v>
      </c>
    </row>
    <row r="36" spans="1:19" ht="15" customHeight="1" x14ac:dyDescent="0.2">
      <c r="A36" s="10" t="s">
        <v>24</v>
      </c>
      <c r="B36" s="10" t="s">
        <v>25</v>
      </c>
      <c r="C36" s="10" t="s">
        <v>26</v>
      </c>
      <c r="D36" s="10" t="s">
        <v>27</v>
      </c>
      <c r="E36" s="10" t="s">
        <v>27</v>
      </c>
      <c r="F36" s="67" t="s">
        <v>0</v>
      </c>
      <c r="G36" s="11" t="s">
        <v>28</v>
      </c>
      <c r="H36" s="12" t="s">
        <v>29</v>
      </c>
      <c r="I36" s="12" t="s">
        <v>30</v>
      </c>
      <c r="J36" s="12" t="s">
        <v>31</v>
      </c>
      <c r="K36" s="12" t="s">
        <v>32</v>
      </c>
      <c r="L36" s="12" t="s">
        <v>33</v>
      </c>
      <c r="M36" s="13" t="s">
        <v>34</v>
      </c>
      <c r="N36" s="12" t="s">
        <v>35</v>
      </c>
      <c r="O36" s="12" t="s">
        <v>36</v>
      </c>
      <c r="P36" s="12" t="s">
        <v>37</v>
      </c>
      <c r="Q36" s="12" t="s">
        <v>38</v>
      </c>
      <c r="R36" s="12" t="s">
        <v>39</v>
      </c>
      <c r="S36" s="12" t="s">
        <v>40</v>
      </c>
    </row>
    <row r="37" spans="1:19" s="20" customFormat="1" ht="15" customHeight="1" x14ac:dyDescent="0.2">
      <c r="A37" s="14">
        <v>1</v>
      </c>
      <c r="B37" s="15" t="s">
        <v>41</v>
      </c>
      <c r="C37" s="15" t="s">
        <v>3</v>
      </c>
      <c r="D37" s="15" t="s">
        <v>42</v>
      </c>
      <c r="E37" s="15"/>
      <c r="F37" s="68" t="s">
        <v>4</v>
      </c>
      <c r="G37" s="9">
        <v>19360</v>
      </c>
      <c r="H37" s="16">
        <v>25000.06</v>
      </c>
      <c r="I37" s="17">
        <v>0</v>
      </c>
      <c r="J37" s="17">
        <v>0</v>
      </c>
      <c r="K37" s="17">
        <f t="shared" ref="K37:K100" si="2">H37+I37-J37</f>
        <v>25000.06</v>
      </c>
      <c r="L37" s="18">
        <v>0</v>
      </c>
      <c r="M37" s="19">
        <v>99</v>
      </c>
      <c r="N37" s="18">
        <f t="shared" ref="N37:N100" si="3">IF(($N$35-G37+1)/365&gt;0,($N$35-G37+1)/365,0)</f>
        <v>67.295890410958904</v>
      </c>
      <c r="O37" s="18">
        <v>0</v>
      </c>
      <c r="P37" s="18">
        <f t="shared" ref="P37:P100" si="4">($P$35-G37+1)/365</f>
        <v>68.295890410958904</v>
      </c>
      <c r="Q37" s="18">
        <v>0</v>
      </c>
      <c r="R37" s="18">
        <f t="shared" ref="R37:R100" si="5">Q37+O37</f>
        <v>0</v>
      </c>
      <c r="S37" s="18">
        <f t="shared" ref="S37:S54" si="6">K37-R37</f>
        <v>25000.06</v>
      </c>
    </row>
    <row r="38" spans="1:19" s="20" customFormat="1" ht="15" customHeight="1" x14ac:dyDescent="0.2">
      <c r="A38" s="14">
        <f>+A37+1</f>
        <v>2</v>
      </c>
      <c r="B38" s="15" t="s">
        <v>43</v>
      </c>
      <c r="C38" s="15" t="s">
        <v>3</v>
      </c>
      <c r="D38" s="15" t="s">
        <v>42</v>
      </c>
      <c r="E38" s="15"/>
      <c r="F38" s="68" t="s">
        <v>4</v>
      </c>
      <c r="G38" s="9">
        <v>20821</v>
      </c>
      <c r="H38" s="16">
        <v>1500</v>
      </c>
      <c r="I38" s="17">
        <v>0</v>
      </c>
      <c r="J38" s="17">
        <v>0</v>
      </c>
      <c r="K38" s="17">
        <f t="shared" si="2"/>
        <v>1500</v>
      </c>
      <c r="L38" s="18">
        <v>0</v>
      </c>
      <c r="M38" s="19">
        <v>99</v>
      </c>
      <c r="N38" s="18">
        <f t="shared" si="3"/>
        <v>63.293150684931504</v>
      </c>
      <c r="O38" s="18">
        <v>0</v>
      </c>
      <c r="P38" s="18">
        <f t="shared" si="4"/>
        <v>64.293150684931504</v>
      </c>
      <c r="Q38" s="18">
        <v>0</v>
      </c>
      <c r="R38" s="18">
        <f t="shared" si="5"/>
        <v>0</v>
      </c>
      <c r="S38" s="18">
        <f t="shared" si="6"/>
        <v>1500</v>
      </c>
    </row>
    <row r="39" spans="1:19" s="20" customFormat="1" ht="15" customHeight="1" x14ac:dyDescent="0.2">
      <c r="A39" s="14">
        <f t="shared" ref="A39:A102" si="7">+A38+1</f>
        <v>3</v>
      </c>
      <c r="B39" s="15" t="s">
        <v>44</v>
      </c>
      <c r="C39" s="15" t="s">
        <v>3</v>
      </c>
      <c r="D39" s="15" t="s">
        <v>42</v>
      </c>
      <c r="E39" s="15"/>
      <c r="F39" s="68" t="s">
        <v>5</v>
      </c>
      <c r="G39" s="9">
        <v>21916</v>
      </c>
      <c r="H39" s="16">
        <v>11787</v>
      </c>
      <c r="I39" s="17">
        <v>0</v>
      </c>
      <c r="J39" s="17">
        <v>0</v>
      </c>
      <c r="K39" s="17">
        <f t="shared" si="2"/>
        <v>11787</v>
      </c>
      <c r="L39" s="18">
        <v>0</v>
      </c>
      <c r="M39" s="19">
        <v>99</v>
      </c>
      <c r="N39" s="18">
        <f t="shared" si="3"/>
        <v>60.293150684931504</v>
      </c>
      <c r="O39" s="18">
        <v>0</v>
      </c>
      <c r="P39" s="18">
        <f t="shared" si="4"/>
        <v>61.293150684931504</v>
      </c>
      <c r="Q39" s="18">
        <v>0</v>
      </c>
      <c r="R39" s="18">
        <f t="shared" si="5"/>
        <v>0</v>
      </c>
      <c r="S39" s="18">
        <f t="shared" si="6"/>
        <v>11787</v>
      </c>
    </row>
    <row r="40" spans="1:19" s="20" customFormat="1" ht="15" customHeight="1" x14ac:dyDescent="0.2">
      <c r="A40" s="14">
        <f t="shared" si="7"/>
        <v>4</v>
      </c>
      <c r="B40" s="15" t="s">
        <v>45</v>
      </c>
      <c r="C40" s="15" t="s">
        <v>3</v>
      </c>
      <c r="D40" s="15" t="s">
        <v>42</v>
      </c>
      <c r="E40" s="15"/>
      <c r="F40" s="68" t="s">
        <v>6</v>
      </c>
      <c r="G40" s="9">
        <v>22282</v>
      </c>
      <c r="H40" s="16">
        <v>2108</v>
      </c>
      <c r="I40" s="17">
        <v>0</v>
      </c>
      <c r="J40" s="17">
        <v>0</v>
      </c>
      <c r="K40" s="17">
        <f t="shared" si="2"/>
        <v>2108</v>
      </c>
      <c r="L40" s="18">
        <v>0</v>
      </c>
      <c r="M40" s="19">
        <v>99</v>
      </c>
      <c r="N40" s="18">
        <f t="shared" si="3"/>
        <v>59.290410958904111</v>
      </c>
      <c r="O40" s="18">
        <v>0</v>
      </c>
      <c r="P40" s="18">
        <f t="shared" si="4"/>
        <v>60.290410958904111</v>
      </c>
      <c r="Q40" s="18">
        <v>0</v>
      </c>
      <c r="R40" s="18">
        <f t="shared" si="5"/>
        <v>0</v>
      </c>
      <c r="S40" s="18">
        <f t="shared" si="6"/>
        <v>2108</v>
      </c>
    </row>
    <row r="41" spans="1:19" s="20" customFormat="1" ht="15" customHeight="1" x14ac:dyDescent="0.2">
      <c r="A41" s="14">
        <f t="shared" si="7"/>
        <v>5</v>
      </c>
      <c r="B41" s="15" t="s">
        <v>46</v>
      </c>
      <c r="C41" s="15" t="s">
        <v>3</v>
      </c>
      <c r="D41" s="15" t="s">
        <v>42</v>
      </c>
      <c r="E41" s="15"/>
      <c r="F41" s="68" t="s">
        <v>4</v>
      </c>
      <c r="G41" s="9">
        <v>24473</v>
      </c>
      <c r="H41" s="16">
        <v>3660</v>
      </c>
      <c r="I41" s="17">
        <v>0</v>
      </c>
      <c r="J41" s="17">
        <v>0</v>
      </c>
      <c r="K41" s="17">
        <f t="shared" si="2"/>
        <v>3660</v>
      </c>
      <c r="L41" s="18">
        <v>0</v>
      </c>
      <c r="M41" s="19">
        <v>99</v>
      </c>
      <c r="N41" s="18">
        <f t="shared" si="3"/>
        <v>53.287671232876711</v>
      </c>
      <c r="O41" s="18">
        <v>0</v>
      </c>
      <c r="P41" s="18">
        <f t="shared" si="4"/>
        <v>54.287671232876711</v>
      </c>
      <c r="Q41" s="18">
        <v>0</v>
      </c>
      <c r="R41" s="18">
        <f t="shared" si="5"/>
        <v>0</v>
      </c>
      <c r="S41" s="18">
        <f t="shared" si="6"/>
        <v>3660</v>
      </c>
    </row>
    <row r="42" spans="1:19" s="20" customFormat="1" ht="15" customHeight="1" x14ac:dyDescent="0.2">
      <c r="A42" s="14">
        <f t="shared" si="7"/>
        <v>6</v>
      </c>
      <c r="B42" s="15" t="s">
        <v>47</v>
      </c>
      <c r="C42" s="15" t="s">
        <v>3</v>
      </c>
      <c r="D42" s="15" t="s">
        <v>42</v>
      </c>
      <c r="E42" s="15"/>
      <c r="F42" s="68" t="s">
        <v>4</v>
      </c>
      <c r="G42" s="9">
        <v>25204</v>
      </c>
      <c r="H42" s="16">
        <v>21738</v>
      </c>
      <c r="I42" s="17">
        <v>0</v>
      </c>
      <c r="J42" s="17">
        <v>0</v>
      </c>
      <c r="K42" s="17">
        <f t="shared" si="2"/>
        <v>21738</v>
      </c>
      <c r="L42" s="18">
        <v>0</v>
      </c>
      <c r="M42" s="19">
        <v>99</v>
      </c>
      <c r="N42" s="18">
        <f t="shared" si="3"/>
        <v>51.284931506849318</v>
      </c>
      <c r="O42" s="18">
        <v>0</v>
      </c>
      <c r="P42" s="18">
        <f t="shared" si="4"/>
        <v>52.284931506849318</v>
      </c>
      <c r="Q42" s="18">
        <v>0</v>
      </c>
      <c r="R42" s="18">
        <f t="shared" si="5"/>
        <v>0</v>
      </c>
      <c r="S42" s="18">
        <f t="shared" si="6"/>
        <v>21738</v>
      </c>
    </row>
    <row r="43" spans="1:19" s="20" customFormat="1" ht="15" customHeight="1" x14ac:dyDescent="0.2">
      <c r="A43" s="14">
        <f t="shared" si="7"/>
        <v>7</v>
      </c>
      <c r="B43" s="15" t="s">
        <v>46</v>
      </c>
      <c r="C43" s="15" t="s">
        <v>3</v>
      </c>
      <c r="D43" s="15" t="s">
        <v>42</v>
      </c>
      <c r="E43" s="15"/>
      <c r="F43" s="68" t="s">
        <v>4</v>
      </c>
      <c r="G43" s="9">
        <v>26665</v>
      </c>
      <c r="H43" s="16">
        <v>160</v>
      </c>
      <c r="I43" s="17">
        <v>0</v>
      </c>
      <c r="J43" s="17">
        <v>0</v>
      </c>
      <c r="K43" s="17">
        <f t="shared" si="2"/>
        <v>160</v>
      </c>
      <c r="L43" s="18">
        <v>0</v>
      </c>
      <c r="M43" s="19">
        <v>99</v>
      </c>
      <c r="N43" s="18">
        <f t="shared" si="3"/>
        <v>47.282191780821918</v>
      </c>
      <c r="O43" s="18">
        <v>0</v>
      </c>
      <c r="P43" s="18">
        <f t="shared" si="4"/>
        <v>48.282191780821918</v>
      </c>
      <c r="Q43" s="18">
        <v>0</v>
      </c>
      <c r="R43" s="18">
        <f t="shared" si="5"/>
        <v>0</v>
      </c>
      <c r="S43" s="18">
        <f t="shared" si="6"/>
        <v>160</v>
      </c>
    </row>
    <row r="44" spans="1:19" s="20" customFormat="1" ht="15" customHeight="1" x14ac:dyDescent="0.2">
      <c r="A44" s="14">
        <f t="shared" si="7"/>
        <v>8</v>
      </c>
      <c r="B44" s="15" t="s">
        <v>48</v>
      </c>
      <c r="C44" s="15" t="s">
        <v>3</v>
      </c>
      <c r="D44" s="15" t="s">
        <v>42</v>
      </c>
      <c r="E44" s="15"/>
      <c r="F44" s="68" t="s">
        <v>4</v>
      </c>
      <c r="G44" s="9">
        <v>27395</v>
      </c>
      <c r="H44" s="16">
        <v>508</v>
      </c>
      <c r="I44" s="17">
        <v>0</v>
      </c>
      <c r="J44" s="17">
        <v>0</v>
      </c>
      <c r="K44" s="17">
        <f t="shared" si="2"/>
        <v>508</v>
      </c>
      <c r="L44" s="18">
        <v>0</v>
      </c>
      <c r="M44" s="19">
        <v>99</v>
      </c>
      <c r="N44" s="18">
        <f t="shared" si="3"/>
        <v>45.282191780821918</v>
      </c>
      <c r="O44" s="18">
        <v>0</v>
      </c>
      <c r="P44" s="18">
        <f t="shared" si="4"/>
        <v>46.282191780821918</v>
      </c>
      <c r="Q44" s="18">
        <v>0</v>
      </c>
      <c r="R44" s="18">
        <f t="shared" si="5"/>
        <v>0</v>
      </c>
      <c r="S44" s="18">
        <f t="shared" si="6"/>
        <v>508</v>
      </c>
    </row>
    <row r="45" spans="1:19" s="20" customFormat="1" ht="15" customHeight="1" x14ac:dyDescent="0.2">
      <c r="A45" s="14">
        <f t="shared" si="7"/>
        <v>9</v>
      </c>
      <c r="B45" s="15" t="s">
        <v>48</v>
      </c>
      <c r="C45" s="15" t="s">
        <v>3</v>
      </c>
      <c r="D45" s="15" t="s">
        <v>42</v>
      </c>
      <c r="E45" s="15"/>
      <c r="F45" s="68" t="s">
        <v>4</v>
      </c>
      <c r="G45" s="9">
        <v>29587</v>
      </c>
      <c r="H45" s="16">
        <v>2362</v>
      </c>
      <c r="I45" s="17">
        <v>0</v>
      </c>
      <c r="J45" s="17">
        <v>0</v>
      </c>
      <c r="K45" s="17">
        <f t="shared" si="2"/>
        <v>2362</v>
      </c>
      <c r="L45" s="18">
        <v>0</v>
      </c>
      <c r="M45" s="19">
        <v>99</v>
      </c>
      <c r="N45" s="18">
        <f t="shared" si="3"/>
        <v>39.276712328767125</v>
      </c>
      <c r="O45" s="18">
        <v>0</v>
      </c>
      <c r="P45" s="18">
        <f t="shared" si="4"/>
        <v>40.276712328767125</v>
      </c>
      <c r="Q45" s="18">
        <v>0</v>
      </c>
      <c r="R45" s="18">
        <f t="shared" si="5"/>
        <v>0</v>
      </c>
      <c r="S45" s="18">
        <f t="shared" si="6"/>
        <v>2362</v>
      </c>
    </row>
    <row r="46" spans="1:19" s="20" customFormat="1" ht="15" customHeight="1" x14ac:dyDescent="0.2">
      <c r="A46" s="14">
        <f t="shared" si="7"/>
        <v>10</v>
      </c>
      <c r="B46" s="15" t="s">
        <v>48</v>
      </c>
      <c r="C46" s="15" t="s">
        <v>3</v>
      </c>
      <c r="D46" s="15" t="s">
        <v>42</v>
      </c>
      <c r="E46" s="15"/>
      <c r="F46" s="68" t="s">
        <v>4</v>
      </c>
      <c r="G46" s="9">
        <v>29952</v>
      </c>
      <c r="H46" s="16">
        <v>6496</v>
      </c>
      <c r="I46" s="17">
        <v>0</v>
      </c>
      <c r="J46" s="17">
        <v>0</v>
      </c>
      <c r="K46" s="17">
        <f t="shared" si="2"/>
        <v>6496</v>
      </c>
      <c r="L46" s="18">
        <v>0</v>
      </c>
      <c r="M46" s="19">
        <v>99</v>
      </c>
      <c r="N46" s="18">
        <f t="shared" si="3"/>
        <v>38.276712328767125</v>
      </c>
      <c r="O46" s="18">
        <v>0</v>
      </c>
      <c r="P46" s="18">
        <f t="shared" si="4"/>
        <v>39.276712328767125</v>
      </c>
      <c r="Q46" s="18">
        <v>0</v>
      </c>
      <c r="R46" s="18">
        <f t="shared" si="5"/>
        <v>0</v>
      </c>
      <c r="S46" s="18">
        <f t="shared" si="6"/>
        <v>6496</v>
      </c>
    </row>
    <row r="47" spans="1:19" s="20" customFormat="1" ht="15" customHeight="1" x14ac:dyDescent="0.2">
      <c r="A47" s="14">
        <f t="shared" si="7"/>
        <v>11</v>
      </c>
      <c r="B47" s="15" t="s">
        <v>44</v>
      </c>
      <c r="C47" s="15" t="s">
        <v>3</v>
      </c>
      <c r="D47" s="15" t="s">
        <v>42</v>
      </c>
      <c r="E47" s="15"/>
      <c r="F47" s="68" t="s">
        <v>4</v>
      </c>
      <c r="G47" s="9">
        <v>31048</v>
      </c>
      <c r="H47" s="16">
        <v>42654</v>
      </c>
      <c r="I47" s="17">
        <v>0</v>
      </c>
      <c r="J47" s="17">
        <v>0</v>
      </c>
      <c r="K47" s="17">
        <f t="shared" si="2"/>
        <v>42654</v>
      </c>
      <c r="L47" s="18">
        <v>0</v>
      </c>
      <c r="M47" s="19">
        <v>99</v>
      </c>
      <c r="N47" s="18">
        <f t="shared" si="3"/>
        <v>35.273972602739725</v>
      </c>
      <c r="O47" s="18">
        <v>0</v>
      </c>
      <c r="P47" s="18">
        <f t="shared" si="4"/>
        <v>36.273972602739725</v>
      </c>
      <c r="Q47" s="18">
        <v>0</v>
      </c>
      <c r="R47" s="18">
        <f t="shared" si="5"/>
        <v>0</v>
      </c>
      <c r="S47" s="18">
        <f t="shared" si="6"/>
        <v>42654</v>
      </c>
    </row>
    <row r="48" spans="1:19" s="20" customFormat="1" ht="15" customHeight="1" x14ac:dyDescent="0.2">
      <c r="A48" s="14">
        <f t="shared" si="7"/>
        <v>12</v>
      </c>
      <c r="B48" s="15" t="s">
        <v>49</v>
      </c>
      <c r="C48" s="15" t="s">
        <v>3</v>
      </c>
      <c r="D48" s="15" t="s">
        <v>42</v>
      </c>
      <c r="E48" s="15"/>
      <c r="F48" s="68" t="s">
        <v>7</v>
      </c>
      <c r="G48" s="9">
        <v>31413</v>
      </c>
      <c r="H48" s="16">
        <v>191737</v>
      </c>
      <c r="I48" s="17">
        <v>0</v>
      </c>
      <c r="J48" s="17">
        <v>0</v>
      </c>
      <c r="K48" s="17">
        <f t="shared" si="2"/>
        <v>191737</v>
      </c>
      <c r="L48" s="18">
        <v>0</v>
      </c>
      <c r="M48" s="19">
        <v>99</v>
      </c>
      <c r="N48" s="18">
        <f t="shared" si="3"/>
        <v>34.273972602739725</v>
      </c>
      <c r="O48" s="18">
        <v>0</v>
      </c>
      <c r="P48" s="18">
        <f t="shared" si="4"/>
        <v>35.273972602739725</v>
      </c>
      <c r="Q48" s="18">
        <v>0</v>
      </c>
      <c r="R48" s="18">
        <f t="shared" si="5"/>
        <v>0</v>
      </c>
      <c r="S48" s="18">
        <f t="shared" si="6"/>
        <v>191737</v>
      </c>
    </row>
    <row r="49" spans="1:19" s="20" customFormat="1" ht="15" customHeight="1" x14ac:dyDescent="0.2">
      <c r="A49" s="14">
        <f t="shared" si="7"/>
        <v>13</v>
      </c>
      <c r="B49" s="15" t="s">
        <v>44</v>
      </c>
      <c r="C49" s="15" t="s">
        <v>3</v>
      </c>
      <c r="D49" s="15" t="s">
        <v>42</v>
      </c>
      <c r="E49" s="15"/>
      <c r="F49" s="68" t="s">
        <v>5</v>
      </c>
      <c r="G49" s="9">
        <v>32143</v>
      </c>
      <c r="H49" s="16">
        <v>43735</v>
      </c>
      <c r="I49" s="17">
        <v>0</v>
      </c>
      <c r="J49" s="17">
        <v>0</v>
      </c>
      <c r="K49" s="17">
        <f t="shared" si="2"/>
        <v>43735</v>
      </c>
      <c r="L49" s="18">
        <v>0</v>
      </c>
      <c r="M49" s="19">
        <v>99</v>
      </c>
      <c r="N49" s="18">
        <f t="shared" si="3"/>
        <v>32.273972602739725</v>
      </c>
      <c r="O49" s="18">
        <v>0</v>
      </c>
      <c r="P49" s="18">
        <f t="shared" si="4"/>
        <v>33.273972602739725</v>
      </c>
      <c r="Q49" s="18">
        <v>0</v>
      </c>
      <c r="R49" s="18">
        <f t="shared" si="5"/>
        <v>0</v>
      </c>
      <c r="S49" s="18">
        <f t="shared" si="6"/>
        <v>43735</v>
      </c>
    </row>
    <row r="50" spans="1:19" s="20" customFormat="1" ht="15" customHeight="1" x14ac:dyDescent="0.2">
      <c r="A50" s="14">
        <f t="shared" si="7"/>
        <v>14</v>
      </c>
      <c r="B50" s="15" t="s">
        <v>50</v>
      </c>
      <c r="C50" s="15" t="s">
        <v>3</v>
      </c>
      <c r="D50" s="15" t="s">
        <v>42</v>
      </c>
      <c r="E50" s="15"/>
      <c r="F50" s="68" t="s">
        <v>6</v>
      </c>
      <c r="G50" s="9">
        <v>32509</v>
      </c>
      <c r="H50" s="16">
        <v>37789</v>
      </c>
      <c r="I50" s="17">
        <v>0</v>
      </c>
      <c r="J50" s="17">
        <v>0</v>
      </c>
      <c r="K50" s="17">
        <f t="shared" si="2"/>
        <v>37789</v>
      </c>
      <c r="L50" s="18">
        <v>0</v>
      </c>
      <c r="M50" s="19">
        <v>99</v>
      </c>
      <c r="N50" s="18">
        <f t="shared" si="3"/>
        <v>31.271232876712329</v>
      </c>
      <c r="O50" s="18">
        <v>0</v>
      </c>
      <c r="P50" s="18">
        <f t="shared" si="4"/>
        <v>32.271232876712325</v>
      </c>
      <c r="Q50" s="18">
        <v>0</v>
      </c>
      <c r="R50" s="18">
        <f t="shared" si="5"/>
        <v>0</v>
      </c>
      <c r="S50" s="18">
        <f t="shared" si="6"/>
        <v>37789</v>
      </c>
    </row>
    <row r="51" spans="1:19" s="20" customFormat="1" ht="15" customHeight="1" x14ac:dyDescent="0.2">
      <c r="A51" s="14">
        <f t="shared" si="7"/>
        <v>15</v>
      </c>
      <c r="B51" s="15" t="s">
        <v>51</v>
      </c>
      <c r="C51" s="15" t="s">
        <v>3</v>
      </c>
      <c r="D51" s="15" t="s">
        <v>42</v>
      </c>
      <c r="E51" s="15"/>
      <c r="F51" s="68" t="s">
        <v>7</v>
      </c>
      <c r="G51" s="9">
        <v>37987</v>
      </c>
      <c r="H51" s="16">
        <f>3347970</f>
        <v>3347970</v>
      </c>
      <c r="I51" s="17">
        <v>0</v>
      </c>
      <c r="J51" s="17">
        <v>0</v>
      </c>
      <c r="K51" s="17">
        <f t="shared" si="2"/>
        <v>3347970</v>
      </c>
      <c r="L51" s="18">
        <v>0</v>
      </c>
      <c r="M51" s="19">
        <v>99</v>
      </c>
      <c r="N51" s="18">
        <f t="shared" si="3"/>
        <v>16.263013698630136</v>
      </c>
      <c r="O51" s="18">
        <v>0</v>
      </c>
      <c r="P51" s="18">
        <f t="shared" si="4"/>
        <v>17.263013698630136</v>
      </c>
      <c r="Q51" s="18">
        <v>0</v>
      </c>
      <c r="R51" s="18">
        <f t="shared" si="5"/>
        <v>0</v>
      </c>
      <c r="S51" s="18">
        <f t="shared" si="6"/>
        <v>3347970</v>
      </c>
    </row>
    <row r="52" spans="1:19" s="20" customFormat="1" ht="15" customHeight="1" x14ac:dyDescent="0.2">
      <c r="A52" s="14">
        <f t="shared" si="7"/>
        <v>16</v>
      </c>
      <c r="B52" s="15" t="s">
        <v>52</v>
      </c>
      <c r="C52" s="15" t="s">
        <v>3</v>
      </c>
      <c r="D52" s="15" t="s">
        <v>42</v>
      </c>
      <c r="E52" s="15"/>
      <c r="F52" s="68" t="s">
        <v>4</v>
      </c>
      <c r="G52" s="9">
        <v>38353</v>
      </c>
      <c r="H52" s="16">
        <v>393586</v>
      </c>
      <c r="I52" s="17">
        <v>0</v>
      </c>
      <c r="J52" s="17">
        <v>0</v>
      </c>
      <c r="K52" s="17">
        <f t="shared" si="2"/>
        <v>393586</v>
      </c>
      <c r="L52" s="18">
        <v>0</v>
      </c>
      <c r="M52" s="19">
        <v>99</v>
      </c>
      <c r="N52" s="18">
        <f t="shared" si="3"/>
        <v>15.260273972602739</v>
      </c>
      <c r="O52" s="18">
        <v>0</v>
      </c>
      <c r="P52" s="18">
        <f t="shared" si="4"/>
        <v>16.260273972602739</v>
      </c>
      <c r="Q52" s="18">
        <v>0</v>
      </c>
      <c r="R52" s="18">
        <f t="shared" si="5"/>
        <v>0</v>
      </c>
      <c r="S52" s="18">
        <f t="shared" si="6"/>
        <v>393586</v>
      </c>
    </row>
    <row r="53" spans="1:19" s="20" customFormat="1" ht="15" customHeight="1" x14ac:dyDescent="0.2">
      <c r="A53" s="14">
        <f t="shared" si="7"/>
        <v>17</v>
      </c>
      <c r="B53" s="15" t="s">
        <v>53</v>
      </c>
      <c r="C53" s="15" t="s">
        <v>3</v>
      </c>
      <c r="D53" s="15" t="s">
        <v>42</v>
      </c>
      <c r="E53" s="15"/>
      <c r="F53" s="68" t="s">
        <v>4</v>
      </c>
      <c r="G53" s="9">
        <v>42826</v>
      </c>
      <c r="H53" s="16">
        <v>142660000</v>
      </c>
      <c r="I53" s="17">
        <v>0</v>
      </c>
      <c r="J53" s="17">
        <v>0</v>
      </c>
      <c r="K53" s="17">
        <f t="shared" si="2"/>
        <v>142660000</v>
      </c>
      <c r="L53" s="18">
        <v>0</v>
      </c>
      <c r="M53" s="19">
        <v>99</v>
      </c>
      <c r="N53" s="18">
        <f t="shared" si="3"/>
        <v>3.0054794520547947</v>
      </c>
      <c r="O53" s="18">
        <v>0</v>
      </c>
      <c r="P53" s="18">
        <f t="shared" si="4"/>
        <v>4.0054794520547947</v>
      </c>
      <c r="Q53" s="18">
        <v>0</v>
      </c>
      <c r="R53" s="18">
        <f t="shared" si="5"/>
        <v>0</v>
      </c>
      <c r="S53" s="18">
        <f t="shared" si="6"/>
        <v>142660000</v>
      </c>
    </row>
    <row r="54" spans="1:19" s="20" customFormat="1" ht="15" customHeight="1" x14ac:dyDescent="0.2">
      <c r="A54" s="14">
        <f t="shared" si="7"/>
        <v>18</v>
      </c>
      <c r="B54" s="15" t="s">
        <v>54</v>
      </c>
      <c r="C54" s="15" t="s">
        <v>3</v>
      </c>
      <c r="D54" s="15" t="s">
        <v>42</v>
      </c>
      <c r="E54" s="15"/>
      <c r="F54" s="68" t="s">
        <v>4</v>
      </c>
      <c r="G54" s="9">
        <v>43191</v>
      </c>
      <c r="H54" s="16">
        <f>12280000+654340</f>
        <v>12934340</v>
      </c>
      <c r="I54" s="17">
        <v>0</v>
      </c>
      <c r="J54" s="17">
        <v>0</v>
      </c>
      <c r="K54" s="17">
        <f t="shared" si="2"/>
        <v>12934340</v>
      </c>
      <c r="L54" s="18">
        <v>0</v>
      </c>
      <c r="M54" s="19">
        <v>99</v>
      </c>
      <c r="N54" s="18">
        <f t="shared" si="3"/>
        <v>2.0054794520547947</v>
      </c>
      <c r="O54" s="18">
        <v>0</v>
      </c>
      <c r="P54" s="18">
        <f t="shared" si="4"/>
        <v>3.0054794520547947</v>
      </c>
      <c r="Q54" s="18">
        <v>0</v>
      </c>
      <c r="R54" s="18">
        <f t="shared" si="5"/>
        <v>0</v>
      </c>
      <c r="S54" s="18">
        <f t="shared" si="6"/>
        <v>12934340</v>
      </c>
    </row>
    <row r="55" spans="1:19" ht="15" customHeight="1" x14ac:dyDescent="0.2">
      <c r="A55" s="14">
        <f t="shared" si="7"/>
        <v>19</v>
      </c>
      <c r="B55" s="21" t="s">
        <v>55</v>
      </c>
      <c r="C55" s="15" t="s">
        <v>3</v>
      </c>
      <c r="D55" s="21" t="s">
        <v>56</v>
      </c>
      <c r="E55" s="21"/>
      <c r="F55" s="69" t="s">
        <v>4</v>
      </c>
      <c r="G55" s="9">
        <v>42369</v>
      </c>
      <c r="H55" s="22">
        <v>270471</v>
      </c>
      <c r="I55" s="17">
        <v>0</v>
      </c>
      <c r="J55" s="17">
        <v>1091.1467054794523</v>
      </c>
      <c r="K55" s="17">
        <f t="shared" si="2"/>
        <v>269379.85329452052</v>
      </c>
      <c r="L55" s="23">
        <f>H55*0.05</f>
        <v>13523.550000000001</v>
      </c>
      <c r="M55" s="23">
        <v>60</v>
      </c>
      <c r="N55" s="18">
        <f t="shared" si="3"/>
        <v>4.2575342465753421</v>
      </c>
      <c r="O55" s="23">
        <f>(H55-L55)/M55*N55-J55</f>
        <v>17141.562760273973</v>
      </c>
      <c r="P55" s="18">
        <f t="shared" si="4"/>
        <v>5.2575342465753421</v>
      </c>
      <c r="Q55" s="18">
        <f t="shared" ref="Q55:Q118" si="8">(P55-N55)/M55*(K55-L55)</f>
        <v>4264.2717215753419</v>
      </c>
      <c r="R55" s="18">
        <f t="shared" si="5"/>
        <v>21405.834481849313</v>
      </c>
      <c r="S55" s="18">
        <f>+IF(N55&gt;P55,0,L55)</f>
        <v>13523.550000000001</v>
      </c>
    </row>
    <row r="56" spans="1:19" ht="15" customHeight="1" x14ac:dyDescent="0.2">
      <c r="A56" s="14">
        <f t="shared" si="7"/>
        <v>20</v>
      </c>
      <c r="B56" s="24" t="s">
        <v>57</v>
      </c>
      <c r="C56" s="15" t="s">
        <v>3</v>
      </c>
      <c r="D56" s="24" t="s">
        <v>56</v>
      </c>
      <c r="E56" s="24"/>
      <c r="F56" s="70" t="s">
        <v>7</v>
      </c>
      <c r="G56" s="25">
        <v>44270</v>
      </c>
      <c r="H56" s="26">
        <v>0</v>
      </c>
      <c r="I56" s="27">
        <v>7645038.4199999999</v>
      </c>
      <c r="J56" s="17">
        <v>0</v>
      </c>
      <c r="K56" s="17">
        <f t="shared" si="2"/>
        <v>7645038.4199999999</v>
      </c>
      <c r="L56" s="23">
        <f>K56*0.05</f>
        <v>382251.92100000003</v>
      </c>
      <c r="M56" s="23">
        <v>30</v>
      </c>
      <c r="N56" s="18">
        <f t="shared" si="3"/>
        <v>0</v>
      </c>
      <c r="O56" s="23">
        <f>(K56-L56)/M56*N56-J56</f>
        <v>0</v>
      </c>
      <c r="P56" s="18">
        <f t="shared" si="4"/>
        <v>4.9315068493150684E-2</v>
      </c>
      <c r="Q56" s="18">
        <f t="shared" si="8"/>
        <v>11938.827121643835</v>
      </c>
      <c r="R56" s="18">
        <f t="shared" si="5"/>
        <v>11938.827121643835</v>
      </c>
      <c r="S56" s="18">
        <f>K56-R56</f>
        <v>7633099.5928783556</v>
      </c>
    </row>
    <row r="57" spans="1:19" ht="15" customHeight="1" x14ac:dyDescent="0.2">
      <c r="A57" s="14">
        <f t="shared" si="7"/>
        <v>21</v>
      </c>
      <c r="B57" s="28" t="s">
        <v>58</v>
      </c>
      <c r="C57" s="15" t="s">
        <v>3</v>
      </c>
      <c r="D57" s="24" t="s">
        <v>56</v>
      </c>
      <c r="E57" s="24"/>
      <c r="F57" s="70" t="s">
        <v>7</v>
      </c>
      <c r="G57" s="25">
        <v>43921</v>
      </c>
      <c r="H57" s="26">
        <v>212557.74</v>
      </c>
      <c r="I57" s="17">
        <v>0</v>
      </c>
      <c r="J57" s="17">
        <v>0</v>
      </c>
      <c r="K57" s="17">
        <f t="shared" si="2"/>
        <v>212557.74</v>
      </c>
      <c r="L57" s="23">
        <f>H57*0.05</f>
        <v>10627.887000000001</v>
      </c>
      <c r="M57" s="23">
        <v>30</v>
      </c>
      <c r="N57" s="18">
        <f t="shared" si="3"/>
        <v>5.4794520547945206E-3</v>
      </c>
      <c r="O57" s="23">
        <f>(K57-L57)/M57*N57-J57</f>
        <v>36.88216493150685</v>
      </c>
      <c r="P57" s="18">
        <f t="shared" si="4"/>
        <v>1.0054794520547945</v>
      </c>
      <c r="Q57" s="18">
        <f t="shared" si="8"/>
        <v>6730.9951000000001</v>
      </c>
      <c r="R57" s="18">
        <f t="shared" si="5"/>
        <v>6767.8772649315069</v>
      </c>
      <c r="S57" s="18">
        <f>K57-R57</f>
        <v>205789.86273506848</v>
      </c>
    </row>
    <row r="58" spans="1:19" ht="15" customHeight="1" x14ac:dyDescent="0.2">
      <c r="A58" s="14">
        <f t="shared" si="7"/>
        <v>22</v>
      </c>
      <c r="B58" s="21" t="s">
        <v>59</v>
      </c>
      <c r="C58" s="15" t="s">
        <v>3</v>
      </c>
      <c r="D58" s="21" t="s">
        <v>56</v>
      </c>
      <c r="E58" s="21"/>
      <c r="F58" s="69" t="s">
        <v>4</v>
      </c>
      <c r="G58" s="9">
        <v>42008</v>
      </c>
      <c r="H58" s="22">
        <v>17261562.989999998</v>
      </c>
      <c r="I58" s="17">
        <v>0</v>
      </c>
      <c r="J58" s="17">
        <v>339950.32500397257</v>
      </c>
      <c r="K58" s="17">
        <f t="shared" si="2"/>
        <v>16921612.664996024</v>
      </c>
      <c r="L58" s="23">
        <f t="shared" ref="L58:L119" si="9">H58*0.05</f>
        <v>863078.14949999994</v>
      </c>
      <c r="M58" s="23">
        <v>60</v>
      </c>
      <c r="N58" s="18">
        <f t="shared" si="3"/>
        <v>5.2465753424657535</v>
      </c>
      <c r="O58" s="23">
        <f t="shared" ref="O58:O89" si="10">(H58-L58)/M58*N58-J58</f>
        <v>1093981.1119621233</v>
      </c>
      <c r="P58" s="18">
        <f t="shared" si="4"/>
        <v>6.2465753424657535</v>
      </c>
      <c r="Q58" s="18">
        <f t="shared" si="8"/>
        <v>267642.24192493374</v>
      </c>
      <c r="R58" s="18">
        <f t="shared" si="5"/>
        <v>1361623.3538870569</v>
      </c>
      <c r="S58" s="18">
        <f t="shared" ref="S58:S89" si="11">+IF(N58&gt;P58,0,L58)</f>
        <v>863078.14949999994</v>
      </c>
    </row>
    <row r="59" spans="1:19" ht="15" customHeight="1" x14ac:dyDescent="0.2">
      <c r="A59" s="14">
        <f t="shared" si="7"/>
        <v>23</v>
      </c>
      <c r="B59" s="21" t="s">
        <v>60</v>
      </c>
      <c r="C59" s="15" t="s">
        <v>3</v>
      </c>
      <c r="D59" s="21" t="s">
        <v>56</v>
      </c>
      <c r="E59" s="21"/>
      <c r="F59" s="69" t="s">
        <v>6</v>
      </c>
      <c r="G59" s="9">
        <v>38533</v>
      </c>
      <c r="H59" s="22">
        <v>13861667.619999999</v>
      </c>
      <c r="I59" s="17">
        <v>0</v>
      </c>
      <c r="J59" s="17">
        <f>2362528.1952069-500000</f>
        <v>1862528.1952069001</v>
      </c>
      <c r="K59" s="17">
        <f t="shared" si="2"/>
        <v>11999139.424793098</v>
      </c>
      <c r="L59" s="23">
        <f t="shared" si="9"/>
        <v>693083.38100000005</v>
      </c>
      <c r="M59" s="23">
        <v>60</v>
      </c>
      <c r="N59" s="18">
        <f t="shared" si="3"/>
        <v>14.767123287671232</v>
      </c>
      <c r="O59" s="23">
        <f t="shared" si="10"/>
        <v>1378506.9211497204</v>
      </c>
      <c r="P59" s="18">
        <f t="shared" si="4"/>
        <v>15.767123287671232</v>
      </c>
      <c r="Q59" s="18">
        <f t="shared" si="8"/>
        <v>188434.26739655162</v>
      </c>
      <c r="R59" s="18">
        <f t="shared" si="5"/>
        <v>1566941.188546272</v>
      </c>
      <c r="S59" s="18">
        <f t="shared" si="11"/>
        <v>693083.38100000005</v>
      </c>
    </row>
    <row r="60" spans="1:19" ht="15" customHeight="1" x14ac:dyDescent="0.2">
      <c r="A60" s="14">
        <f t="shared" si="7"/>
        <v>24</v>
      </c>
      <c r="B60" s="21" t="s">
        <v>61</v>
      </c>
      <c r="C60" s="15" t="s">
        <v>3</v>
      </c>
      <c r="D60" s="21" t="s">
        <v>56</v>
      </c>
      <c r="E60" s="21"/>
      <c r="F60" s="69" t="s">
        <v>8</v>
      </c>
      <c r="G60" s="9">
        <v>35885</v>
      </c>
      <c r="H60" s="22">
        <v>29264</v>
      </c>
      <c r="I60" s="17">
        <v>0</v>
      </c>
      <c r="J60" s="17">
        <v>8349.1261004566204</v>
      </c>
      <c r="K60" s="17">
        <f t="shared" si="2"/>
        <v>20914.873899543381</v>
      </c>
      <c r="L60" s="23">
        <f t="shared" si="9"/>
        <v>1463.2</v>
      </c>
      <c r="M60" s="23">
        <v>60</v>
      </c>
      <c r="N60" s="18">
        <f t="shared" si="3"/>
        <v>22.021917808219179</v>
      </c>
      <c r="O60" s="23">
        <f t="shared" si="10"/>
        <v>1854.6561095890411</v>
      </c>
      <c r="P60" s="18">
        <f t="shared" si="4"/>
        <v>23.021917808219179</v>
      </c>
      <c r="Q60" s="18">
        <f t="shared" si="8"/>
        <v>324.1945649923897</v>
      </c>
      <c r="R60" s="18">
        <f t="shared" si="5"/>
        <v>2178.8506745814307</v>
      </c>
      <c r="S60" s="18">
        <f t="shared" si="11"/>
        <v>1463.2</v>
      </c>
    </row>
    <row r="61" spans="1:19" ht="15" customHeight="1" x14ac:dyDescent="0.2">
      <c r="A61" s="14">
        <f t="shared" si="7"/>
        <v>25</v>
      </c>
      <c r="B61" s="21" t="s">
        <v>62</v>
      </c>
      <c r="C61" s="15" t="s">
        <v>3</v>
      </c>
      <c r="D61" s="21" t="s">
        <v>56</v>
      </c>
      <c r="E61" s="21"/>
      <c r="F61" s="69" t="s">
        <v>4</v>
      </c>
      <c r="G61" s="9">
        <v>41348</v>
      </c>
      <c r="H61" s="22">
        <v>1236013.75</v>
      </c>
      <c r="I61" s="17">
        <v>0</v>
      </c>
      <c r="J61" s="17">
        <v>119458.75357305937</v>
      </c>
      <c r="K61" s="17">
        <f t="shared" si="2"/>
        <v>1116554.9964269407</v>
      </c>
      <c r="L61" s="23">
        <f t="shared" si="9"/>
        <v>61800.6875</v>
      </c>
      <c r="M61" s="23">
        <v>30</v>
      </c>
      <c r="N61" s="18">
        <f t="shared" si="3"/>
        <v>7.0547945205479454</v>
      </c>
      <c r="O61" s="23">
        <f t="shared" si="10"/>
        <v>156668.97573630136</v>
      </c>
      <c r="P61" s="18">
        <f t="shared" si="4"/>
        <v>8.0547945205479454</v>
      </c>
      <c r="Q61" s="18">
        <f t="shared" si="8"/>
        <v>35158.476964231355</v>
      </c>
      <c r="R61" s="18">
        <f t="shared" si="5"/>
        <v>191827.45270053271</v>
      </c>
      <c r="S61" s="18">
        <f t="shared" si="11"/>
        <v>61800.6875</v>
      </c>
    </row>
    <row r="62" spans="1:19" ht="15" customHeight="1" x14ac:dyDescent="0.2">
      <c r="A62" s="14">
        <f t="shared" si="7"/>
        <v>26</v>
      </c>
      <c r="B62" s="21" t="s">
        <v>63</v>
      </c>
      <c r="C62" s="15" t="s">
        <v>3</v>
      </c>
      <c r="D62" s="21" t="s">
        <v>56</v>
      </c>
      <c r="E62" s="21"/>
      <c r="F62" s="69" t="s">
        <v>4</v>
      </c>
      <c r="G62" s="9">
        <v>29587</v>
      </c>
      <c r="H62" s="22">
        <v>38986</v>
      </c>
      <c r="I62" s="17">
        <v>0</v>
      </c>
      <c r="J62" s="17">
        <v>21773.85901826484</v>
      </c>
      <c r="K62" s="17">
        <f t="shared" si="2"/>
        <v>17212.14098173516</v>
      </c>
      <c r="L62" s="23">
        <f t="shared" si="9"/>
        <v>1949.3000000000002</v>
      </c>
      <c r="M62" s="23">
        <v>60</v>
      </c>
      <c r="N62" s="18">
        <f t="shared" si="3"/>
        <v>39.276712328767125</v>
      </c>
      <c r="O62" s="23">
        <f t="shared" si="10"/>
        <v>2470.8045068493157</v>
      </c>
      <c r="P62" s="18">
        <f t="shared" si="4"/>
        <v>40.276712328767125</v>
      </c>
      <c r="Q62" s="18">
        <f t="shared" si="8"/>
        <v>254.38068302891932</v>
      </c>
      <c r="R62" s="18">
        <f t="shared" si="5"/>
        <v>2725.1851898782352</v>
      </c>
      <c r="S62" s="18">
        <f t="shared" si="11"/>
        <v>1949.3000000000002</v>
      </c>
    </row>
    <row r="63" spans="1:19" ht="15" customHeight="1" x14ac:dyDescent="0.2">
      <c r="A63" s="14">
        <f t="shared" si="7"/>
        <v>27</v>
      </c>
      <c r="B63" s="21" t="s">
        <v>64</v>
      </c>
      <c r="C63" s="15" t="s">
        <v>3</v>
      </c>
      <c r="D63" s="21" t="s">
        <v>56</v>
      </c>
      <c r="E63" s="21"/>
      <c r="F63" s="69" t="s">
        <v>4</v>
      </c>
      <c r="G63" s="9">
        <v>29587</v>
      </c>
      <c r="H63" s="29">
        <v>68191</v>
      </c>
      <c r="I63" s="17">
        <v>0</v>
      </c>
      <c r="J63" s="17">
        <v>38084.984874429225</v>
      </c>
      <c r="K63" s="17">
        <f t="shared" si="2"/>
        <v>30106.015125570775</v>
      </c>
      <c r="L63" s="23">
        <f t="shared" si="9"/>
        <v>3409.55</v>
      </c>
      <c r="M63" s="23">
        <v>60</v>
      </c>
      <c r="N63" s="18">
        <f t="shared" si="3"/>
        <v>39.276712328767125</v>
      </c>
      <c r="O63" s="23">
        <f t="shared" si="10"/>
        <v>4321.7213904109594</v>
      </c>
      <c r="P63" s="18">
        <f t="shared" si="4"/>
        <v>40.276712328767125</v>
      </c>
      <c r="Q63" s="18">
        <f t="shared" si="8"/>
        <v>444.9410854261796</v>
      </c>
      <c r="R63" s="18">
        <f t="shared" si="5"/>
        <v>4766.662475837139</v>
      </c>
      <c r="S63" s="18">
        <f t="shared" si="11"/>
        <v>3409.55</v>
      </c>
    </row>
    <row r="64" spans="1:19" ht="15" customHeight="1" x14ac:dyDescent="0.2">
      <c r="A64" s="14">
        <f t="shared" si="7"/>
        <v>28</v>
      </c>
      <c r="B64" s="21" t="s">
        <v>65</v>
      </c>
      <c r="C64" s="15" t="s">
        <v>3</v>
      </c>
      <c r="D64" s="21" t="s">
        <v>56</v>
      </c>
      <c r="E64" s="21"/>
      <c r="F64" s="69" t="s">
        <v>4</v>
      </c>
      <c r="G64" s="9">
        <v>40162</v>
      </c>
      <c r="H64" s="22">
        <v>222821.9</v>
      </c>
      <c r="I64" s="17">
        <v>0</v>
      </c>
      <c r="J64" s="17">
        <v>44462.634840182647</v>
      </c>
      <c r="K64" s="17">
        <f t="shared" si="2"/>
        <v>178359.26515981735</v>
      </c>
      <c r="L64" s="23">
        <f t="shared" si="9"/>
        <v>11141.095000000001</v>
      </c>
      <c r="M64" s="23">
        <v>30</v>
      </c>
      <c r="N64" s="18">
        <f t="shared" si="3"/>
        <v>10.304109589041095</v>
      </c>
      <c r="O64" s="23">
        <f t="shared" si="10"/>
        <v>28243.438913698621</v>
      </c>
      <c r="P64" s="18">
        <f t="shared" si="4"/>
        <v>11.304109589041095</v>
      </c>
      <c r="Q64" s="18">
        <f t="shared" si="8"/>
        <v>5573.9390053272455</v>
      </c>
      <c r="R64" s="18">
        <f t="shared" si="5"/>
        <v>33817.377919025865</v>
      </c>
      <c r="S64" s="18">
        <f t="shared" si="11"/>
        <v>11141.095000000001</v>
      </c>
    </row>
    <row r="65" spans="1:19" ht="15" customHeight="1" x14ac:dyDescent="0.2">
      <c r="A65" s="14">
        <f t="shared" si="7"/>
        <v>29</v>
      </c>
      <c r="B65" s="21" t="s">
        <v>66</v>
      </c>
      <c r="C65" s="15" t="s">
        <v>3</v>
      </c>
      <c r="D65" s="21" t="s">
        <v>56</v>
      </c>
      <c r="E65" s="21"/>
      <c r="F65" s="69" t="s">
        <v>4</v>
      </c>
      <c r="G65" s="9">
        <v>28856</v>
      </c>
      <c r="H65" s="26">
        <v>19</v>
      </c>
      <c r="I65" s="17">
        <v>0</v>
      </c>
      <c r="J65" s="17">
        <v>11.214077625570777</v>
      </c>
      <c r="K65" s="17">
        <f t="shared" si="2"/>
        <v>7.785922374429223</v>
      </c>
      <c r="L65" s="23">
        <f t="shared" si="9"/>
        <v>0.95000000000000007</v>
      </c>
      <c r="M65" s="23">
        <v>60</v>
      </c>
      <c r="N65" s="18">
        <f t="shared" si="3"/>
        <v>41.279452054794518</v>
      </c>
      <c r="O65" s="23">
        <f t="shared" si="10"/>
        <v>1.2041575342465745</v>
      </c>
      <c r="P65" s="18">
        <f t="shared" si="4"/>
        <v>42.279452054794518</v>
      </c>
      <c r="Q65" s="18">
        <f t="shared" si="8"/>
        <v>0.11393203957382038</v>
      </c>
      <c r="R65" s="18">
        <f t="shared" si="5"/>
        <v>1.3180895738203948</v>
      </c>
      <c r="S65" s="18">
        <f t="shared" si="11"/>
        <v>0.95000000000000007</v>
      </c>
    </row>
    <row r="66" spans="1:19" ht="15" customHeight="1" x14ac:dyDescent="0.2">
      <c r="A66" s="14">
        <f t="shared" si="7"/>
        <v>30</v>
      </c>
      <c r="B66" s="21" t="s">
        <v>66</v>
      </c>
      <c r="C66" s="15" t="s">
        <v>3</v>
      </c>
      <c r="D66" s="21" t="s">
        <v>56</v>
      </c>
      <c r="E66" s="21"/>
      <c r="F66" s="69" t="s">
        <v>4</v>
      </c>
      <c r="G66" s="9">
        <v>28491</v>
      </c>
      <c r="H66" s="26">
        <v>648</v>
      </c>
      <c r="I66" s="17">
        <v>0</v>
      </c>
      <c r="J66" s="17">
        <v>392.7190684931507</v>
      </c>
      <c r="K66" s="17">
        <f t="shared" si="2"/>
        <v>255.2809315068493</v>
      </c>
      <c r="L66" s="23">
        <f t="shared" si="9"/>
        <v>32.4</v>
      </c>
      <c r="M66" s="23">
        <v>60</v>
      </c>
      <c r="N66" s="18">
        <f t="shared" si="3"/>
        <v>42.279452054794518</v>
      </c>
      <c r="O66" s="23">
        <f t="shared" si="10"/>
        <v>41.068109589041057</v>
      </c>
      <c r="P66" s="18">
        <f t="shared" si="4"/>
        <v>43.279452054794518</v>
      </c>
      <c r="Q66" s="18">
        <f t="shared" si="8"/>
        <v>3.7146821917808217</v>
      </c>
      <c r="R66" s="18">
        <f t="shared" si="5"/>
        <v>44.782791780821881</v>
      </c>
      <c r="S66" s="18">
        <f t="shared" si="11"/>
        <v>32.4</v>
      </c>
    </row>
    <row r="67" spans="1:19" ht="15" customHeight="1" x14ac:dyDescent="0.2">
      <c r="A67" s="14">
        <f t="shared" si="7"/>
        <v>31</v>
      </c>
      <c r="B67" s="21" t="s">
        <v>67</v>
      </c>
      <c r="C67" s="15" t="s">
        <v>3</v>
      </c>
      <c r="D67" s="21" t="s">
        <v>56</v>
      </c>
      <c r="E67" s="21"/>
      <c r="F67" s="69" t="s">
        <v>4</v>
      </c>
      <c r="G67" s="9">
        <v>39143</v>
      </c>
      <c r="H67" s="22">
        <v>2265562.75</v>
      </c>
      <c r="I67" s="17">
        <v>0</v>
      </c>
      <c r="J67" s="17">
        <v>652368.27661073045</v>
      </c>
      <c r="K67" s="17">
        <f t="shared" si="2"/>
        <v>1613194.4733892696</v>
      </c>
      <c r="L67" s="23">
        <f t="shared" si="9"/>
        <v>113278.13750000001</v>
      </c>
      <c r="M67" s="23">
        <v>30</v>
      </c>
      <c r="N67" s="18">
        <f t="shared" si="3"/>
        <v>13.095890410958905</v>
      </c>
      <c r="O67" s="23">
        <f t="shared" si="10"/>
        <v>287167.83733904117</v>
      </c>
      <c r="P67" s="18">
        <f t="shared" si="4"/>
        <v>14.095890410958905</v>
      </c>
      <c r="Q67" s="18">
        <f t="shared" si="8"/>
        <v>49997.211196308985</v>
      </c>
      <c r="R67" s="18">
        <f t="shared" si="5"/>
        <v>337165.04853535013</v>
      </c>
      <c r="S67" s="18">
        <f t="shared" si="11"/>
        <v>113278.13750000001</v>
      </c>
    </row>
    <row r="68" spans="1:19" ht="15" customHeight="1" x14ac:dyDescent="0.2">
      <c r="A68" s="14">
        <f t="shared" si="7"/>
        <v>32</v>
      </c>
      <c r="B68" s="21" t="s">
        <v>66</v>
      </c>
      <c r="C68" s="15" t="s">
        <v>3</v>
      </c>
      <c r="D68" s="21" t="s">
        <v>56</v>
      </c>
      <c r="E68" s="21"/>
      <c r="F68" s="69" t="s">
        <v>4</v>
      </c>
      <c r="G68" s="9">
        <v>28126</v>
      </c>
      <c r="H68" s="26">
        <v>331</v>
      </c>
      <c r="I68" s="17">
        <v>0</v>
      </c>
      <c r="J68" s="17">
        <v>205.84270319634703</v>
      </c>
      <c r="K68" s="17">
        <f t="shared" si="2"/>
        <v>125.15729680365297</v>
      </c>
      <c r="L68" s="23">
        <f t="shared" si="9"/>
        <v>16.55</v>
      </c>
      <c r="M68" s="23">
        <v>60</v>
      </c>
      <c r="N68" s="18">
        <f t="shared" si="3"/>
        <v>43.279452054794518</v>
      </c>
      <c r="O68" s="23">
        <f t="shared" si="10"/>
        <v>20.977691780821885</v>
      </c>
      <c r="P68" s="18">
        <f t="shared" si="4"/>
        <v>44.279452054794518</v>
      </c>
      <c r="Q68" s="18">
        <f t="shared" si="8"/>
        <v>1.8101216133942162</v>
      </c>
      <c r="R68" s="18">
        <f t="shared" si="5"/>
        <v>22.787813394216101</v>
      </c>
      <c r="S68" s="18">
        <f t="shared" si="11"/>
        <v>16.55</v>
      </c>
    </row>
    <row r="69" spans="1:19" ht="15" customHeight="1" x14ac:dyDescent="0.2">
      <c r="A69" s="14">
        <f t="shared" si="7"/>
        <v>33</v>
      </c>
      <c r="B69" s="21" t="s">
        <v>68</v>
      </c>
      <c r="C69" s="15" t="s">
        <v>3</v>
      </c>
      <c r="D69" s="21" t="s">
        <v>56</v>
      </c>
      <c r="E69" s="21"/>
      <c r="F69" s="69" t="s">
        <v>4</v>
      </c>
      <c r="G69" s="9">
        <v>39005</v>
      </c>
      <c r="H69" s="22">
        <v>208118.27</v>
      </c>
      <c r="I69" s="17">
        <v>0</v>
      </c>
      <c r="J69" s="17">
        <v>62419.325700502275</v>
      </c>
      <c r="K69" s="17">
        <f t="shared" si="2"/>
        <v>145698.9442994977</v>
      </c>
      <c r="L69" s="23">
        <f t="shared" si="9"/>
        <v>10405.913500000001</v>
      </c>
      <c r="M69" s="23">
        <v>30</v>
      </c>
      <c r="N69" s="18">
        <f t="shared" si="3"/>
        <v>13.473972602739726</v>
      </c>
      <c r="O69" s="23">
        <f t="shared" si="10"/>
        <v>26379.703456301373</v>
      </c>
      <c r="P69" s="18">
        <f t="shared" si="4"/>
        <v>14.473972602739726</v>
      </c>
      <c r="Q69" s="18">
        <f t="shared" si="8"/>
        <v>4509.7676933165903</v>
      </c>
      <c r="R69" s="18">
        <f t="shared" si="5"/>
        <v>30889.471149617963</v>
      </c>
      <c r="S69" s="18">
        <f t="shared" si="11"/>
        <v>10405.913500000001</v>
      </c>
    </row>
    <row r="70" spans="1:19" ht="15" customHeight="1" x14ac:dyDescent="0.2">
      <c r="A70" s="14">
        <f t="shared" si="7"/>
        <v>34</v>
      </c>
      <c r="B70" s="21" t="s">
        <v>69</v>
      </c>
      <c r="C70" s="15" t="s">
        <v>3</v>
      </c>
      <c r="D70" s="21" t="s">
        <v>56</v>
      </c>
      <c r="E70" s="21"/>
      <c r="F70" s="69" t="s">
        <v>4</v>
      </c>
      <c r="G70" s="9">
        <v>38883</v>
      </c>
      <c r="H70" s="22">
        <v>547429</v>
      </c>
      <c r="I70" s="17">
        <v>0</v>
      </c>
      <c r="J70" s="17">
        <v>169980.45401369862</v>
      </c>
      <c r="K70" s="17">
        <f t="shared" si="2"/>
        <v>377448.54598630138</v>
      </c>
      <c r="L70" s="23">
        <f t="shared" si="9"/>
        <v>27371.45</v>
      </c>
      <c r="M70" s="23">
        <v>30</v>
      </c>
      <c r="N70" s="18">
        <f t="shared" si="3"/>
        <v>13.808219178082192</v>
      </c>
      <c r="O70" s="23">
        <f t="shared" si="10"/>
        <v>69388.500506849348</v>
      </c>
      <c r="P70" s="18">
        <f t="shared" si="4"/>
        <v>14.808219178082192</v>
      </c>
      <c r="Q70" s="18">
        <f t="shared" si="8"/>
        <v>11669.236532876712</v>
      </c>
      <c r="R70" s="18">
        <f t="shared" si="5"/>
        <v>81057.737039726053</v>
      </c>
      <c r="S70" s="18">
        <f t="shared" si="11"/>
        <v>27371.45</v>
      </c>
    </row>
    <row r="71" spans="1:19" ht="15" customHeight="1" x14ac:dyDescent="0.2">
      <c r="A71" s="14">
        <f t="shared" si="7"/>
        <v>35</v>
      </c>
      <c r="B71" s="21" t="s">
        <v>70</v>
      </c>
      <c r="C71" s="15" t="s">
        <v>3</v>
      </c>
      <c r="D71" s="21" t="s">
        <v>56</v>
      </c>
      <c r="E71" s="21"/>
      <c r="F71" s="69" t="s">
        <v>4</v>
      </c>
      <c r="G71" s="9">
        <v>38883</v>
      </c>
      <c r="H71" s="22">
        <v>1256013.24</v>
      </c>
      <c r="I71" s="17">
        <v>0</v>
      </c>
      <c r="J71" s="17">
        <v>390000.71385041095</v>
      </c>
      <c r="K71" s="17">
        <f t="shared" si="2"/>
        <v>866012.5261495891</v>
      </c>
      <c r="L71" s="23">
        <f t="shared" si="9"/>
        <v>62800.662000000004</v>
      </c>
      <c r="M71" s="23">
        <v>30</v>
      </c>
      <c r="N71" s="18">
        <f t="shared" si="3"/>
        <v>13.808219178082192</v>
      </c>
      <c r="O71" s="23">
        <f t="shared" si="10"/>
        <v>159203.9795852055</v>
      </c>
      <c r="P71" s="18">
        <f t="shared" si="4"/>
        <v>14.808219178082192</v>
      </c>
      <c r="Q71" s="18">
        <f t="shared" si="8"/>
        <v>26773.728804986302</v>
      </c>
      <c r="R71" s="18">
        <f t="shared" si="5"/>
        <v>185977.70839019181</v>
      </c>
      <c r="S71" s="18">
        <f t="shared" si="11"/>
        <v>62800.662000000004</v>
      </c>
    </row>
    <row r="72" spans="1:19" ht="15" customHeight="1" x14ac:dyDescent="0.2">
      <c r="A72" s="14">
        <f t="shared" si="7"/>
        <v>36</v>
      </c>
      <c r="B72" s="21" t="s">
        <v>71</v>
      </c>
      <c r="C72" s="15" t="s">
        <v>3</v>
      </c>
      <c r="D72" s="21" t="s">
        <v>56</v>
      </c>
      <c r="E72" s="21"/>
      <c r="F72" s="69" t="s">
        <v>7</v>
      </c>
      <c r="G72" s="9">
        <v>38748</v>
      </c>
      <c r="H72" s="22">
        <v>679585.17</v>
      </c>
      <c r="I72" s="17">
        <v>0</v>
      </c>
      <c r="J72" s="17">
        <v>218975.37491424658</v>
      </c>
      <c r="K72" s="17">
        <f t="shared" si="2"/>
        <v>460609.79508575343</v>
      </c>
      <c r="L72" s="23">
        <f t="shared" si="9"/>
        <v>33979.258500000004</v>
      </c>
      <c r="M72" s="23">
        <v>30</v>
      </c>
      <c r="N72" s="18">
        <f t="shared" si="3"/>
        <v>14.178082191780822</v>
      </c>
      <c r="O72" s="23">
        <f t="shared" si="10"/>
        <v>86139.74764397266</v>
      </c>
      <c r="P72" s="18">
        <f t="shared" si="4"/>
        <v>15.178082191780822</v>
      </c>
      <c r="Q72" s="18">
        <f t="shared" si="8"/>
        <v>14221.017886191781</v>
      </c>
      <c r="R72" s="18">
        <f t="shared" si="5"/>
        <v>100360.76553016444</v>
      </c>
      <c r="S72" s="18">
        <f t="shared" si="11"/>
        <v>33979.258500000004</v>
      </c>
    </row>
    <row r="73" spans="1:19" ht="15" customHeight="1" x14ac:dyDescent="0.2">
      <c r="A73" s="14">
        <f t="shared" si="7"/>
        <v>37</v>
      </c>
      <c r="B73" s="21" t="s">
        <v>64</v>
      </c>
      <c r="C73" s="15" t="s">
        <v>3</v>
      </c>
      <c r="D73" s="21" t="s">
        <v>56</v>
      </c>
      <c r="E73" s="21"/>
      <c r="F73" s="69" t="s">
        <v>4</v>
      </c>
      <c r="G73" s="9">
        <v>27760</v>
      </c>
      <c r="H73" s="26">
        <v>837</v>
      </c>
      <c r="I73" s="17">
        <v>0</v>
      </c>
      <c r="J73" s="17">
        <v>533.80343835616429</v>
      </c>
      <c r="K73" s="17">
        <f t="shared" si="2"/>
        <v>303.19656164383571</v>
      </c>
      <c r="L73" s="23">
        <f t="shared" si="9"/>
        <v>41.85</v>
      </c>
      <c r="M73" s="23">
        <v>60</v>
      </c>
      <c r="N73" s="18">
        <f t="shared" si="3"/>
        <v>44.282191780821918</v>
      </c>
      <c r="O73" s="23">
        <f t="shared" si="10"/>
        <v>53.046308219178172</v>
      </c>
      <c r="P73" s="18">
        <f t="shared" si="4"/>
        <v>45.282191780821918</v>
      </c>
      <c r="Q73" s="18">
        <f t="shared" si="8"/>
        <v>4.355776027397261</v>
      </c>
      <c r="R73" s="18">
        <f t="shared" si="5"/>
        <v>57.402084246575434</v>
      </c>
      <c r="S73" s="18">
        <f t="shared" si="11"/>
        <v>41.85</v>
      </c>
    </row>
    <row r="74" spans="1:19" ht="15" customHeight="1" x14ac:dyDescent="0.2">
      <c r="A74" s="14">
        <f t="shared" si="7"/>
        <v>38</v>
      </c>
      <c r="B74" s="21" t="s">
        <v>72</v>
      </c>
      <c r="C74" s="15" t="s">
        <v>3</v>
      </c>
      <c r="D74" s="24" t="s">
        <v>56</v>
      </c>
      <c r="E74" s="24"/>
      <c r="F74" s="70" t="s">
        <v>7</v>
      </c>
      <c r="G74" s="9">
        <v>38663</v>
      </c>
      <c r="H74" s="22">
        <v>239029.81</v>
      </c>
      <c r="I74" s="17">
        <v>0</v>
      </c>
      <c r="J74" s="17">
        <v>78782.697331552496</v>
      </c>
      <c r="K74" s="17">
        <f t="shared" si="2"/>
        <v>160247.11266844749</v>
      </c>
      <c r="L74" s="23">
        <f t="shared" si="9"/>
        <v>11951.4905</v>
      </c>
      <c r="M74" s="23">
        <v>30</v>
      </c>
      <c r="N74" s="18">
        <f t="shared" si="3"/>
        <v>14.41095890410959</v>
      </c>
      <c r="O74" s="23">
        <f t="shared" si="10"/>
        <v>30297.84701273973</v>
      </c>
      <c r="P74" s="18">
        <f t="shared" si="4"/>
        <v>15.41095890410959</v>
      </c>
      <c r="Q74" s="18">
        <f t="shared" si="8"/>
        <v>4943.1874056149154</v>
      </c>
      <c r="R74" s="18">
        <f t="shared" si="5"/>
        <v>35241.034418354648</v>
      </c>
      <c r="S74" s="18">
        <f t="shared" si="11"/>
        <v>11951.4905</v>
      </c>
    </row>
    <row r="75" spans="1:19" ht="15" customHeight="1" x14ac:dyDescent="0.2">
      <c r="A75" s="14">
        <f t="shared" si="7"/>
        <v>39</v>
      </c>
      <c r="B75" s="21" t="s">
        <v>73</v>
      </c>
      <c r="C75" s="15" t="s">
        <v>3</v>
      </c>
      <c r="D75" s="21" t="s">
        <v>56</v>
      </c>
      <c r="E75" s="21"/>
      <c r="F75" s="69" t="s">
        <v>6</v>
      </c>
      <c r="G75" s="9">
        <v>38657</v>
      </c>
      <c r="H75" s="22">
        <v>183095</v>
      </c>
      <c r="I75" s="17">
        <v>0</v>
      </c>
      <c r="J75" s="17">
        <v>60442.251255707764</v>
      </c>
      <c r="K75" s="17">
        <f t="shared" si="2"/>
        <v>122652.74874429224</v>
      </c>
      <c r="L75" s="23">
        <f t="shared" si="9"/>
        <v>9154.75</v>
      </c>
      <c r="M75" s="23">
        <v>30</v>
      </c>
      <c r="N75" s="18">
        <f t="shared" si="3"/>
        <v>14.427397260273972</v>
      </c>
      <c r="O75" s="23">
        <f t="shared" si="10"/>
        <v>23207.918287671222</v>
      </c>
      <c r="P75" s="18">
        <f t="shared" si="4"/>
        <v>15.427397260273972</v>
      </c>
      <c r="Q75" s="18">
        <f t="shared" si="8"/>
        <v>3783.2666248097412</v>
      </c>
      <c r="R75" s="18">
        <f t="shared" si="5"/>
        <v>26991.184912480963</v>
      </c>
      <c r="S75" s="18">
        <f t="shared" si="11"/>
        <v>9154.75</v>
      </c>
    </row>
    <row r="76" spans="1:19" ht="15" customHeight="1" x14ac:dyDescent="0.2">
      <c r="A76" s="14">
        <f t="shared" si="7"/>
        <v>40</v>
      </c>
      <c r="B76" s="21" t="s">
        <v>74</v>
      </c>
      <c r="C76" s="15" t="s">
        <v>3</v>
      </c>
      <c r="D76" s="21" t="s">
        <v>56</v>
      </c>
      <c r="E76" s="21"/>
      <c r="F76" s="69" t="s">
        <v>6</v>
      </c>
      <c r="G76" s="9">
        <v>38533</v>
      </c>
      <c r="H76" s="22">
        <v>391666.44</v>
      </c>
      <c r="I76" s="17">
        <v>0</v>
      </c>
      <c r="J76" s="17">
        <v>133508.17996547944</v>
      </c>
      <c r="K76" s="17">
        <f t="shared" si="2"/>
        <v>258158.26003452056</v>
      </c>
      <c r="L76" s="23">
        <f t="shared" si="9"/>
        <v>19583.322</v>
      </c>
      <c r="M76" s="23">
        <v>30</v>
      </c>
      <c r="N76" s="18">
        <f t="shared" si="3"/>
        <v>14.767123287671232</v>
      </c>
      <c r="O76" s="23">
        <f t="shared" si="10"/>
        <v>49645.062593424664</v>
      </c>
      <c r="P76" s="18">
        <f t="shared" si="4"/>
        <v>15.767123287671232</v>
      </c>
      <c r="Q76" s="18">
        <f t="shared" si="8"/>
        <v>7952.4979344840176</v>
      </c>
      <c r="R76" s="18">
        <f t="shared" si="5"/>
        <v>57597.560527908681</v>
      </c>
      <c r="S76" s="18">
        <f t="shared" si="11"/>
        <v>19583.322</v>
      </c>
    </row>
    <row r="77" spans="1:19" ht="15" customHeight="1" x14ac:dyDescent="0.2">
      <c r="A77" s="14">
        <f t="shared" si="7"/>
        <v>41</v>
      </c>
      <c r="B77" s="21" t="s">
        <v>64</v>
      </c>
      <c r="C77" s="15" t="s">
        <v>3</v>
      </c>
      <c r="D77" s="21" t="s">
        <v>56</v>
      </c>
      <c r="E77" s="21"/>
      <c r="F77" s="69" t="s">
        <v>4</v>
      </c>
      <c r="G77" s="9">
        <v>27395</v>
      </c>
      <c r="H77" s="22">
        <v>5032</v>
      </c>
      <c r="I77" s="17">
        <v>0</v>
      </c>
      <c r="J77" s="17">
        <v>3288.8715433789953</v>
      </c>
      <c r="K77" s="17">
        <f t="shared" si="2"/>
        <v>1743.1284566210047</v>
      </c>
      <c r="L77" s="23">
        <f t="shared" si="9"/>
        <v>251.60000000000002</v>
      </c>
      <c r="M77" s="23">
        <v>60</v>
      </c>
      <c r="N77" s="18">
        <f t="shared" si="3"/>
        <v>45.282191780821918</v>
      </c>
      <c r="O77" s="23">
        <f t="shared" si="10"/>
        <v>318.9116164383563</v>
      </c>
      <c r="P77" s="18">
        <f t="shared" si="4"/>
        <v>46.282191780821918</v>
      </c>
      <c r="Q77" s="18">
        <f t="shared" si="8"/>
        <v>24.85880761035008</v>
      </c>
      <c r="R77" s="18">
        <f t="shared" si="5"/>
        <v>343.77042404870639</v>
      </c>
      <c r="S77" s="18">
        <f t="shared" si="11"/>
        <v>251.60000000000002</v>
      </c>
    </row>
    <row r="78" spans="1:19" ht="15" customHeight="1" x14ac:dyDescent="0.2">
      <c r="A78" s="14">
        <f t="shared" si="7"/>
        <v>42</v>
      </c>
      <c r="B78" s="21" t="s">
        <v>64</v>
      </c>
      <c r="C78" s="15" t="s">
        <v>3</v>
      </c>
      <c r="D78" s="21" t="s">
        <v>56</v>
      </c>
      <c r="E78" s="21"/>
      <c r="F78" s="69" t="s">
        <v>4</v>
      </c>
      <c r="G78" s="9">
        <v>27030</v>
      </c>
      <c r="H78" s="22">
        <v>16329</v>
      </c>
      <c r="I78" s="17">
        <v>0</v>
      </c>
      <c r="J78" s="17">
        <v>10931.035232876709</v>
      </c>
      <c r="K78" s="17">
        <f t="shared" si="2"/>
        <v>5397.9647671232906</v>
      </c>
      <c r="L78" s="23">
        <f t="shared" si="9"/>
        <v>816.45</v>
      </c>
      <c r="M78" s="23">
        <v>60</v>
      </c>
      <c r="N78" s="18">
        <f t="shared" si="3"/>
        <v>46.282191780821918</v>
      </c>
      <c r="O78" s="23">
        <f t="shared" si="10"/>
        <v>1034.8783356164404</v>
      </c>
      <c r="P78" s="18">
        <f t="shared" si="4"/>
        <v>47.282191780821918</v>
      </c>
      <c r="Q78" s="18">
        <f t="shared" si="8"/>
        <v>76.35857945205484</v>
      </c>
      <c r="R78" s="18">
        <f t="shared" si="5"/>
        <v>1111.2369150684951</v>
      </c>
      <c r="S78" s="18">
        <f t="shared" si="11"/>
        <v>816.45</v>
      </c>
    </row>
    <row r="79" spans="1:19" ht="15" customHeight="1" x14ac:dyDescent="0.2">
      <c r="A79" s="14">
        <f t="shared" si="7"/>
        <v>43</v>
      </c>
      <c r="B79" s="21" t="s">
        <v>75</v>
      </c>
      <c r="C79" s="15" t="s">
        <v>3</v>
      </c>
      <c r="D79" s="21" t="s">
        <v>56</v>
      </c>
      <c r="E79" s="21"/>
      <c r="F79" s="69" t="s">
        <v>4</v>
      </c>
      <c r="G79" s="9">
        <v>37955</v>
      </c>
      <c r="H79" s="22">
        <v>139076</v>
      </c>
      <c r="I79" s="17">
        <v>0</v>
      </c>
      <c r="J79" s="17">
        <v>54381.256200913245</v>
      </c>
      <c r="K79" s="17">
        <f t="shared" si="2"/>
        <v>84694.743799086747</v>
      </c>
      <c r="L79" s="23">
        <f t="shared" si="9"/>
        <v>6953.8</v>
      </c>
      <c r="M79" s="23">
        <v>30</v>
      </c>
      <c r="N79" s="18">
        <f t="shared" si="3"/>
        <v>16.350684931506848</v>
      </c>
      <c r="O79" s="23">
        <f t="shared" si="10"/>
        <v>17628.359287671228</v>
      </c>
      <c r="P79" s="18">
        <f t="shared" si="4"/>
        <v>17.350684931506848</v>
      </c>
      <c r="Q79" s="18">
        <f t="shared" si="8"/>
        <v>2591.3647933028915</v>
      </c>
      <c r="R79" s="18">
        <f t="shared" si="5"/>
        <v>20219.72408097412</v>
      </c>
      <c r="S79" s="18">
        <f t="shared" si="11"/>
        <v>6953.8</v>
      </c>
    </row>
    <row r="80" spans="1:19" ht="15" customHeight="1" x14ac:dyDescent="0.2">
      <c r="A80" s="14">
        <f t="shared" si="7"/>
        <v>44</v>
      </c>
      <c r="B80" s="21" t="s">
        <v>76</v>
      </c>
      <c r="C80" s="15" t="s">
        <v>3</v>
      </c>
      <c r="D80" s="21" t="s">
        <v>56</v>
      </c>
      <c r="E80" s="21"/>
      <c r="F80" s="69" t="s">
        <v>4</v>
      </c>
      <c r="G80" s="9">
        <v>37802</v>
      </c>
      <c r="H80" s="22">
        <v>250554</v>
      </c>
      <c r="I80" s="17">
        <v>0</v>
      </c>
      <c r="J80" s="17">
        <v>101297.03726027397</v>
      </c>
      <c r="K80" s="17">
        <f t="shared" si="2"/>
        <v>149256.96273972603</v>
      </c>
      <c r="L80" s="23">
        <f t="shared" si="9"/>
        <v>12527.7</v>
      </c>
      <c r="M80" s="23">
        <v>30</v>
      </c>
      <c r="N80" s="18">
        <f t="shared" si="3"/>
        <v>16.769863013698629</v>
      </c>
      <c r="O80" s="23">
        <f t="shared" si="10"/>
        <v>31758.577561643819</v>
      </c>
      <c r="P80" s="18">
        <f t="shared" si="4"/>
        <v>17.769863013698629</v>
      </c>
      <c r="Q80" s="18">
        <f t="shared" si="8"/>
        <v>4557.6420913242009</v>
      </c>
      <c r="R80" s="18">
        <f t="shared" si="5"/>
        <v>36316.219652968022</v>
      </c>
      <c r="S80" s="18">
        <f t="shared" si="11"/>
        <v>12527.7</v>
      </c>
    </row>
    <row r="81" spans="1:19" ht="15" customHeight="1" x14ac:dyDescent="0.2">
      <c r="A81" s="14">
        <f t="shared" si="7"/>
        <v>45</v>
      </c>
      <c r="B81" s="21" t="s">
        <v>77</v>
      </c>
      <c r="C81" s="15" t="s">
        <v>3</v>
      </c>
      <c r="D81" s="21" t="s">
        <v>56</v>
      </c>
      <c r="E81" s="21"/>
      <c r="F81" s="69" t="s">
        <v>4</v>
      </c>
      <c r="G81" s="9">
        <v>37802</v>
      </c>
      <c r="H81" s="22">
        <v>273129</v>
      </c>
      <c r="I81" s="17">
        <v>0</v>
      </c>
      <c r="J81" s="17">
        <v>110423.93452054793</v>
      </c>
      <c r="K81" s="17">
        <f t="shared" si="2"/>
        <v>162705.06547945208</v>
      </c>
      <c r="L81" s="23">
        <f t="shared" si="9"/>
        <v>13656.45</v>
      </c>
      <c r="M81" s="23">
        <v>30</v>
      </c>
      <c r="N81" s="18">
        <f t="shared" si="3"/>
        <v>16.769863013698629</v>
      </c>
      <c r="O81" s="23">
        <f t="shared" si="10"/>
        <v>34620.036123287646</v>
      </c>
      <c r="P81" s="18">
        <f t="shared" si="4"/>
        <v>17.769863013698629</v>
      </c>
      <c r="Q81" s="18">
        <f t="shared" si="8"/>
        <v>4968.2871826484024</v>
      </c>
      <c r="R81" s="18">
        <f t="shared" si="5"/>
        <v>39588.32330593605</v>
      </c>
      <c r="S81" s="18">
        <f t="shared" si="11"/>
        <v>13656.45</v>
      </c>
    </row>
    <row r="82" spans="1:19" ht="15" customHeight="1" x14ac:dyDescent="0.2">
      <c r="A82" s="14">
        <f t="shared" si="7"/>
        <v>46</v>
      </c>
      <c r="B82" s="21" t="s">
        <v>78</v>
      </c>
      <c r="C82" s="15" t="s">
        <v>3</v>
      </c>
      <c r="D82" s="21" t="s">
        <v>56</v>
      </c>
      <c r="E82" s="21"/>
      <c r="F82" s="69" t="s">
        <v>4</v>
      </c>
      <c r="G82" s="9">
        <v>26665</v>
      </c>
      <c r="H82" s="26">
        <v>4213</v>
      </c>
      <c r="I82" s="17">
        <v>0</v>
      </c>
      <c r="J82" s="17">
        <v>2886.9919155251141</v>
      </c>
      <c r="K82" s="17">
        <f t="shared" si="2"/>
        <v>1326.0080844748859</v>
      </c>
      <c r="L82" s="23">
        <f t="shared" si="9"/>
        <v>210.65</v>
      </c>
      <c r="M82" s="23">
        <v>60</v>
      </c>
      <c r="N82" s="18">
        <f t="shared" si="3"/>
        <v>47.282191780821918</v>
      </c>
      <c r="O82" s="23">
        <f t="shared" si="10"/>
        <v>267.00608904109595</v>
      </c>
      <c r="P82" s="18">
        <f t="shared" si="4"/>
        <v>48.282191780821918</v>
      </c>
      <c r="Q82" s="18">
        <f t="shared" si="8"/>
        <v>18.589301407914764</v>
      </c>
      <c r="R82" s="18">
        <f t="shared" si="5"/>
        <v>285.59539044901072</v>
      </c>
      <c r="S82" s="18">
        <f t="shared" si="11"/>
        <v>210.65</v>
      </c>
    </row>
    <row r="83" spans="1:19" ht="15" customHeight="1" x14ac:dyDescent="0.2">
      <c r="A83" s="14">
        <f t="shared" si="7"/>
        <v>47</v>
      </c>
      <c r="B83" s="21" t="s">
        <v>79</v>
      </c>
      <c r="C83" s="15" t="s">
        <v>3</v>
      </c>
      <c r="D83" s="21" t="s">
        <v>56</v>
      </c>
      <c r="E83" s="21"/>
      <c r="F83" s="69" t="s">
        <v>6</v>
      </c>
      <c r="G83" s="9">
        <v>26665</v>
      </c>
      <c r="H83" s="22">
        <v>14911</v>
      </c>
      <c r="I83" s="17">
        <v>0</v>
      </c>
      <c r="J83" s="17">
        <v>10217.881901826484</v>
      </c>
      <c r="K83" s="17">
        <f t="shared" si="2"/>
        <v>4693.118098173516</v>
      </c>
      <c r="L83" s="23">
        <f t="shared" si="9"/>
        <v>745.55000000000007</v>
      </c>
      <c r="M83" s="23">
        <v>60</v>
      </c>
      <c r="N83" s="18">
        <f t="shared" si="3"/>
        <v>47.282191780821918</v>
      </c>
      <c r="O83" s="23">
        <f t="shared" si="10"/>
        <v>945.0101575342469</v>
      </c>
      <c r="P83" s="18">
        <f t="shared" si="4"/>
        <v>48.282191780821918</v>
      </c>
      <c r="Q83" s="18">
        <f t="shared" si="8"/>
        <v>65.792801636225263</v>
      </c>
      <c r="R83" s="18">
        <f t="shared" si="5"/>
        <v>1010.8029591704721</v>
      </c>
      <c r="S83" s="18">
        <f t="shared" si="11"/>
        <v>745.55000000000007</v>
      </c>
    </row>
    <row r="84" spans="1:19" ht="15" customHeight="1" x14ac:dyDescent="0.2">
      <c r="A84" s="14">
        <f t="shared" si="7"/>
        <v>48</v>
      </c>
      <c r="B84" s="21" t="s">
        <v>64</v>
      </c>
      <c r="C84" s="15" t="s">
        <v>3</v>
      </c>
      <c r="D84" s="21" t="s">
        <v>56</v>
      </c>
      <c r="E84" s="21"/>
      <c r="F84" s="69" t="s">
        <v>4</v>
      </c>
      <c r="G84" s="9">
        <v>26665</v>
      </c>
      <c r="H84" s="29">
        <v>94052</v>
      </c>
      <c r="I84" s="17">
        <v>0</v>
      </c>
      <c r="J84" s="17">
        <v>64449.884557077618</v>
      </c>
      <c r="K84" s="17">
        <f t="shared" si="2"/>
        <v>29602.115442922382</v>
      </c>
      <c r="L84" s="23">
        <f t="shared" si="9"/>
        <v>4702.6000000000004</v>
      </c>
      <c r="M84" s="23">
        <v>60</v>
      </c>
      <c r="N84" s="18">
        <f t="shared" si="3"/>
        <v>47.282191780821918</v>
      </c>
      <c r="O84" s="23">
        <f t="shared" si="10"/>
        <v>5960.706547945214</v>
      </c>
      <c r="P84" s="18">
        <f t="shared" si="4"/>
        <v>48.282191780821918</v>
      </c>
      <c r="Q84" s="18">
        <f t="shared" si="8"/>
        <v>414.99192404870638</v>
      </c>
      <c r="R84" s="18">
        <f t="shared" si="5"/>
        <v>6375.6984719939201</v>
      </c>
      <c r="S84" s="18">
        <f t="shared" si="11"/>
        <v>4702.6000000000004</v>
      </c>
    </row>
    <row r="85" spans="1:19" ht="15" customHeight="1" x14ac:dyDescent="0.2">
      <c r="A85" s="14">
        <f t="shared" si="7"/>
        <v>49</v>
      </c>
      <c r="B85" s="21" t="s">
        <v>80</v>
      </c>
      <c r="C85" s="15" t="s">
        <v>3</v>
      </c>
      <c r="D85" s="21" t="s">
        <v>56</v>
      </c>
      <c r="E85" s="21"/>
      <c r="F85" s="69" t="s">
        <v>4</v>
      </c>
      <c r="G85" s="9">
        <v>37257</v>
      </c>
      <c r="H85" s="22">
        <v>212142</v>
      </c>
      <c r="I85" s="17">
        <v>0</v>
      </c>
      <c r="J85" s="17">
        <v>95798.096301369864</v>
      </c>
      <c r="K85" s="17">
        <f t="shared" si="2"/>
        <v>116343.90369863014</v>
      </c>
      <c r="L85" s="23">
        <f t="shared" si="9"/>
        <v>10607.1</v>
      </c>
      <c r="M85" s="23">
        <v>30</v>
      </c>
      <c r="N85" s="18">
        <f t="shared" si="3"/>
        <v>18.263013698630136</v>
      </c>
      <c r="O85" s="23">
        <f t="shared" si="10"/>
        <v>26889.725013698626</v>
      </c>
      <c r="P85" s="18">
        <f t="shared" si="4"/>
        <v>19.263013698630136</v>
      </c>
      <c r="Q85" s="18">
        <f t="shared" si="8"/>
        <v>3524.5601232876711</v>
      </c>
      <c r="R85" s="18">
        <f t="shared" si="5"/>
        <v>30414.285136986298</v>
      </c>
      <c r="S85" s="18">
        <f t="shared" si="11"/>
        <v>10607.1</v>
      </c>
    </row>
    <row r="86" spans="1:19" ht="15" customHeight="1" x14ac:dyDescent="0.2">
      <c r="A86" s="14">
        <f t="shared" si="7"/>
        <v>50</v>
      </c>
      <c r="B86" s="21" t="s">
        <v>81</v>
      </c>
      <c r="C86" s="15" t="s">
        <v>3</v>
      </c>
      <c r="D86" s="24" t="s">
        <v>56</v>
      </c>
      <c r="E86" s="24"/>
      <c r="F86" s="70" t="s">
        <v>7</v>
      </c>
      <c r="G86" s="9">
        <v>37257</v>
      </c>
      <c r="H86" s="22">
        <v>873926</v>
      </c>
      <c r="I86" s="17">
        <v>0</v>
      </c>
      <c r="J86" s="17">
        <v>394643.43273972598</v>
      </c>
      <c r="K86" s="17">
        <f t="shared" si="2"/>
        <v>479282.56726027402</v>
      </c>
      <c r="L86" s="23">
        <f t="shared" si="9"/>
        <v>43696.3</v>
      </c>
      <c r="M86" s="23">
        <v>30</v>
      </c>
      <c r="N86" s="18">
        <f t="shared" si="3"/>
        <v>18.263013698630136</v>
      </c>
      <c r="O86" s="23">
        <f t="shared" si="10"/>
        <v>110773.11339726025</v>
      </c>
      <c r="P86" s="18">
        <f t="shared" si="4"/>
        <v>19.263013698630136</v>
      </c>
      <c r="Q86" s="18">
        <f t="shared" si="8"/>
        <v>14519.542242009134</v>
      </c>
      <c r="R86" s="18">
        <f t="shared" si="5"/>
        <v>125292.65563926939</v>
      </c>
      <c r="S86" s="18">
        <f t="shared" si="11"/>
        <v>43696.3</v>
      </c>
    </row>
    <row r="87" spans="1:19" ht="15" customHeight="1" x14ac:dyDescent="0.2">
      <c r="A87" s="14">
        <f t="shared" si="7"/>
        <v>51</v>
      </c>
      <c r="B87" s="21" t="s">
        <v>82</v>
      </c>
      <c r="C87" s="15" t="s">
        <v>3</v>
      </c>
      <c r="D87" s="21" t="s">
        <v>56</v>
      </c>
      <c r="E87" s="21"/>
      <c r="F87" s="69" t="s">
        <v>6</v>
      </c>
      <c r="G87" s="9">
        <v>26299</v>
      </c>
      <c r="H87" s="22">
        <v>11285</v>
      </c>
      <c r="I87" s="17">
        <v>0</v>
      </c>
      <c r="J87" s="17">
        <v>7912.3051255707769</v>
      </c>
      <c r="K87" s="17">
        <f t="shared" si="2"/>
        <v>3372.6948744292231</v>
      </c>
      <c r="L87" s="23">
        <f t="shared" si="9"/>
        <v>564.25</v>
      </c>
      <c r="M87" s="23">
        <v>60</v>
      </c>
      <c r="N87" s="18">
        <f t="shared" si="3"/>
        <v>48.284931506849318</v>
      </c>
      <c r="O87" s="23">
        <f t="shared" si="10"/>
        <v>715.2061986301369</v>
      </c>
      <c r="P87" s="18">
        <f t="shared" si="4"/>
        <v>49.284931506849318</v>
      </c>
      <c r="Q87" s="18">
        <f t="shared" si="8"/>
        <v>46.807414573820381</v>
      </c>
      <c r="R87" s="18">
        <f t="shared" si="5"/>
        <v>762.01361320395722</v>
      </c>
      <c r="S87" s="18">
        <f t="shared" si="11"/>
        <v>564.25</v>
      </c>
    </row>
    <row r="88" spans="1:19" ht="15" customHeight="1" x14ac:dyDescent="0.2">
      <c r="A88" s="14">
        <f t="shared" si="7"/>
        <v>52</v>
      </c>
      <c r="B88" s="21" t="s">
        <v>83</v>
      </c>
      <c r="C88" s="15" t="s">
        <v>3</v>
      </c>
      <c r="D88" s="21" t="s">
        <v>56</v>
      </c>
      <c r="E88" s="21"/>
      <c r="F88" s="69" t="s">
        <v>4</v>
      </c>
      <c r="G88" s="9">
        <v>25934</v>
      </c>
      <c r="H88" s="26">
        <v>65</v>
      </c>
      <c r="I88" s="17">
        <v>0</v>
      </c>
      <c r="J88" s="17">
        <v>46.60292237442922</v>
      </c>
      <c r="K88" s="17">
        <f t="shared" si="2"/>
        <v>18.39707762557078</v>
      </c>
      <c r="L88" s="23">
        <f t="shared" si="9"/>
        <v>3.25</v>
      </c>
      <c r="M88" s="23">
        <v>60</v>
      </c>
      <c r="N88" s="18">
        <f t="shared" si="3"/>
        <v>49.284931506849318</v>
      </c>
      <c r="O88" s="23">
        <f t="shared" si="10"/>
        <v>4.1194863013698679</v>
      </c>
      <c r="P88" s="18">
        <f t="shared" si="4"/>
        <v>50.284931506849318</v>
      </c>
      <c r="Q88" s="18">
        <f t="shared" si="8"/>
        <v>0.25245129375951303</v>
      </c>
      <c r="R88" s="18">
        <f t="shared" si="5"/>
        <v>4.3719375951293813</v>
      </c>
      <c r="S88" s="18">
        <f t="shared" si="11"/>
        <v>3.25</v>
      </c>
    </row>
    <row r="89" spans="1:19" ht="15" customHeight="1" x14ac:dyDescent="0.2">
      <c r="A89" s="14">
        <f t="shared" si="7"/>
        <v>53</v>
      </c>
      <c r="B89" s="21" t="s">
        <v>84</v>
      </c>
      <c r="C89" s="15" t="s">
        <v>3</v>
      </c>
      <c r="D89" s="21" t="s">
        <v>56</v>
      </c>
      <c r="E89" s="21"/>
      <c r="F89" s="69" t="s">
        <v>4</v>
      </c>
      <c r="G89" s="9">
        <v>25934</v>
      </c>
      <c r="H89" s="26">
        <v>1990</v>
      </c>
      <c r="I89" s="17">
        <v>0</v>
      </c>
      <c r="J89" s="17">
        <v>1426.7663926940638</v>
      </c>
      <c r="K89" s="17">
        <f t="shared" si="2"/>
        <v>563.23360730593618</v>
      </c>
      <c r="L89" s="23">
        <f t="shared" si="9"/>
        <v>99.5</v>
      </c>
      <c r="M89" s="23">
        <v>60</v>
      </c>
      <c r="N89" s="18">
        <f t="shared" si="3"/>
        <v>49.284931506849318</v>
      </c>
      <c r="O89" s="23">
        <f t="shared" si="10"/>
        <v>126.1196575342467</v>
      </c>
      <c r="P89" s="18">
        <f t="shared" si="4"/>
        <v>50.284931506849318</v>
      </c>
      <c r="Q89" s="18">
        <f t="shared" si="8"/>
        <v>7.7288934550989365</v>
      </c>
      <c r="R89" s="18">
        <f t="shared" si="5"/>
        <v>133.84855098934563</v>
      </c>
      <c r="S89" s="18">
        <f t="shared" si="11"/>
        <v>99.5</v>
      </c>
    </row>
    <row r="90" spans="1:19" ht="15" customHeight="1" x14ac:dyDescent="0.2">
      <c r="A90" s="14">
        <f t="shared" si="7"/>
        <v>54</v>
      </c>
      <c r="B90" s="21" t="s">
        <v>85</v>
      </c>
      <c r="C90" s="15" t="s">
        <v>3</v>
      </c>
      <c r="D90" s="21" t="s">
        <v>56</v>
      </c>
      <c r="E90" s="21"/>
      <c r="F90" s="69" t="s">
        <v>6</v>
      </c>
      <c r="G90" s="9">
        <v>25934</v>
      </c>
      <c r="H90" s="22">
        <v>14852</v>
      </c>
      <c r="I90" s="17">
        <v>0</v>
      </c>
      <c r="J90" s="17">
        <v>10648.409278538813</v>
      </c>
      <c r="K90" s="17">
        <f t="shared" si="2"/>
        <v>4203.5907214611871</v>
      </c>
      <c r="L90" s="23">
        <f t="shared" si="9"/>
        <v>742.6</v>
      </c>
      <c r="M90" s="23">
        <v>60</v>
      </c>
      <c r="N90" s="18">
        <f t="shared" si="3"/>
        <v>49.284931506849318</v>
      </c>
      <c r="O90" s="23">
        <f t="shared" ref="O90:O121" si="12">(H90-L90)/M90*N90-J90</f>
        <v>941.27093150684959</v>
      </c>
      <c r="P90" s="18">
        <f t="shared" si="4"/>
        <v>50.284931506849318</v>
      </c>
      <c r="Q90" s="18">
        <f t="shared" si="8"/>
        <v>57.683178691019783</v>
      </c>
      <c r="R90" s="18">
        <f t="shared" si="5"/>
        <v>998.95411019786934</v>
      </c>
      <c r="S90" s="18">
        <f t="shared" ref="S90:S121" si="13">+IF(N90&gt;P90,0,L90)</f>
        <v>742.6</v>
      </c>
    </row>
    <row r="91" spans="1:19" ht="15" customHeight="1" x14ac:dyDescent="0.2">
      <c r="A91" s="14">
        <f t="shared" si="7"/>
        <v>55</v>
      </c>
      <c r="B91" s="21" t="s">
        <v>86</v>
      </c>
      <c r="C91" s="15" t="s">
        <v>3</v>
      </c>
      <c r="D91" s="21" t="s">
        <v>56</v>
      </c>
      <c r="E91" s="21"/>
      <c r="F91" s="69" t="s">
        <v>4</v>
      </c>
      <c r="G91" s="9">
        <v>25569</v>
      </c>
      <c r="H91" s="26">
        <v>3502</v>
      </c>
      <c r="I91" s="17">
        <v>0</v>
      </c>
      <c r="J91" s="17">
        <v>2566.2703972602744</v>
      </c>
      <c r="K91" s="17">
        <f t="shared" si="2"/>
        <v>935.72960273972558</v>
      </c>
      <c r="L91" s="23">
        <f t="shared" si="9"/>
        <v>175.10000000000002</v>
      </c>
      <c r="M91" s="23">
        <v>60</v>
      </c>
      <c r="N91" s="18">
        <f t="shared" si="3"/>
        <v>50.284931506849318</v>
      </c>
      <c r="O91" s="23">
        <f t="shared" si="12"/>
        <v>221.94524657534248</v>
      </c>
      <c r="P91" s="18">
        <f t="shared" si="4"/>
        <v>51.284931506849318</v>
      </c>
      <c r="Q91" s="18">
        <f t="shared" si="8"/>
        <v>12.677160045662092</v>
      </c>
      <c r="R91" s="18">
        <f t="shared" si="5"/>
        <v>234.62240662100459</v>
      </c>
      <c r="S91" s="18">
        <f t="shared" si="13"/>
        <v>175.10000000000002</v>
      </c>
    </row>
    <row r="92" spans="1:19" ht="15" customHeight="1" x14ac:dyDescent="0.2">
      <c r="A92" s="14">
        <f t="shared" si="7"/>
        <v>56</v>
      </c>
      <c r="B92" s="21" t="s">
        <v>87</v>
      </c>
      <c r="C92" s="15" t="s">
        <v>3</v>
      </c>
      <c r="D92" s="21" t="s">
        <v>56</v>
      </c>
      <c r="E92" s="21"/>
      <c r="F92" s="69" t="s">
        <v>4</v>
      </c>
      <c r="G92" s="9">
        <v>25569</v>
      </c>
      <c r="H92" s="22">
        <v>3867</v>
      </c>
      <c r="I92" s="17">
        <v>0</v>
      </c>
      <c r="J92" s="17">
        <v>2833.7428972602738</v>
      </c>
      <c r="K92" s="17">
        <f t="shared" si="2"/>
        <v>1033.2571027397262</v>
      </c>
      <c r="L92" s="23">
        <f t="shared" si="9"/>
        <v>193.35000000000002</v>
      </c>
      <c r="M92" s="23">
        <v>60</v>
      </c>
      <c r="N92" s="18">
        <f t="shared" si="3"/>
        <v>50.284931506849318</v>
      </c>
      <c r="O92" s="23">
        <f t="shared" si="12"/>
        <v>245.07774657534264</v>
      </c>
      <c r="P92" s="18">
        <f t="shared" si="4"/>
        <v>51.284931506849318</v>
      </c>
      <c r="Q92" s="18">
        <f t="shared" si="8"/>
        <v>13.99845171232877</v>
      </c>
      <c r="R92" s="18">
        <f t="shared" si="5"/>
        <v>259.07619828767139</v>
      </c>
      <c r="S92" s="18">
        <f t="shared" si="13"/>
        <v>193.35000000000002</v>
      </c>
    </row>
    <row r="93" spans="1:19" ht="15" customHeight="1" x14ac:dyDescent="0.2">
      <c r="A93" s="14">
        <f t="shared" si="7"/>
        <v>57</v>
      </c>
      <c r="B93" s="21" t="s">
        <v>88</v>
      </c>
      <c r="C93" s="15" t="s">
        <v>3</v>
      </c>
      <c r="D93" s="21" t="s">
        <v>56</v>
      </c>
      <c r="E93" s="21"/>
      <c r="F93" s="69" t="s">
        <v>4</v>
      </c>
      <c r="G93" s="9">
        <v>25569</v>
      </c>
      <c r="H93" s="22">
        <v>16000</v>
      </c>
      <c r="I93" s="17">
        <v>0</v>
      </c>
      <c r="J93" s="17">
        <v>11724.82191780822</v>
      </c>
      <c r="K93" s="17">
        <f t="shared" si="2"/>
        <v>4275.17808219178</v>
      </c>
      <c r="L93" s="23">
        <f t="shared" si="9"/>
        <v>800</v>
      </c>
      <c r="M93" s="23">
        <v>60</v>
      </c>
      <c r="N93" s="18">
        <f t="shared" si="3"/>
        <v>50.284931506849318</v>
      </c>
      <c r="O93" s="23">
        <f t="shared" si="12"/>
        <v>1014.0273972602754</v>
      </c>
      <c r="P93" s="18">
        <f t="shared" si="4"/>
        <v>51.284931506849318</v>
      </c>
      <c r="Q93" s="18">
        <f t="shared" si="8"/>
        <v>57.91963470319633</v>
      </c>
      <c r="R93" s="18">
        <f t="shared" si="5"/>
        <v>1071.9470319634718</v>
      </c>
      <c r="S93" s="18">
        <f t="shared" si="13"/>
        <v>800</v>
      </c>
    </row>
    <row r="94" spans="1:19" ht="15" customHeight="1" x14ac:dyDescent="0.2">
      <c r="A94" s="14">
        <f t="shared" si="7"/>
        <v>58</v>
      </c>
      <c r="B94" s="21" t="s">
        <v>89</v>
      </c>
      <c r="C94" s="15" t="s">
        <v>3</v>
      </c>
      <c r="D94" s="21" t="s">
        <v>56</v>
      </c>
      <c r="E94" s="21"/>
      <c r="F94" s="69" t="s">
        <v>6</v>
      </c>
      <c r="G94" s="9">
        <v>25569</v>
      </c>
      <c r="H94" s="22">
        <v>103745</v>
      </c>
      <c r="I94" s="17">
        <v>0</v>
      </c>
      <c r="J94" s="17">
        <v>76024.47811643836</v>
      </c>
      <c r="K94" s="17">
        <f t="shared" si="2"/>
        <v>27720.52188356164</v>
      </c>
      <c r="L94" s="23">
        <f t="shared" si="9"/>
        <v>5187.25</v>
      </c>
      <c r="M94" s="23">
        <v>60</v>
      </c>
      <c r="N94" s="18">
        <f t="shared" si="3"/>
        <v>50.284931506849318</v>
      </c>
      <c r="O94" s="23">
        <f t="shared" si="12"/>
        <v>6575.0170205479371</v>
      </c>
      <c r="P94" s="18">
        <f t="shared" si="4"/>
        <v>51.284931506849318</v>
      </c>
      <c r="Q94" s="18">
        <f t="shared" si="8"/>
        <v>375.554531392694</v>
      </c>
      <c r="R94" s="18">
        <f t="shared" si="5"/>
        <v>6950.5715519406313</v>
      </c>
      <c r="S94" s="18">
        <f t="shared" si="13"/>
        <v>5187.25</v>
      </c>
    </row>
    <row r="95" spans="1:19" ht="15" customHeight="1" x14ac:dyDescent="0.2">
      <c r="A95" s="14">
        <f t="shared" si="7"/>
        <v>59</v>
      </c>
      <c r="B95" s="21" t="s">
        <v>90</v>
      </c>
      <c r="C95" s="15" t="s">
        <v>3</v>
      </c>
      <c r="D95" s="21" t="s">
        <v>56</v>
      </c>
      <c r="E95" s="21"/>
      <c r="F95" s="69" t="s">
        <v>9</v>
      </c>
      <c r="G95" s="9">
        <v>36489</v>
      </c>
      <c r="H95" s="22">
        <v>3118901</v>
      </c>
      <c r="I95" s="17">
        <v>0</v>
      </c>
      <c r="J95" s="17">
        <f>1616231.58806849-500000</f>
        <v>1116231.5880684899</v>
      </c>
      <c r="K95" s="17">
        <f t="shared" si="2"/>
        <v>2002669.4119315101</v>
      </c>
      <c r="L95" s="23">
        <f t="shared" si="9"/>
        <v>155945.05000000002</v>
      </c>
      <c r="M95" s="23">
        <v>30</v>
      </c>
      <c r="N95" s="18">
        <f t="shared" si="3"/>
        <v>20.367123287671234</v>
      </c>
      <c r="O95" s="23">
        <f t="shared" si="12"/>
        <v>895331.38291781163</v>
      </c>
      <c r="P95" s="18">
        <f t="shared" si="4"/>
        <v>21.367123287671234</v>
      </c>
      <c r="Q95" s="18">
        <f t="shared" si="8"/>
        <v>61557.478731050331</v>
      </c>
      <c r="R95" s="18">
        <f t="shared" si="5"/>
        <v>956888.86164886202</v>
      </c>
      <c r="S95" s="18">
        <f t="shared" si="13"/>
        <v>155945.05000000002</v>
      </c>
    </row>
    <row r="96" spans="1:19" ht="15" customHeight="1" x14ac:dyDescent="0.2">
      <c r="A96" s="14">
        <f t="shared" si="7"/>
        <v>60</v>
      </c>
      <c r="B96" s="21" t="s">
        <v>91</v>
      </c>
      <c r="C96" s="15" t="s">
        <v>3</v>
      </c>
      <c r="D96" s="21" t="s">
        <v>56</v>
      </c>
      <c r="E96" s="21"/>
      <c r="F96" s="69" t="s">
        <v>4</v>
      </c>
      <c r="G96" s="9">
        <v>36160</v>
      </c>
      <c r="H96" s="29">
        <v>116637</v>
      </c>
      <c r="I96" s="17">
        <v>0</v>
      </c>
      <c r="J96" s="17">
        <v>63771.146602739725</v>
      </c>
      <c r="K96" s="17">
        <f t="shared" si="2"/>
        <v>52865.853397260275</v>
      </c>
      <c r="L96" s="23">
        <f t="shared" si="9"/>
        <v>5831.85</v>
      </c>
      <c r="M96" s="23">
        <v>30</v>
      </c>
      <c r="N96" s="18">
        <f t="shared" si="3"/>
        <v>21.268493150684932</v>
      </c>
      <c r="O96" s="23">
        <f t="shared" si="12"/>
        <v>14784.139191780821</v>
      </c>
      <c r="P96" s="18">
        <f t="shared" si="4"/>
        <v>22.268493150684932</v>
      </c>
      <c r="Q96" s="18">
        <f t="shared" si="8"/>
        <v>1567.8001132420093</v>
      </c>
      <c r="R96" s="18">
        <f t="shared" si="5"/>
        <v>16351.93930502283</v>
      </c>
      <c r="S96" s="18">
        <f t="shared" si="13"/>
        <v>5831.85</v>
      </c>
    </row>
    <row r="97" spans="1:19" ht="15" customHeight="1" x14ac:dyDescent="0.2">
      <c r="A97" s="14">
        <f t="shared" si="7"/>
        <v>61</v>
      </c>
      <c r="B97" s="21" t="s">
        <v>92</v>
      </c>
      <c r="C97" s="15" t="s">
        <v>3</v>
      </c>
      <c r="D97" s="21" t="s">
        <v>56</v>
      </c>
      <c r="E97" s="21"/>
      <c r="F97" s="69" t="s">
        <v>7</v>
      </c>
      <c r="G97" s="9">
        <v>25204</v>
      </c>
      <c r="H97" s="26">
        <v>77</v>
      </c>
      <c r="I97" s="17">
        <v>0</v>
      </c>
      <c r="J97" s="17">
        <v>57.644872146118722</v>
      </c>
      <c r="K97" s="17">
        <f t="shared" si="2"/>
        <v>19.355127853881278</v>
      </c>
      <c r="L97" s="23">
        <f t="shared" si="9"/>
        <v>3.85</v>
      </c>
      <c r="M97" s="23">
        <v>60</v>
      </c>
      <c r="N97" s="18">
        <f t="shared" si="3"/>
        <v>51.284931506849318</v>
      </c>
      <c r="O97" s="23">
        <f t="shared" si="12"/>
        <v>4.8800068493150732</v>
      </c>
      <c r="P97" s="18">
        <f t="shared" si="4"/>
        <v>52.284931506849318</v>
      </c>
      <c r="Q97" s="18">
        <f t="shared" si="8"/>
        <v>0.258418797564688</v>
      </c>
      <c r="R97" s="18">
        <f t="shared" si="5"/>
        <v>5.1384256468797611</v>
      </c>
      <c r="S97" s="18">
        <f t="shared" si="13"/>
        <v>3.85</v>
      </c>
    </row>
    <row r="98" spans="1:19" ht="15" customHeight="1" x14ac:dyDescent="0.2">
      <c r="A98" s="14">
        <f t="shared" si="7"/>
        <v>62</v>
      </c>
      <c r="B98" s="21" t="s">
        <v>86</v>
      </c>
      <c r="C98" s="15" t="s">
        <v>3</v>
      </c>
      <c r="D98" s="21" t="s">
        <v>56</v>
      </c>
      <c r="E98" s="21"/>
      <c r="F98" s="69" t="s">
        <v>4</v>
      </c>
      <c r="G98" s="9">
        <v>25204</v>
      </c>
      <c r="H98" s="26">
        <v>125</v>
      </c>
      <c r="I98" s="17">
        <v>0</v>
      </c>
      <c r="J98" s="17">
        <v>93.57933789954339</v>
      </c>
      <c r="K98" s="17">
        <f t="shared" si="2"/>
        <v>31.42066210045661</v>
      </c>
      <c r="L98" s="23">
        <f t="shared" si="9"/>
        <v>6.25</v>
      </c>
      <c r="M98" s="23">
        <v>60</v>
      </c>
      <c r="N98" s="18">
        <f t="shared" si="3"/>
        <v>51.284931506849318</v>
      </c>
      <c r="O98" s="23">
        <f t="shared" si="12"/>
        <v>7.9220890410958873</v>
      </c>
      <c r="P98" s="18">
        <f t="shared" si="4"/>
        <v>52.284931506849318</v>
      </c>
      <c r="Q98" s="18">
        <f t="shared" si="8"/>
        <v>0.41951103500761017</v>
      </c>
      <c r="R98" s="18">
        <f t="shared" si="5"/>
        <v>8.3416000761034983</v>
      </c>
      <c r="S98" s="18">
        <f t="shared" si="13"/>
        <v>6.25</v>
      </c>
    </row>
    <row r="99" spans="1:19" ht="15" customHeight="1" x14ac:dyDescent="0.2">
      <c r="A99" s="14">
        <f t="shared" si="7"/>
        <v>63</v>
      </c>
      <c r="B99" s="21" t="s">
        <v>93</v>
      </c>
      <c r="C99" s="15" t="s">
        <v>3</v>
      </c>
      <c r="D99" s="21" t="s">
        <v>56</v>
      </c>
      <c r="E99" s="21"/>
      <c r="F99" s="69" t="s">
        <v>4</v>
      </c>
      <c r="G99" s="9">
        <v>36144</v>
      </c>
      <c r="H99" s="22">
        <v>1026414</v>
      </c>
      <c r="I99" s="17">
        <v>0</v>
      </c>
      <c r="J99" s="17">
        <v>562615.47665753425</v>
      </c>
      <c r="K99" s="17">
        <f t="shared" si="2"/>
        <v>463798.52334246575</v>
      </c>
      <c r="L99" s="23">
        <f t="shared" si="9"/>
        <v>51320.700000000004</v>
      </c>
      <c r="M99" s="23">
        <v>30</v>
      </c>
      <c r="N99" s="18">
        <f t="shared" si="3"/>
        <v>21.312328767123287</v>
      </c>
      <c r="O99" s="23">
        <f t="shared" si="12"/>
        <v>130101.48961643828</v>
      </c>
      <c r="P99" s="18">
        <f t="shared" si="4"/>
        <v>22.312328767123287</v>
      </c>
      <c r="Q99" s="18">
        <f t="shared" si="8"/>
        <v>13749.260778082191</v>
      </c>
      <c r="R99" s="18">
        <f t="shared" si="5"/>
        <v>143850.75039452047</v>
      </c>
      <c r="S99" s="18">
        <f t="shared" si="13"/>
        <v>51320.700000000004</v>
      </c>
    </row>
    <row r="100" spans="1:19" ht="15" customHeight="1" x14ac:dyDescent="0.2">
      <c r="A100" s="14">
        <f t="shared" si="7"/>
        <v>64</v>
      </c>
      <c r="B100" s="21" t="s">
        <v>94</v>
      </c>
      <c r="C100" s="15" t="s">
        <v>3</v>
      </c>
      <c r="D100" s="21" t="s">
        <v>56</v>
      </c>
      <c r="E100" s="21"/>
      <c r="F100" s="69" t="s">
        <v>4</v>
      </c>
      <c r="G100" s="9">
        <v>36144</v>
      </c>
      <c r="H100" s="22">
        <v>2196067</v>
      </c>
      <c r="I100" s="17">
        <v>0</v>
      </c>
      <c r="J100" s="17">
        <f>1203745.54709589-500000</f>
        <v>703745.54709588992</v>
      </c>
      <c r="K100" s="17">
        <f t="shared" si="2"/>
        <v>1492321.4529041101</v>
      </c>
      <c r="L100" s="23">
        <f t="shared" si="9"/>
        <v>109803.35</v>
      </c>
      <c r="M100" s="23">
        <v>30</v>
      </c>
      <c r="N100" s="18">
        <f t="shared" si="3"/>
        <v>21.312328767123287</v>
      </c>
      <c r="O100" s="23">
        <f t="shared" si="12"/>
        <v>778359.01302739745</v>
      </c>
      <c r="P100" s="18">
        <f t="shared" si="4"/>
        <v>22.312328767123287</v>
      </c>
      <c r="Q100" s="18">
        <f t="shared" si="8"/>
        <v>46083.93676347033</v>
      </c>
      <c r="R100" s="18">
        <f t="shared" si="5"/>
        <v>824442.94979086774</v>
      </c>
      <c r="S100" s="18">
        <f t="shared" si="13"/>
        <v>109803.35</v>
      </c>
    </row>
    <row r="101" spans="1:19" ht="15" customHeight="1" x14ac:dyDescent="0.2">
      <c r="A101" s="14">
        <f t="shared" si="7"/>
        <v>65</v>
      </c>
      <c r="B101" s="21" t="s">
        <v>95</v>
      </c>
      <c r="C101" s="15" t="s">
        <v>3</v>
      </c>
      <c r="D101" s="21" t="s">
        <v>56</v>
      </c>
      <c r="E101" s="21"/>
      <c r="F101" s="69" t="s">
        <v>6</v>
      </c>
      <c r="G101" s="9">
        <v>36114</v>
      </c>
      <c r="H101" s="29">
        <v>117419</v>
      </c>
      <c r="I101" s="17">
        <v>0</v>
      </c>
      <c r="J101" s="17">
        <v>64667.307890410964</v>
      </c>
      <c r="K101" s="17">
        <f t="shared" ref="K101:K164" si="14">H101+I101-J101</f>
        <v>52751.692109589036</v>
      </c>
      <c r="L101" s="23">
        <f t="shared" si="9"/>
        <v>5870.9500000000007</v>
      </c>
      <c r="M101" s="23">
        <v>30</v>
      </c>
      <c r="N101" s="18">
        <f t="shared" ref="N101:N164" si="15">IF(($N$35-G101+1)/365&gt;0,($N$35-G101+1)/365,0)</f>
        <v>21.394520547945206</v>
      </c>
      <c r="O101" s="23">
        <f t="shared" si="12"/>
        <v>14883.260369863005</v>
      </c>
      <c r="P101" s="18">
        <f t="shared" ref="P101:P164" si="16">($P$35-G101+1)/365</f>
        <v>22.394520547945206</v>
      </c>
      <c r="Q101" s="18">
        <f t="shared" si="8"/>
        <v>1562.6914036529677</v>
      </c>
      <c r="R101" s="18">
        <f t="shared" ref="R101:R164" si="17">Q101+O101</f>
        <v>16445.951773515972</v>
      </c>
      <c r="S101" s="18">
        <f t="shared" si="13"/>
        <v>5870.9500000000007</v>
      </c>
    </row>
    <row r="102" spans="1:19" ht="15" customHeight="1" x14ac:dyDescent="0.2">
      <c r="A102" s="14">
        <f t="shared" si="7"/>
        <v>66</v>
      </c>
      <c r="B102" s="21" t="s">
        <v>96</v>
      </c>
      <c r="C102" s="15" t="s">
        <v>3</v>
      </c>
      <c r="D102" s="21" t="s">
        <v>56</v>
      </c>
      <c r="E102" s="21"/>
      <c r="F102" s="69" t="s">
        <v>4</v>
      </c>
      <c r="G102" s="9">
        <v>36114</v>
      </c>
      <c r="H102" s="22">
        <v>665346</v>
      </c>
      <c r="I102" s="17">
        <v>0</v>
      </c>
      <c r="J102" s="17">
        <v>366432.47375342465</v>
      </c>
      <c r="K102" s="17">
        <f t="shared" si="14"/>
        <v>298913.52624657535</v>
      </c>
      <c r="L102" s="23">
        <f t="shared" si="9"/>
        <v>33267.300000000003</v>
      </c>
      <c r="M102" s="23">
        <v>30</v>
      </c>
      <c r="N102" s="18">
        <f t="shared" si="15"/>
        <v>21.394520547945206</v>
      </c>
      <c r="O102" s="23">
        <f t="shared" si="12"/>
        <v>84334.88408219174</v>
      </c>
      <c r="P102" s="18">
        <f t="shared" si="16"/>
        <v>22.394520547945206</v>
      </c>
      <c r="Q102" s="18">
        <f t="shared" si="8"/>
        <v>8854.8742082191784</v>
      </c>
      <c r="R102" s="18">
        <f t="shared" si="17"/>
        <v>93189.758290410915</v>
      </c>
      <c r="S102" s="18">
        <f t="shared" si="13"/>
        <v>33267.300000000003</v>
      </c>
    </row>
    <row r="103" spans="1:19" ht="15" customHeight="1" x14ac:dyDescent="0.2">
      <c r="A103" s="14">
        <f t="shared" ref="A103:A166" si="18">+A102+1</f>
        <v>67</v>
      </c>
      <c r="B103" s="21" t="s">
        <v>97</v>
      </c>
      <c r="C103" s="15" t="s">
        <v>3</v>
      </c>
      <c r="D103" s="21" t="s">
        <v>56</v>
      </c>
      <c r="E103" s="21"/>
      <c r="F103" s="69" t="s">
        <v>8</v>
      </c>
      <c r="G103" s="9">
        <v>36114</v>
      </c>
      <c r="H103" s="22">
        <v>740309</v>
      </c>
      <c r="I103" s="17">
        <v>0</v>
      </c>
      <c r="J103" s="17">
        <v>407717.5758356165</v>
      </c>
      <c r="K103" s="17">
        <f t="shared" si="14"/>
        <v>332591.4241643835</v>
      </c>
      <c r="L103" s="23">
        <f t="shared" si="9"/>
        <v>37015.450000000004</v>
      </c>
      <c r="M103" s="23">
        <v>30</v>
      </c>
      <c r="N103" s="18">
        <f t="shared" si="15"/>
        <v>21.394520547945206</v>
      </c>
      <c r="O103" s="23">
        <f t="shared" si="12"/>
        <v>93836.701054794481</v>
      </c>
      <c r="P103" s="18">
        <f t="shared" si="16"/>
        <v>22.394520547945206</v>
      </c>
      <c r="Q103" s="18">
        <f t="shared" si="8"/>
        <v>9852.5324721461166</v>
      </c>
      <c r="R103" s="18">
        <f t="shared" si="17"/>
        <v>103689.2335269406</v>
      </c>
      <c r="S103" s="18">
        <f t="shared" si="13"/>
        <v>37015.450000000004</v>
      </c>
    </row>
    <row r="104" spans="1:19" ht="15" customHeight="1" x14ac:dyDescent="0.2">
      <c r="A104" s="14">
        <f t="shared" si="18"/>
        <v>68</v>
      </c>
      <c r="B104" s="21" t="s">
        <v>98</v>
      </c>
      <c r="C104" s="15" t="s">
        <v>3</v>
      </c>
      <c r="D104" s="24" t="s">
        <v>56</v>
      </c>
      <c r="E104" s="24"/>
      <c r="F104" s="70" t="s">
        <v>7</v>
      </c>
      <c r="G104" s="9">
        <v>36114</v>
      </c>
      <c r="H104" s="22">
        <v>994382</v>
      </c>
      <c r="I104" s="17">
        <v>0</v>
      </c>
      <c r="J104" s="17">
        <v>547645.67024657538</v>
      </c>
      <c r="K104" s="17">
        <f t="shared" si="14"/>
        <v>446736.32975342462</v>
      </c>
      <c r="L104" s="23">
        <f t="shared" si="9"/>
        <v>49719.100000000006</v>
      </c>
      <c r="M104" s="23">
        <v>30</v>
      </c>
      <c r="N104" s="18">
        <f t="shared" si="15"/>
        <v>21.394520547945206</v>
      </c>
      <c r="O104" s="23">
        <f t="shared" si="12"/>
        <v>126041.32391780813</v>
      </c>
      <c r="P104" s="18">
        <f t="shared" si="16"/>
        <v>22.394520547945206</v>
      </c>
      <c r="Q104" s="18">
        <f t="shared" si="8"/>
        <v>13233.907658447488</v>
      </c>
      <c r="R104" s="18">
        <f t="shared" si="17"/>
        <v>139275.23157625561</v>
      </c>
      <c r="S104" s="18">
        <f t="shared" si="13"/>
        <v>49719.100000000006</v>
      </c>
    </row>
    <row r="105" spans="1:19" ht="15" customHeight="1" x14ac:dyDescent="0.2">
      <c r="A105" s="14">
        <f t="shared" si="18"/>
        <v>69</v>
      </c>
      <c r="B105" s="21" t="s">
        <v>99</v>
      </c>
      <c r="C105" s="15" t="s">
        <v>3</v>
      </c>
      <c r="D105" s="21" t="s">
        <v>56</v>
      </c>
      <c r="E105" s="21"/>
      <c r="F105" s="69" t="s">
        <v>4</v>
      </c>
      <c r="G105" s="9">
        <v>35977</v>
      </c>
      <c r="H105" s="22">
        <v>2414872</v>
      </c>
      <c r="I105" s="17">
        <v>0</v>
      </c>
      <c r="J105" s="17">
        <f>1358668.7373516-500000</f>
        <v>858668.73735160008</v>
      </c>
      <c r="K105" s="17">
        <f t="shared" si="14"/>
        <v>1556203.2626483999</v>
      </c>
      <c r="L105" s="23">
        <f t="shared" si="9"/>
        <v>120743.6</v>
      </c>
      <c r="M105" s="23">
        <v>30</v>
      </c>
      <c r="N105" s="18">
        <f t="shared" si="15"/>
        <v>21.769863013698629</v>
      </c>
      <c r="O105" s="23">
        <f t="shared" si="12"/>
        <v>806093.29610958719</v>
      </c>
      <c r="P105" s="18">
        <f t="shared" si="16"/>
        <v>22.769863013698629</v>
      </c>
      <c r="Q105" s="18">
        <f t="shared" si="8"/>
        <v>47848.65542161333</v>
      </c>
      <c r="R105" s="18">
        <f t="shared" si="17"/>
        <v>853941.95153120055</v>
      </c>
      <c r="S105" s="18">
        <f t="shared" si="13"/>
        <v>120743.6</v>
      </c>
    </row>
    <row r="106" spans="1:19" ht="15" customHeight="1" x14ac:dyDescent="0.2">
      <c r="A106" s="14">
        <f t="shared" si="18"/>
        <v>70</v>
      </c>
      <c r="B106" s="21" t="s">
        <v>100</v>
      </c>
      <c r="C106" s="15" t="s">
        <v>3</v>
      </c>
      <c r="D106" s="21" t="s">
        <v>56</v>
      </c>
      <c r="E106" s="21"/>
      <c r="F106" s="69" t="s">
        <v>4</v>
      </c>
      <c r="G106" s="9">
        <v>35869</v>
      </c>
      <c r="H106" s="22">
        <v>78705</v>
      </c>
      <c r="I106" s="17">
        <v>0</v>
      </c>
      <c r="J106" s="17">
        <v>45018.900616438354</v>
      </c>
      <c r="K106" s="17">
        <f t="shared" si="14"/>
        <v>33686.099383561646</v>
      </c>
      <c r="L106" s="23">
        <f t="shared" si="9"/>
        <v>3935.25</v>
      </c>
      <c r="M106" s="23">
        <v>30</v>
      </c>
      <c r="N106" s="18">
        <f t="shared" si="15"/>
        <v>22.065753424657533</v>
      </c>
      <c r="O106" s="23">
        <f t="shared" si="12"/>
        <v>9976.1282876712285</v>
      </c>
      <c r="P106" s="18">
        <f t="shared" si="16"/>
        <v>23.065753424657533</v>
      </c>
      <c r="Q106" s="18">
        <f t="shared" si="8"/>
        <v>991.69497945205489</v>
      </c>
      <c r="R106" s="18">
        <f t="shared" si="17"/>
        <v>10967.823267123284</v>
      </c>
      <c r="S106" s="18">
        <f t="shared" si="13"/>
        <v>3935.25</v>
      </c>
    </row>
    <row r="107" spans="1:19" ht="15" customHeight="1" x14ac:dyDescent="0.2">
      <c r="A107" s="14">
        <f t="shared" si="18"/>
        <v>71</v>
      </c>
      <c r="B107" s="21" t="s">
        <v>101</v>
      </c>
      <c r="C107" s="15" t="s">
        <v>3</v>
      </c>
      <c r="D107" s="21" t="s">
        <v>56</v>
      </c>
      <c r="E107" s="21"/>
      <c r="F107" s="70" t="s">
        <v>7</v>
      </c>
      <c r="G107" s="9">
        <v>35796</v>
      </c>
      <c r="H107" s="22">
        <v>21960</v>
      </c>
      <c r="I107" s="17">
        <v>0</v>
      </c>
      <c r="J107" s="17">
        <v>12700.099726027396</v>
      </c>
      <c r="K107" s="17">
        <f t="shared" si="14"/>
        <v>9259.9002739726038</v>
      </c>
      <c r="L107" s="23">
        <f t="shared" si="9"/>
        <v>1098</v>
      </c>
      <c r="M107" s="23">
        <v>30</v>
      </c>
      <c r="N107" s="18">
        <f t="shared" si="15"/>
        <v>22.265753424657536</v>
      </c>
      <c r="O107" s="23">
        <f t="shared" si="12"/>
        <v>2783.5052054794542</v>
      </c>
      <c r="P107" s="18">
        <f t="shared" si="16"/>
        <v>23.265753424657536</v>
      </c>
      <c r="Q107" s="18">
        <f t="shared" si="8"/>
        <v>272.06334246575346</v>
      </c>
      <c r="R107" s="18">
        <f t="shared" si="17"/>
        <v>3055.5685479452077</v>
      </c>
      <c r="S107" s="18">
        <f t="shared" si="13"/>
        <v>1098</v>
      </c>
    </row>
    <row r="108" spans="1:19" ht="15" customHeight="1" x14ac:dyDescent="0.2">
      <c r="A108" s="14">
        <f t="shared" si="18"/>
        <v>72</v>
      </c>
      <c r="B108" s="21" t="s">
        <v>102</v>
      </c>
      <c r="C108" s="15" t="s">
        <v>3</v>
      </c>
      <c r="D108" s="21" t="s">
        <v>56</v>
      </c>
      <c r="E108" s="21"/>
      <c r="F108" s="69" t="s">
        <v>4</v>
      </c>
      <c r="G108" s="9">
        <v>35795</v>
      </c>
      <c r="H108" s="22">
        <v>46303</v>
      </c>
      <c r="I108" s="17">
        <v>0</v>
      </c>
      <c r="J108" s="17">
        <v>26782.374059360729</v>
      </c>
      <c r="K108" s="17">
        <f t="shared" si="14"/>
        <v>19520.625940639271</v>
      </c>
      <c r="L108" s="23">
        <f t="shared" si="9"/>
        <v>2315.15</v>
      </c>
      <c r="M108" s="23">
        <v>30</v>
      </c>
      <c r="N108" s="18">
        <f t="shared" si="15"/>
        <v>22.268493150684932</v>
      </c>
      <c r="O108" s="23">
        <f t="shared" si="12"/>
        <v>5869.0638219178072</v>
      </c>
      <c r="P108" s="18">
        <f t="shared" si="16"/>
        <v>23.268493150684932</v>
      </c>
      <c r="Q108" s="18">
        <f t="shared" si="8"/>
        <v>573.51586468797564</v>
      </c>
      <c r="R108" s="18">
        <f t="shared" si="17"/>
        <v>6442.5796866057826</v>
      </c>
      <c r="S108" s="18">
        <f t="shared" si="13"/>
        <v>2315.15</v>
      </c>
    </row>
    <row r="109" spans="1:19" ht="15" customHeight="1" x14ac:dyDescent="0.2">
      <c r="A109" s="14">
        <f t="shared" si="18"/>
        <v>73</v>
      </c>
      <c r="B109" s="21" t="s">
        <v>103</v>
      </c>
      <c r="C109" s="15" t="s">
        <v>3</v>
      </c>
      <c r="D109" s="21" t="s">
        <v>56</v>
      </c>
      <c r="E109" s="21"/>
      <c r="F109" s="69" t="s">
        <v>7</v>
      </c>
      <c r="G109" s="9">
        <v>24838</v>
      </c>
      <c r="H109" s="26">
        <v>575</v>
      </c>
      <c r="I109" s="17">
        <v>0</v>
      </c>
      <c r="J109" s="17">
        <v>439.59406392694063</v>
      </c>
      <c r="K109" s="17">
        <f t="shared" si="14"/>
        <v>135.40593607305937</v>
      </c>
      <c r="L109" s="23">
        <f t="shared" si="9"/>
        <v>28.75</v>
      </c>
      <c r="M109" s="23">
        <v>60</v>
      </c>
      <c r="N109" s="18">
        <f t="shared" si="15"/>
        <v>52.287671232876711</v>
      </c>
      <c r="O109" s="23">
        <f t="shared" si="12"/>
        <v>36.441609589041036</v>
      </c>
      <c r="P109" s="18">
        <f t="shared" si="16"/>
        <v>53.287671232876711</v>
      </c>
      <c r="Q109" s="18">
        <f t="shared" si="8"/>
        <v>1.7775989345509895</v>
      </c>
      <c r="R109" s="18">
        <f t="shared" si="17"/>
        <v>38.219208523592023</v>
      </c>
      <c r="S109" s="18">
        <f t="shared" si="13"/>
        <v>28.75</v>
      </c>
    </row>
    <row r="110" spans="1:19" ht="15" customHeight="1" x14ac:dyDescent="0.2">
      <c r="A110" s="14">
        <f t="shared" si="18"/>
        <v>74</v>
      </c>
      <c r="B110" s="21" t="s">
        <v>86</v>
      </c>
      <c r="C110" s="15" t="s">
        <v>3</v>
      </c>
      <c r="D110" s="21" t="s">
        <v>56</v>
      </c>
      <c r="E110" s="21"/>
      <c r="F110" s="69" t="s">
        <v>4</v>
      </c>
      <c r="G110" s="9">
        <v>24838</v>
      </c>
      <c r="H110" s="22">
        <v>12759</v>
      </c>
      <c r="I110" s="17">
        <v>0</v>
      </c>
      <c r="J110" s="17">
        <v>9754.4011506849311</v>
      </c>
      <c r="K110" s="17">
        <f t="shared" si="14"/>
        <v>3004.5988493150689</v>
      </c>
      <c r="L110" s="23">
        <f t="shared" si="9"/>
        <v>637.95000000000005</v>
      </c>
      <c r="M110" s="23">
        <v>60</v>
      </c>
      <c r="N110" s="18">
        <f t="shared" si="15"/>
        <v>52.287671232876711</v>
      </c>
      <c r="O110" s="23">
        <f t="shared" si="12"/>
        <v>808.62347260273964</v>
      </c>
      <c r="P110" s="18">
        <f t="shared" si="16"/>
        <v>53.287671232876711</v>
      </c>
      <c r="Q110" s="18">
        <f t="shared" si="8"/>
        <v>39.444147488584484</v>
      </c>
      <c r="R110" s="18">
        <f t="shared" si="17"/>
        <v>848.0676200913241</v>
      </c>
      <c r="S110" s="18">
        <f t="shared" si="13"/>
        <v>637.95000000000005</v>
      </c>
    </row>
    <row r="111" spans="1:19" ht="15" customHeight="1" x14ac:dyDescent="0.2">
      <c r="A111" s="14">
        <f t="shared" si="18"/>
        <v>75</v>
      </c>
      <c r="B111" s="21" t="s">
        <v>104</v>
      </c>
      <c r="C111" s="15" t="s">
        <v>3</v>
      </c>
      <c r="D111" s="21" t="s">
        <v>56</v>
      </c>
      <c r="E111" s="21"/>
      <c r="F111" s="69" t="s">
        <v>10</v>
      </c>
      <c r="G111" s="9">
        <v>35750</v>
      </c>
      <c r="H111" s="22">
        <v>216369</v>
      </c>
      <c r="I111" s="17">
        <v>0</v>
      </c>
      <c r="J111" s="17">
        <v>125995.91704109589</v>
      </c>
      <c r="K111" s="17">
        <f t="shared" si="14"/>
        <v>90373.08295890411</v>
      </c>
      <c r="L111" s="23">
        <f t="shared" si="9"/>
        <v>10818.45</v>
      </c>
      <c r="M111" s="23">
        <v>30</v>
      </c>
      <c r="N111" s="18">
        <f t="shared" si="15"/>
        <v>22.391780821917809</v>
      </c>
      <c r="O111" s="23">
        <f t="shared" si="12"/>
        <v>27425.511739726018</v>
      </c>
      <c r="P111" s="18">
        <f t="shared" si="16"/>
        <v>23.391780821917809</v>
      </c>
      <c r="Q111" s="18">
        <f t="shared" si="8"/>
        <v>2651.8210986301369</v>
      </c>
      <c r="R111" s="18">
        <f t="shared" si="17"/>
        <v>30077.332838356157</v>
      </c>
      <c r="S111" s="18">
        <f t="shared" si="13"/>
        <v>10818.45</v>
      </c>
    </row>
    <row r="112" spans="1:19" ht="15" customHeight="1" x14ac:dyDescent="0.2">
      <c r="A112" s="14">
        <f t="shared" si="18"/>
        <v>76</v>
      </c>
      <c r="B112" s="21" t="s">
        <v>105</v>
      </c>
      <c r="C112" s="15" t="s">
        <v>3</v>
      </c>
      <c r="D112" s="21" t="s">
        <v>56</v>
      </c>
      <c r="E112" s="21"/>
      <c r="F112" s="70" t="s">
        <v>7</v>
      </c>
      <c r="G112" s="9">
        <v>35750</v>
      </c>
      <c r="H112" s="22">
        <v>217966</v>
      </c>
      <c r="I112" s="17">
        <v>0</v>
      </c>
      <c r="J112" s="17">
        <v>126925.88149771691</v>
      </c>
      <c r="K112" s="17">
        <f t="shared" si="14"/>
        <v>91040.11850228309</v>
      </c>
      <c r="L112" s="23">
        <f t="shared" si="9"/>
        <v>10898.300000000001</v>
      </c>
      <c r="M112" s="23">
        <v>30</v>
      </c>
      <c r="N112" s="18">
        <f t="shared" si="15"/>
        <v>22.391780821917809</v>
      </c>
      <c r="O112" s="23">
        <f t="shared" si="12"/>
        <v>27627.936958904116</v>
      </c>
      <c r="P112" s="18">
        <f t="shared" si="16"/>
        <v>23.391780821917809</v>
      </c>
      <c r="Q112" s="18">
        <f t="shared" si="8"/>
        <v>2671.393950076103</v>
      </c>
      <c r="R112" s="18">
        <f t="shared" si="17"/>
        <v>30299.330908980221</v>
      </c>
      <c r="S112" s="18">
        <f t="shared" si="13"/>
        <v>10898.300000000001</v>
      </c>
    </row>
    <row r="113" spans="1:19" ht="15" customHeight="1" x14ac:dyDescent="0.2">
      <c r="A113" s="14">
        <f t="shared" si="18"/>
        <v>77</v>
      </c>
      <c r="B113" s="21" t="s">
        <v>106</v>
      </c>
      <c r="C113" s="15" t="s">
        <v>3</v>
      </c>
      <c r="D113" s="21" t="s">
        <v>56</v>
      </c>
      <c r="E113" s="21"/>
      <c r="F113" s="69" t="s">
        <v>11</v>
      </c>
      <c r="G113" s="9">
        <v>35750</v>
      </c>
      <c r="H113" s="22">
        <v>298350</v>
      </c>
      <c r="I113" s="17">
        <v>0</v>
      </c>
      <c r="J113" s="17">
        <v>173735.06301369864</v>
      </c>
      <c r="K113" s="17">
        <f t="shared" si="14"/>
        <v>124614.93698630136</v>
      </c>
      <c r="L113" s="23">
        <f t="shared" si="9"/>
        <v>14917.5</v>
      </c>
      <c r="M113" s="23">
        <v>30</v>
      </c>
      <c r="N113" s="18">
        <f t="shared" si="15"/>
        <v>22.391780821917809</v>
      </c>
      <c r="O113" s="23">
        <f t="shared" si="12"/>
        <v>37816.884246575326</v>
      </c>
      <c r="P113" s="18">
        <f t="shared" si="16"/>
        <v>23.391780821917809</v>
      </c>
      <c r="Q113" s="18">
        <f t="shared" si="8"/>
        <v>3656.581232876712</v>
      </c>
      <c r="R113" s="18">
        <f t="shared" si="17"/>
        <v>41473.465479452039</v>
      </c>
      <c r="S113" s="18">
        <f t="shared" si="13"/>
        <v>14917.5</v>
      </c>
    </row>
    <row r="114" spans="1:19" ht="15" customHeight="1" x14ac:dyDescent="0.2">
      <c r="A114" s="14">
        <f t="shared" si="18"/>
        <v>78</v>
      </c>
      <c r="B114" s="21" t="s">
        <v>107</v>
      </c>
      <c r="C114" s="15" t="s">
        <v>3</v>
      </c>
      <c r="D114" s="21" t="s">
        <v>56</v>
      </c>
      <c r="E114" s="21"/>
      <c r="F114" s="69" t="s">
        <v>11</v>
      </c>
      <c r="G114" s="9">
        <v>35750</v>
      </c>
      <c r="H114" s="22">
        <v>579062</v>
      </c>
      <c r="I114" s="17">
        <v>0</v>
      </c>
      <c r="J114" s="17">
        <v>337199.17231050233</v>
      </c>
      <c r="K114" s="17">
        <f t="shared" si="14"/>
        <v>241862.82768949767</v>
      </c>
      <c r="L114" s="23">
        <f t="shared" si="9"/>
        <v>28953.100000000002</v>
      </c>
      <c r="M114" s="23">
        <v>30</v>
      </c>
      <c r="N114" s="18">
        <f t="shared" si="15"/>
        <v>22.391780821917809</v>
      </c>
      <c r="O114" s="23">
        <f t="shared" si="12"/>
        <v>73398.091589041054</v>
      </c>
      <c r="P114" s="18">
        <f t="shared" si="16"/>
        <v>23.391780821917809</v>
      </c>
      <c r="Q114" s="18">
        <f t="shared" si="8"/>
        <v>7096.9909229832556</v>
      </c>
      <c r="R114" s="18">
        <f t="shared" si="17"/>
        <v>80495.08251202431</v>
      </c>
      <c r="S114" s="18">
        <f t="shared" si="13"/>
        <v>28953.100000000002</v>
      </c>
    </row>
    <row r="115" spans="1:19" ht="15" customHeight="1" x14ac:dyDescent="0.2">
      <c r="A115" s="14">
        <f t="shared" si="18"/>
        <v>79</v>
      </c>
      <c r="B115" s="21" t="s">
        <v>108</v>
      </c>
      <c r="C115" s="15" t="s">
        <v>3</v>
      </c>
      <c r="D115" s="21" t="s">
        <v>56</v>
      </c>
      <c r="E115" s="21"/>
      <c r="F115" s="69" t="s">
        <v>12</v>
      </c>
      <c r="G115" s="9">
        <v>35750</v>
      </c>
      <c r="H115" s="22">
        <v>691222</v>
      </c>
      <c r="I115" s="17">
        <v>0</v>
      </c>
      <c r="J115" s="17">
        <v>402512.14253881283</v>
      </c>
      <c r="K115" s="17">
        <f t="shared" si="14"/>
        <v>288709.85746118717</v>
      </c>
      <c r="L115" s="23">
        <f t="shared" si="9"/>
        <v>34561.1</v>
      </c>
      <c r="M115" s="23">
        <v>30</v>
      </c>
      <c r="N115" s="18">
        <f t="shared" si="15"/>
        <v>22.391780821917809</v>
      </c>
      <c r="O115" s="23">
        <f t="shared" si="12"/>
        <v>87614.755698630121</v>
      </c>
      <c r="P115" s="18">
        <f t="shared" si="16"/>
        <v>23.391780821917809</v>
      </c>
      <c r="Q115" s="18">
        <f t="shared" si="8"/>
        <v>8471.6252487062393</v>
      </c>
      <c r="R115" s="18">
        <f t="shared" si="17"/>
        <v>96086.380947336365</v>
      </c>
      <c r="S115" s="18">
        <f t="shared" si="13"/>
        <v>34561.1</v>
      </c>
    </row>
    <row r="116" spans="1:19" ht="15" customHeight="1" x14ac:dyDescent="0.2">
      <c r="A116" s="14">
        <f t="shared" si="18"/>
        <v>80</v>
      </c>
      <c r="B116" s="21" t="s">
        <v>81</v>
      </c>
      <c r="C116" s="15" t="s">
        <v>3</v>
      </c>
      <c r="D116" s="21" t="s">
        <v>56</v>
      </c>
      <c r="E116" s="21"/>
      <c r="F116" s="70" t="s">
        <v>7</v>
      </c>
      <c r="G116" s="9">
        <v>35750</v>
      </c>
      <c r="H116" s="22">
        <v>6040430</v>
      </c>
      <c r="I116" s="17">
        <v>0</v>
      </c>
      <c r="J116" s="17">
        <f>3517460.99105023-1000000</f>
        <v>2517460.9910502299</v>
      </c>
      <c r="K116" s="17">
        <f t="shared" si="14"/>
        <v>3522969.0089497701</v>
      </c>
      <c r="L116" s="23">
        <f t="shared" si="9"/>
        <v>302021.5</v>
      </c>
      <c r="M116" s="23">
        <v>30</v>
      </c>
      <c r="N116" s="18">
        <f t="shared" si="15"/>
        <v>22.391780821917809</v>
      </c>
      <c r="O116" s="23">
        <f t="shared" si="12"/>
        <v>1765645.188904108</v>
      </c>
      <c r="P116" s="18">
        <f t="shared" si="16"/>
        <v>23.391780821917809</v>
      </c>
      <c r="Q116" s="18">
        <f t="shared" si="8"/>
        <v>107364.91696499234</v>
      </c>
      <c r="R116" s="18">
        <f t="shared" si="17"/>
        <v>1873010.1058691004</v>
      </c>
      <c r="S116" s="18">
        <f t="shared" si="13"/>
        <v>302021.5</v>
      </c>
    </row>
    <row r="117" spans="1:19" ht="15" customHeight="1" x14ac:dyDescent="0.2">
      <c r="A117" s="14">
        <f t="shared" si="18"/>
        <v>81</v>
      </c>
      <c r="B117" s="21" t="s">
        <v>109</v>
      </c>
      <c r="C117" s="15" t="s">
        <v>3</v>
      </c>
      <c r="D117" s="21" t="s">
        <v>56</v>
      </c>
      <c r="E117" s="21"/>
      <c r="F117" s="69" t="s">
        <v>8</v>
      </c>
      <c r="G117" s="9">
        <v>35750</v>
      </c>
      <c r="H117" s="22">
        <v>9508784</v>
      </c>
      <c r="I117" s="17">
        <v>0</v>
      </c>
      <c r="J117" s="17">
        <f>5537151.6253516-1000000-2188000</f>
        <v>2349151.6253516003</v>
      </c>
      <c r="K117" s="17">
        <f t="shared" si="14"/>
        <v>7159632.3746483997</v>
      </c>
      <c r="L117" s="23">
        <f t="shared" si="9"/>
        <v>475439.2</v>
      </c>
      <c r="M117" s="23">
        <v>30</v>
      </c>
      <c r="N117" s="18">
        <f t="shared" si="15"/>
        <v>22.391780821917809</v>
      </c>
      <c r="O117" s="23">
        <f t="shared" si="12"/>
        <v>4393270.9363287659</v>
      </c>
      <c r="P117" s="18">
        <f t="shared" si="16"/>
        <v>23.391780821917809</v>
      </c>
      <c r="Q117" s="18">
        <f t="shared" si="8"/>
        <v>222806.43915494665</v>
      </c>
      <c r="R117" s="18">
        <f t="shared" si="17"/>
        <v>4616077.3754837122</v>
      </c>
      <c r="S117" s="18">
        <f t="shared" si="13"/>
        <v>475439.2</v>
      </c>
    </row>
    <row r="118" spans="1:19" ht="15" customHeight="1" x14ac:dyDescent="0.2">
      <c r="A118" s="14">
        <f t="shared" si="18"/>
        <v>82</v>
      </c>
      <c r="B118" s="21" t="s">
        <v>110</v>
      </c>
      <c r="C118" s="15" t="s">
        <v>3</v>
      </c>
      <c r="D118" s="21" t="s">
        <v>56</v>
      </c>
      <c r="E118" s="21"/>
      <c r="F118" s="69" t="s">
        <v>4</v>
      </c>
      <c r="G118" s="9">
        <v>35735</v>
      </c>
      <c r="H118" s="22">
        <v>2119489</v>
      </c>
      <c r="I118" s="17">
        <v>0</v>
      </c>
      <c r="J118" s="17">
        <f>1236978.29934703-500000</f>
        <v>736978.29934703</v>
      </c>
      <c r="K118" s="17">
        <f t="shared" si="14"/>
        <v>1382510.70065297</v>
      </c>
      <c r="L118" s="23">
        <f t="shared" si="9"/>
        <v>105974.45000000001</v>
      </c>
      <c r="M118" s="23">
        <v>30</v>
      </c>
      <c r="N118" s="18">
        <f t="shared" si="15"/>
        <v>22.432876712328767</v>
      </c>
      <c r="O118" s="23">
        <f t="shared" si="12"/>
        <v>768652.48927397467</v>
      </c>
      <c r="P118" s="18">
        <f t="shared" si="16"/>
        <v>23.432876712328767</v>
      </c>
      <c r="Q118" s="18">
        <f t="shared" si="8"/>
        <v>42551.208355098999</v>
      </c>
      <c r="R118" s="18">
        <f t="shared" si="17"/>
        <v>811203.69762907363</v>
      </c>
      <c r="S118" s="18">
        <f t="shared" si="13"/>
        <v>105974.45000000001</v>
      </c>
    </row>
    <row r="119" spans="1:19" ht="15" customHeight="1" x14ac:dyDescent="0.2">
      <c r="A119" s="14">
        <f t="shared" si="18"/>
        <v>83</v>
      </c>
      <c r="B119" s="21" t="s">
        <v>111</v>
      </c>
      <c r="C119" s="15" t="s">
        <v>3</v>
      </c>
      <c r="D119" s="21" t="s">
        <v>56</v>
      </c>
      <c r="E119" s="21"/>
      <c r="F119" s="69" t="s">
        <v>4</v>
      </c>
      <c r="G119" s="9">
        <v>35611</v>
      </c>
      <c r="H119" s="22">
        <v>183601</v>
      </c>
      <c r="I119" s="17">
        <v>0</v>
      </c>
      <c r="J119" s="17">
        <v>109128.57794063927</v>
      </c>
      <c r="K119" s="17">
        <f t="shared" si="14"/>
        <v>74472.422059360732</v>
      </c>
      <c r="L119" s="23">
        <f t="shared" si="9"/>
        <v>9180.0500000000011</v>
      </c>
      <c r="M119" s="23">
        <v>30</v>
      </c>
      <c r="N119" s="18">
        <f t="shared" si="15"/>
        <v>22.772602739726029</v>
      </c>
      <c r="O119" s="23">
        <f t="shared" si="12"/>
        <v>23272.055520547947</v>
      </c>
      <c r="P119" s="18">
        <f t="shared" si="16"/>
        <v>23.772602739726029</v>
      </c>
      <c r="Q119" s="18">
        <f t="shared" ref="Q119:Q182" si="19">(P119-N119)/M119*(K119-L119)</f>
        <v>2176.4124019786909</v>
      </c>
      <c r="R119" s="18">
        <f t="shared" si="17"/>
        <v>25448.467922526637</v>
      </c>
      <c r="S119" s="18">
        <f t="shared" si="13"/>
        <v>9180.0500000000011</v>
      </c>
    </row>
    <row r="120" spans="1:19" ht="15" customHeight="1" x14ac:dyDescent="0.2">
      <c r="A120" s="14">
        <f t="shared" si="18"/>
        <v>84</v>
      </c>
      <c r="B120" s="21" t="s">
        <v>112</v>
      </c>
      <c r="C120" s="15" t="s">
        <v>3</v>
      </c>
      <c r="D120" s="21" t="s">
        <v>56</v>
      </c>
      <c r="E120" s="21"/>
      <c r="F120" s="69" t="s">
        <v>4</v>
      </c>
      <c r="G120" s="9">
        <v>35550</v>
      </c>
      <c r="H120" s="22">
        <v>973319</v>
      </c>
      <c r="I120" s="17">
        <v>0</v>
      </c>
      <c r="J120" s="17">
        <v>583671.4047123288</v>
      </c>
      <c r="K120" s="17">
        <f t="shared" si="14"/>
        <v>389647.5952876712</v>
      </c>
      <c r="L120" s="23">
        <f t="shared" ref="L120:L183" si="20">H120*0.05</f>
        <v>48665.950000000004</v>
      </c>
      <c r="M120" s="23">
        <v>30</v>
      </c>
      <c r="N120" s="18">
        <f t="shared" si="15"/>
        <v>22.93972602739726</v>
      </c>
      <c r="O120" s="23">
        <f t="shared" si="12"/>
        <v>123371.5165342465</v>
      </c>
      <c r="P120" s="18">
        <f t="shared" si="16"/>
        <v>23.93972602739726</v>
      </c>
      <c r="Q120" s="18">
        <f t="shared" si="19"/>
        <v>11366.054842922373</v>
      </c>
      <c r="R120" s="18">
        <f t="shared" si="17"/>
        <v>134737.57137716888</v>
      </c>
      <c r="S120" s="18">
        <f t="shared" si="13"/>
        <v>48665.950000000004</v>
      </c>
    </row>
    <row r="121" spans="1:19" ht="15" customHeight="1" x14ac:dyDescent="0.2">
      <c r="A121" s="14">
        <f t="shared" si="18"/>
        <v>85</v>
      </c>
      <c r="B121" s="21" t="s">
        <v>113</v>
      </c>
      <c r="C121" s="15" t="s">
        <v>3</v>
      </c>
      <c r="D121" s="21" t="s">
        <v>56</v>
      </c>
      <c r="E121" s="21"/>
      <c r="F121" s="69" t="s">
        <v>4</v>
      </c>
      <c r="G121" s="9">
        <v>35521</v>
      </c>
      <c r="H121" s="29">
        <v>138021</v>
      </c>
      <c r="I121" s="17">
        <v>0</v>
      </c>
      <c r="J121" s="17">
        <v>83114.481547945194</v>
      </c>
      <c r="K121" s="17">
        <f t="shared" si="14"/>
        <v>54906.518452054806</v>
      </c>
      <c r="L121" s="23">
        <f t="shared" si="20"/>
        <v>6901.05</v>
      </c>
      <c r="M121" s="23">
        <v>30</v>
      </c>
      <c r="N121" s="18">
        <f t="shared" si="15"/>
        <v>23.019178082191782</v>
      </c>
      <c r="O121" s="23">
        <f t="shared" si="12"/>
        <v>17494.634424657546</v>
      </c>
      <c r="P121" s="18">
        <f t="shared" si="16"/>
        <v>24.019178082191782</v>
      </c>
      <c r="Q121" s="18">
        <f t="shared" si="19"/>
        <v>1600.1822817351601</v>
      </c>
      <c r="R121" s="18">
        <f t="shared" si="17"/>
        <v>19094.816706392707</v>
      </c>
      <c r="S121" s="18">
        <f t="shared" si="13"/>
        <v>6901.05</v>
      </c>
    </row>
    <row r="122" spans="1:19" ht="15" customHeight="1" x14ac:dyDescent="0.2">
      <c r="A122" s="14">
        <f t="shared" si="18"/>
        <v>86</v>
      </c>
      <c r="B122" s="21" t="s">
        <v>114</v>
      </c>
      <c r="C122" s="15" t="s">
        <v>3</v>
      </c>
      <c r="D122" s="21" t="s">
        <v>56</v>
      </c>
      <c r="E122" s="21"/>
      <c r="F122" s="69" t="s">
        <v>4</v>
      </c>
      <c r="G122" s="9">
        <v>35521</v>
      </c>
      <c r="H122" s="22">
        <v>596180</v>
      </c>
      <c r="I122" s="17">
        <v>0</v>
      </c>
      <c r="J122" s="17">
        <v>359011.9736073059</v>
      </c>
      <c r="K122" s="17">
        <f t="shared" si="14"/>
        <v>237168.0263926941</v>
      </c>
      <c r="L122" s="23">
        <f t="shared" si="20"/>
        <v>29809</v>
      </c>
      <c r="M122" s="23">
        <v>30</v>
      </c>
      <c r="N122" s="18">
        <f t="shared" si="15"/>
        <v>23.019178082191782</v>
      </c>
      <c r="O122" s="23">
        <f t="shared" ref="O122:O153" si="21">(H122-L122)/M122*N122-J122</f>
        <v>75567.856712328794</v>
      </c>
      <c r="P122" s="18">
        <f t="shared" si="16"/>
        <v>24.019178082191782</v>
      </c>
      <c r="Q122" s="18">
        <f t="shared" si="19"/>
        <v>6911.9675464231368</v>
      </c>
      <c r="R122" s="18">
        <f t="shared" si="17"/>
        <v>82479.824258751934</v>
      </c>
      <c r="S122" s="18">
        <f t="shared" ref="S122:S153" si="22">+IF(N122&gt;P122,0,L122)</f>
        <v>29809</v>
      </c>
    </row>
    <row r="123" spans="1:19" ht="15" customHeight="1" x14ac:dyDescent="0.2">
      <c r="A123" s="14">
        <f t="shared" si="18"/>
        <v>87</v>
      </c>
      <c r="B123" s="21" t="s">
        <v>115</v>
      </c>
      <c r="C123" s="15" t="s">
        <v>3</v>
      </c>
      <c r="D123" s="21" t="s">
        <v>56</v>
      </c>
      <c r="E123" s="21"/>
      <c r="F123" s="69" t="s">
        <v>6</v>
      </c>
      <c r="G123" s="9">
        <v>35514</v>
      </c>
      <c r="H123" s="22">
        <v>7151071</v>
      </c>
      <c r="I123" s="17">
        <v>0</v>
      </c>
      <c r="J123" s="17">
        <f>4310626.41484931-500000</f>
        <v>3810626.4148493102</v>
      </c>
      <c r="K123" s="17">
        <f t="shared" si="14"/>
        <v>3340444.5851506898</v>
      </c>
      <c r="L123" s="23">
        <f t="shared" si="20"/>
        <v>357553.55000000005</v>
      </c>
      <c r="M123" s="23">
        <v>30</v>
      </c>
      <c r="N123" s="18">
        <f t="shared" si="15"/>
        <v>23.038356164383561</v>
      </c>
      <c r="O123" s="23">
        <f t="shared" si="21"/>
        <v>1406422.7392191831</v>
      </c>
      <c r="P123" s="18">
        <f t="shared" si="16"/>
        <v>24.038356164383561</v>
      </c>
      <c r="Q123" s="18">
        <f t="shared" si="19"/>
        <v>99429.701171689667</v>
      </c>
      <c r="R123" s="18">
        <f t="shared" si="17"/>
        <v>1505852.4403908728</v>
      </c>
      <c r="S123" s="18">
        <f t="shared" si="22"/>
        <v>357553.55000000005</v>
      </c>
    </row>
    <row r="124" spans="1:19" ht="15" customHeight="1" x14ac:dyDescent="0.2">
      <c r="A124" s="14">
        <f t="shared" si="18"/>
        <v>88</v>
      </c>
      <c r="B124" s="21" t="s">
        <v>116</v>
      </c>
      <c r="C124" s="15" t="s">
        <v>3</v>
      </c>
      <c r="D124" s="21" t="s">
        <v>56</v>
      </c>
      <c r="E124" s="21"/>
      <c r="F124" s="69" t="s">
        <v>4</v>
      </c>
      <c r="G124" s="9">
        <v>35504</v>
      </c>
      <c r="H124" s="22">
        <v>141205</v>
      </c>
      <c r="I124" s="17">
        <v>0</v>
      </c>
      <c r="J124" s="17">
        <v>85240.106894977172</v>
      </c>
      <c r="K124" s="17">
        <f t="shared" si="14"/>
        <v>55964.893105022828</v>
      </c>
      <c r="L124" s="23">
        <f t="shared" si="20"/>
        <v>7060.25</v>
      </c>
      <c r="M124" s="23">
        <v>30</v>
      </c>
      <c r="N124" s="18">
        <f t="shared" si="15"/>
        <v>23.065753424657533</v>
      </c>
      <c r="O124" s="23">
        <f t="shared" si="21"/>
        <v>17898.217328767118</v>
      </c>
      <c r="P124" s="18">
        <f t="shared" si="16"/>
        <v>24.065753424657533</v>
      </c>
      <c r="Q124" s="18">
        <f t="shared" si="19"/>
        <v>1630.1547701674276</v>
      </c>
      <c r="R124" s="18">
        <f t="shared" si="17"/>
        <v>19528.372098934546</v>
      </c>
      <c r="S124" s="18">
        <f t="shared" si="22"/>
        <v>7060.25</v>
      </c>
    </row>
    <row r="125" spans="1:19" ht="15" customHeight="1" x14ac:dyDescent="0.2">
      <c r="A125" s="14">
        <f t="shared" si="18"/>
        <v>89</v>
      </c>
      <c r="B125" s="21" t="s">
        <v>117</v>
      </c>
      <c r="C125" s="15" t="s">
        <v>3</v>
      </c>
      <c r="D125" s="21" t="s">
        <v>56</v>
      </c>
      <c r="E125" s="21"/>
      <c r="F125" s="70" t="s">
        <v>7</v>
      </c>
      <c r="G125" s="9">
        <v>35504</v>
      </c>
      <c r="H125" s="22">
        <v>203134</v>
      </c>
      <c r="I125" s="17">
        <v>0</v>
      </c>
      <c r="J125" s="17">
        <v>122624.29711415524</v>
      </c>
      <c r="K125" s="17">
        <f t="shared" si="14"/>
        <v>80509.702885844759</v>
      </c>
      <c r="L125" s="23">
        <f t="shared" si="20"/>
        <v>10156.700000000001</v>
      </c>
      <c r="M125" s="23">
        <v>30</v>
      </c>
      <c r="N125" s="18">
        <f t="shared" si="15"/>
        <v>23.065753424657533</v>
      </c>
      <c r="O125" s="23">
        <f t="shared" si="21"/>
        <v>25747.930164383535</v>
      </c>
      <c r="P125" s="18">
        <f t="shared" si="16"/>
        <v>24.065753424657533</v>
      </c>
      <c r="Q125" s="18">
        <f t="shared" si="19"/>
        <v>2345.1000961948253</v>
      </c>
      <c r="R125" s="18">
        <f t="shared" si="17"/>
        <v>28093.030260578362</v>
      </c>
      <c r="S125" s="18">
        <f t="shared" si="22"/>
        <v>10156.700000000001</v>
      </c>
    </row>
    <row r="126" spans="1:19" ht="15" customHeight="1" x14ac:dyDescent="0.2">
      <c r="A126" s="14">
        <f t="shared" si="18"/>
        <v>90</v>
      </c>
      <c r="B126" s="21" t="s">
        <v>118</v>
      </c>
      <c r="C126" s="15" t="s">
        <v>3</v>
      </c>
      <c r="D126" s="21" t="s">
        <v>56</v>
      </c>
      <c r="E126" s="21"/>
      <c r="F126" s="69" t="s">
        <v>4</v>
      </c>
      <c r="G126" s="9">
        <v>35504</v>
      </c>
      <c r="H126" s="22">
        <v>290000</v>
      </c>
      <c r="I126" s="17">
        <v>0</v>
      </c>
      <c r="J126" s="17">
        <v>175062.00913242009</v>
      </c>
      <c r="K126" s="17">
        <f t="shared" si="14"/>
        <v>114937.99086757991</v>
      </c>
      <c r="L126" s="23">
        <f t="shared" si="20"/>
        <v>14500</v>
      </c>
      <c r="M126" s="23">
        <v>30</v>
      </c>
      <c r="N126" s="18">
        <f t="shared" si="15"/>
        <v>23.065753424657533</v>
      </c>
      <c r="O126" s="23">
        <f t="shared" si="21"/>
        <v>36758.493150684924</v>
      </c>
      <c r="P126" s="18">
        <f t="shared" si="16"/>
        <v>24.065753424657533</v>
      </c>
      <c r="Q126" s="18">
        <f t="shared" si="19"/>
        <v>3347.9330289193304</v>
      </c>
      <c r="R126" s="18">
        <f t="shared" si="17"/>
        <v>40106.426179604256</v>
      </c>
      <c r="S126" s="18">
        <f t="shared" si="22"/>
        <v>14500</v>
      </c>
    </row>
    <row r="127" spans="1:19" ht="15" customHeight="1" x14ac:dyDescent="0.2">
      <c r="A127" s="14">
        <f t="shared" si="18"/>
        <v>91</v>
      </c>
      <c r="B127" s="21" t="s">
        <v>119</v>
      </c>
      <c r="C127" s="15" t="s">
        <v>3</v>
      </c>
      <c r="D127" s="21" t="s">
        <v>56</v>
      </c>
      <c r="E127" s="21"/>
      <c r="F127" s="69" t="s">
        <v>13</v>
      </c>
      <c r="G127" s="9">
        <v>35502</v>
      </c>
      <c r="H127" s="22">
        <v>283304</v>
      </c>
      <c r="I127" s="17">
        <v>0</v>
      </c>
      <c r="J127" s="17">
        <v>171069.04547945206</v>
      </c>
      <c r="K127" s="17">
        <f t="shared" si="14"/>
        <v>112234.95452054794</v>
      </c>
      <c r="L127" s="23">
        <f t="shared" si="20"/>
        <v>14165.2</v>
      </c>
      <c r="M127" s="23">
        <v>30</v>
      </c>
      <c r="N127" s="18">
        <f t="shared" si="15"/>
        <v>23.07123287671233</v>
      </c>
      <c r="O127" s="23">
        <f t="shared" si="21"/>
        <v>35909.752219178074</v>
      </c>
      <c r="P127" s="18">
        <f t="shared" si="16"/>
        <v>24.07123287671233</v>
      </c>
      <c r="Q127" s="18">
        <f t="shared" si="19"/>
        <v>3268.991817351598</v>
      </c>
      <c r="R127" s="18">
        <f t="shared" si="17"/>
        <v>39178.744036529672</v>
      </c>
      <c r="S127" s="18">
        <f t="shared" si="22"/>
        <v>14165.2</v>
      </c>
    </row>
    <row r="128" spans="1:19" ht="15" customHeight="1" x14ac:dyDescent="0.2">
      <c r="A128" s="14">
        <f t="shared" si="18"/>
        <v>92</v>
      </c>
      <c r="B128" s="21" t="s">
        <v>120</v>
      </c>
      <c r="C128" s="15" t="s">
        <v>3</v>
      </c>
      <c r="D128" s="21" t="s">
        <v>56</v>
      </c>
      <c r="E128" s="21"/>
      <c r="F128" s="69" t="s">
        <v>11</v>
      </c>
      <c r="G128" s="9">
        <v>35476</v>
      </c>
      <c r="H128" s="29">
        <v>74286</v>
      </c>
      <c r="I128" s="17">
        <v>0</v>
      </c>
      <c r="J128" s="17">
        <v>45024.100109589039</v>
      </c>
      <c r="K128" s="17">
        <f t="shared" si="14"/>
        <v>29261.899890410961</v>
      </c>
      <c r="L128" s="23">
        <f t="shared" si="20"/>
        <v>3714.3</v>
      </c>
      <c r="M128" s="23">
        <v>30</v>
      </c>
      <c r="N128" s="18">
        <f t="shared" si="15"/>
        <v>23.142465753424659</v>
      </c>
      <c r="O128" s="23">
        <f t="shared" si="21"/>
        <v>9416.0049041095917</v>
      </c>
      <c r="P128" s="18">
        <f t="shared" si="16"/>
        <v>24.142465753424659</v>
      </c>
      <c r="Q128" s="18">
        <f t="shared" si="19"/>
        <v>851.58666301369874</v>
      </c>
      <c r="R128" s="18">
        <f t="shared" si="17"/>
        <v>10267.591567123291</v>
      </c>
      <c r="S128" s="18">
        <f t="shared" si="22"/>
        <v>3714.3</v>
      </c>
    </row>
    <row r="129" spans="1:19" ht="15" customHeight="1" x14ac:dyDescent="0.2">
      <c r="A129" s="14">
        <f t="shared" si="18"/>
        <v>93</v>
      </c>
      <c r="B129" s="21" t="s">
        <v>121</v>
      </c>
      <c r="C129" s="15" t="s">
        <v>3</v>
      </c>
      <c r="D129" s="21" t="s">
        <v>56</v>
      </c>
      <c r="E129" s="21"/>
      <c r="F129" s="69" t="s">
        <v>11</v>
      </c>
      <c r="G129" s="9">
        <v>35476</v>
      </c>
      <c r="H129" s="29">
        <v>95008</v>
      </c>
      <c r="I129" s="17">
        <v>0</v>
      </c>
      <c r="J129" s="17">
        <v>57583.52452968037</v>
      </c>
      <c r="K129" s="17">
        <f t="shared" si="14"/>
        <v>37424.47547031963</v>
      </c>
      <c r="L129" s="23">
        <f t="shared" si="20"/>
        <v>4750.4000000000005</v>
      </c>
      <c r="M129" s="23">
        <v>30</v>
      </c>
      <c r="N129" s="18">
        <f t="shared" si="15"/>
        <v>23.142465753424659</v>
      </c>
      <c r="O129" s="23">
        <f t="shared" si="21"/>
        <v>12042.589369863017</v>
      </c>
      <c r="P129" s="18">
        <f t="shared" si="16"/>
        <v>24.142465753424659</v>
      </c>
      <c r="Q129" s="18">
        <f t="shared" si="19"/>
        <v>1089.1358490106543</v>
      </c>
      <c r="R129" s="18">
        <f t="shared" si="17"/>
        <v>13131.725218873671</v>
      </c>
      <c r="S129" s="18">
        <f t="shared" si="22"/>
        <v>4750.4000000000005</v>
      </c>
    </row>
    <row r="130" spans="1:19" ht="15" customHeight="1" x14ac:dyDescent="0.2">
      <c r="A130" s="14">
        <f t="shared" si="18"/>
        <v>94</v>
      </c>
      <c r="B130" s="21" t="s">
        <v>122</v>
      </c>
      <c r="C130" s="15" t="s">
        <v>3</v>
      </c>
      <c r="D130" s="21" t="s">
        <v>56</v>
      </c>
      <c r="E130" s="21"/>
      <c r="F130" s="69" t="s">
        <v>7</v>
      </c>
      <c r="G130" s="9">
        <v>35414</v>
      </c>
      <c r="H130" s="22">
        <v>27690</v>
      </c>
      <c r="I130" s="17">
        <v>0</v>
      </c>
      <c r="J130" s="17">
        <v>16931.613150684931</v>
      </c>
      <c r="K130" s="17">
        <f t="shared" si="14"/>
        <v>10758.386849315069</v>
      </c>
      <c r="L130" s="23">
        <f t="shared" si="20"/>
        <v>1384.5</v>
      </c>
      <c r="M130" s="23">
        <v>30</v>
      </c>
      <c r="N130" s="18">
        <f t="shared" si="15"/>
        <v>23.312328767123287</v>
      </c>
      <c r="O130" s="23">
        <f t="shared" si="21"/>
        <v>3509.802328767124</v>
      </c>
      <c r="P130" s="18">
        <f t="shared" si="16"/>
        <v>24.312328767123287</v>
      </c>
      <c r="Q130" s="18">
        <f t="shared" si="19"/>
        <v>312.46289497716896</v>
      </c>
      <c r="R130" s="18">
        <f t="shared" si="17"/>
        <v>3822.2652237442931</v>
      </c>
      <c r="S130" s="18">
        <f t="shared" si="22"/>
        <v>1384.5</v>
      </c>
    </row>
    <row r="131" spans="1:19" ht="15" customHeight="1" x14ac:dyDescent="0.2">
      <c r="A131" s="14">
        <f t="shared" si="18"/>
        <v>95</v>
      </c>
      <c r="B131" s="21" t="s">
        <v>123</v>
      </c>
      <c r="C131" s="15" t="s">
        <v>3</v>
      </c>
      <c r="D131" s="21" t="s">
        <v>56</v>
      </c>
      <c r="E131" s="21"/>
      <c r="F131" s="69" t="s">
        <v>4</v>
      </c>
      <c r="G131" s="9">
        <v>35353</v>
      </c>
      <c r="H131" s="22">
        <v>150976</v>
      </c>
      <c r="I131" s="17">
        <v>0</v>
      </c>
      <c r="J131" s="17">
        <v>93116.343817351604</v>
      </c>
      <c r="K131" s="17">
        <f t="shared" si="14"/>
        <v>57859.656182648396</v>
      </c>
      <c r="L131" s="23">
        <f t="shared" si="20"/>
        <v>7548.8</v>
      </c>
      <c r="M131" s="23">
        <v>30</v>
      </c>
      <c r="N131" s="18">
        <f t="shared" si="15"/>
        <v>23.479452054794521</v>
      </c>
      <c r="O131" s="23">
        <f t="shared" si="21"/>
        <v>19136.725041095895</v>
      </c>
      <c r="P131" s="18">
        <f t="shared" si="16"/>
        <v>24.479452054794521</v>
      </c>
      <c r="Q131" s="18">
        <f t="shared" si="19"/>
        <v>1677.028539421613</v>
      </c>
      <c r="R131" s="18">
        <f t="shared" si="17"/>
        <v>20813.753580517507</v>
      </c>
      <c r="S131" s="18">
        <f t="shared" si="22"/>
        <v>7548.8</v>
      </c>
    </row>
    <row r="132" spans="1:19" ht="15" customHeight="1" x14ac:dyDescent="0.2">
      <c r="A132" s="14">
        <f t="shared" si="18"/>
        <v>96</v>
      </c>
      <c r="B132" s="21" t="s">
        <v>124</v>
      </c>
      <c r="C132" s="15" t="s">
        <v>3</v>
      </c>
      <c r="D132" s="21" t="s">
        <v>56</v>
      </c>
      <c r="E132" s="21"/>
      <c r="F132" s="69" t="s">
        <v>4</v>
      </c>
      <c r="G132" s="9">
        <v>35353</v>
      </c>
      <c r="H132" s="22">
        <v>261295</v>
      </c>
      <c r="I132" s="17">
        <v>0</v>
      </c>
      <c r="J132" s="17">
        <v>161156.9723515982</v>
      </c>
      <c r="K132" s="17">
        <f t="shared" si="14"/>
        <v>100138.0276484018</v>
      </c>
      <c r="L132" s="23">
        <f t="shared" si="20"/>
        <v>13064.75</v>
      </c>
      <c r="M132" s="23">
        <v>30</v>
      </c>
      <c r="N132" s="18">
        <f t="shared" si="15"/>
        <v>23.479452054794521</v>
      </c>
      <c r="O132" s="23">
        <f t="shared" si="21"/>
        <v>33120.036095890391</v>
      </c>
      <c r="P132" s="18">
        <f t="shared" si="16"/>
        <v>24.479452054794521</v>
      </c>
      <c r="Q132" s="18">
        <f t="shared" si="19"/>
        <v>2902.4425882800597</v>
      </c>
      <c r="R132" s="18">
        <f t="shared" si="17"/>
        <v>36022.478684170448</v>
      </c>
      <c r="S132" s="18">
        <f t="shared" si="22"/>
        <v>13064.75</v>
      </c>
    </row>
    <row r="133" spans="1:19" ht="15" customHeight="1" x14ac:dyDescent="0.2">
      <c r="A133" s="14">
        <f t="shared" si="18"/>
        <v>97</v>
      </c>
      <c r="B133" s="21" t="s">
        <v>125</v>
      </c>
      <c r="C133" s="15" t="s">
        <v>3</v>
      </c>
      <c r="D133" s="21" t="s">
        <v>56</v>
      </c>
      <c r="E133" s="21"/>
      <c r="F133" s="70" t="s">
        <v>7</v>
      </c>
      <c r="G133" s="9">
        <v>35353</v>
      </c>
      <c r="H133" s="22">
        <v>492876</v>
      </c>
      <c r="I133" s="17">
        <v>0</v>
      </c>
      <c r="J133" s="17">
        <v>303987.46208219178</v>
      </c>
      <c r="K133" s="17">
        <f t="shared" si="14"/>
        <v>188888.53791780822</v>
      </c>
      <c r="L133" s="23">
        <f t="shared" si="20"/>
        <v>24643.800000000003</v>
      </c>
      <c r="M133" s="23">
        <v>30</v>
      </c>
      <c r="N133" s="18">
        <f t="shared" si="15"/>
        <v>23.479452054794521</v>
      </c>
      <c r="O133" s="23">
        <f t="shared" si="21"/>
        <v>62473.720931506832</v>
      </c>
      <c r="P133" s="18">
        <f t="shared" si="16"/>
        <v>24.479452054794521</v>
      </c>
      <c r="Q133" s="18">
        <f t="shared" si="19"/>
        <v>5474.8245972602745</v>
      </c>
      <c r="R133" s="18">
        <f t="shared" si="17"/>
        <v>67948.545528767107</v>
      </c>
      <c r="S133" s="18">
        <f t="shared" si="22"/>
        <v>24643.800000000003</v>
      </c>
    </row>
    <row r="134" spans="1:19" ht="15" customHeight="1" x14ac:dyDescent="0.2">
      <c r="A134" s="14">
        <f t="shared" si="18"/>
        <v>98</v>
      </c>
      <c r="B134" s="21" t="s">
        <v>126</v>
      </c>
      <c r="C134" s="15" t="s">
        <v>3</v>
      </c>
      <c r="D134" s="21" t="s">
        <v>56</v>
      </c>
      <c r="E134" s="21"/>
      <c r="F134" s="69" t="s">
        <v>4</v>
      </c>
      <c r="G134" s="9">
        <v>35353</v>
      </c>
      <c r="H134" s="22">
        <v>2818811</v>
      </c>
      <c r="I134" s="17">
        <v>0</v>
      </c>
      <c r="J134" s="17">
        <f>1738537.08027854-500000</f>
        <v>1238537.08027854</v>
      </c>
      <c r="K134" s="17">
        <f t="shared" si="14"/>
        <v>1580273.91972146</v>
      </c>
      <c r="L134" s="23">
        <f t="shared" si="20"/>
        <v>140940.55000000002</v>
      </c>
      <c r="M134" s="23">
        <v>30</v>
      </c>
      <c r="N134" s="18">
        <f t="shared" si="15"/>
        <v>23.479452054794521</v>
      </c>
      <c r="O134" s="23">
        <f t="shared" si="21"/>
        <v>857293.94771232782</v>
      </c>
      <c r="P134" s="18">
        <f t="shared" si="16"/>
        <v>24.479452054794521</v>
      </c>
      <c r="Q134" s="18">
        <f t="shared" si="19"/>
        <v>47977.778990715327</v>
      </c>
      <c r="R134" s="18">
        <f t="shared" si="17"/>
        <v>905271.7267030431</v>
      </c>
      <c r="S134" s="18">
        <f t="shared" si="22"/>
        <v>140940.55000000002</v>
      </c>
    </row>
    <row r="135" spans="1:19" ht="15" customHeight="1" x14ac:dyDescent="0.2">
      <c r="A135" s="14">
        <f t="shared" si="18"/>
        <v>99</v>
      </c>
      <c r="B135" s="21" t="s">
        <v>127</v>
      </c>
      <c r="C135" s="15" t="s">
        <v>3</v>
      </c>
      <c r="D135" s="21" t="s">
        <v>56</v>
      </c>
      <c r="E135" s="21"/>
      <c r="F135" s="69" t="s">
        <v>4</v>
      </c>
      <c r="G135" s="9">
        <v>35293</v>
      </c>
      <c r="H135" s="22">
        <v>154224</v>
      </c>
      <c r="I135" s="17">
        <v>0</v>
      </c>
      <c r="J135" s="17">
        <v>95922.398465753417</v>
      </c>
      <c r="K135" s="17">
        <f t="shared" si="14"/>
        <v>58301.601534246583</v>
      </c>
      <c r="L135" s="23">
        <f t="shared" si="20"/>
        <v>7711.2000000000007</v>
      </c>
      <c r="M135" s="23">
        <v>30</v>
      </c>
      <c r="N135" s="18">
        <f t="shared" si="15"/>
        <v>23.643835616438356</v>
      </c>
      <c r="O135" s="23">
        <f t="shared" si="21"/>
        <v>19548.420164383555</v>
      </c>
      <c r="P135" s="18">
        <f t="shared" si="16"/>
        <v>24.643835616438356</v>
      </c>
      <c r="Q135" s="18">
        <f t="shared" si="19"/>
        <v>1686.3467178082194</v>
      </c>
      <c r="R135" s="18">
        <f t="shared" si="17"/>
        <v>21234.766882191776</v>
      </c>
      <c r="S135" s="18">
        <f t="shared" si="22"/>
        <v>7711.2000000000007</v>
      </c>
    </row>
    <row r="136" spans="1:19" ht="15" customHeight="1" x14ac:dyDescent="0.2">
      <c r="A136" s="14">
        <f t="shared" si="18"/>
        <v>100</v>
      </c>
      <c r="B136" s="21" t="s">
        <v>128</v>
      </c>
      <c r="C136" s="15" t="s">
        <v>3</v>
      </c>
      <c r="D136" s="21" t="s">
        <v>56</v>
      </c>
      <c r="E136" s="21"/>
      <c r="F136" s="71" t="s">
        <v>11</v>
      </c>
      <c r="G136" s="9">
        <v>35139</v>
      </c>
      <c r="H136" s="29">
        <v>104554</v>
      </c>
      <c r="I136" s="17">
        <v>0</v>
      </c>
      <c r="J136" s="17">
        <v>66426.163917808211</v>
      </c>
      <c r="K136" s="17">
        <f t="shared" si="14"/>
        <v>38127.836082191789</v>
      </c>
      <c r="L136" s="23">
        <f t="shared" si="20"/>
        <v>5227.7000000000007</v>
      </c>
      <c r="M136" s="23">
        <v>30</v>
      </c>
      <c r="N136" s="18">
        <f t="shared" si="15"/>
        <v>24.065753424657533</v>
      </c>
      <c r="O136" s="23">
        <f t="shared" si="21"/>
        <v>13252.577561643833</v>
      </c>
      <c r="P136" s="18">
        <f t="shared" si="16"/>
        <v>25.065753424657533</v>
      </c>
      <c r="Q136" s="18">
        <f t="shared" si="19"/>
        <v>1096.6712027397264</v>
      </c>
      <c r="R136" s="18">
        <f t="shared" si="17"/>
        <v>14349.248764383559</v>
      </c>
      <c r="S136" s="18">
        <f t="shared" si="22"/>
        <v>5227.7000000000007</v>
      </c>
    </row>
    <row r="137" spans="1:19" ht="15" customHeight="1" x14ac:dyDescent="0.2">
      <c r="A137" s="14">
        <f t="shared" si="18"/>
        <v>101</v>
      </c>
      <c r="B137" s="21" t="s">
        <v>129</v>
      </c>
      <c r="C137" s="15" t="s">
        <v>3</v>
      </c>
      <c r="D137" s="21" t="s">
        <v>56</v>
      </c>
      <c r="E137" s="21"/>
      <c r="F137" s="71" t="s">
        <v>11</v>
      </c>
      <c r="G137" s="9">
        <v>35120</v>
      </c>
      <c r="H137" s="22">
        <v>2746818</v>
      </c>
      <c r="I137" s="17">
        <v>0</v>
      </c>
      <c r="J137" s="17">
        <f>1749660.35326027-140131</f>
        <v>1609529.3532602701</v>
      </c>
      <c r="K137" s="17">
        <f t="shared" si="14"/>
        <v>1137288.6467397299</v>
      </c>
      <c r="L137" s="23">
        <f t="shared" si="20"/>
        <v>137340.9</v>
      </c>
      <c r="M137" s="23">
        <v>30</v>
      </c>
      <c r="N137" s="18">
        <f t="shared" si="15"/>
        <v>24.117808219178084</v>
      </c>
      <c r="O137" s="23">
        <f t="shared" si="21"/>
        <v>488299.58841096307</v>
      </c>
      <c r="P137" s="18">
        <f t="shared" si="16"/>
        <v>25.117808219178084</v>
      </c>
      <c r="Q137" s="18">
        <f t="shared" si="19"/>
        <v>33331.591557990992</v>
      </c>
      <c r="R137" s="18">
        <f t="shared" si="17"/>
        <v>521631.17996895406</v>
      </c>
      <c r="S137" s="18">
        <f t="shared" si="22"/>
        <v>137340.9</v>
      </c>
    </row>
    <row r="138" spans="1:19" ht="15" customHeight="1" x14ac:dyDescent="0.2">
      <c r="A138" s="14">
        <f t="shared" si="18"/>
        <v>102</v>
      </c>
      <c r="B138" s="21" t="s">
        <v>130</v>
      </c>
      <c r="C138" s="15" t="s">
        <v>3</v>
      </c>
      <c r="D138" s="21" t="s">
        <v>56</v>
      </c>
      <c r="E138" s="21"/>
      <c r="F138" s="69" t="s">
        <v>4</v>
      </c>
      <c r="G138" s="9">
        <v>35069</v>
      </c>
      <c r="H138" s="22">
        <v>362741</v>
      </c>
      <c r="I138" s="17">
        <v>0</v>
      </c>
      <c r="J138" s="17">
        <v>232662.73994063929</v>
      </c>
      <c r="K138" s="17">
        <f t="shared" si="14"/>
        <v>130078.26005936071</v>
      </c>
      <c r="L138" s="23">
        <f t="shared" si="20"/>
        <v>18137.05</v>
      </c>
      <c r="M138" s="23">
        <v>30</v>
      </c>
      <c r="N138" s="18">
        <f t="shared" si="15"/>
        <v>24.257534246575343</v>
      </c>
      <c r="O138" s="23">
        <f t="shared" si="21"/>
        <v>45978.664013698639</v>
      </c>
      <c r="P138" s="18">
        <f t="shared" si="16"/>
        <v>25.257534246575343</v>
      </c>
      <c r="Q138" s="18">
        <f t="shared" si="19"/>
        <v>3731.3736686453567</v>
      </c>
      <c r="R138" s="18">
        <f t="shared" si="17"/>
        <v>49710.037682343995</v>
      </c>
      <c r="S138" s="18">
        <f t="shared" si="22"/>
        <v>18137.05</v>
      </c>
    </row>
    <row r="139" spans="1:19" ht="15" customHeight="1" x14ac:dyDescent="0.2">
      <c r="A139" s="14">
        <f t="shared" si="18"/>
        <v>103</v>
      </c>
      <c r="B139" s="21" t="s">
        <v>131</v>
      </c>
      <c r="C139" s="15" t="s">
        <v>3</v>
      </c>
      <c r="D139" s="21" t="s">
        <v>56</v>
      </c>
      <c r="E139" s="21"/>
      <c r="F139" s="69" t="s">
        <v>4</v>
      </c>
      <c r="G139" s="9">
        <v>35014</v>
      </c>
      <c r="H139" s="22">
        <v>28404</v>
      </c>
      <c r="I139" s="17">
        <v>0</v>
      </c>
      <c r="J139" s="17">
        <v>18353.912547945205</v>
      </c>
      <c r="K139" s="17">
        <f t="shared" si="14"/>
        <v>10050.087452054795</v>
      </c>
      <c r="L139" s="23">
        <f t="shared" si="20"/>
        <v>1420.2</v>
      </c>
      <c r="M139" s="23">
        <v>30</v>
      </c>
      <c r="N139" s="18">
        <f t="shared" si="15"/>
        <v>24.408219178082192</v>
      </c>
      <c r="O139" s="23">
        <f t="shared" si="21"/>
        <v>3600.3042739726006</v>
      </c>
      <c r="P139" s="18">
        <f t="shared" si="16"/>
        <v>25.408219178082192</v>
      </c>
      <c r="Q139" s="18">
        <f t="shared" si="19"/>
        <v>287.66291506849313</v>
      </c>
      <c r="R139" s="18">
        <f t="shared" si="17"/>
        <v>3887.9671890410937</v>
      </c>
      <c r="S139" s="18">
        <f t="shared" si="22"/>
        <v>1420.2</v>
      </c>
    </row>
    <row r="140" spans="1:19" ht="15" customHeight="1" x14ac:dyDescent="0.2">
      <c r="A140" s="14">
        <f t="shared" si="18"/>
        <v>104</v>
      </c>
      <c r="B140" s="21" t="s">
        <v>132</v>
      </c>
      <c r="C140" s="15" t="s">
        <v>3</v>
      </c>
      <c r="D140" s="21" t="s">
        <v>56</v>
      </c>
      <c r="E140" s="21"/>
      <c r="F140" s="69" t="s">
        <v>4</v>
      </c>
      <c r="G140" s="9">
        <v>35003</v>
      </c>
      <c r="H140" s="29">
        <v>80357</v>
      </c>
      <c r="I140" s="17">
        <v>0</v>
      </c>
      <c r="J140" s="17">
        <v>52001.252954337899</v>
      </c>
      <c r="K140" s="17">
        <f t="shared" si="14"/>
        <v>28355.747045662101</v>
      </c>
      <c r="L140" s="23">
        <f t="shared" si="20"/>
        <v>4017.8500000000004</v>
      </c>
      <c r="M140" s="23">
        <v>30</v>
      </c>
      <c r="N140" s="18">
        <f t="shared" si="15"/>
        <v>24.438356164383563</v>
      </c>
      <c r="O140" s="23">
        <f t="shared" si="21"/>
        <v>10185.524945205485</v>
      </c>
      <c r="P140" s="18">
        <f t="shared" si="16"/>
        <v>25.438356164383563</v>
      </c>
      <c r="Q140" s="18">
        <f t="shared" si="19"/>
        <v>811.26323485540343</v>
      </c>
      <c r="R140" s="18">
        <f t="shared" si="17"/>
        <v>10996.788180060888</v>
      </c>
      <c r="S140" s="18">
        <f t="shared" si="22"/>
        <v>4017.8500000000004</v>
      </c>
    </row>
    <row r="141" spans="1:19" ht="15" customHeight="1" x14ac:dyDescent="0.2">
      <c r="A141" s="14">
        <f t="shared" si="18"/>
        <v>105</v>
      </c>
      <c r="B141" s="21" t="s">
        <v>133</v>
      </c>
      <c r="C141" s="15" t="s">
        <v>3</v>
      </c>
      <c r="D141" s="21" t="s">
        <v>56</v>
      </c>
      <c r="E141" s="21"/>
      <c r="F141" s="69" t="s">
        <v>4</v>
      </c>
      <c r="G141" s="9">
        <v>34972</v>
      </c>
      <c r="H141" s="22">
        <v>32633</v>
      </c>
      <c r="I141" s="17">
        <v>0</v>
      </c>
      <c r="J141" s="17">
        <v>21205.489634703197</v>
      </c>
      <c r="K141" s="17">
        <f t="shared" si="14"/>
        <v>11427.510365296803</v>
      </c>
      <c r="L141" s="23">
        <f t="shared" si="20"/>
        <v>1631.65</v>
      </c>
      <c r="M141" s="23">
        <v>30</v>
      </c>
      <c r="N141" s="18">
        <f t="shared" si="15"/>
        <v>24.523287671232875</v>
      </c>
      <c r="O141" s="23">
        <f t="shared" si="21"/>
        <v>4136.3445068493129</v>
      </c>
      <c r="P141" s="18">
        <f t="shared" si="16"/>
        <v>25.523287671232875</v>
      </c>
      <c r="Q141" s="18">
        <f t="shared" si="19"/>
        <v>326.52867884322677</v>
      </c>
      <c r="R141" s="18">
        <f t="shared" si="17"/>
        <v>4462.8731856925397</v>
      </c>
      <c r="S141" s="18">
        <f t="shared" si="22"/>
        <v>1631.65</v>
      </c>
    </row>
    <row r="142" spans="1:19" ht="15" customHeight="1" x14ac:dyDescent="0.2">
      <c r="A142" s="14">
        <f t="shared" si="18"/>
        <v>106</v>
      </c>
      <c r="B142" s="21" t="s">
        <v>134</v>
      </c>
      <c r="C142" s="15" t="s">
        <v>3</v>
      </c>
      <c r="D142" s="21" t="s">
        <v>56</v>
      </c>
      <c r="E142" s="21"/>
      <c r="F142" s="69" t="s">
        <v>4</v>
      </c>
      <c r="G142" s="9">
        <v>34783</v>
      </c>
      <c r="H142" s="22">
        <v>521291</v>
      </c>
      <c r="I142" s="17">
        <v>0</v>
      </c>
      <c r="J142" s="17">
        <v>347291.68123744288</v>
      </c>
      <c r="K142" s="17">
        <f t="shared" si="14"/>
        <v>173999.31876255712</v>
      </c>
      <c r="L142" s="23">
        <f t="shared" si="20"/>
        <v>26064.550000000003</v>
      </c>
      <c r="M142" s="23">
        <v>30</v>
      </c>
      <c r="N142" s="18">
        <f t="shared" si="15"/>
        <v>25.041095890410958</v>
      </c>
      <c r="O142" s="23">
        <f t="shared" si="21"/>
        <v>66075.419493150664</v>
      </c>
      <c r="P142" s="18">
        <f t="shared" si="16"/>
        <v>26.041095890410958</v>
      </c>
      <c r="Q142" s="18">
        <f t="shared" si="19"/>
        <v>4931.1589587519038</v>
      </c>
      <c r="R142" s="18">
        <f t="shared" si="17"/>
        <v>71006.578451902562</v>
      </c>
      <c r="S142" s="18">
        <f t="shared" si="22"/>
        <v>26064.550000000003</v>
      </c>
    </row>
    <row r="143" spans="1:19" ht="15" customHeight="1" x14ac:dyDescent="0.2">
      <c r="A143" s="14">
        <f t="shared" si="18"/>
        <v>107</v>
      </c>
      <c r="B143" s="21" t="s">
        <v>135</v>
      </c>
      <c r="C143" s="15" t="s">
        <v>3</v>
      </c>
      <c r="D143" s="21" t="s">
        <v>56</v>
      </c>
      <c r="E143" s="21"/>
      <c r="F143" s="69" t="s">
        <v>4</v>
      </c>
      <c r="G143" s="9">
        <v>34783</v>
      </c>
      <c r="H143" s="22">
        <v>580217</v>
      </c>
      <c r="I143" s="17">
        <v>0</v>
      </c>
      <c r="J143" s="17">
        <v>386549.043456621</v>
      </c>
      <c r="K143" s="17">
        <f t="shared" si="14"/>
        <v>193667.956543379</v>
      </c>
      <c r="L143" s="23">
        <f t="shared" si="20"/>
        <v>29010.850000000002</v>
      </c>
      <c r="M143" s="23">
        <v>30</v>
      </c>
      <c r="N143" s="18">
        <f t="shared" si="15"/>
        <v>25.041095890410958</v>
      </c>
      <c r="O143" s="23">
        <f t="shared" si="21"/>
        <v>73544.491794520523</v>
      </c>
      <c r="P143" s="18">
        <f t="shared" si="16"/>
        <v>26.041095890410958</v>
      </c>
      <c r="Q143" s="18">
        <f t="shared" si="19"/>
        <v>5488.5702181126326</v>
      </c>
      <c r="R143" s="18">
        <f t="shared" si="17"/>
        <v>79033.062012633163</v>
      </c>
      <c r="S143" s="18">
        <f t="shared" si="22"/>
        <v>29010.850000000002</v>
      </c>
    </row>
    <row r="144" spans="1:19" ht="15" customHeight="1" x14ac:dyDescent="0.2">
      <c r="A144" s="14">
        <f t="shared" si="18"/>
        <v>108</v>
      </c>
      <c r="B144" s="21" t="s">
        <v>136</v>
      </c>
      <c r="C144" s="15" t="s">
        <v>3</v>
      </c>
      <c r="D144" s="21" t="s">
        <v>56</v>
      </c>
      <c r="E144" s="21"/>
      <c r="F144" s="69" t="s">
        <v>4</v>
      </c>
      <c r="G144" s="9">
        <v>34711</v>
      </c>
      <c r="H144" s="22">
        <v>32646</v>
      </c>
      <c r="I144" s="17">
        <v>0</v>
      </c>
      <c r="J144" s="17">
        <v>21953.167917808219</v>
      </c>
      <c r="K144" s="17">
        <f t="shared" si="14"/>
        <v>10692.832082191781</v>
      </c>
      <c r="L144" s="23">
        <f t="shared" si="20"/>
        <v>1632.3000000000002</v>
      </c>
      <c r="M144" s="23">
        <v>30</v>
      </c>
      <c r="N144" s="18">
        <f t="shared" si="15"/>
        <v>25.238356164383561</v>
      </c>
      <c r="O144" s="23">
        <f t="shared" si="21"/>
        <v>4137.9923013698608</v>
      </c>
      <c r="P144" s="18">
        <f t="shared" si="16"/>
        <v>26.238356164383561</v>
      </c>
      <c r="Q144" s="18">
        <f t="shared" si="19"/>
        <v>302.01773607305938</v>
      </c>
      <c r="R144" s="18">
        <f t="shared" si="17"/>
        <v>4440.0100374429203</v>
      </c>
      <c r="S144" s="18">
        <f t="shared" si="22"/>
        <v>1632.3000000000002</v>
      </c>
    </row>
    <row r="145" spans="1:19" ht="15" customHeight="1" x14ac:dyDescent="0.2">
      <c r="A145" s="14">
        <f t="shared" si="18"/>
        <v>109</v>
      </c>
      <c r="B145" s="21" t="s">
        <v>137</v>
      </c>
      <c r="C145" s="15" t="s">
        <v>3</v>
      </c>
      <c r="D145" s="21" t="s">
        <v>56</v>
      </c>
      <c r="E145" s="21"/>
      <c r="F145" s="69" t="s">
        <v>4</v>
      </c>
      <c r="G145" s="9">
        <v>34699</v>
      </c>
      <c r="H145" s="22">
        <v>118781</v>
      </c>
      <c r="I145" s="17">
        <v>0</v>
      </c>
      <c r="J145" s="17">
        <v>79999.274689497717</v>
      </c>
      <c r="K145" s="17">
        <f t="shared" si="14"/>
        <v>38781.725310502283</v>
      </c>
      <c r="L145" s="23">
        <f t="shared" si="20"/>
        <v>5939.05</v>
      </c>
      <c r="M145" s="23">
        <v>30</v>
      </c>
      <c r="N145" s="18">
        <f t="shared" si="15"/>
        <v>25.271232876712329</v>
      </c>
      <c r="O145" s="23">
        <f t="shared" si="21"/>
        <v>15055.898534246575</v>
      </c>
      <c r="P145" s="18">
        <f t="shared" si="16"/>
        <v>26.271232876712329</v>
      </c>
      <c r="Q145" s="18">
        <f t="shared" si="19"/>
        <v>1094.7558436834092</v>
      </c>
      <c r="R145" s="18">
        <f t="shared" si="17"/>
        <v>16150.654377929985</v>
      </c>
      <c r="S145" s="18">
        <f t="shared" si="22"/>
        <v>5939.05</v>
      </c>
    </row>
    <row r="146" spans="1:19" ht="15" customHeight="1" x14ac:dyDescent="0.2">
      <c r="A146" s="14">
        <f t="shared" si="18"/>
        <v>110</v>
      </c>
      <c r="B146" s="21" t="s">
        <v>138</v>
      </c>
      <c r="C146" s="15" t="s">
        <v>3</v>
      </c>
      <c r="D146" s="21" t="s">
        <v>56</v>
      </c>
      <c r="E146" s="21"/>
      <c r="F146" s="71" t="s">
        <v>10</v>
      </c>
      <c r="G146" s="9">
        <v>34699</v>
      </c>
      <c r="H146" s="29">
        <v>173547</v>
      </c>
      <c r="I146" s="17">
        <v>0</v>
      </c>
      <c r="J146" s="17">
        <v>116884.3007260274</v>
      </c>
      <c r="K146" s="17">
        <f t="shared" si="14"/>
        <v>56662.699273972597</v>
      </c>
      <c r="L146" s="23">
        <f t="shared" si="20"/>
        <v>8677.35</v>
      </c>
      <c r="M146" s="23">
        <v>30</v>
      </c>
      <c r="N146" s="18">
        <f t="shared" si="15"/>
        <v>25.271232876712329</v>
      </c>
      <c r="O146" s="23">
        <f t="shared" si="21"/>
        <v>21997.676589041075</v>
      </c>
      <c r="P146" s="18">
        <f t="shared" si="16"/>
        <v>26.271232876712329</v>
      </c>
      <c r="Q146" s="18">
        <f t="shared" si="19"/>
        <v>1599.5116424657533</v>
      </c>
      <c r="R146" s="18">
        <f t="shared" si="17"/>
        <v>23597.188231506829</v>
      </c>
      <c r="S146" s="18">
        <f t="shared" si="22"/>
        <v>8677.35</v>
      </c>
    </row>
    <row r="147" spans="1:19" ht="15" customHeight="1" x14ac:dyDescent="0.2">
      <c r="A147" s="14">
        <f t="shared" si="18"/>
        <v>111</v>
      </c>
      <c r="B147" s="21" t="s">
        <v>139</v>
      </c>
      <c r="C147" s="15" t="s">
        <v>3</v>
      </c>
      <c r="D147" s="21" t="s">
        <v>56</v>
      </c>
      <c r="E147" s="21"/>
      <c r="F147" s="71" t="s">
        <v>10</v>
      </c>
      <c r="G147" s="9">
        <v>34699</v>
      </c>
      <c r="H147" s="22">
        <v>793597</v>
      </c>
      <c r="I147" s="17">
        <v>0</v>
      </c>
      <c r="J147" s="17">
        <v>534489.39136529679</v>
      </c>
      <c r="K147" s="17">
        <f t="shared" si="14"/>
        <v>259107.60863470321</v>
      </c>
      <c r="L147" s="23">
        <f t="shared" si="20"/>
        <v>39679.850000000006</v>
      </c>
      <c r="M147" s="23">
        <v>30</v>
      </c>
      <c r="N147" s="18">
        <f t="shared" si="15"/>
        <v>25.271232876712329</v>
      </c>
      <c r="O147" s="23">
        <f t="shared" si="21"/>
        <v>100591.13754794525</v>
      </c>
      <c r="P147" s="18">
        <f t="shared" si="16"/>
        <v>26.271232876712329</v>
      </c>
      <c r="Q147" s="18">
        <f t="shared" si="19"/>
        <v>7314.2586211567732</v>
      </c>
      <c r="R147" s="18">
        <f t="shared" si="17"/>
        <v>107905.39616910202</v>
      </c>
      <c r="S147" s="18">
        <f t="shared" si="22"/>
        <v>39679.850000000006</v>
      </c>
    </row>
    <row r="148" spans="1:19" ht="15" customHeight="1" x14ac:dyDescent="0.2">
      <c r="A148" s="14">
        <f t="shared" si="18"/>
        <v>112</v>
      </c>
      <c r="B148" s="21" t="s">
        <v>140</v>
      </c>
      <c r="C148" s="15" t="s">
        <v>3</v>
      </c>
      <c r="D148" s="21" t="s">
        <v>56</v>
      </c>
      <c r="E148" s="21"/>
      <c r="F148" s="69" t="s">
        <v>13</v>
      </c>
      <c r="G148" s="9">
        <v>34644</v>
      </c>
      <c r="H148" s="22">
        <v>19822</v>
      </c>
      <c r="I148" s="17">
        <v>0</v>
      </c>
      <c r="J148" s="17">
        <v>13444.746684931508</v>
      </c>
      <c r="K148" s="17">
        <f t="shared" si="14"/>
        <v>6377.2533150684922</v>
      </c>
      <c r="L148" s="23">
        <f t="shared" si="20"/>
        <v>991.1</v>
      </c>
      <c r="M148" s="23">
        <v>30</v>
      </c>
      <c r="N148" s="18">
        <f t="shared" si="15"/>
        <v>25.421917808219177</v>
      </c>
      <c r="O148" s="23">
        <f t="shared" si="21"/>
        <v>2512.5063835616438</v>
      </c>
      <c r="P148" s="18">
        <f t="shared" si="16"/>
        <v>26.421917808219177</v>
      </c>
      <c r="Q148" s="18">
        <f t="shared" si="19"/>
        <v>179.53844383561639</v>
      </c>
      <c r="R148" s="18">
        <f t="shared" si="17"/>
        <v>2692.0448273972602</v>
      </c>
      <c r="S148" s="18">
        <f t="shared" si="22"/>
        <v>991.1</v>
      </c>
    </row>
    <row r="149" spans="1:19" ht="15" customHeight="1" x14ac:dyDescent="0.2">
      <c r="A149" s="14">
        <f t="shared" si="18"/>
        <v>113</v>
      </c>
      <c r="B149" s="21" t="s">
        <v>141</v>
      </c>
      <c r="C149" s="15" t="s">
        <v>3</v>
      </c>
      <c r="D149" s="21" t="s">
        <v>56</v>
      </c>
      <c r="E149" s="21"/>
      <c r="F149" s="70" t="s">
        <v>7</v>
      </c>
      <c r="G149" s="9">
        <v>34644</v>
      </c>
      <c r="H149" s="22">
        <v>27575</v>
      </c>
      <c r="I149" s="17">
        <v>0</v>
      </c>
      <c r="J149" s="17">
        <v>18703.404794520549</v>
      </c>
      <c r="K149" s="17">
        <f t="shared" si="14"/>
        <v>8871.5952054794507</v>
      </c>
      <c r="L149" s="23">
        <f t="shared" si="20"/>
        <v>1378.75</v>
      </c>
      <c r="M149" s="23">
        <v>30</v>
      </c>
      <c r="N149" s="18">
        <f t="shared" si="15"/>
        <v>25.421917808219177</v>
      </c>
      <c r="O149" s="23">
        <f t="shared" si="21"/>
        <v>3495.2256849315054</v>
      </c>
      <c r="P149" s="18">
        <f t="shared" si="16"/>
        <v>26.421917808219177</v>
      </c>
      <c r="Q149" s="18">
        <f t="shared" si="19"/>
        <v>249.76150684931503</v>
      </c>
      <c r="R149" s="18">
        <f t="shared" si="17"/>
        <v>3744.9871917808205</v>
      </c>
      <c r="S149" s="18">
        <f t="shared" si="22"/>
        <v>1378.75</v>
      </c>
    </row>
    <row r="150" spans="1:19" ht="15" customHeight="1" x14ac:dyDescent="0.2">
      <c r="A150" s="14">
        <f t="shared" si="18"/>
        <v>114</v>
      </c>
      <c r="B150" s="21" t="s">
        <v>142</v>
      </c>
      <c r="C150" s="15" t="s">
        <v>3</v>
      </c>
      <c r="D150" s="21" t="s">
        <v>56</v>
      </c>
      <c r="E150" s="21"/>
      <c r="F150" s="69" t="s">
        <v>4</v>
      </c>
      <c r="G150" s="9">
        <v>34639</v>
      </c>
      <c r="H150" s="22">
        <v>21121</v>
      </c>
      <c r="I150" s="17">
        <v>0</v>
      </c>
      <c r="J150" s="17">
        <v>14334.986652968037</v>
      </c>
      <c r="K150" s="17">
        <f t="shared" si="14"/>
        <v>6786.0133470319633</v>
      </c>
      <c r="L150" s="23">
        <f t="shared" si="20"/>
        <v>1056.05</v>
      </c>
      <c r="M150" s="23">
        <v>30</v>
      </c>
      <c r="N150" s="18">
        <f t="shared" si="15"/>
        <v>25.435616438356163</v>
      </c>
      <c r="O150" s="23">
        <f t="shared" si="21"/>
        <v>2677.1590821917816</v>
      </c>
      <c r="P150" s="18">
        <f t="shared" si="16"/>
        <v>26.435616438356163</v>
      </c>
      <c r="Q150" s="18">
        <f t="shared" si="19"/>
        <v>190.99877823439877</v>
      </c>
      <c r="R150" s="18">
        <f t="shared" si="17"/>
        <v>2868.1578604261804</v>
      </c>
      <c r="S150" s="18">
        <f t="shared" si="22"/>
        <v>1056.05</v>
      </c>
    </row>
    <row r="151" spans="1:19" ht="15" customHeight="1" x14ac:dyDescent="0.2">
      <c r="A151" s="14">
        <f t="shared" si="18"/>
        <v>115</v>
      </c>
      <c r="B151" s="21" t="s">
        <v>143</v>
      </c>
      <c r="C151" s="15" t="s">
        <v>3</v>
      </c>
      <c r="D151" s="21" t="s">
        <v>56</v>
      </c>
      <c r="E151" s="21"/>
      <c r="F151" s="70" t="s">
        <v>7</v>
      </c>
      <c r="G151" s="9">
        <v>34500</v>
      </c>
      <c r="H151" s="22">
        <v>24954</v>
      </c>
      <c r="I151" s="17">
        <v>0</v>
      </c>
      <c r="J151" s="17">
        <v>17237.402794520545</v>
      </c>
      <c r="K151" s="17">
        <f t="shared" si="14"/>
        <v>7716.5972054794547</v>
      </c>
      <c r="L151" s="23">
        <f t="shared" si="20"/>
        <v>1247.7</v>
      </c>
      <c r="M151" s="23">
        <v>30</v>
      </c>
      <c r="N151" s="18">
        <f t="shared" si="15"/>
        <v>25.816438356164383</v>
      </c>
      <c r="O151" s="23">
        <f t="shared" si="21"/>
        <v>3163.0049589041082</v>
      </c>
      <c r="P151" s="18">
        <f t="shared" si="16"/>
        <v>26.816438356164383</v>
      </c>
      <c r="Q151" s="18">
        <f t="shared" si="19"/>
        <v>215.62990684931515</v>
      </c>
      <c r="R151" s="18">
        <f t="shared" si="17"/>
        <v>3378.6348657534236</v>
      </c>
      <c r="S151" s="18">
        <f t="shared" si="22"/>
        <v>1247.7</v>
      </c>
    </row>
    <row r="152" spans="1:19" ht="15" customHeight="1" x14ac:dyDescent="0.2">
      <c r="A152" s="14">
        <f t="shared" si="18"/>
        <v>116</v>
      </c>
      <c r="B152" s="21" t="s">
        <v>102</v>
      </c>
      <c r="C152" s="15" t="s">
        <v>3</v>
      </c>
      <c r="D152" s="21" t="s">
        <v>56</v>
      </c>
      <c r="E152" s="21"/>
      <c r="F152" s="69" t="s">
        <v>4</v>
      </c>
      <c r="G152" s="9">
        <v>34328</v>
      </c>
      <c r="H152" s="22">
        <v>21315</v>
      </c>
      <c r="I152" s="17">
        <v>0</v>
      </c>
      <c r="J152" s="17">
        <v>15041.771643835616</v>
      </c>
      <c r="K152" s="17">
        <f t="shared" si="14"/>
        <v>6273.2283561643835</v>
      </c>
      <c r="L152" s="23">
        <f t="shared" si="20"/>
        <v>1065.75</v>
      </c>
      <c r="M152" s="23">
        <v>30</v>
      </c>
      <c r="N152" s="18">
        <f t="shared" si="15"/>
        <v>26.287671232876711</v>
      </c>
      <c r="O152" s="23">
        <f t="shared" si="21"/>
        <v>2701.7492465753439</v>
      </c>
      <c r="P152" s="18">
        <f t="shared" si="16"/>
        <v>27.287671232876711</v>
      </c>
      <c r="Q152" s="18">
        <f t="shared" si="19"/>
        <v>173.58261187214612</v>
      </c>
      <c r="R152" s="18">
        <f t="shared" si="17"/>
        <v>2875.33185844749</v>
      </c>
      <c r="S152" s="18">
        <f t="shared" si="22"/>
        <v>1065.75</v>
      </c>
    </row>
    <row r="153" spans="1:19" ht="15" customHeight="1" x14ac:dyDescent="0.2">
      <c r="A153" s="14">
        <f t="shared" si="18"/>
        <v>117</v>
      </c>
      <c r="B153" s="21" t="s">
        <v>144</v>
      </c>
      <c r="C153" s="15" t="s">
        <v>3</v>
      </c>
      <c r="D153" s="21" t="s">
        <v>56</v>
      </c>
      <c r="E153" s="21"/>
      <c r="F153" s="69" t="s">
        <v>4</v>
      </c>
      <c r="G153" s="9">
        <v>34294</v>
      </c>
      <c r="H153" s="22">
        <v>6112</v>
      </c>
      <c r="I153" s="17">
        <v>0</v>
      </c>
      <c r="J153" s="17">
        <v>4331.2032146118718</v>
      </c>
      <c r="K153" s="17">
        <f t="shared" si="14"/>
        <v>1780.7967853881282</v>
      </c>
      <c r="L153" s="23">
        <f t="shared" si="20"/>
        <v>305.60000000000002</v>
      </c>
      <c r="M153" s="23">
        <v>30</v>
      </c>
      <c r="N153" s="18">
        <f t="shared" si="15"/>
        <v>26.38082191780822</v>
      </c>
      <c r="O153" s="23">
        <f t="shared" si="21"/>
        <v>774.71693150684951</v>
      </c>
      <c r="P153" s="18">
        <f t="shared" si="16"/>
        <v>27.38082191780822</v>
      </c>
      <c r="Q153" s="18">
        <f t="shared" si="19"/>
        <v>49.173226179604278</v>
      </c>
      <c r="R153" s="18">
        <f t="shared" si="17"/>
        <v>823.89015768645379</v>
      </c>
      <c r="S153" s="18">
        <f t="shared" si="22"/>
        <v>305.60000000000002</v>
      </c>
    </row>
    <row r="154" spans="1:19" ht="15" customHeight="1" x14ac:dyDescent="0.2">
      <c r="A154" s="14">
        <f t="shared" si="18"/>
        <v>118</v>
      </c>
      <c r="B154" s="21" t="s">
        <v>145</v>
      </c>
      <c r="C154" s="15" t="s">
        <v>3</v>
      </c>
      <c r="D154" s="21" t="s">
        <v>56</v>
      </c>
      <c r="E154" s="21"/>
      <c r="F154" s="70" t="s">
        <v>7</v>
      </c>
      <c r="G154" s="9">
        <v>34294</v>
      </c>
      <c r="H154" s="29">
        <v>124308</v>
      </c>
      <c r="I154" s="17">
        <v>0</v>
      </c>
      <c r="J154" s="17">
        <v>88089.530301369872</v>
      </c>
      <c r="K154" s="17">
        <f t="shared" si="14"/>
        <v>36218.469698630128</v>
      </c>
      <c r="L154" s="23">
        <f t="shared" si="20"/>
        <v>6215.4000000000005</v>
      </c>
      <c r="M154" s="23">
        <v>30</v>
      </c>
      <c r="N154" s="18">
        <f t="shared" si="15"/>
        <v>26.38082191780822</v>
      </c>
      <c r="O154" s="23">
        <f t="shared" ref="O154:O183" si="23">(H154-L154)/M154*N154-J154</f>
        <v>15756.464712328758</v>
      </c>
      <c r="P154" s="18">
        <f t="shared" si="16"/>
        <v>27.38082191780822</v>
      </c>
      <c r="Q154" s="18">
        <f t="shared" si="19"/>
        <v>1000.1023232876709</v>
      </c>
      <c r="R154" s="18">
        <f t="shared" si="17"/>
        <v>16756.56703561643</v>
      </c>
      <c r="S154" s="18">
        <f t="shared" ref="S154:S184" si="24">+IF(N154&gt;P154,0,L154)</f>
        <v>6215.4000000000005</v>
      </c>
    </row>
    <row r="155" spans="1:19" ht="15" customHeight="1" x14ac:dyDescent="0.2">
      <c r="A155" s="14">
        <f t="shared" si="18"/>
        <v>119</v>
      </c>
      <c r="B155" s="21" t="s">
        <v>146</v>
      </c>
      <c r="C155" s="15" t="s">
        <v>3</v>
      </c>
      <c r="D155" s="21" t="s">
        <v>56</v>
      </c>
      <c r="E155" s="21"/>
      <c r="F155" s="69" t="s">
        <v>4</v>
      </c>
      <c r="G155" s="9">
        <v>34283</v>
      </c>
      <c r="H155" s="22">
        <v>7247</v>
      </c>
      <c r="I155" s="17">
        <v>0</v>
      </c>
      <c r="J155" s="17">
        <v>5142.4248721461181</v>
      </c>
      <c r="K155" s="17">
        <f t="shared" si="14"/>
        <v>2104.5751278538819</v>
      </c>
      <c r="L155" s="23">
        <f t="shared" si="20"/>
        <v>362.35</v>
      </c>
      <c r="M155" s="23">
        <v>30</v>
      </c>
      <c r="N155" s="18">
        <f t="shared" si="15"/>
        <v>26.410958904109588</v>
      </c>
      <c r="O155" s="23">
        <f t="shared" si="23"/>
        <v>918.58206849315047</v>
      </c>
      <c r="P155" s="18">
        <f t="shared" si="16"/>
        <v>27.410958904109588</v>
      </c>
      <c r="Q155" s="18">
        <f t="shared" si="19"/>
        <v>58.074170928462735</v>
      </c>
      <c r="R155" s="18">
        <f t="shared" si="17"/>
        <v>976.65623942161324</v>
      </c>
      <c r="S155" s="18">
        <f t="shared" si="24"/>
        <v>362.35</v>
      </c>
    </row>
    <row r="156" spans="1:19" ht="15" customHeight="1" x14ac:dyDescent="0.2">
      <c r="A156" s="14">
        <f t="shared" si="18"/>
        <v>120</v>
      </c>
      <c r="B156" s="21" t="s">
        <v>147</v>
      </c>
      <c r="C156" s="15" t="s">
        <v>3</v>
      </c>
      <c r="D156" s="21" t="s">
        <v>56</v>
      </c>
      <c r="E156" s="21"/>
      <c r="F156" s="69" t="s">
        <v>7</v>
      </c>
      <c r="G156" s="9">
        <v>34211</v>
      </c>
      <c r="H156" s="22">
        <v>114017</v>
      </c>
      <c r="I156" s="17">
        <v>0</v>
      </c>
      <c r="J156" s="17">
        <v>81617.950105022828</v>
      </c>
      <c r="K156" s="17">
        <f t="shared" si="14"/>
        <v>32399.049894977172</v>
      </c>
      <c r="L156" s="23">
        <f t="shared" si="20"/>
        <v>5700.85</v>
      </c>
      <c r="M156" s="23">
        <v>30</v>
      </c>
      <c r="N156" s="18">
        <f t="shared" si="15"/>
        <v>26.608219178082191</v>
      </c>
      <c r="O156" s="23">
        <f t="shared" si="23"/>
        <v>14452.045219178079</v>
      </c>
      <c r="P156" s="18">
        <f t="shared" si="16"/>
        <v>27.608219178082191</v>
      </c>
      <c r="Q156" s="18">
        <f t="shared" si="19"/>
        <v>889.9399964992391</v>
      </c>
      <c r="R156" s="18">
        <f t="shared" si="17"/>
        <v>15341.985215677318</v>
      </c>
      <c r="S156" s="18">
        <f t="shared" si="24"/>
        <v>5700.85</v>
      </c>
    </row>
    <row r="157" spans="1:19" ht="15" customHeight="1" x14ac:dyDescent="0.2">
      <c r="A157" s="14">
        <f t="shared" si="18"/>
        <v>121</v>
      </c>
      <c r="B157" s="21" t="s">
        <v>148</v>
      </c>
      <c r="C157" s="15" t="s">
        <v>3</v>
      </c>
      <c r="D157" s="21" t="s">
        <v>56</v>
      </c>
      <c r="E157" s="21"/>
      <c r="F157" s="69" t="s">
        <v>4</v>
      </c>
      <c r="G157" s="9">
        <v>34064</v>
      </c>
      <c r="H157" s="22">
        <v>7957</v>
      </c>
      <c r="I157" s="17">
        <v>0</v>
      </c>
      <c r="J157" s="17">
        <v>5797.4193333333333</v>
      </c>
      <c r="K157" s="17">
        <f t="shared" si="14"/>
        <v>2159.5806666666667</v>
      </c>
      <c r="L157" s="23">
        <f t="shared" si="20"/>
        <v>397.85</v>
      </c>
      <c r="M157" s="23">
        <v>30</v>
      </c>
      <c r="N157" s="18">
        <f t="shared" si="15"/>
        <v>27.010958904109589</v>
      </c>
      <c r="O157" s="23">
        <f t="shared" si="23"/>
        <v>1008.5770000000002</v>
      </c>
      <c r="P157" s="18">
        <f t="shared" si="16"/>
        <v>28.010958904109589</v>
      </c>
      <c r="Q157" s="18">
        <f t="shared" si="19"/>
        <v>58.724355555555562</v>
      </c>
      <c r="R157" s="18">
        <f t="shared" si="17"/>
        <v>1067.3013555555558</v>
      </c>
      <c r="S157" s="18">
        <f t="shared" si="24"/>
        <v>397.85</v>
      </c>
    </row>
    <row r="158" spans="1:19" ht="15" customHeight="1" x14ac:dyDescent="0.2">
      <c r="A158" s="14">
        <f t="shared" si="18"/>
        <v>122</v>
      </c>
      <c r="B158" s="21" t="s">
        <v>149</v>
      </c>
      <c r="C158" s="15" t="s">
        <v>3</v>
      </c>
      <c r="D158" s="21" t="s">
        <v>56</v>
      </c>
      <c r="E158" s="21"/>
      <c r="F158" s="69" t="s">
        <v>11</v>
      </c>
      <c r="G158" s="9">
        <v>34046</v>
      </c>
      <c r="H158" s="22">
        <v>94326</v>
      </c>
      <c r="I158" s="17">
        <v>0</v>
      </c>
      <c r="J158" s="17">
        <v>68872.624219178077</v>
      </c>
      <c r="K158" s="17">
        <f t="shared" si="14"/>
        <v>25453.375780821923</v>
      </c>
      <c r="L158" s="23">
        <f t="shared" si="20"/>
        <v>4716.3</v>
      </c>
      <c r="M158" s="23">
        <v>30</v>
      </c>
      <c r="N158" s="18">
        <f t="shared" si="15"/>
        <v>27.06027397260274</v>
      </c>
      <c r="O158" s="23">
        <f t="shared" si="23"/>
        <v>11956.14353424657</v>
      </c>
      <c r="P158" s="18">
        <f t="shared" si="16"/>
        <v>28.06027397260274</v>
      </c>
      <c r="Q158" s="18">
        <f t="shared" si="19"/>
        <v>691.23585936073084</v>
      </c>
      <c r="R158" s="18">
        <f t="shared" si="17"/>
        <v>12647.379393607302</v>
      </c>
      <c r="S158" s="18">
        <f t="shared" si="24"/>
        <v>4716.3</v>
      </c>
    </row>
    <row r="159" spans="1:19" ht="15" customHeight="1" x14ac:dyDescent="0.2">
      <c r="A159" s="14">
        <f t="shared" si="18"/>
        <v>123</v>
      </c>
      <c r="B159" s="21" t="s">
        <v>144</v>
      </c>
      <c r="C159" s="15" t="s">
        <v>3</v>
      </c>
      <c r="D159" s="21" t="s">
        <v>56</v>
      </c>
      <c r="E159" s="21"/>
      <c r="F159" s="69" t="s">
        <v>4</v>
      </c>
      <c r="G159" s="9">
        <v>34028</v>
      </c>
      <c r="H159" s="22">
        <v>5658</v>
      </c>
      <c r="I159" s="17">
        <v>0</v>
      </c>
      <c r="J159" s="17">
        <v>4140.0541917808223</v>
      </c>
      <c r="K159" s="17">
        <f t="shared" si="14"/>
        <v>1517.9458082191777</v>
      </c>
      <c r="L159" s="23">
        <f t="shared" si="20"/>
        <v>282.90000000000003</v>
      </c>
      <c r="M159" s="23">
        <v>30</v>
      </c>
      <c r="N159" s="18">
        <f t="shared" si="15"/>
        <v>27.109589041095891</v>
      </c>
      <c r="O159" s="23">
        <f t="shared" si="23"/>
        <v>717.17087671232912</v>
      </c>
      <c r="P159" s="18">
        <f t="shared" si="16"/>
        <v>28.109589041095891</v>
      </c>
      <c r="Q159" s="18">
        <f t="shared" si="19"/>
        <v>41.168193607305923</v>
      </c>
      <c r="R159" s="18">
        <f t="shared" si="17"/>
        <v>758.33907031963508</v>
      </c>
      <c r="S159" s="18">
        <f t="shared" si="24"/>
        <v>282.90000000000003</v>
      </c>
    </row>
    <row r="160" spans="1:19" ht="15" customHeight="1" x14ac:dyDescent="0.2">
      <c r="A160" s="14">
        <f t="shared" si="18"/>
        <v>124</v>
      </c>
      <c r="B160" s="21" t="s">
        <v>105</v>
      </c>
      <c r="C160" s="15" t="s">
        <v>3</v>
      </c>
      <c r="D160" s="21" t="s">
        <v>56</v>
      </c>
      <c r="E160" s="21"/>
      <c r="F160" s="70" t="s">
        <v>7</v>
      </c>
      <c r="G160" s="9">
        <v>34025</v>
      </c>
      <c r="H160" s="22">
        <v>16460</v>
      </c>
      <c r="I160" s="17">
        <v>0</v>
      </c>
      <c r="J160" s="17">
        <v>12048.344200913241</v>
      </c>
      <c r="K160" s="17">
        <f t="shared" si="14"/>
        <v>4411.6557990867586</v>
      </c>
      <c r="L160" s="23">
        <f t="shared" si="20"/>
        <v>823</v>
      </c>
      <c r="M160" s="23">
        <v>30</v>
      </c>
      <c r="N160" s="18">
        <f t="shared" si="15"/>
        <v>27.117808219178084</v>
      </c>
      <c r="O160" s="23">
        <f t="shared" si="23"/>
        <v>2086.3613698630161</v>
      </c>
      <c r="P160" s="18">
        <f t="shared" si="16"/>
        <v>28.117808219178084</v>
      </c>
      <c r="Q160" s="18">
        <f t="shared" si="19"/>
        <v>119.62185996955861</v>
      </c>
      <c r="R160" s="18">
        <f t="shared" si="17"/>
        <v>2205.9832298325746</v>
      </c>
      <c r="S160" s="18">
        <f t="shared" si="24"/>
        <v>823</v>
      </c>
    </row>
    <row r="161" spans="1:19" ht="15" customHeight="1" x14ac:dyDescent="0.2">
      <c r="A161" s="14">
        <f t="shared" si="18"/>
        <v>125</v>
      </c>
      <c r="B161" s="21" t="s">
        <v>150</v>
      </c>
      <c r="C161" s="15" t="s">
        <v>3</v>
      </c>
      <c r="D161" s="21" t="s">
        <v>56</v>
      </c>
      <c r="E161" s="21"/>
      <c r="F161" s="69" t="s">
        <v>4</v>
      </c>
      <c r="G161" s="9">
        <v>34011</v>
      </c>
      <c r="H161" s="22">
        <v>383664</v>
      </c>
      <c r="I161" s="17">
        <v>0</v>
      </c>
      <c r="J161" s="17">
        <v>281299.29139726021</v>
      </c>
      <c r="K161" s="17">
        <f t="shared" si="14"/>
        <v>102364.70860273979</v>
      </c>
      <c r="L161" s="23">
        <f t="shared" si="20"/>
        <v>19183.2</v>
      </c>
      <c r="M161" s="23">
        <v>30</v>
      </c>
      <c r="N161" s="18">
        <f t="shared" si="15"/>
        <v>27.156164383561645</v>
      </c>
      <c r="O161" s="23">
        <f t="shared" si="23"/>
        <v>48630.725917808246</v>
      </c>
      <c r="P161" s="18">
        <f t="shared" si="16"/>
        <v>28.156164383561645</v>
      </c>
      <c r="Q161" s="18">
        <f t="shared" si="19"/>
        <v>2772.7169534246596</v>
      </c>
      <c r="R161" s="18">
        <f t="shared" si="17"/>
        <v>51403.442871232903</v>
      </c>
      <c r="S161" s="18">
        <f t="shared" si="24"/>
        <v>19183.2</v>
      </c>
    </row>
    <row r="162" spans="1:19" ht="15" customHeight="1" x14ac:dyDescent="0.2">
      <c r="A162" s="14">
        <f t="shared" si="18"/>
        <v>126</v>
      </c>
      <c r="B162" s="21" t="s">
        <v>151</v>
      </c>
      <c r="C162" s="15" t="s">
        <v>3</v>
      </c>
      <c r="D162" s="21" t="s">
        <v>56</v>
      </c>
      <c r="E162" s="21"/>
      <c r="F162" s="71" t="s">
        <v>8</v>
      </c>
      <c r="G162" s="9">
        <v>33810</v>
      </c>
      <c r="H162" s="22">
        <v>12167</v>
      </c>
      <c r="I162" s="17">
        <v>0</v>
      </c>
      <c r="J162" s="17">
        <v>9132.9168767123283</v>
      </c>
      <c r="K162" s="17">
        <f t="shared" si="14"/>
        <v>3034.0831232876717</v>
      </c>
      <c r="L162" s="23">
        <f t="shared" si="20"/>
        <v>608.35</v>
      </c>
      <c r="M162" s="23">
        <v>30</v>
      </c>
      <c r="N162" s="18">
        <f t="shared" si="15"/>
        <v>27.706849315068492</v>
      </c>
      <c r="O162" s="23">
        <f t="shared" si="23"/>
        <v>1542.2089178082188</v>
      </c>
      <c r="P162" s="18">
        <f t="shared" si="16"/>
        <v>28.706849315068492</v>
      </c>
      <c r="Q162" s="18">
        <f t="shared" si="19"/>
        <v>80.85777077625572</v>
      </c>
      <c r="R162" s="18">
        <f t="shared" si="17"/>
        <v>1623.0666885844744</v>
      </c>
      <c r="S162" s="18">
        <f t="shared" si="24"/>
        <v>608.35</v>
      </c>
    </row>
    <row r="163" spans="1:19" ht="15" customHeight="1" x14ac:dyDescent="0.2">
      <c r="A163" s="14">
        <f t="shared" si="18"/>
        <v>127</v>
      </c>
      <c r="B163" s="21" t="s">
        <v>152</v>
      </c>
      <c r="C163" s="15" t="s">
        <v>3</v>
      </c>
      <c r="D163" s="21" t="s">
        <v>56</v>
      </c>
      <c r="E163" s="21"/>
      <c r="F163" s="69" t="s">
        <v>4</v>
      </c>
      <c r="G163" s="9">
        <v>33810</v>
      </c>
      <c r="H163" s="22">
        <v>59546</v>
      </c>
      <c r="I163" s="17">
        <v>0</v>
      </c>
      <c r="J163" s="17">
        <v>44697.022136986299</v>
      </c>
      <c r="K163" s="17">
        <f t="shared" si="14"/>
        <v>14848.977863013701</v>
      </c>
      <c r="L163" s="23">
        <f t="shared" si="20"/>
        <v>2977.3</v>
      </c>
      <c r="M163" s="23">
        <v>30</v>
      </c>
      <c r="N163" s="18">
        <f t="shared" si="15"/>
        <v>27.706849315068492</v>
      </c>
      <c r="O163" s="23">
        <f t="shared" si="23"/>
        <v>7547.6594246575332</v>
      </c>
      <c r="P163" s="18">
        <f t="shared" si="16"/>
        <v>28.706849315068492</v>
      </c>
      <c r="Q163" s="18">
        <f t="shared" si="19"/>
        <v>395.72259543379005</v>
      </c>
      <c r="R163" s="18">
        <f t="shared" si="17"/>
        <v>7943.3820200913233</v>
      </c>
      <c r="S163" s="18">
        <f t="shared" si="24"/>
        <v>2977.3</v>
      </c>
    </row>
    <row r="164" spans="1:19" ht="15" customHeight="1" x14ac:dyDescent="0.2">
      <c r="A164" s="14">
        <f t="shared" si="18"/>
        <v>128</v>
      </c>
      <c r="B164" s="21" t="s">
        <v>153</v>
      </c>
      <c r="C164" s="15" t="s">
        <v>3</v>
      </c>
      <c r="D164" s="21" t="s">
        <v>56</v>
      </c>
      <c r="E164" s="21"/>
      <c r="F164" s="69" t="s">
        <v>11</v>
      </c>
      <c r="G164" s="9">
        <v>33719</v>
      </c>
      <c r="H164" s="29">
        <v>155088</v>
      </c>
      <c r="I164" s="17">
        <v>0</v>
      </c>
      <c r="J164" s="17">
        <v>117638.14290410958</v>
      </c>
      <c r="K164" s="17">
        <f t="shared" si="14"/>
        <v>37449.857095890417</v>
      </c>
      <c r="L164" s="23">
        <f t="shared" si="20"/>
        <v>7754.4000000000005</v>
      </c>
      <c r="M164" s="23">
        <v>30</v>
      </c>
      <c r="N164" s="18">
        <f t="shared" si="15"/>
        <v>27.956164383561642</v>
      </c>
      <c r="O164" s="23">
        <f t="shared" si="23"/>
        <v>19657.935123287665</v>
      </c>
      <c r="P164" s="18">
        <f t="shared" si="16"/>
        <v>28.956164383561642</v>
      </c>
      <c r="Q164" s="18">
        <f t="shared" si="19"/>
        <v>989.84856986301384</v>
      </c>
      <c r="R164" s="18">
        <f t="shared" si="17"/>
        <v>20647.783693150679</v>
      </c>
      <c r="S164" s="18">
        <f t="shared" si="24"/>
        <v>7754.4000000000005</v>
      </c>
    </row>
    <row r="165" spans="1:19" ht="15" customHeight="1" x14ac:dyDescent="0.2">
      <c r="A165" s="14">
        <f t="shared" si="18"/>
        <v>129</v>
      </c>
      <c r="B165" s="21" t="s">
        <v>154</v>
      </c>
      <c r="C165" s="15" t="s">
        <v>3</v>
      </c>
      <c r="D165" s="21" t="s">
        <v>56</v>
      </c>
      <c r="E165" s="21"/>
      <c r="F165" s="69" t="s">
        <v>4</v>
      </c>
      <c r="G165" s="9">
        <v>33688</v>
      </c>
      <c r="H165" s="22">
        <v>5510</v>
      </c>
      <c r="I165" s="17">
        <v>0</v>
      </c>
      <c r="J165" s="17">
        <v>4194.292511415525</v>
      </c>
      <c r="K165" s="17">
        <f t="shared" ref="K165:K228" si="25">H165+I165-J165</f>
        <v>1315.707488584475</v>
      </c>
      <c r="L165" s="23">
        <f t="shared" si="20"/>
        <v>275.5</v>
      </c>
      <c r="M165" s="23">
        <v>30</v>
      </c>
      <c r="N165" s="18">
        <f t="shared" ref="N165:N228" si="26">IF(($N$35-G165+1)/365&gt;0,($N$35-G165+1)/365,0)</f>
        <v>28.041095890410958</v>
      </c>
      <c r="O165" s="23">
        <f t="shared" si="23"/>
        <v>698.41136986301353</v>
      </c>
      <c r="P165" s="18">
        <f t="shared" ref="P165:P228" si="27">($P$35-G165+1)/365</f>
        <v>29.041095890410958</v>
      </c>
      <c r="Q165" s="18">
        <f t="shared" si="19"/>
        <v>34.673582952815835</v>
      </c>
      <c r="R165" s="18">
        <f t="shared" ref="R165:R228" si="28">Q165+O165</f>
        <v>733.08495281582941</v>
      </c>
      <c r="S165" s="18">
        <f t="shared" si="24"/>
        <v>275.5</v>
      </c>
    </row>
    <row r="166" spans="1:19" ht="15" customHeight="1" x14ac:dyDescent="0.2">
      <c r="A166" s="14">
        <f t="shared" si="18"/>
        <v>130</v>
      </c>
      <c r="B166" s="21" t="s">
        <v>155</v>
      </c>
      <c r="C166" s="15" t="s">
        <v>3</v>
      </c>
      <c r="D166" s="21" t="s">
        <v>56</v>
      </c>
      <c r="E166" s="21"/>
      <c r="F166" s="69" t="s">
        <v>4</v>
      </c>
      <c r="G166" s="9">
        <v>33688</v>
      </c>
      <c r="H166" s="22">
        <v>343508</v>
      </c>
      <c r="I166" s="17">
        <v>0</v>
      </c>
      <c r="J166" s="17">
        <v>261483.30889497715</v>
      </c>
      <c r="K166" s="17">
        <f t="shared" si="25"/>
        <v>82024.691105022852</v>
      </c>
      <c r="L166" s="23">
        <f t="shared" si="20"/>
        <v>17175.400000000001</v>
      </c>
      <c r="M166" s="23">
        <v>30</v>
      </c>
      <c r="N166" s="18">
        <f t="shared" si="26"/>
        <v>28.041095890410958</v>
      </c>
      <c r="O166" s="23">
        <f t="shared" si="23"/>
        <v>43540.815397260245</v>
      </c>
      <c r="P166" s="18">
        <f t="shared" si="27"/>
        <v>29.041095890410958</v>
      </c>
      <c r="Q166" s="18">
        <f t="shared" si="19"/>
        <v>2161.6430368340948</v>
      </c>
      <c r="R166" s="18">
        <f t="shared" si="28"/>
        <v>45702.45843409434</v>
      </c>
      <c r="S166" s="18">
        <f t="shared" si="24"/>
        <v>17175.400000000001</v>
      </c>
    </row>
    <row r="167" spans="1:19" ht="15" customHeight="1" x14ac:dyDescent="0.2">
      <c r="A167" s="14">
        <f t="shared" ref="A167:A230" si="29">+A166+1</f>
        <v>131</v>
      </c>
      <c r="B167" s="21" t="s">
        <v>156</v>
      </c>
      <c r="C167" s="15" t="s">
        <v>3</v>
      </c>
      <c r="D167" s="21" t="s">
        <v>56</v>
      </c>
      <c r="E167" s="21"/>
      <c r="F167" s="69" t="s">
        <v>13</v>
      </c>
      <c r="G167" s="9">
        <v>33671</v>
      </c>
      <c r="H167" s="22">
        <v>36389</v>
      </c>
      <c r="I167" s="17">
        <v>0</v>
      </c>
      <c r="J167" s="17">
        <v>27753.508132420095</v>
      </c>
      <c r="K167" s="17">
        <f t="shared" si="25"/>
        <v>8635.4918675799054</v>
      </c>
      <c r="L167" s="23">
        <f t="shared" si="20"/>
        <v>1819.45</v>
      </c>
      <c r="M167" s="23">
        <v>30</v>
      </c>
      <c r="N167" s="18">
        <f t="shared" si="26"/>
        <v>28.087671232876712</v>
      </c>
      <c r="O167" s="23">
        <f t="shared" si="23"/>
        <v>4612.4303698630101</v>
      </c>
      <c r="P167" s="18">
        <f t="shared" si="27"/>
        <v>29.087671232876712</v>
      </c>
      <c r="Q167" s="18">
        <f t="shared" si="19"/>
        <v>227.20139558599683</v>
      </c>
      <c r="R167" s="18">
        <f t="shared" si="28"/>
        <v>4839.6317654490067</v>
      </c>
      <c r="S167" s="18">
        <f t="shared" si="24"/>
        <v>1819.45</v>
      </c>
    </row>
    <row r="168" spans="1:19" ht="15" customHeight="1" x14ac:dyDescent="0.2">
      <c r="A168" s="14">
        <f t="shared" si="29"/>
        <v>132</v>
      </c>
      <c r="B168" s="21" t="s">
        <v>157</v>
      </c>
      <c r="C168" s="15" t="s">
        <v>3</v>
      </c>
      <c r="D168" s="21" t="s">
        <v>56</v>
      </c>
      <c r="E168" s="21"/>
      <c r="F168" s="69" t="s">
        <v>4</v>
      </c>
      <c r="G168" s="9">
        <v>33603</v>
      </c>
      <c r="H168" s="22">
        <v>15952</v>
      </c>
      <c r="I168" s="17">
        <v>0</v>
      </c>
      <c r="J168" s="17">
        <v>12260.532383561644</v>
      </c>
      <c r="K168" s="17">
        <f t="shared" si="25"/>
        <v>3691.4676164383563</v>
      </c>
      <c r="L168" s="23">
        <f t="shared" si="20"/>
        <v>797.6</v>
      </c>
      <c r="M168" s="23">
        <v>30</v>
      </c>
      <c r="N168" s="18">
        <f t="shared" si="26"/>
        <v>28.273972602739725</v>
      </c>
      <c r="O168" s="23">
        <f t="shared" si="23"/>
        <v>2021.9706301369861</v>
      </c>
      <c r="P168" s="18">
        <f t="shared" si="27"/>
        <v>29.273972602739725</v>
      </c>
      <c r="Q168" s="18">
        <f t="shared" si="19"/>
        <v>96.462253881278542</v>
      </c>
      <c r="R168" s="18">
        <f t="shared" si="28"/>
        <v>2118.4328840182648</v>
      </c>
      <c r="S168" s="18">
        <f t="shared" si="24"/>
        <v>797.6</v>
      </c>
    </row>
    <row r="169" spans="1:19" ht="15" customHeight="1" x14ac:dyDescent="0.2">
      <c r="A169" s="14">
        <f t="shared" si="29"/>
        <v>133</v>
      </c>
      <c r="B169" s="21" t="s">
        <v>158</v>
      </c>
      <c r="C169" s="15" t="s">
        <v>3</v>
      </c>
      <c r="D169" s="21" t="s">
        <v>56</v>
      </c>
      <c r="E169" s="21"/>
      <c r="F169" s="69" t="s">
        <v>6</v>
      </c>
      <c r="G169" s="9">
        <v>22647</v>
      </c>
      <c r="H169" s="22">
        <v>7264</v>
      </c>
      <c r="I169" s="17">
        <v>0</v>
      </c>
      <c r="J169" s="17">
        <v>6243.8060273972606</v>
      </c>
      <c r="K169" s="17">
        <f t="shared" si="25"/>
        <v>1020.1939726027394</v>
      </c>
      <c r="L169" s="23">
        <f t="shared" si="20"/>
        <v>363.20000000000005</v>
      </c>
      <c r="M169" s="23">
        <v>60</v>
      </c>
      <c r="N169" s="18">
        <f t="shared" si="26"/>
        <v>58.290410958904111</v>
      </c>
      <c r="O169" s="23">
        <f t="shared" si="23"/>
        <v>460.36843835616401</v>
      </c>
      <c r="P169" s="18">
        <f t="shared" si="27"/>
        <v>59.290410958904111</v>
      </c>
      <c r="Q169" s="18">
        <f t="shared" si="19"/>
        <v>10.94989954337899</v>
      </c>
      <c r="R169" s="18">
        <f t="shared" si="28"/>
        <v>471.318337899543</v>
      </c>
      <c r="S169" s="18">
        <f t="shared" si="24"/>
        <v>363.20000000000005</v>
      </c>
    </row>
    <row r="170" spans="1:19" ht="15" customHeight="1" x14ac:dyDescent="0.2">
      <c r="A170" s="14">
        <f t="shared" si="29"/>
        <v>134</v>
      </c>
      <c r="B170" s="21" t="s">
        <v>159</v>
      </c>
      <c r="C170" s="15" t="s">
        <v>3</v>
      </c>
      <c r="D170" s="21" t="s">
        <v>56</v>
      </c>
      <c r="E170" s="21"/>
      <c r="F170" s="70" t="s">
        <v>7</v>
      </c>
      <c r="G170" s="9">
        <v>33585</v>
      </c>
      <c r="H170" s="22">
        <v>13604</v>
      </c>
      <c r="I170" s="17">
        <v>0</v>
      </c>
      <c r="J170" s="17">
        <v>10477.129917808219</v>
      </c>
      <c r="K170" s="17">
        <f t="shared" si="25"/>
        <v>3126.870082191781</v>
      </c>
      <c r="L170" s="23">
        <f t="shared" si="20"/>
        <v>680.2</v>
      </c>
      <c r="M170" s="23">
        <v>30</v>
      </c>
      <c r="N170" s="18">
        <f t="shared" si="26"/>
        <v>28.323287671232876</v>
      </c>
      <c r="O170" s="23">
        <f t="shared" si="23"/>
        <v>1724.3535890410949</v>
      </c>
      <c r="P170" s="18">
        <f t="shared" si="27"/>
        <v>29.323287671232876</v>
      </c>
      <c r="Q170" s="18">
        <f t="shared" si="19"/>
        <v>81.55566940639271</v>
      </c>
      <c r="R170" s="18">
        <f t="shared" si="28"/>
        <v>1805.9092584474877</v>
      </c>
      <c r="S170" s="18">
        <f t="shared" si="24"/>
        <v>680.2</v>
      </c>
    </row>
    <row r="171" spans="1:19" ht="15" customHeight="1" x14ac:dyDescent="0.2">
      <c r="A171" s="14">
        <f t="shared" si="29"/>
        <v>135</v>
      </c>
      <c r="B171" s="21" t="s">
        <v>160</v>
      </c>
      <c r="C171" s="15" t="s">
        <v>3</v>
      </c>
      <c r="D171" s="21" t="s">
        <v>56</v>
      </c>
      <c r="E171" s="21"/>
      <c r="F171" s="70" t="s">
        <v>7</v>
      </c>
      <c r="G171" s="9">
        <v>33585</v>
      </c>
      <c r="H171" s="22">
        <v>17907</v>
      </c>
      <c r="I171" s="17">
        <v>0</v>
      </c>
      <c r="J171" s="17">
        <v>13791.088315068495</v>
      </c>
      <c r="K171" s="17">
        <f t="shared" si="25"/>
        <v>4115.9116849315051</v>
      </c>
      <c r="L171" s="23">
        <f t="shared" si="20"/>
        <v>895.35</v>
      </c>
      <c r="M171" s="23">
        <v>30</v>
      </c>
      <c r="N171" s="18">
        <f t="shared" si="26"/>
        <v>28.323287671232876</v>
      </c>
      <c r="O171" s="23">
        <f t="shared" si="23"/>
        <v>2269.7735753424658</v>
      </c>
      <c r="P171" s="18">
        <f t="shared" si="27"/>
        <v>29.323287671232876</v>
      </c>
      <c r="Q171" s="18">
        <f t="shared" si="19"/>
        <v>107.3520561643835</v>
      </c>
      <c r="R171" s="18">
        <f t="shared" si="28"/>
        <v>2377.1256315068495</v>
      </c>
      <c r="S171" s="18">
        <f t="shared" si="24"/>
        <v>895.35</v>
      </c>
    </row>
    <row r="172" spans="1:19" ht="15" customHeight="1" x14ac:dyDescent="0.2">
      <c r="A172" s="14">
        <f t="shared" si="29"/>
        <v>136</v>
      </c>
      <c r="B172" s="21" t="s">
        <v>161</v>
      </c>
      <c r="C172" s="15" t="s">
        <v>3</v>
      </c>
      <c r="D172" s="21" t="s">
        <v>56</v>
      </c>
      <c r="E172" s="21"/>
      <c r="F172" s="70" t="s">
        <v>7</v>
      </c>
      <c r="G172" s="9">
        <v>33508</v>
      </c>
      <c r="H172" s="22">
        <v>28984</v>
      </c>
      <c r="I172" s="17">
        <v>0</v>
      </c>
      <c r="J172" s="17">
        <v>22515.67115981735</v>
      </c>
      <c r="K172" s="17">
        <f t="shared" si="25"/>
        <v>6468.3288401826503</v>
      </c>
      <c r="L172" s="23">
        <f t="shared" si="20"/>
        <v>1449.2</v>
      </c>
      <c r="M172" s="23">
        <v>30</v>
      </c>
      <c r="N172" s="18">
        <f t="shared" si="26"/>
        <v>28.534246575342465</v>
      </c>
      <c r="O172" s="23">
        <f t="shared" si="23"/>
        <v>3673.8212602739732</v>
      </c>
      <c r="P172" s="18">
        <f t="shared" si="27"/>
        <v>29.534246575342465</v>
      </c>
      <c r="Q172" s="18">
        <f t="shared" si="19"/>
        <v>167.30429467275502</v>
      </c>
      <c r="R172" s="18">
        <f t="shared" si="28"/>
        <v>3841.1255549467282</v>
      </c>
      <c r="S172" s="18">
        <f t="shared" si="24"/>
        <v>1449.2</v>
      </c>
    </row>
    <row r="173" spans="1:19" ht="15" customHeight="1" x14ac:dyDescent="0.2">
      <c r="A173" s="14">
        <f t="shared" si="29"/>
        <v>137</v>
      </c>
      <c r="B173" s="21" t="s">
        <v>157</v>
      </c>
      <c r="C173" s="15" t="s">
        <v>3</v>
      </c>
      <c r="D173" s="21" t="s">
        <v>56</v>
      </c>
      <c r="E173" s="21"/>
      <c r="F173" s="69" t="s">
        <v>4</v>
      </c>
      <c r="G173" s="9">
        <v>33404</v>
      </c>
      <c r="H173" s="22">
        <v>18077</v>
      </c>
      <c r="I173" s="17">
        <v>0</v>
      </c>
      <c r="J173" s="17">
        <v>14205.880611872148</v>
      </c>
      <c r="K173" s="17">
        <f t="shared" si="25"/>
        <v>3871.1193881278523</v>
      </c>
      <c r="L173" s="23">
        <f t="shared" si="20"/>
        <v>903.85</v>
      </c>
      <c r="M173" s="23">
        <v>30</v>
      </c>
      <c r="N173" s="18">
        <f t="shared" si="26"/>
        <v>28.81917808219178</v>
      </c>
      <c r="O173" s="23">
        <f t="shared" si="23"/>
        <v>2291.3216575342449</v>
      </c>
      <c r="P173" s="18">
        <f t="shared" si="27"/>
        <v>29.81917808219178</v>
      </c>
      <c r="Q173" s="18">
        <f t="shared" si="19"/>
        <v>98.908979604261745</v>
      </c>
      <c r="R173" s="18">
        <f t="shared" si="28"/>
        <v>2390.2306371385066</v>
      </c>
      <c r="S173" s="18">
        <f t="shared" si="24"/>
        <v>903.85</v>
      </c>
    </row>
    <row r="174" spans="1:19" ht="15" customHeight="1" x14ac:dyDescent="0.2">
      <c r="A174" s="14">
        <f t="shared" si="29"/>
        <v>138</v>
      </c>
      <c r="B174" s="21" t="s">
        <v>162</v>
      </c>
      <c r="C174" s="15" t="s">
        <v>3</v>
      </c>
      <c r="D174" s="21" t="s">
        <v>56</v>
      </c>
      <c r="E174" s="21"/>
      <c r="F174" s="69" t="s">
        <v>4</v>
      </c>
      <c r="G174" s="9">
        <v>33358</v>
      </c>
      <c r="H174" s="22">
        <v>23236</v>
      </c>
      <c r="I174" s="17">
        <v>0</v>
      </c>
      <c r="J174" s="17">
        <v>18352.832584474887</v>
      </c>
      <c r="K174" s="17">
        <f t="shared" si="25"/>
        <v>4883.167415525113</v>
      </c>
      <c r="L174" s="23">
        <f t="shared" si="20"/>
        <v>1161.8</v>
      </c>
      <c r="M174" s="23">
        <v>30</v>
      </c>
      <c r="N174" s="18">
        <f t="shared" si="26"/>
        <v>28.945205479452056</v>
      </c>
      <c r="O174" s="23">
        <f t="shared" si="23"/>
        <v>2945.2425753424686</v>
      </c>
      <c r="P174" s="18">
        <f t="shared" si="27"/>
        <v>29.945205479452056</v>
      </c>
      <c r="Q174" s="18">
        <f t="shared" si="19"/>
        <v>124.04558051750377</v>
      </c>
      <c r="R174" s="18">
        <f t="shared" si="28"/>
        <v>3069.2881558599724</v>
      </c>
      <c r="S174" s="18">
        <f t="shared" si="24"/>
        <v>1161.8</v>
      </c>
    </row>
    <row r="175" spans="1:19" ht="15" customHeight="1" x14ac:dyDescent="0.2">
      <c r="A175" s="14">
        <f t="shared" si="29"/>
        <v>139</v>
      </c>
      <c r="B175" s="21" t="s">
        <v>102</v>
      </c>
      <c r="C175" s="15" t="s">
        <v>3</v>
      </c>
      <c r="D175" s="21" t="s">
        <v>56</v>
      </c>
      <c r="E175" s="21"/>
      <c r="F175" s="69" t="s">
        <v>4</v>
      </c>
      <c r="G175" s="9">
        <v>33328</v>
      </c>
      <c r="H175" s="22">
        <v>41932</v>
      </c>
      <c r="I175" s="17">
        <v>0</v>
      </c>
      <c r="J175" s="17">
        <v>33228.908091324207</v>
      </c>
      <c r="K175" s="17">
        <f t="shared" si="25"/>
        <v>8703.0919086757931</v>
      </c>
      <c r="L175" s="23">
        <f t="shared" si="20"/>
        <v>2096.6</v>
      </c>
      <c r="M175" s="23">
        <v>30</v>
      </c>
      <c r="N175" s="18">
        <f t="shared" si="26"/>
        <v>29.027397260273972</v>
      </c>
      <c r="O175" s="23">
        <f t="shared" si="23"/>
        <v>5315.0246027397225</v>
      </c>
      <c r="P175" s="18">
        <f t="shared" si="27"/>
        <v>30.027397260273972</v>
      </c>
      <c r="Q175" s="18">
        <f t="shared" si="19"/>
        <v>220.21639695585975</v>
      </c>
      <c r="R175" s="18">
        <f t="shared" si="28"/>
        <v>5535.2409996955821</v>
      </c>
      <c r="S175" s="18">
        <f t="shared" si="24"/>
        <v>2096.6</v>
      </c>
    </row>
    <row r="176" spans="1:19" ht="15" customHeight="1" x14ac:dyDescent="0.2">
      <c r="A176" s="14">
        <f t="shared" si="29"/>
        <v>140</v>
      </c>
      <c r="B176" s="21" t="s">
        <v>163</v>
      </c>
      <c r="C176" s="15" t="s">
        <v>3</v>
      </c>
      <c r="D176" s="21" t="s">
        <v>56</v>
      </c>
      <c r="E176" s="21"/>
      <c r="F176" s="69" t="s">
        <v>4</v>
      </c>
      <c r="G176" s="9">
        <v>33318</v>
      </c>
      <c r="H176" s="22">
        <v>13492</v>
      </c>
      <c r="I176" s="17">
        <v>0</v>
      </c>
      <c r="J176" s="17">
        <v>10703.406904109588</v>
      </c>
      <c r="K176" s="17">
        <f t="shared" si="25"/>
        <v>2788.5930958904119</v>
      </c>
      <c r="L176" s="23">
        <f t="shared" si="20"/>
        <v>674.6</v>
      </c>
      <c r="M176" s="23">
        <v>30</v>
      </c>
      <c r="N176" s="18">
        <f t="shared" si="26"/>
        <v>29.054794520547944</v>
      </c>
      <c r="O176" s="23">
        <f t="shared" si="23"/>
        <v>1710.1572054794524</v>
      </c>
      <c r="P176" s="18">
        <f t="shared" si="27"/>
        <v>30.054794520547944</v>
      </c>
      <c r="Q176" s="18">
        <f t="shared" si="19"/>
        <v>70.466436529680394</v>
      </c>
      <c r="R176" s="18">
        <f t="shared" si="28"/>
        <v>1780.6236420091327</v>
      </c>
      <c r="S176" s="18">
        <f t="shared" si="24"/>
        <v>674.6</v>
      </c>
    </row>
    <row r="177" spans="1:19" ht="15" customHeight="1" x14ac:dyDescent="0.2">
      <c r="A177" s="14">
        <f t="shared" si="29"/>
        <v>141</v>
      </c>
      <c r="B177" s="21" t="s">
        <v>164</v>
      </c>
      <c r="C177" s="15" t="s">
        <v>3</v>
      </c>
      <c r="D177" s="21" t="s">
        <v>56</v>
      </c>
      <c r="E177" s="21"/>
      <c r="F177" s="69" t="s">
        <v>4</v>
      </c>
      <c r="G177" s="9">
        <v>33308</v>
      </c>
      <c r="H177" s="22">
        <v>51076</v>
      </c>
      <c r="I177" s="17">
        <v>0</v>
      </c>
      <c r="J177" s="17">
        <v>40563.672949771681</v>
      </c>
      <c r="K177" s="17">
        <f t="shared" si="25"/>
        <v>10512.327050228319</v>
      </c>
      <c r="L177" s="23">
        <f t="shared" si="20"/>
        <v>2553.8000000000002</v>
      </c>
      <c r="M177" s="23">
        <v>30</v>
      </c>
      <c r="N177" s="18">
        <f t="shared" si="26"/>
        <v>29.082191780821919</v>
      </c>
      <c r="O177" s="23">
        <f t="shared" si="23"/>
        <v>6474.0579178082262</v>
      </c>
      <c r="P177" s="18">
        <f t="shared" si="27"/>
        <v>30.082191780821919</v>
      </c>
      <c r="Q177" s="18">
        <f t="shared" si="19"/>
        <v>265.28423500761062</v>
      </c>
      <c r="R177" s="18">
        <f t="shared" si="28"/>
        <v>6739.3421528158369</v>
      </c>
      <c r="S177" s="18">
        <f t="shared" si="24"/>
        <v>2553.8000000000002</v>
      </c>
    </row>
    <row r="178" spans="1:19" ht="15" customHeight="1" x14ac:dyDescent="0.2">
      <c r="A178" s="14">
        <f t="shared" si="29"/>
        <v>142</v>
      </c>
      <c r="B178" s="21" t="s">
        <v>165</v>
      </c>
      <c r="C178" s="15" t="s">
        <v>3</v>
      </c>
      <c r="D178" s="21" t="s">
        <v>56</v>
      </c>
      <c r="E178" s="21"/>
      <c r="F178" s="69" t="s">
        <v>4</v>
      </c>
      <c r="G178" s="9">
        <v>33308</v>
      </c>
      <c r="H178" s="29">
        <v>90062</v>
      </c>
      <c r="I178" s="17">
        <v>0</v>
      </c>
      <c r="J178" s="17">
        <v>71525.67768036529</v>
      </c>
      <c r="K178" s="17">
        <f t="shared" si="25"/>
        <v>18536.32231963471</v>
      </c>
      <c r="L178" s="23">
        <f t="shared" si="20"/>
        <v>4503.1000000000004</v>
      </c>
      <c r="M178" s="23">
        <v>30</v>
      </c>
      <c r="N178" s="18">
        <f t="shared" si="26"/>
        <v>29.082191780821919</v>
      </c>
      <c r="O178" s="23">
        <f t="shared" si="23"/>
        <v>11415.666931506858</v>
      </c>
      <c r="P178" s="18">
        <f t="shared" si="27"/>
        <v>30.082191780821919</v>
      </c>
      <c r="Q178" s="18">
        <f t="shared" si="19"/>
        <v>467.77407732115699</v>
      </c>
      <c r="R178" s="18">
        <f t="shared" si="28"/>
        <v>11883.441008828015</v>
      </c>
      <c r="S178" s="18">
        <f t="shared" si="24"/>
        <v>4503.1000000000004</v>
      </c>
    </row>
    <row r="179" spans="1:19" ht="15" customHeight="1" x14ac:dyDescent="0.2">
      <c r="A179" s="14">
        <f t="shared" si="29"/>
        <v>143</v>
      </c>
      <c r="B179" s="21" t="s">
        <v>166</v>
      </c>
      <c r="C179" s="15" t="s">
        <v>3</v>
      </c>
      <c r="D179" s="21" t="s">
        <v>56</v>
      </c>
      <c r="E179" s="21"/>
      <c r="F179" s="70" t="s">
        <v>7</v>
      </c>
      <c r="G179" s="9">
        <v>33289</v>
      </c>
      <c r="H179" s="22">
        <v>12211</v>
      </c>
      <c r="I179" s="17">
        <v>0</v>
      </c>
      <c r="J179" s="17">
        <v>9717.8929543378999</v>
      </c>
      <c r="K179" s="17">
        <f t="shared" si="25"/>
        <v>2493.1070456621001</v>
      </c>
      <c r="L179" s="23">
        <f t="shared" si="20"/>
        <v>610.55000000000007</v>
      </c>
      <c r="M179" s="23">
        <v>30</v>
      </c>
      <c r="N179" s="18">
        <f t="shared" si="26"/>
        <v>29.134246575342466</v>
      </c>
      <c r="O179" s="23">
        <f t="shared" si="23"/>
        <v>1547.7860684931511</v>
      </c>
      <c r="P179" s="18">
        <f t="shared" si="27"/>
        <v>30.134246575342466</v>
      </c>
      <c r="Q179" s="18">
        <f t="shared" si="19"/>
        <v>62.751901522069993</v>
      </c>
      <c r="R179" s="18">
        <f t="shared" si="28"/>
        <v>1610.5379700152212</v>
      </c>
      <c r="S179" s="18">
        <f t="shared" si="24"/>
        <v>610.55000000000007</v>
      </c>
    </row>
    <row r="180" spans="1:19" ht="15" customHeight="1" x14ac:dyDescent="0.2">
      <c r="A180" s="14">
        <f t="shared" si="29"/>
        <v>144</v>
      </c>
      <c r="B180" s="21" t="s">
        <v>167</v>
      </c>
      <c r="C180" s="15" t="s">
        <v>3</v>
      </c>
      <c r="D180" s="21" t="s">
        <v>56</v>
      </c>
      <c r="E180" s="21"/>
      <c r="F180" s="69" t="s">
        <v>4</v>
      </c>
      <c r="G180" s="9">
        <v>33284</v>
      </c>
      <c r="H180" s="22">
        <v>27284</v>
      </c>
      <c r="I180" s="17">
        <v>0</v>
      </c>
      <c r="J180" s="17">
        <v>21725.289899543379</v>
      </c>
      <c r="K180" s="17">
        <f t="shared" si="25"/>
        <v>5558.7101004566211</v>
      </c>
      <c r="L180" s="23">
        <f t="shared" si="20"/>
        <v>1364.2</v>
      </c>
      <c r="M180" s="23">
        <v>30</v>
      </c>
      <c r="N180" s="18">
        <f t="shared" si="26"/>
        <v>29.147945205479452</v>
      </c>
      <c r="O180" s="23">
        <f t="shared" si="23"/>
        <v>3458.3404383561647</v>
      </c>
      <c r="P180" s="18">
        <f t="shared" si="27"/>
        <v>30.147945205479452</v>
      </c>
      <c r="Q180" s="18">
        <f t="shared" si="19"/>
        <v>139.81700334855404</v>
      </c>
      <c r="R180" s="18">
        <f t="shared" si="28"/>
        <v>3598.1574417047186</v>
      </c>
      <c r="S180" s="18">
        <f t="shared" si="24"/>
        <v>1364.2</v>
      </c>
    </row>
    <row r="181" spans="1:19" ht="15" customHeight="1" x14ac:dyDescent="0.2">
      <c r="A181" s="14">
        <f t="shared" si="29"/>
        <v>145</v>
      </c>
      <c r="B181" s="21" t="s">
        <v>168</v>
      </c>
      <c r="C181" s="15" t="s">
        <v>3</v>
      </c>
      <c r="D181" s="21" t="s">
        <v>56</v>
      </c>
      <c r="E181" s="21"/>
      <c r="F181" s="69" t="s">
        <v>6</v>
      </c>
      <c r="G181" s="9">
        <v>22282</v>
      </c>
      <c r="H181" s="22">
        <v>113304</v>
      </c>
      <c r="I181" s="17">
        <v>0</v>
      </c>
      <c r="J181" s="17">
        <v>99184.976438356171</v>
      </c>
      <c r="K181" s="17">
        <f t="shared" si="25"/>
        <v>14119.023561643829</v>
      </c>
      <c r="L181" s="23">
        <f t="shared" si="20"/>
        <v>5665.2000000000007</v>
      </c>
      <c r="M181" s="23">
        <v>60</v>
      </c>
      <c r="N181" s="18">
        <f t="shared" si="26"/>
        <v>59.290410958904111</v>
      </c>
      <c r="O181" s="23">
        <f t="shared" si="23"/>
        <v>7180.8350136986264</v>
      </c>
      <c r="P181" s="18">
        <f t="shared" si="27"/>
        <v>60.290410958904111</v>
      </c>
      <c r="Q181" s="18">
        <f t="shared" si="19"/>
        <v>140.89705936073048</v>
      </c>
      <c r="R181" s="18">
        <f t="shared" si="28"/>
        <v>7321.7320730593565</v>
      </c>
      <c r="S181" s="18">
        <f t="shared" si="24"/>
        <v>5665.2000000000007</v>
      </c>
    </row>
    <row r="182" spans="1:19" ht="15" customHeight="1" x14ac:dyDescent="0.2">
      <c r="A182" s="14">
        <f t="shared" si="29"/>
        <v>146</v>
      </c>
      <c r="B182" s="21" t="s">
        <v>169</v>
      </c>
      <c r="C182" s="15" t="s">
        <v>3</v>
      </c>
      <c r="D182" s="21" t="s">
        <v>56</v>
      </c>
      <c r="E182" s="21"/>
      <c r="F182" s="70" t="s">
        <v>4</v>
      </c>
      <c r="G182" s="9">
        <v>33108</v>
      </c>
      <c r="H182" s="22">
        <v>27092</v>
      </c>
      <c r="I182" s="17">
        <v>0</v>
      </c>
      <c r="J182" s="17">
        <v>21986.085808219181</v>
      </c>
      <c r="K182" s="17">
        <f t="shared" si="25"/>
        <v>5105.9141917808192</v>
      </c>
      <c r="L182" s="23">
        <f t="shared" si="20"/>
        <v>1354.6000000000001</v>
      </c>
      <c r="M182" s="23">
        <v>30</v>
      </c>
      <c r="N182" s="18">
        <f t="shared" si="26"/>
        <v>29.63013698630137</v>
      </c>
      <c r="O182" s="23">
        <f t="shared" si="23"/>
        <v>3434.0037808219167</v>
      </c>
      <c r="P182" s="18">
        <f t="shared" si="27"/>
        <v>30.63013698630137</v>
      </c>
      <c r="Q182" s="18">
        <f t="shared" si="19"/>
        <v>125.04380639269397</v>
      </c>
      <c r="R182" s="18">
        <f t="shared" si="28"/>
        <v>3559.0475872146108</v>
      </c>
      <c r="S182" s="18">
        <f t="shared" si="24"/>
        <v>1354.6000000000001</v>
      </c>
    </row>
    <row r="183" spans="1:19" ht="15" customHeight="1" x14ac:dyDescent="0.2">
      <c r="A183" s="14">
        <f t="shared" si="29"/>
        <v>147</v>
      </c>
      <c r="B183" s="21" t="s">
        <v>170</v>
      </c>
      <c r="C183" s="15" t="s">
        <v>3</v>
      </c>
      <c r="D183" s="21" t="s">
        <v>56</v>
      </c>
      <c r="E183" s="21"/>
      <c r="F183" s="69" t="s">
        <v>4</v>
      </c>
      <c r="G183" s="9">
        <v>42172</v>
      </c>
      <c r="H183" s="22">
        <v>250780</v>
      </c>
      <c r="I183" s="17">
        <v>0</v>
      </c>
      <c r="J183" s="17">
        <v>37857.473972602733</v>
      </c>
      <c r="K183" s="17">
        <f t="shared" si="25"/>
        <v>212922.52602739725</v>
      </c>
      <c r="L183" s="23">
        <f t="shared" si="20"/>
        <v>12539</v>
      </c>
      <c r="M183" s="23">
        <v>5</v>
      </c>
      <c r="N183" s="18">
        <f t="shared" si="26"/>
        <v>4.7972602739726025</v>
      </c>
      <c r="O183" s="23">
        <f t="shared" si="23"/>
        <v>190723.34301369858</v>
      </c>
      <c r="P183" s="18">
        <f t="shared" si="27"/>
        <v>5.7972602739726025</v>
      </c>
      <c r="Q183" s="18">
        <f t="shared" ref="Q183:Q246" si="30">(P183-N183)/M183*(K183-L183)</f>
        <v>40076.705205479455</v>
      </c>
      <c r="R183" s="18">
        <f t="shared" si="28"/>
        <v>230800.04821917805</v>
      </c>
      <c r="S183" s="18">
        <f t="shared" si="24"/>
        <v>12539</v>
      </c>
    </row>
    <row r="184" spans="1:19" ht="15" customHeight="1" x14ac:dyDescent="0.2">
      <c r="A184" s="14">
        <f t="shared" si="29"/>
        <v>148</v>
      </c>
      <c r="B184" s="21" t="s">
        <v>150</v>
      </c>
      <c r="C184" s="15" t="s">
        <v>3</v>
      </c>
      <c r="D184" s="21" t="s">
        <v>56</v>
      </c>
      <c r="E184" s="21"/>
      <c r="F184" s="69" t="s">
        <v>11</v>
      </c>
      <c r="G184" s="9">
        <v>32874</v>
      </c>
      <c r="H184" s="26">
        <v>2466</v>
      </c>
      <c r="I184" s="17">
        <v>0</v>
      </c>
      <c r="J184" s="17">
        <f>H184-L184</f>
        <v>2342.6999999999998</v>
      </c>
      <c r="K184" s="17">
        <f t="shared" si="25"/>
        <v>123.30000000000018</v>
      </c>
      <c r="L184" s="23">
        <f t="shared" ref="L184:L247" si="31">H184*0.05</f>
        <v>123.30000000000001</v>
      </c>
      <c r="M184" s="23">
        <v>30</v>
      </c>
      <c r="N184" s="18">
        <f t="shared" si="26"/>
        <v>30.271232876712329</v>
      </c>
      <c r="O184" s="23">
        <v>2342.6999999999998</v>
      </c>
      <c r="P184" s="18">
        <f t="shared" si="27"/>
        <v>31.271232876712329</v>
      </c>
      <c r="Q184" s="18">
        <f t="shared" si="30"/>
        <v>5.6843418860808018E-15</v>
      </c>
      <c r="R184" s="18">
        <f t="shared" si="28"/>
        <v>2342.6999999999998</v>
      </c>
      <c r="S184" s="18">
        <f t="shared" si="24"/>
        <v>123.30000000000001</v>
      </c>
    </row>
    <row r="185" spans="1:19" ht="15" customHeight="1" x14ac:dyDescent="0.2">
      <c r="A185" s="14">
        <f t="shared" si="29"/>
        <v>149</v>
      </c>
      <c r="B185" s="21" t="s">
        <v>171</v>
      </c>
      <c r="C185" s="15" t="s">
        <v>3</v>
      </c>
      <c r="D185" s="21" t="s">
        <v>56</v>
      </c>
      <c r="E185" s="21"/>
      <c r="F185" s="70" t="s">
        <v>7</v>
      </c>
      <c r="G185" s="9">
        <v>32874</v>
      </c>
      <c r="H185" s="22">
        <v>9095</v>
      </c>
      <c r="I185" s="17">
        <v>0</v>
      </c>
      <c r="J185" s="17">
        <f t="shared" ref="J185:J248" si="32">H185-L185</f>
        <v>8640.25</v>
      </c>
      <c r="K185" s="17">
        <f t="shared" si="25"/>
        <v>454.75</v>
      </c>
      <c r="L185" s="23">
        <f t="shared" si="31"/>
        <v>454.75</v>
      </c>
      <c r="M185" s="23">
        <v>30</v>
      </c>
      <c r="N185" s="18">
        <f t="shared" si="26"/>
        <v>30.271232876712329</v>
      </c>
      <c r="O185" s="23">
        <v>8640.25</v>
      </c>
      <c r="P185" s="18">
        <f t="shared" si="27"/>
        <v>31.271232876712329</v>
      </c>
      <c r="Q185" s="18">
        <f t="shared" si="30"/>
        <v>0</v>
      </c>
      <c r="R185" s="18">
        <f t="shared" si="28"/>
        <v>8640.25</v>
      </c>
      <c r="S185" s="18">
        <f t="shared" ref="S185:S207" si="33">H185-R185</f>
        <v>454.75</v>
      </c>
    </row>
    <row r="186" spans="1:19" ht="15" customHeight="1" x14ac:dyDescent="0.2">
      <c r="A186" s="14">
        <f t="shared" si="29"/>
        <v>150</v>
      </c>
      <c r="B186" s="21" t="s">
        <v>172</v>
      </c>
      <c r="C186" s="15" t="s">
        <v>3</v>
      </c>
      <c r="D186" s="21" t="s">
        <v>56</v>
      </c>
      <c r="E186" s="21"/>
      <c r="F186" s="69" t="s">
        <v>4</v>
      </c>
      <c r="G186" s="9">
        <v>32874</v>
      </c>
      <c r="H186" s="22">
        <v>9598</v>
      </c>
      <c r="I186" s="17">
        <v>0</v>
      </c>
      <c r="J186" s="17">
        <f t="shared" si="32"/>
        <v>9118.1</v>
      </c>
      <c r="K186" s="17">
        <f t="shared" si="25"/>
        <v>479.89999999999964</v>
      </c>
      <c r="L186" s="23">
        <f t="shared" si="31"/>
        <v>479.90000000000003</v>
      </c>
      <c r="M186" s="23">
        <v>30</v>
      </c>
      <c r="N186" s="18">
        <f t="shared" si="26"/>
        <v>30.271232876712329</v>
      </c>
      <c r="O186" s="23">
        <v>9118.1</v>
      </c>
      <c r="P186" s="18">
        <f t="shared" si="27"/>
        <v>31.271232876712329</v>
      </c>
      <c r="Q186" s="18">
        <f t="shared" si="30"/>
        <v>-1.3263464400855204E-14</v>
      </c>
      <c r="R186" s="18">
        <f t="shared" si="28"/>
        <v>9118.1</v>
      </c>
      <c r="S186" s="18">
        <f t="shared" si="33"/>
        <v>479.89999999999964</v>
      </c>
    </row>
    <row r="187" spans="1:19" ht="15" customHeight="1" x14ac:dyDescent="0.2">
      <c r="A187" s="14">
        <f t="shared" si="29"/>
        <v>151</v>
      </c>
      <c r="B187" s="21" t="s">
        <v>173</v>
      </c>
      <c r="C187" s="15" t="s">
        <v>3</v>
      </c>
      <c r="D187" s="21" t="s">
        <v>56</v>
      </c>
      <c r="E187" s="21"/>
      <c r="F187" s="69" t="s">
        <v>4</v>
      </c>
      <c r="G187" s="9">
        <v>32874</v>
      </c>
      <c r="H187" s="22">
        <v>13198</v>
      </c>
      <c r="I187" s="17">
        <v>0</v>
      </c>
      <c r="J187" s="17">
        <f t="shared" si="32"/>
        <v>12538.1</v>
      </c>
      <c r="K187" s="17">
        <f t="shared" si="25"/>
        <v>659.89999999999964</v>
      </c>
      <c r="L187" s="23">
        <f t="shared" si="31"/>
        <v>659.90000000000009</v>
      </c>
      <c r="M187" s="23">
        <v>30</v>
      </c>
      <c r="N187" s="18">
        <f t="shared" si="26"/>
        <v>30.271232876712329</v>
      </c>
      <c r="O187" s="23">
        <v>12538.1</v>
      </c>
      <c r="P187" s="18">
        <f t="shared" si="27"/>
        <v>31.271232876712329</v>
      </c>
      <c r="Q187" s="18">
        <f t="shared" si="30"/>
        <v>-1.5158245029548804E-14</v>
      </c>
      <c r="R187" s="18">
        <f t="shared" si="28"/>
        <v>12538.1</v>
      </c>
      <c r="S187" s="18">
        <f t="shared" si="33"/>
        <v>659.89999999999964</v>
      </c>
    </row>
    <row r="188" spans="1:19" ht="15" customHeight="1" x14ac:dyDescent="0.2">
      <c r="A188" s="14">
        <f t="shared" si="29"/>
        <v>152</v>
      </c>
      <c r="B188" s="21" t="s">
        <v>157</v>
      </c>
      <c r="C188" s="15" t="s">
        <v>3</v>
      </c>
      <c r="D188" s="21" t="s">
        <v>56</v>
      </c>
      <c r="E188" s="21"/>
      <c r="F188" s="69" t="s">
        <v>4</v>
      </c>
      <c r="G188" s="9">
        <v>32874</v>
      </c>
      <c r="H188" s="22">
        <v>582843</v>
      </c>
      <c r="I188" s="17">
        <v>0</v>
      </c>
      <c r="J188" s="17">
        <f t="shared" si="32"/>
        <v>553700.85</v>
      </c>
      <c r="K188" s="17">
        <f t="shared" si="25"/>
        <v>29142.150000000023</v>
      </c>
      <c r="L188" s="23">
        <f t="shared" si="31"/>
        <v>29142.15</v>
      </c>
      <c r="M188" s="23">
        <v>30</v>
      </c>
      <c r="N188" s="18">
        <f t="shared" si="26"/>
        <v>30.271232876712329</v>
      </c>
      <c r="O188" s="23">
        <v>553700.85</v>
      </c>
      <c r="P188" s="18">
        <f t="shared" si="27"/>
        <v>31.271232876712329</v>
      </c>
      <c r="Q188" s="18">
        <f t="shared" si="30"/>
        <v>7.2759576141834263E-13</v>
      </c>
      <c r="R188" s="18">
        <f t="shared" si="28"/>
        <v>553700.85</v>
      </c>
      <c r="S188" s="18">
        <f t="shared" si="33"/>
        <v>29142.150000000023</v>
      </c>
    </row>
    <row r="189" spans="1:19" ht="15" customHeight="1" x14ac:dyDescent="0.2">
      <c r="A189" s="14">
        <f t="shared" si="29"/>
        <v>153</v>
      </c>
      <c r="B189" s="21" t="s">
        <v>174</v>
      </c>
      <c r="C189" s="15" t="s">
        <v>3</v>
      </c>
      <c r="D189" s="21" t="s">
        <v>56</v>
      </c>
      <c r="E189" s="21"/>
      <c r="F189" s="69" t="s">
        <v>4</v>
      </c>
      <c r="G189" s="9">
        <v>32509</v>
      </c>
      <c r="H189" s="22">
        <v>5688</v>
      </c>
      <c r="I189" s="17">
        <v>0</v>
      </c>
      <c r="J189" s="17">
        <f t="shared" si="32"/>
        <v>5403.6</v>
      </c>
      <c r="K189" s="17">
        <f t="shared" si="25"/>
        <v>284.39999999999964</v>
      </c>
      <c r="L189" s="23">
        <f t="shared" si="31"/>
        <v>284.40000000000003</v>
      </c>
      <c r="M189" s="23">
        <v>30</v>
      </c>
      <c r="N189" s="18">
        <f t="shared" si="26"/>
        <v>31.271232876712329</v>
      </c>
      <c r="O189" s="23">
        <v>5403.6</v>
      </c>
      <c r="P189" s="18">
        <f t="shared" si="27"/>
        <v>32.271232876712325</v>
      </c>
      <c r="Q189" s="18">
        <f t="shared" si="30"/>
        <v>-1.3263464400855156E-14</v>
      </c>
      <c r="R189" s="18">
        <f t="shared" si="28"/>
        <v>5403.6</v>
      </c>
      <c r="S189" s="18">
        <f t="shared" si="33"/>
        <v>284.39999999999964</v>
      </c>
    </row>
    <row r="190" spans="1:19" ht="15" customHeight="1" x14ac:dyDescent="0.2">
      <c r="A190" s="14">
        <f t="shared" si="29"/>
        <v>154</v>
      </c>
      <c r="B190" s="21" t="s">
        <v>175</v>
      </c>
      <c r="C190" s="15" t="s">
        <v>3</v>
      </c>
      <c r="D190" s="21" t="s">
        <v>56</v>
      </c>
      <c r="E190" s="21"/>
      <c r="F190" s="69" t="s">
        <v>4</v>
      </c>
      <c r="G190" s="9">
        <v>32509</v>
      </c>
      <c r="H190" s="22">
        <v>15226</v>
      </c>
      <c r="I190" s="17">
        <v>0</v>
      </c>
      <c r="J190" s="17">
        <f t="shared" si="32"/>
        <v>14464.7</v>
      </c>
      <c r="K190" s="17">
        <f t="shared" si="25"/>
        <v>761.29999999999927</v>
      </c>
      <c r="L190" s="23">
        <f t="shared" si="31"/>
        <v>761.30000000000007</v>
      </c>
      <c r="M190" s="23">
        <v>30</v>
      </c>
      <c r="N190" s="18">
        <f t="shared" si="26"/>
        <v>31.271232876712329</v>
      </c>
      <c r="O190" s="23">
        <v>14464.7</v>
      </c>
      <c r="P190" s="18">
        <f t="shared" si="27"/>
        <v>32.271232876712325</v>
      </c>
      <c r="Q190" s="18">
        <f t="shared" si="30"/>
        <v>-2.6526928801710313E-14</v>
      </c>
      <c r="R190" s="18">
        <f t="shared" si="28"/>
        <v>14464.7</v>
      </c>
      <c r="S190" s="18">
        <f t="shared" si="33"/>
        <v>761.29999999999927</v>
      </c>
    </row>
    <row r="191" spans="1:19" ht="15" customHeight="1" x14ac:dyDescent="0.2">
      <c r="A191" s="14">
        <f t="shared" si="29"/>
        <v>155</v>
      </c>
      <c r="B191" s="21" t="s">
        <v>176</v>
      </c>
      <c r="C191" s="15" t="s">
        <v>3</v>
      </c>
      <c r="D191" s="21" t="s">
        <v>56</v>
      </c>
      <c r="E191" s="21"/>
      <c r="F191" s="70" t="s">
        <v>7</v>
      </c>
      <c r="G191" s="9">
        <v>32509</v>
      </c>
      <c r="H191" s="22">
        <v>24450</v>
      </c>
      <c r="I191" s="17">
        <v>0</v>
      </c>
      <c r="J191" s="17">
        <f t="shared" si="32"/>
        <v>23227.5</v>
      </c>
      <c r="K191" s="17">
        <f t="shared" si="25"/>
        <v>1222.5</v>
      </c>
      <c r="L191" s="23">
        <f t="shared" si="31"/>
        <v>1222.5</v>
      </c>
      <c r="M191" s="23">
        <v>30</v>
      </c>
      <c r="N191" s="18">
        <f t="shared" si="26"/>
        <v>31.271232876712329</v>
      </c>
      <c r="O191" s="23">
        <v>23227.5</v>
      </c>
      <c r="P191" s="18">
        <f t="shared" si="27"/>
        <v>32.271232876712325</v>
      </c>
      <c r="Q191" s="18">
        <f t="shared" si="30"/>
        <v>0</v>
      </c>
      <c r="R191" s="18">
        <f t="shared" si="28"/>
        <v>23227.5</v>
      </c>
      <c r="S191" s="18">
        <f t="shared" si="33"/>
        <v>1222.5</v>
      </c>
    </row>
    <row r="192" spans="1:19" ht="15" customHeight="1" x14ac:dyDescent="0.2">
      <c r="A192" s="14">
        <f t="shared" si="29"/>
        <v>156</v>
      </c>
      <c r="B192" s="21" t="s">
        <v>177</v>
      </c>
      <c r="C192" s="15" t="s">
        <v>3</v>
      </c>
      <c r="D192" s="21" t="s">
        <v>56</v>
      </c>
      <c r="E192" s="21"/>
      <c r="F192" s="69" t="s">
        <v>4</v>
      </c>
      <c r="G192" s="9">
        <v>32509</v>
      </c>
      <c r="H192" s="22">
        <v>49323</v>
      </c>
      <c r="I192" s="17">
        <v>0</v>
      </c>
      <c r="J192" s="17">
        <f t="shared" si="32"/>
        <v>46856.85</v>
      </c>
      <c r="K192" s="17">
        <f t="shared" si="25"/>
        <v>2466.1500000000015</v>
      </c>
      <c r="L192" s="23">
        <f t="shared" si="31"/>
        <v>2466.15</v>
      </c>
      <c r="M192" s="23">
        <v>30</v>
      </c>
      <c r="N192" s="18">
        <f t="shared" si="26"/>
        <v>31.271232876712329</v>
      </c>
      <c r="O192" s="23">
        <v>46856.85</v>
      </c>
      <c r="P192" s="18">
        <f t="shared" si="27"/>
        <v>32.271232876712325</v>
      </c>
      <c r="Q192" s="18">
        <f t="shared" si="30"/>
        <v>4.547473508864625E-14</v>
      </c>
      <c r="R192" s="18">
        <f t="shared" si="28"/>
        <v>46856.85</v>
      </c>
      <c r="S192" s="18">
        <f t="shared" si="33"/>
        <v>2466.1500000000015</v>
      </c>
    </row>
    <row r="193" spans="1:19" ht="15" customHeight="1" x14ac:dyDescent="0.2">
      <c r="A193" s="14">
        <f t="shared" si="29"/>
        <v>157</v>
      </c>
      <c r="B193" s="21" t="s">
        <v>178</v>
      </c>
      <c r="C193" s="15" t="s">
        <v>3</v>
      </c>
      <c r="D193" s="21" t="s">
        <v>56</v>
      </c>
      <c r="E193" s="21"/>
      <c r="F193" s="71" t="s">
        <v>10</v>
      </c>
      <c r="G193" s="9">
        <v>32509</v>
      </c>
      <c r="H193" s="22">
        <v>154546</v>
      </c>
      <c r="I193" s="17">
        <v>0</v>
      </c>
      <c r="J193" s="17">
        <f t="shared" si="32"/>
        <v>146818.70000000001</v>
      </c>
      <c r="K193" s="17">
        <f t="shared" si="25"/>
        <v>7727.2999999999884</v>
      </c>
      <c r="L193" s="23">
        <f t="shared" si="31"/>
        <v>7727.3</v>
      </c>
      <c r="M193" s="23">
        <v>30</v>
      </c>
      <c r="N193" s="18">
        <f t="shared" si="26"/>
        <v>31.271232876712329</v>
      </c>
      <c r="O193" s="23">
        <v>146818.70000000001</v>
      </c>
      <c r="P193" s="18">
        <f t="shared" si="27"/>
        <v>32.271232876712325</v>
      </c>
      <c r="Q193" s="18">
        <f t="shared" si="30"/>
        <v>-3.941143707682675E-13</v>
      </c>
      <c r="R193" s="18">
        <f t="shared" si="28"/>
        <v>146818.70000000001</v>
      </c>
      <c r="S193" s="18">
        <f t="shared" si="33"/>
        <v>7727.2999999999884</v>
      </c>
    </row>
    <row r="194" spans="1:19" ht="15" customHeight="1" x14ac:dyDescent="0.2">
      <c r="A194" s="14">
        <f t="shared" si="29"/>
        <v>158</v>
      </c>
      <c r="B194" s="21" t="s">
        <v>179</v>
      </c>
      <c r="C194" s="15" t="s">
        <v>3</v>
      </c>
      <c r="D194" s="21" t="s">
        <v>56</v>
      </c>
      <c r="E194" s="21"/>
      <c r="F194" s="69" t="s">
        <v>12</v>
      </c>
      <c r="G194" s="9">
        <v>32509</v>
      </c>
      <c r="H194" s="22">
        <v>180609</v>
      </c>
      <c r="I194" s="17">
        <v>0</v>
      </c>
      <c r="J194" s="17">
        <f t="shared" si="32"/>
        <v>171578.55</v>
      </c>
      <c r="K194" s="17">
        <f t="shared" si="25"/>
        <v>9030.4500000000116</v>
      </c>
      <c r="L194" s="23">
        <f t="shared" si="31"/>
        <v>9030.4500000000007</v>
      </c>
      <c r="M194" s="23">
        <v>30</v>
      </c>
      <c r="N194" s="18">
        <f t="shared" si="26"/>
        <v>31.271232876712329</v>
      </c>
      <c r="O194" s="23">
        <v>171578.55</v>
      </c>
      <c r="P194" s="18">
        <f t="shared" si="27"/>
        <v>32.271232876712325</v>
      </c>
      <c r="Q194" s="18">
        <f t="shared" si="30"/>
        <v>3.6379788070917E-13</v>
      </c>
      <c r="R194" s="18">
        <f t="shared" si="28"/>
        <v>171578.55</v>
      </c>
      <c r="S194" s="18">
        <f t="shared" si="33"/>
        <v>9030.4500000000116</v>
      </c>
    </row>
    <row r="195" spans="1:19" ht="15" customHeight="1" x14ac:dyDescent="0.2">
      <c r="A195" s="14">
        <f t="shared" si="29"/>
        <v>159</v>
      </c>
      <c r="B195" s="21" t="s">
        <v>180</v>
      </c>
      <c r="C195" s="15" t="s">
        <v>3</v>
      </c>
      <c r="D195" s="21" t="s">
        <v>56</v>
      </c>
      <c r="E195" s="21"/>
      <c r="F195" s="69" t="s">
        <v>4</v>
      </c>
      <c r="G195" s="9">
        <v>32509</v>
      </c>
      <c r="H195" s="29">
        <v>327175</v>
      </c>
      <c r="I195" s="17">
        <v>0</v>
      </c>
      <c r="J195" s="17">
        <f t="shared" si="32"/>
        <v>310816.25</v>
      </c>
      <c r="K195" s="17">
        <f t="shared" si="25"/>
        <v>16358.75</v>
      </c>
      <c r="L195" s="23">
        <f t="shared" si="31"/>
        <v>16358.75</v>
      </c>
      <c r="M195" s="23">
        <v>30</v>
      </c>
      <c r="N195" s="18">
        <f t="shared" si="26"/>
        <v>31.271232876712329</v>
      </c>
      <c r="O195" s="23">
        <v>310816.25</v>
      </c>
      <c r="P195" s="18">
        <f t="shared" si="27"/>
        <v>32.271232876712325</v>
      </c>
      <c r="Q195" s="18">
        <f t="shared" si="30"/>
        <v>0</v>
      </c>
      <c r="R195" s="18">
        <f t="shared" si="28"/>
        <v>310816.25</v>
      </c>
      <c r="S195" s="18">
        <f t="shared" si="33"/>
        <v>16358.75</v>
      </c>
    </row>
    <row r="196" spans="1:19" ht="15" customHeight="1" x14ac:dyDescent="0.2">
      <c r="A196" s="14">
        <f t="shared" si="29"/>
        <v>160</v>
      </c>
      <c r="B196" s="21" t="s">
        <v>181</v>
      </c>
      <c r="C196" s="15" t="s">
        <v>3</v>
      </c>
      <c r="D196" s="21" t="s">
        <v>56</v>
      </c>
      <c r="E196" s="21"/>
      <c r="F196" s="69" t="s">
        <v>4</v>
      </c>
      <c r="G196" s="9">
        <v>32143</v>
      </c>
      <c r="H196" s="26">
        <v>2668</v>
      </c>
      <c r="I196" s="17">
        <v>0</v>
      </c>
      <c r="J196" s="17">
        <f t="shared" si="32"/>
        <v>2534.6</v>
      </c>
      <c r="K196" s="17">
        <f t="shared" si="25"/>
        <v>133.40000000000009</v>
      </c>
      <c r="L196" s="23">
        <f t="shared" si="31"/>
        <v>133.4</v>
      </c>
      <c r="M196" s="23">
        <v>30</v>
      </c>
      <c r="N196" s="18">
        <f t="shared" si="26"/>
        <v>32.273972602739725</v>
      </c>
      <c r="O196" s="23">
        <v>2534.6</v>
      </c>
      <c r="P196" s="18">
        <f t="shared" si="27"/>
        <v>33.273972602739725</v>
      </c>
      <c r="Q196" s="18">
        <f t="shared" si="30"/>
        <v>2.8421709430404009E-15</v>
      </c>
      <c r="R196" s="18">
        <f t="shared" si="28"/>
        <v>2534.6</v>
      </c>
      <c r="S196" s="18">
        <f t="shared" si="33"/>
        <v>133.40000000000009</v>
      </c>
    </row>
    <row r="197" spans="1:19" ht="15" customHeight="1" x14ac:dyDescent="0.2">
      <c r="A197" s="14">
        <f t="shared" si="29"/>
        <v>161</v>
      </c>
      <c r="B197" s="21" t="s">
        <v>182</v>
      </c>
      <c r="C197" s="15" t="s">
        <v>3</v>
      </c>
      <c r="D197" s="21" t="s">
        <v>56</v>
      </c>
      <c r="E197" s="21"/>
      <c r="F197" s="69" t="s">
        <v>4</v>
      </c>
      <c r="G197" s="9">
        <v>32143</v>
      </c>
      <c r="H197" s="22">
        <v>3293</v>
      </c>
      <c r="I197" s="17">
        <v>0</v>
      </c>
      <c r="J197" s="17">
        <f t="shared" si="32"/>
        <v>3128.35</v>
      </c>
      <c r="K197" s="17">
        <f t="shared" si="25"/>
        <v>164.65000000000009</v>
      </c>
      <c r="L197" s="23">
        <f t="shared" si="31"/>
        <v>164.65</v>
      </c>
      <c r="M197" s="23">
        <v>30</v>
      </c>
      <c r="N197" s="18">
        <f t="shared" si="26"/>
        <v>32.273972602739725</v>
      </c>
      <c r="O197" s="23">
        <v>3128.35</v>
      </c>
      <c r="P197" s="18">
        <f t="shared" si="27"/>
        <v>33.273972602739725</v>
      </c>
      <c r="Q197" s="18">
        <f t="shared" si="30"/>
        <v>2.8421709430404009E-15</v>
      </c>
      <c r="R197" s="18">
        <f t="shared" si="28"/>
        <v>3128.35</v>
      </c>
      <c r="S197" s="18">
        <f t="shared" si="33"/>
        <v>164.65000000000009</v>
      </c>
    </row>
    <row r="198" spans="1:19" ht="15" customHeight="1" x14ac:dyDescent="0.2">
      <c r="A198" s="14">
        <f t="shared" si="29"/>
        <v>162</v>
      </c>
      <c r="B198" s="21" t="s">
        <v>183</v>
      </c>
      <c r="C198" s="15" t="s">
        <v>3</v>
      </c>
      <c r="D198" s="21" t="s">
        <v>56</v>
      </c>
      <c r="E198" s="21"/>
      <c r="F198" s="69" t="s">
        <v>4</v>
      </c>
      <c r="G198" s="9">
        <v>32143</v>
      </c>
      <c r="H198" s="22">
        <v>8160</v>
      </c>
      <c r="I198" s="17">
        <v>0</v>
      </c>
      <c r="J198" s="17">
        <f t="shared" si="32"/>
        <v>7752</v>
      </c>
      <c r="K198" s="17">
        <f t="shared" si="25"/>
        <v>408</v>
      </c>
      <c r="L198" s="23">
        <f t="shared" si="31"/>
        <v>408</v>
      </c>
      <c r="M198" s="23">
        <v>30</v>
      </c>
      <c r="N198" s="18">
        <f t="shared" si="26"/>
        <v>32.273972602739725</v>
      </c>
      <c r="O198" s="23">
        <v>7752</v>
      </c>
      <c r="P198" s="18">
        <f t="shared" si="27"/>
        <v>33.273972602739725</v>
      </c>
      <c r="Q198" s="18">
        <f t="shared" si="30"/>
        <v>0</v>
      </c>
      <c r="R198" s="18">
        <f t="shared" si="28"/>
        <v>7752</v>
      </c>
      <c r="S198" s="18">
        <f t="shared" si="33"/>
        <v>408</v>
      </c>
    </row>
    <row r="199" spans="1:19" ht="15" customHeight="1" x14ac:dyDescent="0.2">
      <c r="A199" s="14">
        <f t="shared" si="29"/>
        <v>163</v>
      </c>
      <c r="B199" s="21" t="s">
        <v>184</v>
      </c>
      <c r="C199" s="15" t="s">
        <v>3</v>
      </c>
      <c r="D199" s="21" t="s">
        <v>56</v>
      </c>
      <c r="E199" s="21"/>
      <c r="F199" s="69" t="s">
        <v>4</v>
      </c>
      <c r="G199" s="9">
        <v>32143</v>
      </c>
      <c r="H199" s="22">
        <v>40784</v>
      </c>
      <c r="I199" s="17">
        <v>0</v>
      </c>
      <c r="J199" s="17">
        <f t="shared" si="32"/>
        <v>38744.800000000003</v>
      </c>
      <c r="K199" s="17">
        <f t="shared" si="25"/>
        <v>2039.1999999999971</v>
      </c>
      <c r="L199" s="23">
        <f t="shared" si="31"/>
        <v>2039.2</v>
      </c>
      <c r="M199" s="23">
        <v>30</v>
      </c>
      <c r="N199" s="18">
        <f t="shared" si="26"/>
        <v>32.273972602739725</v>
      </c>
      <c r="O199" s="23">
        <v>38744.800000000003</v>
      </c>
      <c r="P199" s="18">
        <f t="shared" si="27"/>
        <v>33.273972602739725</v>
      </c>
      <c r="Q199" s="18">
        <f t="shared" si="30"/>
        <v>-9.8528592692067229E-14</v>
      </c>
      <c r="R199" s="18">
        <f t="shared" si="28"/>
        <v>38744.800000000003</v>
      </c>
      <c r="S199" s="18">
        <f t="shared" si="33"/>
        <v>2039.1999999999971</v>
      </c>
    </row>
    <row r="200" spans="1:19" ht="15" customHeight="1" x14ac:dyDescent="0.2">
      <c r="A200" s="14">
        <f t="shared" si="29"/>
        <v>164</v>
      </c>
      <c r="B200" s="21" t="s">
        <v>185</v>
      </c>
      <c r="C200" s="15" t="s">
        <v>3</v>
      </c>
      <c r="D200" s="21" t="s">
        <v>56</v>
      </c>
      <c r="E200" s="21"/>
      <c r="F200" s="69" t="s">
        <v>11</v>
      </c>
      <c r="G200" s="9">
        <v>32143</v>
      </c>
      <c r="H200" s="22">
        <v>127367</v>
      </c>
      <c r="I200" s="17">
        <v>0</v>
      </c>
      <c r="J200" s="17">
        <f t="shared" si="32"/>
        <v>120998.65</v>
      </c>
      <c r="K200" s="17">
        <f t="shared" si="25"/>
        <v>6368.3500000000058</v>
      </c>
      <c r="L200" s="23">
        <f t="shared" si="31"/>
        <v>6368.35</v>
      </c>
      <c r="M200" s="23">
        <v>30</v>
      </c>
      <c r="N200" s="18">
        <f t="shared" si="26"/>
        <v>32.273972602739725</v>
      </c>
      <c r="O200" s="23">
        <v>120998.65</v>
      </c>
      <c r="P200" s="18">
        <f t="shared" si="27"/>
        <v>33.273972602739725</v>
      </c>
      <c r="Q200" s="18">
        <f t="shared" si="30"/>
        <v>1.8189894035458566E-13</v>
      </c>
      <c r="R200" s="18">
        <f t="shared" si="28"/>
        <v>120998.65</v>
      </c>
      <c r="S200" s="18">
        <f t="shared" si="33"/>
        <v>6368.3500000000058</v>
      </c>
    </row>
    <row r="201" spans="1:19" ht="15" customHeight="1" x14ac:dyDescent="0.2">
      <c r="A201" s="14">
        <f t="shared" si="29"/>
        <v>165</v>
      </c>
      <c r="B201" s="21" t="s">
        <v>186</v>
      </c>
      <c r="C201" s="15" t="s">
        <v>3</v>
      </c>
      <c r="D201" s="21" t="s">
        <v>56</v>
      </c>
      <c r="E201" s="21"/>
      <c r="F201" s="69" t="s">
        <v>7</v>
      </c>
      <c r="G201" s="9">
        <v>32143</v>
      </c>
      <c r="H201" s="22">
        <v>134946</v>
      </c>
      <c r="I201" s="17">
        <v>0</v>
      </c>
      <c r="J201" s="17">
        <f t="shared" si="32"/>
        <v>128198.7</v>
      </c>
      <c r="K201" s="17">
        <f t="shared" si="25"/>
        <v>6747.3000000000029</v>
      </c>
      <c r="L201" s="23">
        <f t="shared" si="31"/>
        <v>6747.3</v>
      </c>
      <c r="M201" s="23">
        <v>30</v>
      </c>
      <c r="N201" s="18">
        <f t="shared" si="26"/>
        <v>32.273972602739725</v>
      </c>
      <c r="O201" s="23">
        <v>128198.7</v>
      </c>
      <c r="P201" s="18">
        <f t="shared" si="27"/>
        <v>33.273972602739725</v>
      </c>
      <c r="Q201" s="18">
        <f t="shared" si="30"/>
        <v>9.0949470177292829E-14</v>
      </c>
      <c r="R201" s="18">
        <f t="shared" si="28"/>
        <v>128198.7</v>
      </c>
      <c r="S201" s="18">
        <f t="shared" si="33"/>
        <v>6747.3000000000029</v>
      </c>
    </row>
    <row r="202" spans="1:19" ht="15" customHeight="1" x14ac:dyDescent="0.2">
      <c r="A202" s="14">
        <f t="shared" si="29"/>
        <v>166</v>
      </c>
      <c r="B202" s="21" t="s">
        <v>150</v>
      </c>
      <c r="C202" s="15" t="s">
        <v>3</v>
      </c>
      <c r="D202" s="21" t="s">
        <v>56</v>
      </c>
      <c r="E202" s="21"/>
      <c r="F202" s="69" t="s">
        <v>11</v>
      </c>
      <c r="G202" s="9">
        <v>32143</v>
      </c>
      <c r="H202" s="22">
        <v>196616</v>
      </c>
      <c r="I202" s="17">
        <v>0</v>
      </c>
      <c r="J202" s="17">
        <f t="shared" si="32"/>
        <v>186785.2</v>
      </c>
      <c r="K202" s="17">
        <f t="shared" si="25"/>
        <v>9830.7999999999884</v>
      </c>
      <c r="L202" s="23">
        <f t="shared" si="31"/>
        <v>9830.8000000000011</v>
      </c>
      <c r="M202" s="23">
        <v>30</v>
      </c>
      <c r="N202" s="18">
        <f t="shared" si="26"/>
        <v>32.273972602739725</v>
      </c>
      <c r="O202" s="23">
        <v>186785.2</v>
      </c>
      <c r="P202" s="18">
        <f t="shared" si="27"/>
        <v>33.273972602739725</v>
      </c>
      <c r="Q202" s="18">
        <f t="shared" si="30"/>
        <v>-4.2443086082736652E-13</v>
      </c>
      <c r="R202" s="18">
        <f t="shared" si="28"/>
        <v>186785.2</v>
      </c>
      <c r="S202" s="18">
        <f t="shared" si="33"/>
        <v>9830.7999999999884</v>
      </c>
    </row>
    <row r="203" spans="1:19" ht="15" customHeight="1" x14ac:dyDescent="0.2">
      <c r="A203" s="14">
        <f t="shared" si="29"/>
        <v>167</v>
      </c>
      <c r="B203" s="21" t="s">
        <v>178</v>
      </c>
      <c r="C203" s="15" t="s">
        <v>3</v>
      </c>
      <c r="D203" s="21" t="s">
        <v>56</v>
      </c>
      <c r="E203" s="21"/>
      <c r="F203" s="71" t="s">
        <v>10</v>
      </c>
      <c r="G203" s="9">
        <v>32143</v>
      </c>
      <c r="H203" s="22">
        <v>357162</v>
      </c>
      <c r="I203" s="17">
        <v>0</v>
      </c>
      <c r="J203" s="17">
        <f t="shared" si="32"/>
        <v>339303.9</v>
      </c>
      <c r="K203" s="17">
        <f t="shared" si="25"/>
        <v>17858.099999999977</v>
      </c>
      <c r="L203" s="23">
        <f t="shared" si="31"/>
        <v>17858.100000000002</v>
      </c>
      <c r="M203" s="23">
        <v>30</v>
      </c>
      <c r="N203" s="18">
        <f t="shared" si="26"/>
        <v>32.273972602739725</v>
      </c>
      <c r="O203" s="23">
        <v>339303.9</v>
      </c>
      <c r="P203" s="18">
        <f t="shared" si="27"/>
        <v>33.273972602739725</v>
      </c>
      <c r="Q203" s="18">
        <f t="shared" si="30"/>
        <v>-8.4886172165473304E-13</v>
      </c>
      <c r="R203" s="18">
        <f t="shared" si="28"/>
        <v>339303.9</v>
      </c>
      <c r="S203" s="18">
        <f t="shared" si="33"/>
        <v>17858.099999999977</v>
      </c>
    </row>
    <row r="204" spans="1:19" ht="15" customHeight="1" x14ac:dyDescent="0.2">
      <c r="A204" s="14">
        <f t="shared" si="29"/>
        <v>168</v>
      </c>
      <c r="B204" s="21" t="s">
        <v>158</v>
      </c>
      <c r="C204" s="15" t="s">
        <v>3</v>
      </c>
      <c r="D204" s="21" t="s">
        <v>56</v>
      </c>
      <c r="E204" s="21"/>
      <c r="F204" s="69" t="s">
        <v>6</v>
      </c>
      <c r="G204" s="9">
        <v>21186</v>
      </c>
      <c r="H204" s="22">
        <v>28061</v>
      </c>
      <c r="I204" s="17">
        <v>0</v>
      </c>
      <c r="J204" s="17">
        <f t="shared" si="32"/>
        <v>26657.95</v>
      </c>
      <c r="K204" s="17">
        <f t="shared" si="25"/>
        <v>1403.0499999999993</v>
      </c>
      <c r="L204" s="23">
        <f t="shared" si="31"/>
        <v>1403.0500000000002</v>
      </c>
      <c r="M204" s="23">
        <v>60</v>
      </c>
      <c r="N204" s="18">
        <f t="shared" si="26"/>
        <v>62.293150684931504</v>
      </c>
      <c r="O204" s="23">
        <v>26657.95</v>
      </c>
      <c r="P204" s="18">
        <f t="shared" si="27"/>
        <v>63.293150684931504</v>
      </c>
      <c r="Q204" s="18">
        <f t="shared" si="30"/>
        <v>-1.5158245029548804E-14</v>
      </c>
      <c r="R204" s="18">
        <f t="shared" si="28"/>
        <v>26657.95</v>
      </c>
      <c r="S204" s="18">
        <f t="shared" si="33"/>
        <v>1403.0499999999993</v>
      </c>
    </row>
    <row r="205" spans="1:19" ht="15" customHeight="1" x14ac:dyDescent="0.2">
      <c r="A205" s="14">
        <f t="shared" si="29"/>
        <v>169</v>
      </c>
      <c r="B205" s="21" t="s">
        <v>187</v>
      </c>
      <c r="C205" s="15" t="s">
        <v>3</v>
      </c>
      <c r="D205" s="21" t="s">
        <v>56</v>
      </c>
      <c r="E205" s="21"/>
      <c r="F205" s="69" t="s">
        <v>4</v>
      </c>
      <c r="G205" s="9">
        <v>31778</v>
      </c>
      <c r="H205" s="29">
        <v>145732</v>
      </c>
      <c r="I205" s="17">
        <v>0</v>
      </c>
      <c r="J205" s="17">
        <f t="shared" si="32"/>
        <v>138445.4</v>
      </c>
      <c r="K205" s="17">
        <f t="shared" si="25"/>
        <v>7286.6000000000058</v>
      </c>
      <c r="L205" s="23">
        <f t="shared" si="31"/>
        <v>7286.6</v>
      </c>
      <c r="M205" s="23">
        <v>30</v>
      </c>
      <c r="N205" s="18">
        <f t="shared" si="26"/>
        <v>33.273972602739725</v>
      </c>
      <c r="O205" s="23">
        <v>138445.4</v>
      </c>
      <c r="P205" s="18">
        <f t="shared" si="27"/>
        <v>34.273972602739725</v>
      </c>
      <c r="Q205" s="18">
        <f t="shared" si="30"/>
        <v>1.8189894035458566E-13</v>
      </c>
      <c r="R205" s="18">
        <f t="shared" si="28"/>
        <v>138445.4</v>
      </c>
      <c r="S205" s="18">
        <f t="shared" si="33"/>
        <v>7286.6000000000058</v>
      </c>
    </row>
    <row r="206" spans="1:19" ht="15" customHeight="1" x14ac:dyDescent="0.2">
      <c r="A206" s="14">
        <f t="shared" si="29"/>
        <v>170</v>
      </c>
      <c r="B206" s="21" t="s">
        <v>188</v>
      </c>
      <c r="C206" s="15" t="s">
        <v>3</v>
      </c>
      <c r="D206" s="21" t="s">
        <v>56</v>
      </c>
      <c r="E206" s="21"/>
      <c r="F206" s="69" t="s">
        <v>4</v>
      </c>
      <c r="G206" s="9">
        <v>31778</v>
      </c>
      <c r="H206" s="22">
        <v>59888</v>
      </c>
      <c r="I206" s="17">
        <v>0</v>
      </c>
      <c r="J206" s="17">
        <f t="shared" si="32"/>
        <v>56893.599999999999</v>
      </c>
      <c r="K206" s="17">
        <f t="shared" si="25"/>
        <v>2994.4000000000015</v>
      </c>
      <c r="L206" s="23">
        <f t="shared" si="31"/>
        <v>2994.4</v>
      </c>
      <c r="M206" s="23">
        <v>30</v>
      </c>
      <c r="N206" s="18">
        <f t="shared" si="26"/>
        <v>33.273972602739725</v>
      </c>
      <c r="O206" s="23">
        <v>56893.599999999999</v>
      </c>
      <c r="P206" s="18">
        <f t="shared" si="27"/>
        <v>34.273972602739725</v>
      </c>
      <c r="Q206" s="18">
        <f t="shared" si="30"/>
        <v>4.5474735088646414E-14</v>
      </c>
      <c r="R206" s="18">
        <f t="shared" si="28"/>
        <v>56893.599999999999</v>
      </c>
      <c r="S206" s="18">
        <f t="shared" si="33"/>
        <v>2994.4000000000015</v>
      </c>
    </row>
    <row r="207" spans="1:19" ht="15" customHeight="1" x14ac:dyDescent="0.2">
      <c r="A207" s="14">
        <f t="shared" si="29"/>
        <v>171</v>
      </c>
      <c r="B207" s="21" t="s">
        <v>189</v>
      </c>
      <c r="C207" s="15" t="s">
        <v>3</v>
      </c>
      <c r="D207" s="21" t="s">
        <v>56</v>
      </c>
      <c r="E207" s="21"/>
      <c r="F207" s="69" t="s">
        <v>6</v>
      </c>
      <c r="G207" s="9">
        <v>20821</v>
      </c>
      <c r="H207" s="22">
        <v>34554</v>
      </c>
      <c r="I207" s="17">
        <v>0</v>
      </c>
      <c r="J207" s="17">
        <f t="shared" si="32"/>
        <v>32826.300000000003</v>
      </c>
      <c r="K207" s="17">
        <f t="shared" si="25"/>
        <v>1727.6999999999971</v>
      </c>
      <c r="L207" s="23">
        <f t="shared" si="31"/>
        <v>1727.7</v>
      </c>
      <c r="M207" s="23">
        <v>60</v>
      </c>
      <c r="N207" s="18">
        <f t="shared" si="26"/>
        <v>63.293150684931504</v>
      </c>
      <c r="O207" s="23">
        <v>32826.300000000003</v>
      </c>
      <c r="P207" s="18">
        <f t="shared" si="27"/>
        <v>64.293150684931504</v>
      </c>
      <c r="Q207" s="18">
        <f t="shared" si="30"/>
        <v>-4.9264296346033615E-14</v>
      </c>
      <c r="R207" s="18">
        <f t="shared" si="28"/>
        <v>32826.300000000003</v>
      </c>
      <c r="S207" s="18">
        <f t="shared" si="33"/>
        <v>1727.6999999999971</v>
      </c>
    </row>
    <row r="208" spans="1:19" ht="15" customHeight="1" x14ac:dyDescent="0.2">
      <c r="A208" s="14">
        <f t="shared" si="29"/>
        <v>172</v>
      </c>
      <c r="B208" s="21" t="s">
        <v>190</v>
      </c>
      <c r="C208" s="15" t="s">
        <v>3</v>
      </c>
      <c r="D208" s="21" t="s">
        <v>56</v>
      </c>
      <c r="E208" s="21"/>
      <c r="F208" s="69" t="s">
        <v>4</v>
      </c>
      <c r="G208" s="9">
        <v>31413</v>
      </c>
      <c r="H208" s="22">
        <v>77377</v>
      </c>
      <c r="I208" s="17">
        <v>0</v>
      </c>
      <c r="J208" s="17">
        <f t="shared" si="32"/>
        <v>73508.149999999994</v>
      </c>
      <c r="K208" s="17">
        <f t="shared" si="25"/>
        <v>3868.8500000000058</v>
      </c>
      <c r="L208" s="23">
        <f t="shared" si="31"/>
        <v>3868.8500000000004</v>
      </c>
      <c r="M208" s="23">
        <v>30</v>
      </c>
      <c r="N208" s="18">
        <f t="shared" si="26"/>
        <v>34.273972602739725</v>
      </c>
      <c r="O208" s="23">
        <v>73508.149999999994</v>
      </c>
      <c r="P208" s="18">
        <f t="shared" si="27"/>
        <v>35.273972602739725</v>
      </c>
      <c r="Q208" s="18">
        <f t="shared" si="30"/>
        <v>1.8189894035458566E-13</v>
      </c>
      <c r="R208" s="18">
        <f t="shared" si="28"/>
        <v>73508.149999999994</v>
      </c>
      <c r="S208" s="18">
        <f>+IF(N208&gt;P208,0,L208)</f>
        <v>3868.8500000000004</v>
      </c>
    </row>
    <row r="209" spans="1:19" ht="15" customHeight="1" x14ac:dyDescent="0.2">
      <c r="A209" s="14">
        <f t="shared" si="29"/>
        <v>173</v>
      </c>
      <c r="B209" s="21" t="s">
        <v>155</v>
      </c>
      <c r="C209" s="15" t="s">
        <v>3</v>
      </c>
      <c r="D209" s="21" t="s">
        <v>56</v>
      </c>
      <c r="E209" s="21"/>
      <c r="F209" s="69" t="s">
        <v>4</v>
      </c>
      <c r="G209" s="9">
        <v>31413</v>
      </c>
      <c r="H209" s="22">
        <v>26024</v>
      </c>
      <c r="I209" s="17">
        <v>0</v>
      </c>
      <c r="J209" s="17">
        <f t="shared" si="32"/>
        <v>24722.799999999999</v>
      </c>
      <c r="K209" s="17">
        <f t="shared" si="25"/>
        <v>1301.2000000000007</v>
      </c>
      <c r="L209" s="23">
        <f t="shared" si="31"/>
        <v>1301.2</v>
      </c>
      <c r="M209" s="23">
        <v>30</v>
      </c>
      <c r="N209" s="18">
        <f t="shared" si="26"/>
        <v>34.273972602739725</v>
      </c>
      <c r="O209" s="23">
        <v>24722.799999999999</v>
      </c>
      <c r="P209" s="18">
        <f t="shared" si="27"/>
        <v>35.273972602739725</v>
      </c>
      <c r="Q209" s="18">
        <f t="shared" si="30"/>
        <v>2.2737367544323207E-14</v>
      </c>
      <c r="R209" s="18">
        <f t="shared" si="28"/>
        <v>24722.799999999999</v>
      </c>
      <c r="S209" s="18">
        <f t="shared" ref="S209:S238" si="34">H209-R209</f>
        <v>1301.2000000000007</v>
      </c>
    </row>
    <row r="210" spans="1:19" ht="15" customHeight="1" x14ac:dyDescent="0.2">
      <c r="A210" s="14">
        <f t="shared" si="29"/>
        <v>174</v>
      </c>
      <c r="B210" s="21" t="s">
        <v>191</v>
      </c>
      <c r="C210" s="15" t="s">
        <v>3</v>
      </c>
      <c r="D210" s="21" t="s">
        <v>56</v>
      </c>
      <c r="E210" s="21"/>
      <c r="F210" s="69" t="s">
        <v>4</v>
      </c>
      <c r="G210" s="9">
        <v>31413</v>
      </c>
      <c r="H210" s="22">
        <v>13951</v>
      </c>
      <c r="I210" s="17">
        <v>0</v>
      </c>
      <c r="J210" s="17">
        <f t="shared" si="32"/>
        <v>13253.45</v>
      </c>
      <c r="K210" s="17">
        <f t="shared" si="25"/>
        <v>697.54999999999927</v>
      </c>
      <c r="L210" s="23">
        <f t="shared" si="31"/>
        <v>697.55000000000007</v>
      </c>
      <c r="M210" s="23">
        <v>30</v>
      </c>
      <c r="N210" s="18">
        <f t="shared" si="26"/>
        <v>34.273972602739725</v>
      </c>
      <c r="O210" s="23">
        <v>13253.45</v>
      </c>
      <c r="P210" s="18">
        <f t="shared" si="27"/>
        <v>35.273972602739725</v>
      </c>
      <c r="Q210" s="18">
        <f t="shared" si="30"/>
        <v>-2.6526928801710407E-14</v>
      </c>
      <c r="R210" s="18">
        <f t="shared" si="28"/>
        <v>13253.45</v>
      </c>
      <c r="S210" s="18">
        <f t="shared" si="34"/>
        <v>697.54999999999927</v>
      </c>
    </row>
    <row r="211" spans="1:19" ht="15" customHeight="1" x14ac:dyDescent="0.2">
      <c r="A211" s="14">
        <f t="shared" si="29"/>
        <v>175</v>
      </c>
      <c r="B211" s="21" t="s">
        <v>192</v>
      </c>
      <c r="C211" s="15" t="s">
        <v>3</v>
      </c>
      <c r="D211" s="21" t="s">
        <v>56</v>
      </c>
      <c r="E211" s="21"/>
      <c r="F211" s="69" t="s">
        <v>4</v>
      </c>
      <c r="G211" s="9">
        <v>31413</v>
      </c>
      <c r="H211" s="26">
        <v>12283</v>
      </c>
      <c r="I211" s="17">
        <v>0</v>
      </c>
      <c r="J211" s="17">
        <f t="shared" si="32"/>
        <v>11668.85</v>
      </c>
      <c r="K211" s="17">
        <f t="shared" si="25"/>
        <v>614.14999999999964</v>
      </c>
      <c r="L211" s="23">
        <f t="shared" si="31"/>
        <v>614.15000000000009</v>
      </c>
      <c r="M211" s="23">
        <v>30</v>
      </c>
      <c r="N211" s="18">
        <f t="shared" si="26"/>
        <v>34.273972602739725</v>
      </c>
      <c r="O211" s="23">
        <v>11668.85</v>
      </c>
      <c r="P211" s="18">
        <f t="shared" si="27"/>
        <v>35.273972602739725</v>
      </c>
      <c r="Q211" s="18">
        <f t="shared" si="30"/>
        <v>-1.5158245029548804E-14</v>
      </c>
      <c r="R211" s="18">
        <f t="shared" si="28"/>
        <v>11668.85</v>
      </c>
      <c r="S211" s="18">
        <f t="shared" si="34"/>
        <v>614.14999999999964</v>
      </c>
    </row>
    <row r="212" spans="1:19" ht="15" customHeight="1" x14ac:dyDescent="0.2">
      <c r="A212" s="14">
        <f t="shared" si="29"/>
        <v>176</v>
      </c>
      <c r="B212" s="21" t="s">
        <v>193</v>
      </c>
      <c r="C212" s="15" t="s">
        <v>3</v>
      </c>
      <c r="D212" s="21" t="s">
        <v>56</v>
      </c>
      <c r="E212" s="21"/>
      <c r="F212" s="69" t="s">
        <v>4</v>
      </c>
      <c r="G212" s="9">
        <v>31413</v>
      </c>
      <c r="H212" s="26">
        <v>2870</v>
      </c>
      <c r="I212" s="17">
        <v>0</v>
      </c>
      <c r="J212" s="17">
        <f t="shared" si="32"/>
        <v>2726.5</v>
      </c>
      <c r="K212" s="17">
        <f t="shared" si="25"/>
        <v>143.5</v>
      </c>
      <c r="L212" s="23">
        <f t="shared" si="31"/>
        <v>143.5</v>
      </c>
      <c r="M212" s="23">
        <v>30</v>
      </c>
      <c r="N212" s="18">
        <f t="shared" si="26"/>
        <v>34.273972602739725</v>
      </c>
      <c r="O212" s="23">
        <v>2726.5</v>
      </c>
      <c r="P212" s="18">
        <f t="shared" si="27"/>
        <v>35.273972602739725</v>
      </c>
      <c r="Q212" s="18">
        <f t="shared" si="30"/>
        <v>0</v>
      </c>
      <c r="R212" s="18">
        <f t="shared" si="28"/>
        <v>2726.5</v>
      </c>
      <c r="S212" s="18">
        <f t="shared" si="34"/>
        <v>143.5</v>
      </c>
    </row>
    <row r="213" spans="1:19" ht="15" customHeight="1" x14ac:dyDescent="0.2">
      <c r="A213" s="14">
        <f t="shared" si="29"/>
        <v>177</v>
      </c>
      <c r="B213" s="21" t="s">
        <v>194</v>
      </c>
      <c r="C213" s="15" t="s">
        <v>3</v>
      </c>
      <c r="D213" s="21" t="s">
        <v>56</v>
      </c>
      <c r="E213" s="21"/>
      <c r="F213" s="69" t="s">
        <v>4</v>
      </c>
      <c r="G213" s="9">
        <v>31048</v>
      </c>
      <c r="H213" s="26">
        <v>26279</v>
      </c>
      <c r="I213" s="17">
        <v>0</v>
      </c>
      <c r="J213" s="17">
        <f t="shared" si="32"/>
        <v>24965.05</v>
      </c>
      <c r="K213" s="17">
        <f t="shared" si="25"/>
        <v>1313.9500000000007</v>
      </c>
      <c r="L213" s="23">
        <f t="shared" si="31"/>
        <v>1313.95</v>
      </c>
      <c r="M213" s="23">
        <v>30</v>
      </c>
      <c r="N213" s="18">
        <f t="shared" si="26"/>
        <v>35.273972602739725</v>
      </c>
      <c r="O213" s="23">
        <v>24965.05</v>
      </c>
      <c r="P213" s="18">
        <f t="shared" si="27"/>
        <v>36.273972602739725</v>
      </c>
      <c r="Q213" s="18">
        <f t="shared" si="30"/>
        <v>2.2737367544323207E-14</v>
      </c>
      <c r="R213" s="18">
        <f t="shared" si="28"/>
        <v>24965.05</v>
      </c>
      <c r="S213" s="18">
        <f t="shared" si="34"/>
        <v>1313.9500000000007</v>
      </c>
    </row>
    <row r="214" spans="1:19" ht="15" customHeight="1" x14ac:dyDescent="0.2">
      <c r="A214" s="14">
        <f t="shared" si="29"/>
        <v>178</v>
      </c>
      <c r="B214" s="21" t="s">
        <v>195</v>
      </c>
      <c r="C214" s="15" t="s">
        <v>3</v>
      </c>
      <c r="D214" s="21" t="s">
        <v>56</v>
      </c>
      <c r="E214" s="21"/>
      <c r="F214" s="69" t="s">
        <v>4</v>
      </c>
      <c r="G214" s="9">
        <v>31048</v>
      </c>
      <c r="H214" s="26">
        <v>21247</v>
      </c>
      <c r="I214" s="17">
        <v>0</v>
      </c>
      <c r="J214" s="17">
        <f t="shared" si="32"/>
        <v>20184.650000000001</v>
      </c>
      <c r="K214" s="17">
        <f t="shared" si="25"/>
        <v>1062.3499999999985</v>
      </c>
      <c r="L214" s="23">
        <f t="shared" si="31"/>
        <v>1062.3500000000001</v>
      </c>
      <c r="M214" s="23">
        <v>30</v>
      </c>
      <c r="N214" s="18">
        <f t="shared" si="26"/>
        <v>35.273972602739725</v>
      </c>
      <c r="O214" s="23">
        <v>20184.650000000001</v>
      </c>
      <c r="P214" s="18">
        <f t="shared" si="27"/>
        <v>36.273972602739725</v>
      </c>
      <c r="Q214" s="18">
        <f t="shared" si="30"/>
        <v>-5.3053857603420815E-14</v>
      </c>
      <c r="R214" s="18">
        <f t="shared" si="28"/>
        <v>20184.650000000001</v>
      </c>
      <c r="S214" s="18">
        <f t="shared" si="34"/>
        <v>1062.3499999999985</v>
      </c>
    </row>
    <row r="215" spans="1:19" ht="15" customHeight="1" x14ac:dyDescent="0.2">
      <c r="A215" s="14">
        <f t="shared" si="29"/>
        <v>179</v>
      </c>
      <c r="B215" s="21" t="s">
        <v>191</v>
      </c>
      <c r="C215" s="15" t="s">
        <v>3</v>
      </c>
      <c r="D215" s="21" t="s">
        <v>56</v>
      </c>
      <c r="E215" s="21"/>
      <c r="F215" s="69" t="s">
        <v>4</v>
      </c>
      <c r="G215" s="9">
        <v>31048</v>
      </c>
      <c r="H215" s="26">
        <v>13697</v>
      </c>
      <c r="I215" s="17">
        <v>0</v>
      </c>
      <c r="J215" s="17">
        <f t="shared" si="32"/>
        <v>13012.15</v>
      </c>
      <c r="K215" s="17">
        <f t="shared" si="25"/>
        <v>684.85000000000036</v>
      </c>
      <c r="L215" s="23">
        <f t="shared" si="31"/>
        <v>684.85</v>
      </c>
      <c r="M215" s="23">
        <v>30</v>
      </c>
      <c r="N215" s="18">
        <f t="shared" si="26"/>
        <v>35.273972602739725</v>
      </c>
      <c r="O215" s="23">
        <v>13012.15</v>
      </c>
      <c r="P215" s="18">
        <f t="shared" si="27"/>
        <v>36.273972602739725</v>
      </c>
      <c r="Q215" s="18">
        <f t="shared" si="30"/>
        <v>1.1368683772161604E-14</v>
      </c>
      <c r="R215" s="18">
        <f t="shared" si="28"/>
        <v>13012.15</v>
      </c>
      <c r="S215" s="18">
        <f t="shared" si="34"/>
        <v>684.85000000000036</v>
      </c>
    </row>
    <row r="216" spans="1:19" ht="15" customHeight="1" x14ac:dyDescent="0.2">
      <c r="A216" s="14">
        <f t="shared" si="29"/>
        <v>180</v>
      </c>
      <c r="B216" s="21" t="s">
        <v>196</v>
      </c>
      <c r="C216" s="15" t="s">
        <v>3</v>
      </c>
      <c r="D216" s="21" t="s">
        <v>56</v>
      </c>
      <c r="E216" s="21"/>
      <c r="F216" s="69" t="s">
        <v>4</v>
      </c>
      <c r="G216" s="9">
        <v>31048</v>
      </c>
      <c r="H216" s="26">
        <v>6487</v>
      </c>
      <c r="I216" s="17">
        <v>0</v>
      </c>
      <c r="J216" s="17">
        <f t="shared" si="32"/>
        <v>6162.65</v>
      </c>
      <c r="K216" s="17">
        <f t="shared" si="25"/>
        <v>324.35000000000036</v>
      </c>
      <c r="L216" s="23">
        <f t="shared" si="31"/>
        <v>324.35000000000002</v>
      </c>
      <c r="M216" s="23">
        <v>30</v>
      </c>
      <c r="N216" s="18">
        <f t="shared" si="26"/>
        <v>35.273972602739725</v>
      </c>
      <c r="O216" s="23">
        <v>6162.65</v>
      </c>
      <c r="P216" s="18">
        <f t="shared" si="27"/>
        <v>36.273972602739725</v>
      </c>
      <c r="Q216" s="18">
        <f t="shared" si="30"/>
        <v>1.1368683772161604E-14</v>
      </c>
      <c r="R216" s="18">
        <f t="shared" si="28"/>
        <v>6162.65</v>
      </c>
      <c r="S216" s="18">
        <f t="shared" si="34"/>
        <v>324.35000000000036</v>
      </c>
    </row>
    <row r="217" spans="1:19" ht="15" customHeight="1" x14ac:dyDescent="0.2">
      <c r="A217" s="14">
        <f t="shared" si="29"/>
        <v>181</v>
      </c>
      <c r="B217" s="21" t="s">
        <v>197</v>
      </c>
      <c r="C217" s="15" t="s">
        <v>3</v>
      </c>
      <c r="D217" s="21" t="s">
        <v>56</v>
      </c>
      <c r="E217" s="21"/>
      <c r="F217" s="69" t="s">
        <v>4</v>
      </c>
      <c r="G217" s="9">
        <v>31048</v>
      </c>
      <c r="H217" s="26">
        <v>3330</v>
      </c>
      <c r="I217" s="17">
        <v>0</v>
      </c>
      <c r="J217" s="17">
        <f t="shared" si="32"/>
        <v>3163.5</v>
      </c>
      <c r="K217" s="17">
        <f t="shared" si="25"/>
        <v>166.5</v>
      </c>
      <c r="L217" s="23">
        <f t="shared" si="31"/>
        <v>166.5</v>
      </c>
      <c r="M217" s="23">
        <v>30</v>
      </c>
      <c r="N217" s="18">
        <f t="shared" si="26"/>
        <v>35.273972602739725</v>
      </c>
      <c r="O217" s="23">
        <v>3163.5</v>
      </c>
      <c r="P217" s="18">
        <f t="shared" si="27"/>
        <v>36.273972602739725</v>
      </c>
      <c r="Q217" s="18">
        <f t="shared" si="30"/>
        <v>0</v>
      </c>
      <c r="R217" s="18">
        <f t="shared" si="28"/>
        <v>3163.5</v>
      </c>
      <c r="S217" s="18">
        <f t="shared" si="34"/>
        <v>166.5</v>
      </c>
    </row>
    <row r="218" spans="1:19" ht="15" customHeight="1" x14ac:dyDescent="0.2">
      <c r="A218" s="14">
        <f t="shared" si="29"/>
        <v>182</v>
      </c>
      <c r="B218" s="21" t="s">
        <v>198</v>
      </c>
      <c r="C218" s="15" t="s">
        <v>3</v>
      </c>
      <c r="D218" s="21" t="s">
        <v>56</v>
      </c>
      <c r="E218" s="21"/>
      <c r="F218" s="69" t="s">
        <v>4</v>
      </c>
      <c r="G218" s="9">
        <v>31048</v>
      </c>
      <c r="H218" s="26">
        <v>2707</v>
      </c>
      <c r="I218" s="17">
        <v>0</v>
      </c>
      <c r="J218" s="17">
        <f t="shared" si="32"/>
        <v>2571.65</v>
      </c>
      <c r="K218" s="17">
        <f t="shared" si="25"/>
        <v>135.34999999999991</v>
      </c>
      <c r="L218" s="23">
        <f t="shared" si="31"/>
        <v>135.35</v>
      </c>
      <c r="M218" s="23">
        <v>30</v>
      </c>
      <c r="N218" s="18">
        <f t="shared" si="26"/>
        <v>35.273972602739725</v>
      </c>
      <c r="O218" s="23">
        <v>2571.65</v>
      </c>
      <c r="P218" s="18">
        <f t="shared" si="27"/>
        <v>36.273972602739725</v>
      </c>
      <c r="Q218" s="18">
        <f t="shared" si="30"/>
        <v>-2.8421709430404009E-15</v>
      </c>
      <c r="R218" s="18">
        <f t="shared" si="28"/>
        <v>2571.65</v>
      </c>
      <c r="S218" s="18">
        <f t="shared" si="34"/>
        <v>135.34999999999991</v>
      </c>
    </row>
    <row r="219" spans="1:19" ht="15" customHeight="1" x14ac:dyDescent="0.2">
      <c r="A219" s="14">
        <f t="shared" si="29"/>
        <v>183</v>
      </c>
      <c r="B219" s="21" t="s">
        <v>199</v>
      </c>
      <c r="C219" s="15" t="s">
        <v>3</v>
      </c>
      <c r="D219" s="21" t="s">
        <v>56</v>
      </c>
      <c r="E219" s="21"/>
      <c r="F219" s="69" t="s">
        <v>4</v>
      </c>
      <c r="G219" s="9">
        <v>31048</v>
      </c>
      <c r="H219" s="26">
        <v>532</v>
      </c>
      <c r="I219" s="17">
        <v>0</v>
      </c>
      <c r="J219" s="17">
        <f t="shared" si="32"/>
        <v>505.4</v>
      </c>
      <c r="K219" s="17">
        <f t="shared" si="25"/>
        <v>26.600000000000023</v>
      </c>
      <c r="L219" s="23">
        <f t="shared" si="31"/>
        <v>26.6</v>
      </c>
      <c r="M219" s="23">
        <v>30</v>
      </c>
      <c r="N219" s="18">
        <f t="shared" si="26"/>
        <v>35.273972602739725</v>
      </c>
      <c r="O219" s="23">
        <v>505.4</v>
      </c>
      <c r="P219" s="18">
        <f t="shared" si="27"/>
        <v>36.273972602739725</v>
      </c>
      <c r="Q219" s="18">
        <f t="shared" si="30"/>
        <v>7.1054273576010023E-16</v>
      </c>
      <c r="R219" s="18">
        <f t="shared" si="28"/>
        <v>505.4</v>
      </c>
      <c r="S219" s="18">
        <f t="shared" si="34"/>
        <v>26.600000000000023</v>
      </c>
    </row>
    <row r="220" spans="1:19" ht="15" customHeight="1" x14ac:dyDescent="0.2">
      <c r="A220" s="14">
        <f t="shared" si="29"/>
        <v>184</v>
      </c>
      <c r="B220" s="21" t="s">
        <v>200</v>
      </c>
      <c r="C220" s="15" t="s">
        <v>3</v>
      </c>
      <c r="D220" s="21" t="s">
        <v>56</v>
      </c>
      <c r="E220" s="21"/>
      <c r="F220" s="69" t="s">
        <v>4</v>
      </c>
      <c r="G220" s="9">
        <v>30696</v>
      </c>
      <c r="H220" s="26">
        <v>7556</v>
      </c>
      <c r="I220" s="17">
        <v>0</v>
      </c>
      <c r="J220" s="17">
        <f t="shared" si="32"/>
        <v>7178.2</v>
      </c>
      <c r="K220" s="17">
        <f t="shared" si="25"/>
        <v>377.80000000000018</v>
      </c>
      <c r="L220" s="23">
        <f t="shared" si="31"/>
        <v>377.8</v>
      </c>
      <c r="M220" s="23">
        <v>30</v>
      </c>
      <c r="N220" s="18">
        <f t="shared" si="26"/>
        <v>36.238356164383561</v>
      </c>
      <c r="O220" s="23">
        <v>7178.2</v>
      </c>
      <c r="P220" s="18">
        <f t="shared" si="27"/>
        <v>37.238356164383561</v>
      </c>
      <c r="Q220" s="18">
        <f t="shared" si="30"/>
        <v>5.6843418860808018E-15</v>
      </c>
      <c r="R220" s="18">
        <f t="shared" si="28"/>
        <v>7178.2</v>
      </c>
      <c r="S220" s="18">
        <f t="shared" si="34"/>
        <v>377.80000000000018</v>
      </c>
    </row>
    <row r="221" spans="1:19" ht="15" customHeight="1" x14ac:dyDescent="0.2">
      <c r="A221" s="14">
        <f t="shared" si="29"/>
        <v>185</v>
      </c>
      <c r="B221" s="21" t="s">
        <v>201</v>
      </c>
      <c r="C221" s="15" t="s">
        <v>3</v>
      </c>
      <c r="D221" s="21" t="s">
        <v>56</v>
      </c>
      <c r="E221" s="21"/>
      <c r="F221" s="70" t="s">
        <v>8</v>
      </c>
      <c r="G221" s="9">
        <v>30682</v>
      </c>
      <c r="H221" s="26">
        <v>191662</v>
      </c>
      <c r="I221" s="17">
        <v>0</v>
      </c>
      <c r="J221" s="17">
        <f t="shared" si="32"/>
        <v>182078.9</v>
      </c>
      <c r="K221" s="17">
        <f t="shared" si="25"/>
        <v>9583.1000000000058</v>
      </c>
      <c r="L221" s="23">
        <f t="shared" si="31"/>
        <v>9583.1</v>
      </c>
      <c r="M221" s="23">
        <v>30</v>
      </c>
      <c r="N221" s="18">
        <f t="shared" si="26"/>
        <v>36.276712328767125</v>
      </c>
      <c r="O221" s="23">
        <v>182078.9</v>
      </c>
      <c r="P221" s="18">
        <f t="shared" si="27"/>
        <v>37.276712328767125</v>
      </c>
      <c r="Q221" s="18">
        <f t="shared" si="30"/>
        <v>1.8189894035458566E-13</v>
      </c>
      <c r="R221" s="18">
        <f t="shared" si="28"/>
        <v>182078.9</v>
      </c>
      <c r="S221" s="18">
        <f t="shared" si="34"/>
        <v>9583.1000000000058</v>
      </c>
    </row>
    <row r="222" spans="1:19" ht="15" customHeight="1" x14ac:dyDescent="0.2">
      <c r="A222" s="14">
        <f t="shared" si="29"/>
        <v>186</v>
      </c>
      <c r="B222" s="21" t="s">
        <v>202</v>
      </c>
      <c r="C222" s="15" t="s">
        <v>3</v>
      </c>
      <c r="D222" s="21" t="s">
        <v>56</v>
      </c>
      <c r="E222" s="21"/>
      <c r="F222" s="69" t="s">
        <v>4</v>
      </c>
      <c r="G222" s="9">
        <v>30682</v>
      </c>
      <c r="H222" s="26">
        <v>85104</v>
      </c>
      <c r="I222" s="17">
        <v>0</v>
      </c>
      <c r="J222" s="17">
        <f t="shared" si="32"/>
        <v>80848.800000000003</v>
      </c>
      <c r="K222" s="17">
        <f t="shared" si="25"/>
        <v>4255.1999999999971</v>
      </c>
      <c r="L222" s="23">
        <f t="shared" si="31"/>
        <v>4255.2</v>
      </c>
      <c r="M222" s="23">
        <v>30</v>
      </c>
      <c r="N222" s="18">
        <f t="shared" si="26"/>
        <v>36.276712328767125</v>
      </c>
      <c r="O222" s="23">
        <v>80848.800000000003</v>
      </c>
      <c r="P222" s="18">
        <f t="shared" si="27"/>
        <v>37.276712328767125</v>
      </c>
      <c r="Q222" s="18">
        <f t="shared" si="30"/>
        <v>-9.0949470177292829E-14</v>
      </c>
      <c r="R222" s="18">
        <f t="shared" si="28"/>
        <v>80848.800000000003</v>
      </c>
      <c r="S222" s="18">
        <f t="shared" si="34"/>
        <v>4255.1999999999971</v>
      </c>
    </row>
    <row r="223" spans="1:19" ht="15" customHeight="1" x14ac:dyDescent="0.2">
      <c r="A223" s="14">
        <f t="shared" si="29"/>
        <v>187</v>
      </c>
      <c r="B223" s="21" t="s">
        <v>203</v>
      </c>
      <c r="C223" s="15" t="s">
        <v>3</v>
      </c>
      <c r="D223" s="21" t="s">
        <v>56</v>
      </c>
      <c r="E223" s="21"/>
      <c r="F223" s="69" t="s">
        <v>4</v>
      </c>
      <c r="G223" s="9">
        <v>30682</v>
      </c>
      <c r="H223" s="26">
        <v>21713</v>
      </c>
      <c r="I223" s="17">
        <v>0</v>
      </c>
      <c r="J223" s="17">
        <f t="shared" si="32"/>
        <v>20627.349999999999</v>
      </c>
      <c r="K223" s="17">
        <f t="shared" si="25"/>
        <v>1085.6500000000015</v>
      </c>
      <c r="L223" s="23">
        <f t="shared" si="31"/>
        <v>1085.6500000000001</v>
      </c>
      <c r="M223" s="23">
        <v>30</v>
      </c>
      <c r="N223" s="18">
        <f t="shared" si="26"/>
        <v>36.276712328767125</v>
      </c>
      <c r="O223" s="23">
        <v>20627.349999999999</v>
      </c>
      <c r="P223" s="18">
        <f t="shared" si="27"/>
        <v>37.276712328767125</v>
      </c>
      <c r="Q223" s="18">
        <f t="shared" si="30"/>
        <v>4.5474735088646414E-14</v>
      </c>
      <c r="R223" s="18">
        <f t="shared" si="28"/>
        <v>20627.349999999999</v>
      </c>
      <c r="S223" s="18">
        <f t="shared" si="34"/>
        <v>1085.6500000000015</v>
      </c>
    </row>
    <row r="224" spans="1:19" ht="15" customHeight="1" x14ac:dyDescent="0.2">
      <c r="A224" s="14">
        <f t="shared" si="29"/>
        <v>188</v>
      </c>
      <c r="B224" s="21" t="s">
        <v>204</v>
      </c>
      <c r="C224" s="15" t="s">
        <v>3</v>
      </c>
      <c r="D224" s="21" t="s">
        <v>56</v>
      </c>
      <c r="E224" s="21"/>
      <c r="F224" s="69" t="s">
        <v>4</v>
      </c>
      <c r="G224" s="9">
        <v>30682</v>
      </c>
      <c r="H224" s="26">
        <v>21360</v>
      </c>
      <c r="I224" s="17">
        <v>0</v>
      </c>
      <c r="J224" s="17">
        <f t="shared" si="32"/>
        <v>20292</v>
      </c>
      <c r="K224" s="17">
        <f t="shared" si="25"/>
        <v>1068</v>
      </c>
      <c r="L224" s="23">
        <f t="shared" si="31"/>
        <v>1068</v>
      </c>
      <c r="M224" s="23">
        <v>30</v>
      </c>
      <c r="N224" s="18">
        <f t="shared" si="26"/>
        <v>36.276712328767125</v>
      </c>
      <c r="O224" s="23">
        <v>20292</v>
      </c>
      <c r="P224" s="18">
        <f t="shared" si="27"/>
        <v>37.276712328767125</v>
      </c>
      <c r="Q224" s="18">
        <f t="shared" si="30"/>
        <v>0</v>
      </c>
      <c r="R224" s="18">
        <f t="shared" si="28"/>
        <v>20292</v>
      </c>
      <c r="S224" s="18">
        <f t="shared" si="34"/>
        <v>1068</v>
      </c>
    </row>
    <row r="225" spans="1:19" ht="15" customHeight="1" x14ac:dyDescent="0.2">
      <c r="A225" s="14">
        <f t="shared" si="29"/>
        <v>189</v>
      </c>
      <c r="B225" s="21" t="s">
        <v>205</v>
      </c>
      <c r="C225" s="15" t="s">
        <v>3</v>
      </c>
      <c r="D225" s="21" t="s">
        <v>56</v>
      </c>
      <c r="E225" s="21"/>
      <c r="F225" s="70" t="s">
        <v>7</v>
      </c>
      <c r="G225" s="9">
        <v>30682</v>
      </c>
      <c r="H225" s="26">
        <v>6746</v>
      </c>
      <c r="I225" s="17">
        <v>0</v>
      </c>
      <c r="J225" s="17">
        <f t="shared" si="32"/>
        <v>6408.7</v>
      </c>
      <c r="K225" s="17">
        <f t="shared" si="25"/>
        <v>337.30000000000018</v>
      </c>
      <c r="L225" s="23">
        <f t="shared" si="31"/>
        <v>337.3</v>
      </c>
      <c r="M225" s="23">
        <v>30</v>
      </c>
      <c r="N225" s="18">
        <f t="shared" si="26"/>
        <v>36.276712328767125</v>
      </c>
      <c r="O225" s="23">
        <v>6408.7</v>
      </c>
      <c r="P225" s="18">
        <f t="shared" si="27"/>
        <v>37.276712328767125</v>
      </c>
      <c r="Q225" s="18">
        <f t="shared" si="30"/>
        <v>5.6843418860808018E-15</v>
      </c>
      <c r="R225" s="18">
        <f t="shared" si="28"/>
        <v>6408.7</v>
      </c>
      <c r="S225" s="18">
        <f t="shared" si="34"/>
        <v>337.30000000000018</v>
      </c>
    </row>
    <row r="226" spans="1:19" ht="15" customHeight="1" x14ac:dyDescent="0.2">
      <c r="A226" s="14">
        <f t="shared" si="29"/>
        <v>190</v>
      </c>
      <c r="B226" s="21" t="s">
        <v>206</v>
      </c>
      <c r="C226" s="15" t="s">
        <v>3</v>
      </c>
      <c r="D226" s="21" t="s">
        <v>56</v>
      </c>
      <c r="E226" s="21"/>
      <c r="F226" s="69" t="s">
        <v>4</v>
      </c>
      <c r="G226" s="9">
        <v>30682</v>
      </c>
      <c r="H226" s="26">
        <v>6231</v>
      </c>
      <c r="I226" s="17">
        <v>0</v>
      </c>
      <c r="J226" s="17">
        <f t="shared" si="32"/>
        <v>5919.45</v>
      </c>
      <c r="K226" s="17">
        <f t="shared" si="25"/>
        <v>311.55000000000018</v>
      </c>
      <c r="L226" s="23">
        <f t="shared" si="31"/>
        <v>311.55</v>
      </c>
      <c r="M226" s="23">
        <v>30</v>
      </c>
      <c r="N226" s="18">
        <f t="shared" si="26"/>
        <v>36.276712328767125</v>
      </c>
      <c r="O226" s="23">
        <v>5919.45</v>
      </c>
      <c r="P226" s="18">
        <f t="shared" si="27"/>
        <v>37.276712328767125</v>
      </c>
      <c r="Q226" s="18">
        <f t="shared" si="30"/>
        <v>5.6843418860808018E-15</v>
      </c>
      <c r="R226" s="18">
        <f t="shared" si="28"/>
        <v>5919.45</v>
      </c>
      <c r="S226" s="18">
        <f t="shared" si="34"/>
        <v>311.55000000000018</v>
      </c>
    </row>
    <row r="227" spans="1:19" ht="15" customHeight="1" x14ac:dyDescent="0.2">
      <c r="A227" s="14">
        <f t="shared" si="29"/>
        <v>191</v>
      </c>
      <c r="B227" s="21" t="s">
        <v>207</v>
      </c>
      <c r="C227" s="15" t="s">
        <v>3</v>
      </c>
      <c r="D227" s="21" t="s">
        <v>56</v>
      </c>
      <c r="E227" s="21"/>
      <c r="F227" s="70" t="s">
        <v>7</v>
      </c>
      <c r="G227" s="9">
        <v>30682</v>
      </c>
      <c r="H227" s="26">
        <v>5598</v>
      </c>
      <c r="I227" s="17">
        <v>0</v>
      </c>
      <c r="J227" s="17">
        <f t="shared" si="32"/>
        <v>5318.1</v>
      </c>
      <c r="K227" s="17">
        <f t="shared" si="25"/>
        <v>279.89999999999964</v>
      </c>
      <c r="L227" s="23">
        <f t="shared" si="31"/>
        <v>279.90000000000003</v>
      </c>
      <c r="M227" s="23">
        <v>30</v>
      </c>
      <c r="N227" s="18">
        <f t="shared" si="26"/>
        <v>36.276712328767125</v>
      </c>
      <c r="O227" s="23">
        <v>5318.1</v>
      </c>
      <c r="P227" s="18">
        <f t="shared" si="27"/>
        <v>37.276712328767125</v>
      </c>
      <c r="Q227" s="18">
        <f t="shared" si="30"/>
        <v>-1.3263464400855204E-14</v>
      </c>
      <c r="R227" s="18">
        <f t="shared" si="28"/>
        <v>5318.1</v>
      </c>
      <c r="S227" s="18">
        <f t="shared" si="34"/>
        <v>279.89999999999964</v>
      </c>
    </row>
    <row r="228" spans="1:19" ht="15" customHeight="1" x14ac:dyDescent="0.2">
      <c r="A228" s="14">
        <f t="shared" si="29"/>
        <v>192</v>
      </c>
      <c r="B228" s="21" t="s">
        <v>208</v>
      </c>
      <c r="C228" s="15" t="s">
        <v>3</v>
      </c>
      <c r="D228" s="21" t="s">
        <v>56</v>
      </c>
      <c r="E228" s="21"/>
      <c r="F228" s="69" t="s">
        <v>4</v>
      </c>
      <c r="G228" s="9">
        <v>30682</v>
      </c>
      <c r="H228" s="26">
        <v>4826</v>
      </c>
      <c r="I228" s="17">
        <v>0</v>
      </c>
      <c r="J228" s="17">
        <f t="shared" si="32"/>
        <v>4584.7</v>
      </c>
      <c r="K228" s="17">
        <f t="shared" si="25"/>
        <v>241.30000000000018</v>
      </c>
      <c r="L228" s="23">
        <f t="shared" si="31"/>
        <v>241.3</v>
      </c>
      <c r="M228" s="23">
        <v>30</v>
      </c>
      <c r="N228" s="18">
        <f t="shared" si="26"/>
        <v>36.276712328767125</v>
      </c>
      <c r="O228" s="23">
        <v>4584.7</v>
      </c>
      <c r="P228" s="18">
        <f t="shared" si="27"/>
        <v>37.276712328767125</v>
      </c>
      <c r="Q228" s="18">
        <f t="shared" si="30"/>
        <v>5.6843418860808018E-15</v>
      </c>
      <c r="R228" s="18">
        <f t="shared" si="28"/>
        <v>4584.7</v>
      </c>
      <c r="S228" s="18">
        <f t="shared" si="34"/>
        <v>241.30000000000018</v>
      </c>
    </row>
    <row r="229" spans="1:19" ht="15" customHeight="1" x14ac:dyDescent="0.2">
      <c r="A229" s="14">
        <f t="shared" si="29"/>
        <v>193</v>
      </c>
      <c r="B229" s="21" t="s">
        <v>209</v>
      </c>
      <c r="C229" s="15" t="s">
        <v>3</v>
      </c>
      <c r="D229" s="21" t="s">
        <v>56</v>
      </c>
      <c r="E229" s="21"/>
      <c r="F229" s="69" t="s">
        <v>4</v>
      </c>
      <c r="G229" s="9">
        <v>30682</v>
      </c>
      <c r="H229" s="26">
        <v>3110</v>
      </c>
      <c r="I229" s="17">
        <v>0</v>
      </c>
      <c r="J229" s="17">
        <f t="shared" si="32"/>
        <v>2954.5</v>
      </c>
      <c r="K229" s="17">
        <f t="shared" ref="K229:K292" si="35">H229+I229-J229</f>
        <v>155.5</v>
      </c>
      <c r="L229" s="23">
        <f t="shared" si="31"/>
        <v>155.5</v>
      </c>
      <c r="M229" s="23">
        <v>30</v>
      </c>
      <c r="N229" s="18">
        <f t="shared" ref="N229:N292" si="36">IF(($N$35-G229+1)/365&gt;0,($N$35-G229+1)/365,0)</f>
        <v>36.276712328767125</v>
      </c>
      <c r="O229" s="23">
        <v>2954.5</v>
      </c>
      <c r="P229" s="18">
        <f t="shared" ref="P229:P292" si="37">($P$35-G229+1)/365</f>
        <v>37.276712328767125</v>
      </c>
      <c r="Q229" s="18">
        <f t="shared" si="30"/>
        <v>0</v>
      </c>
      <c r="R229" s="18">
        <f t="shared" ref="R229:R292" si="38">Q229+O229</f>
        <v>2954.5</v>
      </c>
      <c r="S229" s="18">
        <f t="shared" si="34"/>
        <v>155.5</v>
      </c>
    </row>
    <row r="230" spans="1:19" ht="15" customHeight="1" x14ac:dyDescent="0.2">
      <c r="A230" s="14">
        <f t="shared" si="29"/>
        <v>194</v>
      </c>
      <c r="B230" s="21" t="s">
        <v>210</v>
      </c>
      <c r="C230" s="15" t="s">
        <v>3</v>
      </c>
      <c r="D230" s="21" t="s">
        <v>56</v>
      </c>
      <c r="E230" s="21"/>
      <c r="F230" s="69" t="s">
        <v>4</v>
      </c>
      <c r="G230" s="9">
        <v>30682</v>
      </c>
      <c r="H230" s="26">
        <v>2480</v>
      </c>
      <c r="I230" s="17">
        <v>0</v>
      </c>
      <c r="J230" s="17">
        <f t="shared" si="32"/>
        <v>2356</v>
      </c>
      <c r="K230" s="17">
        <f t="shared" si="35"/>
        <v>124</v>
      </c>
      <c r="L230" s="23">
        <f t="shared" si="31"/>
        <v>124</v>
      </c>
      <c r="M230" s="23">
        <v>30</v>
      </c>
      <c r="N230" s="18">
        <f t="shared" si="36"/>
        <v>36.276712328767125</v>
      </c>
      <c r="O230" s="23">
        <v>2356</v>
      </c>
      <c r="P230" s="18">
        <f t="shared" si="37"/>
        <v>37.276712328767125</v>
      </c>
      <c r="Q230" s="18">
        <f t="shared" si="30"/>
        <v>0</v>
      </c>
      <c r="R230" s="18">
        <f t="shared" si="38"/>
        <v>2356</v>
      </c>
      <c r="S230" s="18">
        <f t="shared" si="34"/>
        <v>124</v>
      </c>
    </row>
    <row r="231" spans="1:19" ht="15" customHeight="1" x14ac:dyDescent="0.2">
      <c r="A231" s="14">
        <f t="shared" ref="A231:A294" si="39">+A230+1</f>
        <v>195</v>
      </c>
      <c r="B231" s="21" t="s">
        <v>211</v>
      </c>
      <c r="C231" s="15" t="s">
        <v>3</v>
      </c>
      <c r="D231" s="21" t="s">
        <v>56</v>
      </c>
      <c r="E231" s="21"/>
      <c r="F231" s="69" t="s">
        <v>4</v>
      </c>
      <c r="G231" s="9">
        <v>30682</v>
      </c>
      <c r="H231" s="26">
        <v>1874</v>
      </c>
      <c r="I231" s="17">
        <v>0</v>
      </c>
      <c r="J231" s="17">
        <f t="shared" si="32"/>
        <v>1780.3</v>
      </c>
      <c r="K231" s="17">
        <f t="shared" si="35"/>
        <v>93.700000000000045</v>
      </c>
      <c r="L231" s="23">
        <f t="shared" si="31"/>
        <v>93.7</v>
      </c>
      <c r="M231" s="23">
        <v>30</v>
      </c>
      <c r="N231" s="18">
        <f t="shared" si="36"/>
        <v>36.276712328767125</v>
      </c>
      <c r="O231" s="23">
        <v>1780.3</v>
      </c>
      <c r="P231" s="18">
        <f t="shared" si="37"/>
        <v>37.276712328767125</v>
      </c>
      <c r="Q231" s="18">
        <f t="shared" si="30"/>
        <v>1.4210854715202005E-15</v>
      </c>
      <c r="R231" s="18">
        <f t="shared" si="38"/>
        <v>1780.3</v>
      </c>
      <c r="S231" s="18">
        <f t="shared" si="34"/>
        <v>93.700000000000045</v>
      </c>
    </row>
    <row r="232" spans="1:19" ht="15" customHeight="1" x14ac:dyDescent="0.2">
      <c r="A232" s="14">
        <f t="shared" si="39"/>
        <v>196</v>
      </c>
      <c r="B232" s="21" t="s">
        <v>212</v>
      </c>
      <c r="C232" s="15" t="s">
        <v>3</v>
      </c>
      <c r="D232" s="21" t="s">
        <v>56</v>
      </c>
      <c r="E232" s="21"/>
      <c r="F232" s="69" t="s">
        <v>6</v>
      </c>
      <c r="G232" s="9">
        <v>19725</v>
      </c>
      <c r="H232" s="26">
        <v>35485</v>
      </c>
      <c r="I232" s="17">
        <v>0</v>
      </c>
      <c r="J232" s="17">
        <f t="shared" si="32"/>
        <v>33710.75</v>
      </c>
      <c r="K232" s="17">
        <f t="shared" si="35"/>
        <v>1774.25</v>
      </c>
      <c r="L232" s="23">
        <f t="shared" si="31"/>
        <v>1774.25</v>
      </c>
      <c r="M232" s="23">
        <v>60</v>
      </c>
      <c r="N232" s="18">
        <f t="shared" si="36"/>
        <v>66.295890410958904</v>
      </c>
      <c r="O232" s="23">
        <v>33710.75</v>
      </c>
      <c r="P232" s="18">
        <f t="shared" si="37"/>
        <v>67.295890410958904</v>
      </c>
      <c r="Q232" s="18">
        <f t="shared" si="30"/>
        <v>0</v>
      </c>
      <c r="R232" s="18">
        <f t="shared" si="38"/>
        <v>33710.75</v>
      </c>
      <c r="S232" s="18">
        <f t="shared" si="34"/>
        <v>1774.25</v>
      </c>
    </row>
    <row r="233" spans="1:19" ht="15" customHeight="1" x14ac:dyDescent="0.2">
      <c r="A233" s="14">
        <f t="shared" si="39"/>
        <v>197</v>
      </c>
      <c r="B233" s="21" t="s">
        <v>213</v>
      </c>
      <c r="C233" s="15" t="s">
        <v>3</v>
      </c>
      <c r="D233" s="21" t="s">
        <v>56</v>
      </c>
      <c r="E233" s="21"/>
      <c r="F233" s="69" t="s">
        <v>4</v>
      </c>
      <c r="G233" s="9">
        <v>39779</v>
      </c>
      <c r="H233" s="26">
        <v>1063242.03</v>
      </c>
      <c r="I233" s="17">
        <v>0</v>
      </c>
      <c r="J233" s="17">
        <f>H233-L233</f>
        <v>1010079.9285</v>
      </c>
      <c r="K233" s="17">
        <f t="shared" si="35"/>
        <v>53162.10149999999</v>
      </c>
      <c r="L233" s="23">
        <f t="shared" si="31"/>
        <v>53162.101500000004</v>
      </c>
      <c r="M233" s="23">
        <v>5</v>
      </c>
      <c r="N233" s="18">
        <f t="shared" si="36"/>
        <v>11.353424657534246</v>
      </c>
      <c r="O233" s="23">
        <v>1010079.9285</v>
      </c>
      <c r="P233" s="18">
        <f t="shared" si="37"/>
        <v>12.353424657534246</v>
      </c>
      <c r="Q233" s="18">
        <f t="shared" si="30"/>
        <v>-2.9103830456733705E-12</v>
      </c>
      <c r="R233" s="18">
        <f t="shared" si="38"/>
        <v>1010079.9285</v>
      </c>
      <c r="S233" s="18">
        <f t="shared" si="34"/>
        <v>53162.10149999999</v>
      </c>
    </row>
    <row r="234" spans="1:19" ht="15" customHeight="1" x14ac:dyDescent="0.2">
      <c r="A234" s="14">
        <f t="shared" si="39"/>
        <v>198</v>
      </c>
      <c r="B234" s="21" t="s">
        <v>214</v>
      </c>
      <c r="C234" s="15" t="s">
        <v>3</v>
      </c>
      <c r="D234" s="21" t="s">
        <v>56</v>
      </c>
      <c r="E234" s="21"/>
      <c r="F234" s="69" t="s">
        <v>4</v>
      </c>
      <c r="G234" s="9">
        <v>30317</v>
      </c>
      <c r="H234" s="26">
        <v>52203</v>
      </c>
      <c r="I234" s="17">
        <v>0</v>
      </c>
      <c r="J234" s="17">
        <f t="shared" si="32"/>
        <v>49592.85</v>
      </c>
      <c r="K234" s="17">
        <f t="shared" si="35"/>
        <v>2610.1500000000015</v>
      </c>
      <c r="L234" s="23">
        <f t="shared" si="31"/>
        <v>2610.15</v>
      </c>
      <c r="M234" s="23">
        <v>30</v>
      </c>
      <c r="N234" s="18">
        <f t="shared" si="36"/>
        <v>37.276712328767125</v>
      </c>
      <c r="O234" s="23">
        <v>49592.85</v>
      </c>
      <c r="P234" s="18">
        <f t="shared" si="37"/>
        <v>38.276712328767125</v>
      </c>
      <c r="Q234" s="18">
        <f t="shared" si="30"/>
        <v>4.5474735088646414E-14</v>
      </c>
      <c r="R234" s="18">
        <f t="shared" si="38"/>
        <v>49592.85</v>
      </c>
      <c r="S234" s="18">
        <f t="shared" si="34"/>
        <v>2610.1500000000015</v>
      </c>
    </row>
    <row r="235" spans="1:19" ht="15" customHeight="1" x14ac:dyDescent="0.2">
      <c r="A235" s="14">
        <f t="shared" si="39"/>
        <v>199</v>
      </c>
      <c r="B235" s="21" t="s">
        <v>215</v>
      </c>
      <c r="C235" s="15" t="s">
        <v>3</v>
      </c>
      <c r="D235" s="21" t="s">
        <v>56</v>
      </c>
      <c r="E235" s="21"/>
      <c r="F235" s="70" t="s">
        <v>7</v>
      </c>
      <c r="G235" s="9">
        <v>30317</v>
      </c>
      <c r="H235" s="26">
        <v>38130</v>
      </c>
      <c r="I235" s="17">
        <v>0</v>
      </c>
      <c r="J235" s="17">
        <f t="shared" si="32"/>
        <v>36223.5</v>
      </c>
      <c r="K235" s="17">
        <f t="shared" si="35"/>
        <v>1906.5</v>
      </c>
      <c r="L235" s="23">
        <f t="shared" si="31"/>
        <v>1906.5</v>
      </c>
      <c r="M235" s="23">
        <v>30</v>
      </c>
      <c r="N235" s="18">
        <f t="shared" si="36"/>
        <v>37.276712328767125</v>
      </c>
      <c r="O235" s="23">
        <v>36223.5</v>
      </c>
      <c r="P235" s="18">
        <f t="shared" si="37"/>
        <v>38.276712328767125</v>
      </c>
      <c r="Q235" s="18">
        <f t="shared" si="30"/>
        <v>0</v>
      </c>
      <c r="R235" s="18">
        <f t="shared" si="38"/>
        <v>36223.5</v>
      </c>
      <c r="S235" s="18">
        <f t="shared" si="34"/>
        <v>1906.5</v>
      </c>
    </row>
    <row r="236" spans="1:19" ht="15" customHeight="1" x14ac:dyDescent="0.2">
      <c r="A236" s="14">
        <f t="shared" si="39"/>
        <v>200</v>
      </c>
      <c r="B236" s="21" t="s">
        <v>216</v>
      </c>
      <c r="C236" s="15" t="s">
        <v>3</v>
      </c>
      <c r="D236" s="21" t="s">
        <v>56</v>
      </c>
      <c r="E236" s="21"/>
      <c r="F236" s="69" t="s">
        <v>4</v>
      </c>
      <c r="G236" s="9">
        <v>30317</v>
      </c>
      <c r="H236" s="26">
        <v>1397</v>
      </c>
      <c r="I236" s="17">
        <v>0</v>
      </c>
      <c r="J236" s="17">
        <f t="shared" si="32"/>
        <v>1327.15</v>
      </c>
      <c r="K236" s="17">
        <f t="shared" si="35"/>
        <v>69.849999999999909</v>
      </c>
      <c r="L236" s="23">
        <f t="shared" si="31"/>
        <v>69.850000000000009</v>
      </c>
      <c r="M236" s="23">
        <v>30</v>
      </c>
      <c r="N236" s="18">
        <f t="shared" si="36"/>
        <v>37.276712328767125</v>
      </c>
      <c r="O236" s="23">
        <v>1327.15</v>
      </c>
      <c r="P236" s="18">
        <f t="shared" si="37"/>
        <v>38.276712328767125</v>
      </c>
      <c r="Q236" s="18">
        <f t="shared" si="30"/>
        <v>-3.3158661002138009E-15</v>
      </c>
      <c r="R236" s="18">
        <f t="shared" si="38"/>
        <v>1327.15</v>
      </c>
      <c r="S236" s="18">
        <f t="shared" si="34"/>
        <v>69.849999999999909</v>
      </c>
    </row>
    <row r="237" spans="1:19" ht="15" customHeight="1" x14ac:dyDescent="0.2">
      <c r="A237" s="14">
        <f t="shared" si="39"/>
        <v>201</v>
      </c>
      <c r="B237" s="21" t="s">
        <v>212</v>
      </c>
      <c r="C237" s="15" t="s">
        <v>3</v>
      </c>
      <c r="D237" s="21" t="s">
        <v>56</v>
      </c>
      <c r="E237" s="21"/>
      <c r="F237" s="69" t="s">
        <v>6</v>
      </c>
      <c r="G237" s="9">
        <v>19360</v>
      </c>
      <c r="H237" s="26">
        <v>14892</v>
      </c>
      <c r="I237" s="17">
        <v>0</v>
      </c>
      <c r="J237" s="17">
        <f t="shared" si="32"/>
        <v>14147.4</v>
      </c>
      <c r="K237" s="17">
        <f t="shared" si="35"/>
        <v>744.60000000000036</v>
      </c>
      <c r="L237" s="23">
        <f t="shared" si="31"/>
        <v>744.6</v>
      </c>
      <c r="M237" s="23">
        <v>60</v>
      </c>
      <c r="N237" s="18">
        <f t="shared" si="36"/>
        <v>67.295890410958904</v>
      </c>
      <c r="O237" s="23">
        <v>14147.4</v>
      </c>
      <c r="P237" s="18">
        <f t="shared" si="37"/>
        <v>68.295890410958904</v>
      </c>
      <c r="Q237" s="18">
        <f t="shared" si="30"/>
        <v>5.6843418860808018E-15</v>
      </c>
      <c r="R237" s="18">
        <f t="shared" si="38"/>
        <v>14147.4</v>
      </c>
      <c r="S237" s="18">
        <f t="shared" si="34"/>
        <v>744.60000000000036</v>
      </c>
    </row>
    <row r="238" spans="1:19" ht="15" customHeight="1" x14ac:dyDescent="0.2">
      <c r="A238" s="14">
        <f t="shared" si="39"/>
        <v>202</v>
      </c>
      <c r="B238" s="21" t="s">
        <v>217</v>
      </c>
      <c r="C238" s="15" t="s">
        <v>3</v>
      </c>
      <c r="D238" s="21" t="s">
        <v>56</v>
      </c>
      <c r="E238" s="21"/>
      <c r="F238" s="69" t="s">
        <v>4</v>
      </c>
      <c r="G238" s="9">
        <v>29952</v>
      </c>
      <c r="H238" s="26">
        <v>5288</v>
      </c>
      <c r="I238" s="17">
        <v>0</v>
      </c>
      <c r="J238" s="17">
        <f t="shared" si="32"/>
        <v>5023.6000000000004</v>
      </c>
      <c r="K238" s="17">
        <f t="shared" si="35"/>
        <v>264.39999999999964</v>
      </c>
      <c r="L238" s="23">
        <f t="shared" si="31"/>
        <v>264.40000000000003</v>
      </c>
      <c r="M238" s="23">
        <v>30</v>
      </c>
      <c r="N238" s="18">
        <f t="shared" si="36"/>
        <v>38.276712328767125</v>
      </c>
      <c r="O238" s="23">
        <v>5023.6000000000004</v>
      </c>
      <c r="P238" s="18">
        <f t="shared" si="37"/>
        <v>39.276712328767125</v>
      </c>
      <c r="Q238" s="18">
        <f t="shared" si="30"/>
        <v>-1.3263464400855204E-14</v>
      </c>
      <c r="R238" s="18">
        <f t="shared" si="38"/>
        <v>5023.6000000000004</v>
      </c>
      <c r="S238" s="18">
        <f t="shared" si="34"/>
        <v>264.39999999999964</v>
      </c>
    </row>
    <row r="239" spans="1:19" ht="15" customHeight="1" x14ac:dyDescent="0.2">
      <c r="A239" s="14">
        <f t="shared" si="39"/>
        <v>203</v>
      </c>
      <c r="B239" s="21" t="s">
        <v>218</v>
      </c>
      <c r="C239" s="15" t="s">
        <v>3</v>
      </c>
      <c r="D239" s="21" t="s">
        <v>56</v>
      </c>
      <c r="E239" s="21"/>
      <c r="F239" s="69" t="s">
        <v>4</v>
      </c>
      <c r="G239" s="9">
        <v>29952</v>
      </c>
      <c r="H239" s="26">
        <v>5247</v>
      </c>
      <c r="I239" s="17">
        <v>0</v>
      </c>
      <c r="J239" s="17">
        <f t="shared" si="32"/>
        <v>4984.6499999999996</v>
      </c>
      <c r="K239" s="17">
        <f t="shared" si="35"/>
        <v>262.35000000000036</v>
      </c>
      <c r="L239" s="23">
        <f t="shared" si="31"/>
        <v>262.35000000000002</v>
      </c>
      <c r="M239" s="23">
        <v>30</v>
      </c>
      <c r="N239" s="18">
        <f t="shared" si="36"/>
        <v>38.276712328767125</v>
      </c>
      <c r="O239" s="23">
        <v>4984.6499999999996</v>
      </c>
      <c r="P239" s="18">
        <f t="shared" si="37"/>
        <v>39.276712328767125</v>
      </c>
      <c r="Q239" s="18">
        <f t="shared" si="30"/>
        <v>1.1368683772161604E-14</v>
      </c>
      <c r="R239" s="18">
        <f t="shared" si="38"/>
        <v>4984.6499999999996</v>
      </c>
      <c r="S239" s="18">
        <f>+IF(N239&gt;P239,0,L239)</f>
        <v>262.35000000000002</v>
      </c>
    </row>
    <row r="240" spans="1:19" ht="15" customHeight="1" x14ac:dyDescent="0.2">
      <c r="A240" s="14">
        <f t="shared" si="39"/>
        <v>204</v>
      </c>
      <c r="B240" s="21" t="s">
        <v>219</v>
      </c>
      <c r="C240" s="15" t="s">
        <v>3</v>
      </c>
      <c r="D240" s="21" t="s">
        <v>56</v>
      </c>
      <c r="E240" s="21"/>
      <c r="F240" s="69" t="s">
        <v>4</v>
      </c>
      <c r="G240" s="9">
        <v>29952</v>
      </c>
      <c r="H240" s="26">
        <v>3510</v>
      </c>
      <c r="I240" s="17">
        <v>0</v>
      </c>
      <c r="J240" s="17">
        <f t="shared" si="32"/>
        <v>3334.5</v>
      </c>
      <c r="K240" s="17">
        <f t="shared" si="35"/>
        <v>175.5</v>
      </c>
      <c r="L240" s="23">
        <f t="shared" si="31"/>
        <v>175.5</v>
      </c>
      <c r="M240" s="23">
        <v>30</v>
      </c>
      <c r="N240" s="18">
        <f t="shared" si="36"/>
        <v>38.276712328767125</v>
      </c>
      <c r="O240" s="23">
        <v>3334.5</v>
      </c>
      <c r="P240" s="18">
        <f t="shared" si="37"/>
        <v>39.276712328767125</v>
      </c>
      <c r="Q240" s="18">
        <f t="shared" si="30"/>
        <v>0</v>
      </c>
      <c r="R240" s="18">
        <f t="shared" si="38"/>
        <v>3334.5</v>
      </c>
      <c r="S240" s="18">
        <f t="shared" ref="S240:S247" si="40">H240-R240</f>
        <v>175.5</v>
      </c>
    </row>
    <row r="241" spans="1:19" ht="15" customHeight="1" x14ac:dyDescent="0.2">
      <c r="A241" s="14">
        <f t="shared" si="39"/>
        <v>205</v>
      </c>
      <c r="B241" s="21" t="s">
        <v>220</v>
      </c>
      <c r="C241" s="15" t="s">
        <v>3</v>
      </c>
      <c r="D241" s="21" t="s">
        <v>56</v>
      </c>
      <c r="E241" s="21"/>
      <c r="F241" s="69" t="s">
        <v>4</v>
      </c>
      <c r="G241" s="9">
        <v>29952</v>
      </c>
      <c r="H241" s="26">
        <v>1725</v>
      </c>
      <c r="I241" s="17">
        <v>0</v>
      </c>
      <c r="J241" s="17">
        <f t="shared" si="32"/>
        <v>1638.75</v>
      </c>
      <c r="K241" s="17">
        <f t="shared" si="35"/>
        <v>86.25</v>
      </c>
      <c r="L241" s="23">
        <f t="shared" si="31"/>
        <v>86.25</v>
      </c>
      <c r="M241" s="23">
        <v>30</v>
      </c>
      <c r="N241" s="18">
        <f t="shared" si="36"/>
        <v>38.276712328767125</v>
      </c>
      <c r="O241" s="23">
        <v>1638.75</v>
      </c>
      <c r="P241" s="18">
        <f t="shared" si="37"/>
        <v>39.276712328767125</v>
      </c>
      <c r="Q241" s="18">
        <f t="shared" si="30"/>
        <v>0</v>
      </c>
      <c r="R241" s="18">
        <f t="shared" si="38"/>
        <v>1638.75</v>
      </c>
      <c r="S241" s="18">
        <f t="shared" si="40"/>
        <v>86.25</v>
      </c>
    </row>
    <row r="242" spans="1:19" ht="15" customHeight="1" x14ac:dyDescent="0.2">
      <c r="A242" s="14">
        <f t="shared" si="39"/>
        <v>206</v>
      </c>
      <c r="B242" s="21" t="s">
        <v>221</v>
      </c>
      <c r="C242" s="15" t="s">
        <v>3</v>
      </c>
      <c r="D242" s="21" t="s">
        <v>56</v>
      </c>
      <c r="E242" s="21"/>
      <c r="F242" s="69" t="s">
        <v>4</v>
      </c>
      <c r="G242" s="9">
        <v>29587</v>
      </c>
      <c r="H242" s="26">
        <v>110154</v>
      </c>
      <c r="I242" s="17">
        <v>0</v>
      </c>
      <c r="J242" s="17">
        <f t="shared" si="32"/>
        <v>104646.3</v>
      </c>
      <c r="K242" s="17">
        <f t="shared" si="35"/>
        <v>5507.6999999999971</v>
      </c>
      <c r="L242" s="23">
        <f t="shared" si="31"/>
        <v>5507.7000000000007</v>
      </c>
      <c r="M242" s="23">
        <v>30</v>
      </c>
      <c r="N242" s="18">
        <f t="shared" si="36"/>
        <v>39.276712328767125</v>
      </c>
      <c r="O242" s="23">
        <v>104646.3</v>
      </c>
      <c r="P242" s="18">
        <f t="shared" si="37"/>
        <v>40.276712328767125</v>
      </c>
      <c r="Q242" s="18">
        <f t="shared" si="30"/>
        <v>-1.2126596023639043E-13</v>
      </c>
      <c r="R242" s="18">
        <f t="shared" si="38"/>
        <v>104646.3</v>
      </c>
      <c r="S242" s="18">
        <f t="shared" si="40"/>
        <v>5507.6999999999971</v>
      </c>
    </row>
    <row r="243" spans="1:19" ht="15" customHeight="1" x14ac:dyDescent="0.2">
      <c r="A243" s="14">
        <f t="shared" si="39"/>
        <v>207</v>
      </c>
      <c r="B243" s="21" t="s">
        <v>222</v>
      </c>
      <c r="C243" s="15" t="s">
        <v>3</v>
      </c>
      <c r="D243" s="21" t="s">
        <v>56</v>
      </c>
      <c r="E243" s="21"/>
      <c r="F243" s="69" t="s">
        <v>4</v>
      </c>
      <c r="G243" s="9">
        <v>29587</v>
      </c>
      <c r="H243" s="26">
        <v>18080</v>
      </c>
      <c r="I243" s="17">
        <v>0</v>
      </c>
      <c r="J243" s="17">
        <f t="shared" si="32"/>
        <v>17176</v>
      </c>
      <c r="K243" s="17">
        <f t="shared" si="35"/>
        <v>904</v>
      </c>
      <c r="L243" s="23">
        <f t="shared" si="31"/>
        <v>904</v>
      </c>
      <c r="M243" s="23">
        <v>30</v>
      </c>
      <c r="N243" s="18">
        <f t="shared" si="36"/>
        <v>39.276712328767125</v>
      </c>
      <c r="O243" s="23">
        <v>17176</v>
      </c>
      <c r="P243" s="18">
        <f t="shared" si="37"/>
        <v>40.276712328767125</v>
      </c>
      <c r="Q243" s="18">
        <f t="shared" si="30"/>
        <v>0</v>
      </c>
      <c r="R243" s="18">
        <f t="shared" si="38"/>
        <v>17176</v>
      </c>
      <c r="S243" s="18">
        <f t="shared" si="40"/>
        <v>904</v>
      </c>
    </row>
    <row r="244" spans="1:19" ht="15" customHeight="1" x14ac:dyDescent="0.2">
      <c r="A244" s="14">
        <f t="shared" si="39"/>
        <v>208</v>
      </c>
      <c r="B244" s="21" t="s">
        <v>166</v>
      </c>
      <c r="C244" s="15" t="s">
        <v>3</v>
      </c>
      <c r="D244" s="21" t="s">
        <v>56</v>
      </c>
      <c r="E244" s="21"/>
      <c r="F244" s="70" t="s">
        <v>7</v>
      </c>
      <c r="G244" s="9">
        <v>29587</v>
      </c>
      <c r="H244" s="26">
        <v>9373</v>
      </c>
      <c r="I244" s="17">
        <v>0</v>
      </c>
      <c r="J244" s="17">
        <f t="shared" si="32"/>
        <v>8904.35</v>
      </c>
      <c r="K244" s="17">
        <f t="shared" si="35"/>
        <v>468.64999999999964</v>
      </c>
      <c r="L244" s="23">
        <f t="shared" si="31"/>
        <v>468.65000000000003</v>
      </c>
      <c r="M244" s="23">
        <v>30</v>
      </c>
      <c r="N244" s="18">
        <f t="shared" si="36"/>
        <v>39.276712328767125</v>
      </c>
      <c r="O244" s="23">
        <v>8904.35</v>
      </c>
      <c r="P244" s="18">
        <f t="shared" si="37"/>
        <v>40.276712328767125</v>
      </c>
      <c r="Q244" s="18">
        <f t="shared" si="30"/>
        <v>-1.3263464400855204E-14</v>
      </c>
      <c r="R244" s="18">
        <f t="shared" si="38"/>
        <v>8904.35</v>
      </c>
      <c r="S244" s="18">
        <f t="shared" si="40"/>
        <v>468.64999999999964</v>
      </c>
    </row>
    <row r="245" spans="1:19" ht="15" customHeight="1" x14ac:dyDescent="0.2">
      <c r="A245" s="14">
        <f t="shared" si="39"/>
        <v>209</v>
      </c>
      <c r="B245" s="21" t="s">
        <v>223</v>
      </c>
      <c r="C245" s="15" t="s">
        <v>3</v>
      </c>
      <c r="D245" s="21" t="s">
        <v>56</v>
      </c>
      <c r="E245" s="21"/>
      <c r="F245" s="69" t="s">
        <v>6</v>
      </c>
      <c r="G245" s="9">
        <v>29587</v>
      </c>
      <c r="H245" s="26">
        <v>7173</v>
      </c>
      <c r="I245" s="17">
        <v>0</v>
      </c>
      <c r="J245" s="17">
        <f t="shared" si="32"/>
        <v>6814.35</v>
      </c>
      <c r="K245" s="17">
        <f t="shared" si="35"/>
        <v>358.64999999999964</v>
      </c>
      <c r="L245" s="23">
        <f t="shared" si="31"/>
        <v>358.65000000000003</v>
      </c>
      <c r="M245" s="23">
        <v>30</v>
      </c>
      <c r="N245" s="18">
        <f t="shared" si="36"/>
        <v>39.276712328767125</v>
      </c>
      <c r="O245" s="23">
        <v>6814.35</v>
      </c>
      <c r="P245" s="18">
        <f t="shared" si="37"/>
        <v>40.276712328767125</v>
      </c>
      <c r="Q245" s="18">
        <f t="shared" si="30"/>
        <v>-1.3263464400855204E-14</v>
      </c>
      <c r="R245" s="18">
        <f t="shared" si="38"/>
        <v>6814.35</v>
      </c>
      <c r="S245" s="18">
        <f t="shared" si="40"/>
        <v>358.64999999999964</v>
      </c>
    </row>
    <row r="246" spans="1:19" ht="15" customHeight="1" x14ac:dyDescent="0.2">
      <c r="A246" s="14">
        <f t="shared" si="39"/>
        <v>210</v>
      </c>
      <c r="B246" s="21" t="s">
        <v>224</v>
      </c>
      <c r="C246" s="15" t="s">
        <v>3</v>
      </c>
      <c r="D246" s="21" t="s">
        <v>56</v>
      </c>
      <c r="E246" s="21"/>
      <c r="F246" s="70" t="s">
        <v>7</v>
      </c>
      <c r="G246" s="9">
        <v>29587</v>
      </c>
      <c r="H246" s="26">
        <v>6975</v>
      </c>
      <c r="I246" s="17">
        <v>0</v>
      </c>
      <c r="J246" s="17">
        <f t="shared" si="32"/>
        <v>6626.25</v>
      </c>
      <c r="K246" s="17">
        <f t="shared" si="35"/>
        <v>348.75</v>
      </c>
      <c r="L246" s="23">
        <f t="shared" si="31"/>
        <v>348.75</v>
      </c>
      <c r="M246" s="23">
        <v>30</v>
      </c>
      <c r="N246" s="18">
        <f t="shared" si="36"/>
        <v>39.276712328767125</v>
      </c>
      <c r="O246" s="23">
        <v>6626.25</v>
      </c>
      <c r="P246" s="18">
        <f t="shared" si="37"/>
        <v>40.276712328767125</v>
      </c>
      <c r="Q246" s="18">
        <f t="shared" si="30"/>
        <v>0</v>
      </c>
      <c r="R246" s="18">
        <f t="shared" si="38"/>
        <v>6626.25</v>
      </c>
      <c r="S246" s="18">
        <f t="shared" si="40"/>
        <v>348.75</v>
      </c>
    </row>
    <row r="247" spans="1:19" ht="15" customHeight="1" x14ac:dyDescent="0.2">
      <c r="A247" s="14">
        <f t="shared" si="39"/>
        <v>211</v>
      </c>
      <c r="B247" s="21" t="s">
        <v>225</v>
      </c>
      <c r="C247" s="15" t="s">
        <v>3</v>
      </c>
      <c r="D247" s="21" t="s">
        <v>56</v>
      </c>
      <c r="E247" s="21"/>
      <c r="F247" s="69" t="s">
        <v>4</v>
      </c>
      <c r="G247" s="9">
        <v>29587</v>
      </c>
      <c r="H247" s="26">
        <v>6070</v>
      </c>
      <c r="I247" s="17">
        <v>0</v>
      </c>
      <c r="J247" s="17">
        <f t="shared" si="32"/>
        <v>5766.5</v>
      </c>
      <c r="K247" s="17">
        <f t="shared" si="35"/>
        <v>303.5</v>
      </c>
      <c r="L247" s="23">
        <f t="shared" si="31"/>
        <v>303.5</v>
      </c>
      <c r="M247" s="23">
        <v>30</v>
      </c>
      <c r="N247" s="18">
        <f t="shared" si="36"/>
        <v>39.276712328767125</v>
      </c>
      <c r="O247" s="23">
        <v>5766.5</v>
      </c>
      <c r="P247" s="18">
        <f t="shared" si="37"/>
        <v>40.276712328767125</v>
      </c>
      <c r="Q247" s="18">
        <f t="shared" ref="Q247:Q310" si="41">(P247-N247)/M247*(K247-L247)</f>
        <v>0</v>
      </c>
      <c r="R247" s="18">
        <f t="shared" si="38"/>
        <v>5766.5</v>
      </c>
      <c r="S247" s="18">
        <f t="shared" si="40"/>
        <v>303.5</v>
      </c>
    </row>
    <row r="248" spans="1:19" ht="15" customHeight="1" x14ac:dyDescent="0.2">
      <c r="A248" s="14">
        <f t="shared" si="39"/>
        <v>212</v>
      </c>
      <c r="B248" s="21" t="s">
        <v>226</v>
      </c>
      <c r="C248" s="15" t="s">
        <v>3</v>
      </c>
      <c r="D248" s="21" t="s">
        <v>56</v>
      </c>
      <c r="E248" s="21"/>
      <c r="F248" s="69" t="s">
        <v>4</v>
      </c>
      <c r="G248" s="9">
        <v>29587</v>
      </c>
      <c r="H248" s="26">
        <v>4856</v>
      </c>
      <c r="I248" s="17">
        <v>0</v>
      </c>
      <c r="J248" s="17">
        <f t="shared" si="32"/>
        <v>4613.2</v>
      </c>
      <c r="K248" s="17">
        <f t="shared" si="35"/>
        <v>242.80000000000018</v>
      </c>
      <c r="L248" s="23">
        <f t="shared" ref="L248:L311" si="42">H248*0.05</f>
        <v>242.8</v>
      </c>
      <c r="M248" s="23">
        <v>30</v>
      </c>
      <c r="N248" s="18">
        <f t="shared" si="36"/>
        <v>39.276712328767125</v>
      </c>
      <c r="O248" s="23">
        <v>4613.2</v>
      </c>
      <c r="P248" s="18">
        <f t="shared" si="37"/>
        <v>40.276712328767125</v>
      </c>
      <c r="Q248" s="18">
        <f t="shared" si="41"/>
        <v>5.6843418860808018E-15</v>
      </c>
      <c r="R248" s="18">
        <f t="shared" si="38"/>
        <v>4613.2</v>
      </c>
      <c r="S248" s="18">
        <f>+IF(N248&gt;P248,0,L248)</f>
        <v>242.8</v>
      </c>
    </row>
    <row r="249" spans="1:19" ht="15" customHeight="1" x14ac:dyDescent="0.2">
      <c r="A249" s="14">
        <f t="shared" si="39"/>
        <v>213</v>
      </c>
      <c r="B249" s="21" t="s">
        <v>227</v>
      </c>
      <c r="C249" s="15" t="s">
        <v>3</v>
      </c>
      <c r="D249" s="21" t="s">
        <v>56</v>
      </c>
      <c r="E249" s="21"/>
      <c r="F249" s="69" t="s">
        <v>12</v>
      </c>
      <c r="G249" s="9">
        <v>29587</v>
      </c>
      <c r="H249" s="26">
        <v>1205</v>
      </c>
      <c r="I249" s="17">
        <v>0</v>
      </c>
      <c r="J249" s="17">
        <f t="shared" ref="J249:J312" si="43">H249-L249</f>
        <v>1144.75</v>
      </c>
      <c r="K249" s="17">
        <f t="shared" si="35"/>
        <v>60.25</v>
      </c>
      <c r="L249" s="23">
        <f t="shared" si="42"/>
        <v>60.25</v>
      </c>
      <c r="M249" s="23">
        <v>30</v>
      </c>
      <c r="N249" s="18">
        <f t="shared" si="36"/>
        <v>39.276712328767125</v>
      </c>
      <c r="O249" s="23">
        <v>1144.75</v>
      </c>
      <c r="P249" s="18">
        <f t="shared" si="37"/>
        <v>40.276712328767125</v>
      </c>
      <c r="Q249" s="18">
        <f t="shared" si="41"/>
        <v>0</v>
      </c>
      <c r="R249" s="18">
        <f t="shared" si="38"/>
        <v>1144.75</v>
      </c>
      <c r="S249" s="18">
        <f>H249-R249</f>
        <v>60.25</v>
      </c>
    </row>
    <row r="250" spans="1:19" ht="15" customHeight="1" x14ac:dyDescent="0.2">
      <c r="A250" s="14">
        <f t="shared" si="39"/>
        <v>214</v>
      </c>
      <c r="B250" s="21" t="s">
        <v>228</v>
      </c>
      <c r="C250" s="15" t="s">
        <v>3</v>
      </c>
      <c r="D250" s="21" t="s">
        <v>56</v>
      </c>
      <c r="E250" s="21"/>
      <c r="F250" s="69" t="s">
        <v>6</v>
      </c>
      <c r="G250" s="9">
        <v>38533</v>
      </c>
      <c r="H250" s="26">
        <v>413066.27</v>
      </c>
      <c r="I250" s="17">
        <v>0</v>
      </c>
      <c r="J250" s="17">
        <f t="shared" si="43"/>
        <v>392412.95650000003</v>
      </c>
      <c r="K250" s="17">
        <f t="shared" si="35"/>
        <v>20653.313499999989</v>
      </c>
      <c r="L250" s="23">
        <f t="shared" si="42"/>
        <v>20653.313500000004</v>
      </c>
      <c r="M250" s="23">
        <v>5</v>
      </c>
      <c r="N250" s="18">
        <f t="shared" si="36"/>
        <v>14.767123287671232</v>
      </c>
      <c r="O250" s="23">
        <v>392412.95650000003</v>
      </c>
      <c r="P250" s="18">
        <f t="shared" si="37"/>
        <v>15.767123287671232</v>
      </c>
      <c r="Q250" s="18">
        <f t="shared" si="41"/>
        <v>-2.9103830456733705E-12</v>
      </c>
      <c r="R250" s="18">
        <f t="shared" si="38"/>
        <v>392412.95650000003</v>
      </c>
      <c r="S250" s="18">
        <f>H250-R250</f>
        <v>20653.313499999989</v>
      </c>
    </row>
    <row r="251" spans="1:19" ht="15" customHeight="1" x14ac:dyDescent="0.2">
      <c r="A251" s="14">
        <f t="shared" si="39"/>
        <v>215</v>
      </c>
      <c r="B251" s="21" t="s">
        <v>229</v>
      </c>
      <c r="C251" s="15" t="s">
        <v>3</v>
      </c>
      <c r="D251" s="21" t="s">
        <v>56</v>
      </c>
      <c r="E251" s="21"/>
      <c r="F251" s="69" t="s">
        <v>4</v>
      </c>
      <c r="G251" s="9">
        <v>38442</v>
      </c>
      <c r="H251" s="26">
        <v>728873.94</v>
      </c>
      <c r="I251" s="17">
        <v>0</v>
      </c>
      <c r="J251" s="17">
        <f t="shared" si="43"/>
        <v>692430.2429999999</v>
      </c>
      <c r="K251" s="17">
        <f t="shared" si="35"/>
        <v>36443.697000000044</v>
      </c>
      <c r="L251" s="23">
        <f t="shared" si="42"/>
        <v>36443.697</v>
      </c>
      <c r="M251" s="23">
        <v>5</v>
      </c>
      <c r="N251" s="18">
        <f t="shared" si="36"/>
        <v>15.016438356164384</v>
      </c>
      <c r="O251" s="23">
        <v>692430.2429999999</v>
      </c>
      <c r="P251" s="18">
        <f t="shared" si="37"/>
        <v>16.016438356164382</v>
      </c>
      <c r="Q251" s="18">
        <f t="shared" si="41"/>
        <v>8.7311491370200962E-12</v>
      </c>
      <c r="R251" s="18">
        <f t="shared" si="38"/>
        <v>692430.2429999999</v>
      </c>
      <c r="S251" s="18">
        <f>+IF(N251&gt;P251,0,L251)</f>
        <v>36443.697</v>
      </c>
    </row>
    <row r="252" spans="1:19" ht="15" customHeight="1" x14ac:dyDescent="0.2">
      <c r="A252" s="14">
        <f t="shared" si="39"/>
        <v>216</v>
      </c>
      <c r="B252" s="21" t="s">
        <v>230</v>
      </c>
      <c r="C252" s="15" t="s">
        <v>3</v>
      </c>
      <c r="D252" s="21" t="s">
        <v>56</v>
      </c>
      <c r="E252" s="21"/>
      <c r="F252" s="69" t="s">
        <v>12</v>
      </c>
      <c r="G252" s="9">
        <v>29221</v>
      </c>
      <c r="H252" s="26">
        <v>21475</v>
      </c>
      <c r="I252" s="17">
        <v>0</v>
      </c>
      <c r="J252" s="17">
        <f t="shared" si="43"/>
        <v>20401.25</v>
      </c>
      <c r="K252" s="17">
        <f t="shared" si="35"/>
        <v>1073.75</v>
      </c>
      <c r="L252" s="23">
        <f t="shared" si="42"/>
        <v>1073.75</v>
      </c>
      <c r="M252" s="23">
        <v>30</v>
      </c>
      <c r="N252" s="18">
        <f t="shared" si="36"/>
        <v>40.279452054794518</v>
      </c>
      <c r="O252" s="23">
        <v>20401.25</v>
      </c>
      <c r="P252" s="18">
        <f t="shared" si="37"/>
        <v>41.279452054794518</v>
      </c>
      <c r="Q252" s="18">
        <f t="shared" si="41"/>
        <v>0</v>
      </c>
      <c r="R252" s="18">
        <f t="shared" si="38"/>
        <v>20401.25</v>
      </c>
      <c r="S252" s="18">
        <f>H252-R252</f>
        <v>1073.75</v>
      </c>
    </row>
    <row r="253" spans="1:19" ht="15" customHeight="1" x14ac:dyDescent="0.2">
      <c r="A253" s="14">
        <f t="shared" si="39"/>
        <v>217</v>
      </c>
      <c r="B253" s="21" t="s">
        <v>231</v>
      </c>
      <c r="C253" s="15" t="s">
        <v>3</v>
      </c>
      <c r="D253" s="21" t="s">
        <v>56</v>
      </c>
      <c r="E253" s="21"/>
      <c r="F253" s="70" t="s">
        <v>7</v>
      </c>
      <c r="G253" s="9">
        <v>29221</v>
      </c>
      <c r="H253" s="26">
        <v>13329</v>
      </c>
      <c r="I253" s="17">
        <v>0</v>
      </c>
      <c r="J253" s="17">
        <f t="shared" si="43"/>
        <v>12662.55</v>
      </c>
      <c r="K253" s="17">
        <f t="shared" si="35"/>
        <v>666.45000000000073</v>
      </c>
      <c r="L253" s="23">
        <f t="shared" si="42"/>
        <v>666.45</v>
      </c>
      <c r="M253" s="23">
        <v>30</v>
      </c>
      <c r="N253" s="18">
        <f t="shared" si="36"/>
        <v>40.279452054794518</v>
      </c>
      <c r="O253" s="23">
        <v>12662.55</v>
      </c>
      <c r="P253" s="18">
        <f t="shared" si="37"/>
        <v>41.279452054794518</v>
      </c>
      <c r="Q253" s="18">
        <f t="shared" si="41"/>
        <v>2.2737367544323207E-14</v>
      </c>
      <c r="R253" s="18">
        <f t="shared" si="38"/>
        <v>12662.55</v>
      </c>
      <c r="S253" s="18">
        <f>+IF(N253&gt;P253,0,L253)</f>
        <v>666.45</v>
      </c>
    </row>
    <row r="254" spans="1:19" ht="15" customHeight="1" x14ac:dyDescent="0.2">
      <c r="A254" s="14">
        <f t="shared" si="39"/>
        <v>218</v>
      </c>
      <c r="B254" s="21" t="s">
        <v>232</v>
      </c>
      <c r="C254" s="15" t="s">
        <v>3</v>
      </c>
      <c r="D254" s="21" t="s">
        <v>56</v>
      </c>
      <c r="E254" s="21"/>
      <c r="F254" s="69" t="s">
        <v>4</v>
      </c>
      <c r="G254" s="9">
        <v>29221</v>
      </c>
      <c r="H254" s="26">
        <v>9519</v>
      </c>
      <c r="I254" s="17">
        <v>0</v>
      </c>
      <c r="J254" s="17">
        <f t="shared" si="43"/>
        <v>9043.0499999999993</v>
      </c>
      <c r="K254" s="17">
        <f t="shared" si="35"/>
        <v>475.95000000000073</v>
      </c>
      <c r="L254" s="23">
        <f t="shared" si="42"/>
        <v>475.95000000000005</v>
      </c>
      <c r="M254" s="23">
        <v>30</v>
      </c>
      <c r="N254" s="18">
        <f t="shared" si="36"/>
        <v>40.279452054794518</v>
      </c>
      <c r="O254" s="23">
        <v>9043.0499999999993</v>
      </c>
      <c r="P254" s="18">
        <f t="shared" si="37"/>
        <v>41.279452054794518</v>
      </c>
      <c r="Q254" s="18">
        <f t="shared" si="41"/>
        <v>2.2737367544323207E-14</v>
      </c>
      <c r="R254" s="18">
        <f t="shared" si="38"/>
        <v>9043.0499999999993</v>
      </c>
      <c r="S254" s="18">
        <f>+IF(N254&gt;P254,0,L254)</f>
        <v>475.95000000000005</v>
      </c>
    </row>
    <row r="255" spans="1:19" ht="15" customHeight="1" x14ac:dyDescent="0.2">
      <c r="A255" s="14">
        <f t="shared" si="39"/>
        <v>219</v>
      </c>
      <c r="B255" s="21" t="s">
        <v>233</v>
      </c>
      <c r="C255" s="15" t="s">
        <v>3</v>
      </c>
      <c r="D255" s="21" t="s">
        <v>56</v>
      </c>
      <c r="E255" s="21"/>
      <c r="F255" s="69" t="s">
        <v>4</v>
      </c>
      <c r="G255" s="9">
        <v>29221</v>
      </c>
      <c r="H255" s="26">
        <v>7619</v>
      </c>
      <c r="I255" s="17">
        <v>0</v>
      </c>
      <c r="J255" s="17">
        <f t="shared" si="43"/>
        <v>7238.05</v>
      </c>
      <c r="K255" s="17">
        <f t="shared" si="35"/>
        <v>380.94999999999982</v>
      </c>
      <c r="L255" s="23">
        <f t="shared" si="42"/>
        <v>380.95000000000005</v>
      </c>
      <c r="M255" s="23">
        <v>30</v>
      </c>
      <c r="N255" s="18">
        <f t="shared" si="36"/>
        <v>40.279452054794518</v>
      </c>
      <c r="O255" s="23">
        <v>7238.05</v>
      </c>
      <c r="P255" s="18">
        <f t="shared" si="37"/>
        <v>41.279452054794518</v>
      </c>
      <c r="Q255" s="18">
        <f t="shared" si="41"/>
        <v>-7.5791225147744019E-15</v>
      </c>
      <c r="R255" s="18">
        <f t="shared" si="38"/>
        <v>7238.05</v>
      </c>
      <c r="S255" s="18">
        <f t="shared" ref="S255:S260" si="44">H255-R255</f>
        <v>380.94999999999982</v>
      </c>
    </row>
    <row r="256" spans="1:19" ht="15" customHeight="1" x14ac:dyDescent="0.2">
      <c r="A256" s="14">
        <f t="shared" si="39"/>
        <v>220</v>
      </c>
      <c r="B256" s="21" t="s">
        <v>225</v>
      </c>
      <c r="C256" s="15" t="s">
        <v>3</v>
      </c>
      <c r="D256" s="21" t="s">
        <v>56</v>
      </c>
      <c r="E256" s="21"/>
      <c r="F256" s="69" t="s">
        <v>4</v>
      </c>
      <c r="G256" s="9">
        <v>29221</v>
      </c>
      <c r="H256" s="26">
        <v>1756</v>
      </c>
      <c r="I256" s="17">
        <v>0</v>
      </c>
      <c r="J256" s="17">
        <f t="shared" si="43"/>
        <v>1668.2</v>
      </c>
      <c r="K256" s="17">
        <f t="shared" si="35"/>
        <v>87.799999999999955</v>
      </c>
      <c r="L256" s="23">
        <f t="shared" si="42"/>
        <v>87.800000000000011</v>
      </c>
      <c r="M256" s="23">
        <v>30</v>
      </c>
      <c r="N256" s="18">
        <f t="shared" si="36"/>
        <v>40.279452054794518</v>
      </c>
      <c r="O256" s="23">
        <v>1668.2</v>
      </c>
      <c r="P256" s="18">
        <f t="shared" si="37"/>
        <v>41.279452054794518</v>
      </c>
      <c r="Q256" s="18">
        <f t="shared" si="41"/>
        <v>-1.8947806286936005E-15</v>
      </c>
      <c r="R256" s="18">
        <f t="shared" si="38"/>
        <v>1668.2</v>
      </c>
      <c r="S256" s="18">
        <f t="shared" si="44"/>
        <v>87.799999999999955</v>
      </c>
    </row>
    <row r="257" spans="1:19" ht="15" customHeight="1" x14ac:dyDescent="0.2">
      <c r="A257" s="14">
        <f t="shared" si="39"/>
        <v>221</v>
      </c>
      <c r="B257" s="21" t="s">
        <v>234</v>
      </c>
      <c r="C257" s="15" t="s">
        <v>3</v>
      </c>
      <c r="D257" s="21" t="s">
        <v>56</v>
      </c>
      <c r="E257" s="21"/>
      <c r="F257" s="69" t="s">
        <v>11</v>
      </c>
      <c r="G257" s="9">
        <v>29221</v>
      </c>
      <c r="H257" s="26">
        <v>1560</v>
      </c>
      <c r="I257" s="17">
        <v>0</v>
      </c>
      <c r="J257" s="17">
        <f t="shared" si="43"/>
        <v>1482</v>
      </c>
      <c r="K257" s="17">
        <f t="shared" si="35"/>
        <v>78</v>
      </c>
      <c r="L257" s="23">
        <f t="shared" si="42"/>
        <v>78</v>
      </c>
      <c r="M257" s="23">
        <v>30</v>
      </c>
      <c r="N257" s="18">
        <f t="shared" si="36"/>
        <v>40.279452054794518</v>
      </c>
      <c r="O257" s="23">
        <v>1482</v>
      </c>
      <c r="P257" s="18">
        <f t="shared" si="37"/>
        <v>41.279452054794518</v>
      </c>
      <c r="Q257" s="18">
        <f t="shared" si="41"/>
        <v>0</v>
      </c>
      <c r="R257" s="18">
        <f t="shared" si="38"/>
        <v>1482</v>
      </c>
      <c r="S257" s="18">
        <f t="shared" si="44"/>
        <v>78</v>
      </c>
    </row>
    <row r="258" spans="1:19" ht="15" customHeight="1" x14ac:dyDescent="0.2">
      <c r="A258" s="14">
        <f t="shared" si="39"/>
        <v>222</v>
      </c>
      <c r="B258" s="21" t="s">
        <v>235</v>
      </c>
      <c r="C258" s="15" t="s">
        <v>3</v>
      </c>
      <c r="D258" s="21" t="s">
        <v>56</v>
      </c>
      <c r="E258" s="21"/>
      <c r="F258" s="69" t="s">
        <v>6</v>
      </c>
      <c r="G258" s="9">
        <v>28856</v>
      </c>
      <c r="H258" s="26">
        <v>13766</v>
      </c>
      <c r="I258" s="17">
        <v>0</v>
      </c>
      <c r="J258" s="17">
        <f t="shared" si="43"/>
        <v>13077.7</v>
      </c>
      <c r="K258" s="17">
        <f t="shared" si="35"/>
        <v>688.29999999999927</v>
      </c>
      <c r="L258" s="23">
        <f t="shared" si="42"/>
        <v>688.30000000000007</v>
      </c>
      <c r="M258" s="23">
        <v>30</v>
      </c>
      <c r="N258" s="18">
        <f t="shared" si="36"/>
        <v>41.279452054794518</v>
      </c>
      <c r="O258" s="23">
        <v>13077.7</v>
      </c>
      <c r="P258" s="18">
        <f t="shared" si="37"/>
        <v>42.279452054794518</v>
      </c>
      <c r="Q258" s="18">
        <f t="shared" si="41"/>
        <v>-2.6526928801710407E-14</v>
      </c>
      <c r="R258" s="18">
        <f t="shared" si="38"/>
        <v>13077.7</v>
      </c>
      <c r="S258" s="18">
        <f t="shared" si="44"/>
        <v>688.29999999999927</v>
      </c>
    </row>
    <row r="259" spans="1:19" ht="15" customHeight="1" x14ac:dyDescent="0.2">
      <c r="A259" s="14">
        <f t="shared" si="39"/>
        <v>223</v>
      </c>
      <c r="B259" s="21" t="s">
        <v>236</v>
      </c>
      <c r="C259" s="15" t="s">
        <v>3</v>
      </c>
      <c r="D259" s="21" t="s">
        <v>56</v>
      </c>
      <c r="E259" s="21"/>
      <c r="F259" s="70" t="s">
        <v>7</v>
      </c>
      <c r="G259" s="9">
        <v>28856</v>
      </c>
      <c r="H259" s="26">
        <v>8238</v>
      </c>
      <c r="I259" s="17">
        <v>0</v>
      </c>
      <c r="J259" s="17">
        <f t="shared" si="43"/>
        <v>7826.1</v>
      </c>
      <c r="K259" s="17">
        <f t="shared" si="35"/>
        <v>411.89999999999964</v>
      </c>
      <c r="L259" s="23">
        <f t="shared" si="42"/>
        <v>411.90000000000003</v>
      </c>
      <c r="M259" s="23">
        <v>30</v>
      </c>
      <c r="N259" s="18">
        <f t="shared" si="36"/>
        <v>41.279452054794518</v>
      </c>
      <c r="O259" s="23">
        <v>7826.1</v>
      </c>
      <c r="P259" s="18">
        <f t="shared" si="37"/>
        <v>42.279452054794518</v>
      </c>
      <c r="Q259" s="18">
        <f t="shared" si="41"/>
        <v>-1.3263464400855204E-14</v>
      </c>
      <c r="R259" s="18">
        <f t="shared" si="38"/>
        <v>7826.1</v>
      </c>
      <c r="S259" s="18">
        <f t="shared" si="44"/>
        <v>411.89999999999964</v>
      </c>
    </row>
    <row r="260" spans="1:19" ht="15" customHeight="1" x14ac:dyDescent="0.2">
      <c r="A260" s="14">
        <f t="shared" si="39"/>
        <v>224</v>
      </c>
      <c r="B260" s="21" t="s">
        <v>237</v>
      </c>
      <c r="C260" s="15" t="s">
        <v>3</v>
      </c>
      <c r="D260" s="21" t="s">
        <v>56</v>
      </c>
      <c r="E260" s="21"/>
      <c r="F260" s="69" t="s">
        <v>6</v>
      </c>
      <c r="G260" s="9">
        <v>28491</v>
      </c>
      <c r="H260" s="26">
        <v>23441</v>
      </c>
      <c r="I260" s="17">
        <v>0</v>
      </c>
      <c r="J260" s="17">
        <f t="shared" si="43"/>
        <v>22268.95</v>
      </c>
      <c r="K260" s="17">
        <f t="shared" si="35"/>
        <v>1172.0499999999993</v>
      </c>
      <c r="L260" s="23">
        <f t="shared" si="42"/>
        <v>1172.05</v>
      </c>
      <c r="M260" s="23">
        <v>30</v>
      </c>
      <c r="N260" s="18">
        <f t="shared" si="36"/>
        <v>42.279452054794518</v>
      </c>
      <c r="O260" s="23">
        <v>22268.95</v>
      </c>
      <c r="P260" s="18">
        <f t="shared" si="37"/>
        <v>43.279452054794518</v>
      </c>
      <c r="Q260" s="18">
        <f t="shared" si="41"/>
        <v>-2.2737367544323207E-14</v>
      </c>
      <c r="R260" s="18">
        <f t="shared" si="38"/>
        <v>22268.95</v>
      </c>
      <c r="S260" s="18">
        <f t="shared" si="44"/>
        <v>1172.0499999999993</v>
      </c>
    </row>
    <row r="261" spans="1:19" ht="15" customHeight="1" x14ac:dyDescent="0.2">
      <c r="A261" s="14">
        <f t="shared" si="39"/>
        <v>225</v>
      </c>
      <c r="B261" s="21" t="s">
        <v>238</v>
      </c>
      <c r="C261" s="15" t="s">
        <v>3</v>
      </c>
      <c r="D261" s="21" t="s">
        <v>56</v>
      </c>
      <c r="E261" s="21"/>
      <c r="F261" s="70" t="s">
        <v>7</v>
      </c>
      <c r="G261" s="9">
        <v>28491</v>
      </c>
      <c r="H261" s="26">
        <v>5001</v>
      </c>
      <c r="I261" s="17">
        <v>0</v>
      </c>
      <c r="J261" s="17">
        <f t="shared" si="43"/>
        <v>4750.95</v>
      </c>
      <c r="K261" s="17">
        <f t="shared" si="35"/>
        <v>250.05000000000018</v>
      </c>
      <c r="L261" s="23">
        <f t="shared" si="42"/>
        <v>250.05</v>
      </c>
      <c r="M261" s="23">
        <v>30</v>
      </c>
      <c r="N261" s="18">
        <f t="shared" si="36"/>
        <v>42.279452054794518</v>
      </c>
      <c r="O261" s="23">
        <v>4750.95</v>
      </c>
      <c r="P261" s="18">
        <f t="shared" si="37"/>
        <v>43.279452054794518</v>
      </c>
      <c r="Q261" s="18">
        <f t="shared" si="41"/>
        <v>5.6843418860808018E-15</v>
      </c>
      <c r="R261" s="18">
        <f t="shared" si="38"/>
        <v>4750.95</v>
      </c>
      <c r="S261" s="18">
        <f>+IF(N261&gt;P261,0,L261)</f>
        <v>250.05</v>
      </c>
    </row>
    <row r="262" spans="1:19" ht="15" customHeight="1" x14ac:dyDescent="0.2">
      <c r="A262" s="14">
        <f t="shared" si="39"/>
        <v>226</v>
      </c>
      <c r="B262" s="21" t="s">
        <v>239</v>
      </c>
      <c r="C262" s="15" t="s">
        <v>3</v>
      </c>
      <c r="D262" s="21" t="s">
        <v>56</v>
      </c>
      <c r="E262" s="21"/>
      <c r="F262" s="69" t="s">
        <v>11</v>
      </c>
      <c r="G262" s="9">
        <v>28126</v>
      </c>
      <c r="H262" s="26">
        <v>150361</v>
      </c>
      <c r="I262" s="17">
        <v>0</v>
      </c>
      <c r="J262" s="17">
        <f t="shared" si="43"/>
        <v>142842.95000000001</v>
      </c>
      <c r="K262" s="17">
        <f t="shared" si="35"/>
        <v>7518.0499999999884</v>
      </c>
      <c r="L262" s="23">
        <f t="shared" si="42"/>
        <v>7518.05</v>
      </c>
      <c r="M262" s="23">
        <v>30</v>
      </c>
      <c r="N262" s="18">
        <f t="shared" si="36"/>
        <v>43.279452054794518</v>
      </c>
      <c r="O262" s="23">
        <v>142842.95000000001</v>
      </c>
      <c r="P262" s="18">
        <f t="shared" si="37"/>
        <v>44.279452054794518</v>
      </c>
      <c r="Q262" s="18">
        <f t="shared" si="41"/>
        <v>-3.9411437076826892E-13</v>
      </c>
      <c r="R262" s="18">
        <f t="shared" si="38"/>
        <v>142842.95000000001</v>
      </c>
      <c r="S262" s="18">
        <f>H262-R262</f>
        <v>7518.0499999999884</v>
      </c>
    </row>
    <row r="263" spans="1:19" ht="15" customHeight="1" x14ac:dyDescent="0.2">
      <c r="A263" s="14">
        <f t="shared" si="39"/>
        <v>227</v>
      </c>
      <c r="B263" s="21" t="s">
        <v>240</v>
      </c>
      <c r="C263" s="15" t="s">
        <v>3</v>
      </c>
      <c r="D263" s="21" t="s">
        <v>56</v>
      </c>
      <c r="E263" s="21"/>
      <c r="F263" s="69" t="s">
        <v>12</v>
      </c>
      <c r="G263" s="9">
        <v>28126</v>
      </c>
      <c r="H263" s="26">
        <v>99300</v>
      </c>
      <c r="I263" s="17">
        <v>0</v>
      </c>
      <c r="J263" s="17">
        <f t="shared" si="43"/>
        <v>94335</v>
      </c>
      <c r="K263" s="17">
        <f t="shared" si="35"/>
        <v>4965</v>
      </c>
      <c r="L263" s="23">
        <f t="shared" si="42"/>
        <v>4965</v>
      </c>
      <c r="M263" s="23">
        <v>30</v>
      </c>
      <c r="N263" s="18">
        <f t="shared" si="36"/>
        <v>43.279452054794518</v>
      </c>
      <c r="O263" s="23">
        <v>94335</v>
      </c>
      <c r="P263" s="18">
        <f t="shared" si="37"/>
        <v>44.279452054794518</v>
      </c>
      <c r="Q263" s="18">
        <f t="shared" si="41"/>
        <v>0</v>
      </c>
      <c r="R263" s="18">
        <f t="shared" si="38"/>
        <v>94335</v>
      </c>
      <c r="S263" s="18">
        <f>H263-R263</f>
        <v>4965</v>
      </c>
    </row>
    <row r="264" spans="1:19" ht="15" customHeight="1" x14ac:dyDescent="0.2">
      <c r="A264" s="14">
        <f t="shared" si="39"/>
        <v>228</v>
      </c>
      <c r="B264" s="21" t="s">
        <v>241</v>
      </c>
      <c r="C264" s="15" t="s">
        <v>3</v>
      </c>
      <c r="D264" s="21" t="s">
        <v>56</v>
      </c>
      <c r="E264" s="21"/>
      <c r="F264" s="69" t="s">
        <v>4</v>
      </c>
      <c r="G264" s="9">
        <v>28126</v>
      </c>
      <c r="H264" s="26">
        <v>39801</v>
      </c>
      <c r="I264" s="17">
        <v>0</v>
      </c>
      <c r="J264" s="17">
        <f t="shared" si="43"/>
        <v>37810.949999999997</v>
      </c>
      <c r="K264" s="17">
        <f t="shared" si="35"/>
        <v>1990.0500000000029</v>
      </c>
      <c r="L264" s="23">
        <f t="shared" si="42"/>
        <v>1990.0500000000002</v>
      </c>
      <c r="M264" s="23">
        <v>30</v>
      </c>
      <c r="N264" s="18">
        <f t="shared" si="36"/>
        <v>43.279452054794518</v>
      </c>
      <c r="O264" s="23">
        <v>37810.949999999997</v>
      </c>
      <c r="P264" s="18">
        <f t="shared" si="37"/>
        <v>44.279452054794518</v>
      </c>
      <c r="Q264" s="18">
        <f t="shared" si="41"/>
        <v>9.0949470177292829E-14</v>
      </c>
      <c r="R264" s="18">
        <f t="shared" si="38"/>
        <v>37810.949999999997</v>
      </c>
      <c r="S264" s="18">
        <f>+IF(N264&gt;P264,0,L264)</f>
        <v>1990.0500000000002</v>
      </c>
    </row>
    <row r="265" spans="1:19" ht="15" customHeight="1" x14ac:dyDescent="0.2">
      <c r="A265" s="14">
        <f t="shared" si="39"/>
        <v>229</v>
      </c>
      <c r="B265" s="21" t="s">
        <v>242</v>
      </c>
      <c r="C265" s="15" t="s">
        <v>3</v>
      </c>
      <c r="D265" s="21" t="s">
        <v>56</v>
      </c>
      <c r="E265" s="21"/>
      <c r="F265" s="69" t="s">
        <v>10</v>
      </c>
      <c r="G265" s="9">
        <v>28126</v>
      </c>
      <c r="H265" s="26">
        <v>38628</v>
      </c>
      <c r="I265" s="17">
        <v>0</v>
      </c>
      <c r="J265" s="17">
        <f t="shared" si="43"/>
        <v>36696.6</v>
      </c>
      <c r="K265" s="17">
        <f t="shared" si="35"/>
        <v>1931.4000000000015</v>
      </c>
      <c r="L265" s="23">
        <f t="shared" si="42"/>
        <v>1931.4</v>
      </c>
      <c r="M265" s="23">
        <v>30</v>
      </c>
      <c r="N265" s="18">
        <f t="shared" si="36"/>
        <v>43.279452054794518</v>
      </c>
      <c r="O265" s="23">
        <v>36696.6</v>
      </c>
      <c r="P265" s="18">
        <f t="shared" si="37"/>
        <v>44.279452054794518</v>
      </c>
      <c r="Q265" s="18">
        <f t="shared" si="41"/>
        <v>4.5474735088646414E-14</v>
      </c>
      <c r="R265" s="18">
        <f t="shared" si="38"/>
        <v>36696.6</v>
      </c>
      <c r="S265" s="18">
        <f>+IF(N265&gt;P265,0,L265)</f>
        <v>1931.4</v>
      </c>
    </row>
    <row r="266" spans="1:19" ht="15" customHeight="1" x14ac:dyDescent="0.2">
      <c r="A266" s="14">
        <f t="shared" si="39"/>
        <v>230</v>
      </c>
      <c r="B266" s="21" t="s">
        <v>243</v>
      </c>
      <c r="C266" s="15" t="s">
        <v>3</v>
      </c>
      <c r="D266" s="21" t="s">
        <v>56</v>
      </c>
      <c r="E266" s="21"/>
      <c r="F266" s="69" t="s">
        <v>11</v>
      </c>
      <c r="G266" s="9">
        <v>28126</v>
      </c>
      <c r="H266" s="26">
        <v>25007</v>
      </c>
      <c r="I266" s="17">
        <v>0</v>
      </c>
      <c r="J266" s="17">
        <f t="shared" si="43"/>
        <v>23756.65</v>
      </c>
      <c r="K266" s="17">
        <f t="shared" si="35"/>
        <v>1250.3499999999985</v>
      </c>
      <c r="L266" s="23">
        <f t="shared" si="42"/>
        <v>1250.3500000000001</v>
      </c>
      <c r="M266" s="23">
        <v>30</v>
      </c>
      <c r="N266" s="18">
        <f t="shared" si="36"/>
        <v>43.279452054794518</v>
      </c>
      <c r="O266" s="23">
        <v>23756.65</v>
      </c>
      <c r="P266" s="18">
        <f t="shared" si="37"/>
        <v>44.279452054794518</v>
      </c>
      <c r="Q266" s="18">
        <f t="shared" si="41"/>
        <v>-5.3053857603420815E-14</v>
      </c>
      <c r="R266" s="18">
        <f t="shared" si="38"/>
        <v>23756.65</v>
      </c>
      <c r="S266" s="18">
        <f t="shared" ref="S266:S277" si="45">H266-R266</f>
        <v>1250.3499999999985</v>
      </c>
    </row>
    <row r="267" spans="1:19" ht="15" customHeight="1" x14ac:dyDescent="0.2">
      <c r="A267" s="14">
        <f t="shared" si="39"/>
        <v>231</v>
      </c>
      <c r="B267" s="21" t="s">
        <v>244</v>
      </c>
      <c r="C267" s="15" t="s">
        <v>3</v>
      </c>
      <c r="D267" s="21" t="s">
        <v>56</v>
      </c>
      <c r="E267" s="21"/>
      <c r="F267" s="69" t="s">
        <v>4</v>
      </c>
      <c r="G267" s="9">
        <v>28126</v>
      </c>
      <c r="H267" s="26">
        <v>3442</v>
      </c>
      <c r="I267" s="17">
        <v>0</v>
      </c>
      <c r="J267" s="17">
        <f t="shared" si="43"/>
        <v>3269.9</v>
      </c>
      <c r="K267" s="17">
        <f t="shared" si="35"/>
        <v>172.09999999999991</v>
      </c>
      <c r="L267" s="23">
        <f t="shared" si="42"/>
        <v>172.10000000000002</v>
      </c>
      <c r="M267" s="23">
        <v>30</v>
      </c>
      <c r="N267" s="18">
        <f t="shared" si="36"/>
        <v>43.279452054794518</v>
      </c>
      <c r="O267" s="23">
        <v>3269.9</v>
      </c>
      <c r="P267" s="18">
        <f t="shared" si="37"/>
        <v>44.279452054794518</v>
      </c>
      <c r="Q267" s="18">
        <f t="shared" si="41"/>
        <v>-3.7895612573872009E-15</v>
      </c>
      <c r="R267" s="18">
        <f t="shared" si="38"/>
        <v>3269.9</v>
      </c>
      <c r="S267" s="18">
        <f t="shared" si="45"/>
        <v>172.09999999999991</v>
      </c>
    </row>
    <row r="268" spans="1:19" ht="15" customHeight="1" x14ac:dyDescent="0.2">
      <c r="A268" s="14">
        <f t="shared" si="39"/>
        <v>232</v>
      </c>
      <c r="B268" s="21" t="s">
        <v>245</v>
      </c>
      <c r="C268" s="15" t="s">
        <v>3</v>
      </c>
      <c r="D268" s="21" t="s">
        <v>56</v>
      </c>
      <c r="E268" s="21"/>
      <c r="F268" s="70" t="s">
        <v>7</v>
      </c>
      <c r="G268" s="9">
        <v>28126</v>
      </c>
      <c r="H268" s="26">
        <v>3164</v>
      </c>
      <c r="I268" s="17">
        <v>0</v>
      </c>
      <c r="J268" s="17">
        <f t="shared" si="43"/>
        <v>3005.8</v>
      </c>
      <c r="K268" s="17">
        <f t="shared" si="35"/>
        <v>158.19999999999982</v>
      </c>
      <c r="L268" s="23">
        <f t="shared" si="42"/>
        <v>158.20000000000002</v>
      </c>
      <c r="M268" s="23">
        <v>30</v>
      </c>
      <c r="N268" s="18">
        <f t="shared" si="36"/>
        <v>43.279452054794518</v>
      </c>
      <c r="O268" s="23">
        <v>3005.8</v>
      </c>
      <c r="P268" s="18">
        <f t="shared" si="37"/>
        <v>44.279452054794518</v>
      </c>
      <c r="Q268" s="18">
        <f t="shared" si="41"/>
        <v>-6.6317322004276018E-15</v>
      </c>
      <c r="R268" s="18">
        <f t="shared" si="38"/>
        <v>3005.8</v>
      </c>
      <c r="S268" s="18">
        <f t="shared" si="45"/>
        <v>158.19999999999982</v>
      </c>
    </row>
    <row r="269" spans="1:19" ht="15" customHeight="1" x14ac:dyDescent="0.2">
      <c r="A269" s="14">
        <f t="shared" si="39"/>
        <v>233</v>
      </c>
      <c r="B269" s="21" t="s">
        <v>246</v>
      </c>
      <c r="C269" s="15" t="s">
        <v>3</v>
      </c>
      <c r="D269" s="21" t="s">
        <v>56</v>
      </c>
      <c r="E269" s="21"/>
      <c r="F269" s="69" t="s">
        <v>4</v>
      </c>
      <c r="G269" s="9">
        <v>28126</v>
      </c>
      <c r="H269" s="26">
        <v>2730</v>
      </c>
      <c r="I269" s="17">
        <v>0</v>
      </c>
      <c r="J269" s="17">
        <f t="shared" si="43"/>
        <v>2593.5</v>
      </c>
      <c r="K269" s="17">
        <f t="shared" si="35"/>
        <v>136.5</v>
      </c>
      <c r="L269" s="23">
        <f t="shared" si="42"/>
        <v>136.5</v>
      </c>
      <c r="M269" s="23">
        <v>30</v>
      </c>
      <c r="N269" s="18">
        <f t="shared" si="36"/>
        <v>43.279452054794518</v>
      </c>
      <c r="O269" s="23">
        <v>2593.5</v>
      </c>
      <c r="P269" s="18">
        <f t="shared" si="37"/>
        <v>44.279452054794518</v>
      </c>
      <c r="Q269" s="18">
        <f t="shared" si="41"/>
        <v>0</v>
      </c>
      <c r="R269" s="18">
        <f t="shared" si="38"/>
        <v>2593.5</v>
      </c>
      <c r="S269" s="18">
        <f t="shared" si="45"/>
        <v>136.5</v>
      </c>
    </row>
    <row r="270" spans="1:19" ht="15" customHeight="1" x14ac:dyDescent="0.2">
      <c r="A270" s="14">
        <f t="shared" si="39"/>
        <v>234</v>
      </c>
      <c r="B270" s="21" t="s">
        <v>144</v>
      </c>
      <c r="C270" s="15" t="s">
        <v>3</v>
      </c>
      <c r="D270" s="21" t="s">
        <v>56</v>
      </c>
      <c r="E270" s="21"/>
      <c r="F270" s="69" t="s">
        <v>4</v>
      </c>
      <c r="G270" s="9">
        <v>28126</v>
      </c>
      <c r="H270" s="26">
        <v>2603</v>
      </c>
      <c r="I270" s="17">
        <v>0</v>
      </c>
      <c r="J270" s="17">
        <f t="shared" si="43"/>
        <v>2472.85</v>
      </c>
      <c r="K270" s="17">
        <f t="shared" si="35"/>
        <v>130.15000000000009</v>
      </c>
      <c r="L270" s="23">
        <f t="shared" si="42"/>
        <v>130.15</v>
      </c>
      <c r="M270" s="23">
        <v>30</v>
      </c>
      <c r="N270" s="18">
        <f t="shared" si="36"/>
        <v>43.279452054794518</v>
      </c>
      <c r="O270" s="23">
        <v>2472.85</v>
      </c>
      <c r="P270" s="18">
        <f t="shared" si="37"/>
        <v>44.279452054794518</v>
      </c>
      <c r="Q270" s="18">
        <f t="shared" si="41"/>
        <v>2.8421709430404009E-15</v>
      </c>
      <c r="R270" s="18">
        <f t="shared" si="38"/>
        <v>2472.85</v>
      </c>
      <c r="S270" s="18">
        <f t="shared" si="45"/>
        <v>130.15000000000009</v>
      </c>
    </row>
    <row r="271" spans="1:19" ht="15" customHeight="1" x14ac:dyDescent="0.2">
      <c r="A271" s="14">
        <f t="shared" si="39"/>
        <v>235</v>
      </c>
      <c r="B271" s="21" t="s">
        <v>247</v>
      </c>
      <c r="C271" s="15" t="s">
        <v>3</v>
      </c>
      <c r="D271" s="21" t="s">
        <v>56</v>
      </c>
      <c r="E271" s="21"/>
      <c r="F271" s="69" t="s">
        <v>4</v>
      </c>
      <c r="G271" s="9">
        <v>28126</v>
      </c>
      <c r="H271" s="26">
        <v>1030</v>
      </c>
      <c r="I271" s="17">
        <v>0</v>
      </c>
      <c r="J271" s="17">
        <f t="shared" si="43"/>
        <v>978.5</v>
      </c>
      <c r="K271" s="17">
        <f t="shared" si="35"/>
        <v>51.5</v>
      </c>
      <c r="L271" s="23">
        <f t="shared" si="42"/>
        <v>51.5</v>
      </c>
      <c r="M271" s="23">
        <v>30</v>
      </c>
      <c r="N271" s="18">
        <f t="shared" si="36"/>
        <v>43.279452054794518</v>
      </c>
      <c r="O271" s="23">
        <v>978.5</v>
      </c>
      <c r="P271" s="18">
        <f t="shared" si="37"/>
        <v>44.279452054794518</v>
      </c>
      <c r="Q271" s="18">
        <f t="shared" si="41"/>
        <v>0</v>
      </c>
      <c r="R271" s="18">
        <f t="shared" si="38"/>
        <v>978.5</v>
      </c>
      <c r="S271" s="18">
        <f t="shared" si="45"/>
        <v>51.5</v>
      </c>
    </row>
    <row r="272" spans="1:19" ht="15" customHeight="1" x14ac:dyDescent="0.2">
      <c r="A272" s="14">
        <f t="shared" si="39"/>
        <v>236</v>
      </c>
      <c r="B272" s="21" t="s">
        <v>109</v>
      </c>
      <c r="C272" s="15" t="s">
        <v>3</v>
      </c>
      <c r="D272" s="21" t="s">
        <v>56</v>
      </c>
      <c r="E272" s="21"/>
      <c r="F272" s="69" t="s">
        <v>8</v>
      </c>
      <c r="G272" s="9">
        <v>27760</v>
      </c>
      <c r="H272" s="26">
        <v>490651</v>
      </c>
      <c r="I272" s="17">
        <v>0</v>
      </c>
      <c r="J272" s="17">
        <f t="shared" si="43"/>
        <v>466118.45</v>
      </c>
      <c r="K272" s="17">
        <f t="shared" si="35"/>
        <v>24532.549999999988</v>
      </c>
      <c r="L272" s="23">
        <f t="shared" si="42"/>
        <v>24532.550000000003</v>
      </c>
      <c r="M272" s="23">
        <v>30</v>
      </c>
      <c r="N272" s="18">
        <f t="shared" si="36"/>
        <v>44.282191780821918</v>
      </c>
      <c r="O272" s="23">
        <v>466118.45</v>
      </c>
      <c r="P272" s="18">
        <f t="shared" si="37"/>
        <v>45.282191780821918</v>
      </c>
      <c r="Q272" s="18">
        <f t="shared" si="41"/>
        <v>-4.8506384094556172E-13</v>
      </c>
      <c r="R272" s="18">
        <f t="shared" si="38"/>
        <v>466118.45</v>
      </c>
      <c r="S272" s="18">
        <f t="shared" si="45"/>
        <v>24532.549999999988</v>
      </c>
    </row>
    <row r="273" spans="1:19" ht="15" customHeight="1" x14ac:dyDescent="0.2">
      <c r="A273" s="14">
        <f t="shared" si="39"/>
        <v>237</v>
      </c>
      <c r="B273" s="21" t="s">
        <v>248</v>
      </c>
      <c r="C273" s="15" t="s">
        <v>3</v>
      </c>
      <c r="D273" s="21" t="s">
        <v>56</v>
      </c>
      <c r="E273" s="21"/>
      <c r="F273" s="69" t="s">
        <v>8</v>
      </c>
      <c r="G273" s="9">
        <v>27760</v>
      </c>
      <c r="H273" s="26">
        <v>40642</v>
      </c>
      <c r="I273" s="17">
        <v>0</v>
      </c>
      <c r="J273" s="17">
        <f t="shared" si="43"/>
        <v>38609.9</v>
      </c>
      <c r="K273" s="17">
        <f t="shared" si="35"/>
        <v>2032.0999999999985</v>
      </c>
      <c r="L273" s="23">
        <f t="shared" si="42"/>
        <v>2032.1000000000001</v>
      </c>
      <c r="M273" s="23">
        <v>30</v>
      </c>
      <c r="N273" s="18">
        <f t="shared" si="36"/>
        <v>44.282191780821918</v>
      </c>
      <c r="O273" s="23">
        <v>38609.9</v>
      </c>
      <c r="P273" s="18">
        <f t="shared" si="37"/>
        <v>45.282191780821918</v>
      </c>
      <c r="Q273" s="18">
        <f t="shared" si="41"/>
        <v>-5.3053857603420815E-14</v>
      </c>
      <c r="R273" s="18">
        <f t="shared" si="38"/>
        <v>38609.9</v>
      </c>
      <c r="S273" s="18">
        <f t="shared" si="45"/>
        <v>2032.0999999999985</v>
      </c>
    </row>
    <row r="274" spans="1:19" ht="15" customHeight="1" x14ac:dyDescent="0.2">
      <c r="A274" s="14">
        <f t="shared" si="39"/>
        <v>238</v>
      </c>
      <c r="B274" s="21" t="s">
        <v>165</v>
      </c>
      <c r="C274" s="15" t="s">
        <v>3</v>
      </c>
      <c r="D274" s="21" t="s">
        <v>56</v>
      </c>
      <c r="E274" s="21"/>
      <c r="F274" s="69" t="s">
        <v>4</v>
      </c>
      <c r="G274" s="9">
        <v>27760</v>
      </c>
      <c r="H274" s="26">
        <v>6586</v>
      </c>
      <c r="I274" s="17">
        <v>0</v>
      </c>
      <c r="J274" s="17">
        <f t="shared" si="43"/>
        <v>6256.7</v>
      </c>
      <c r="K274" s="17">
        <f t="shared" si="35"/>
        <v>329.30000000000018</v>
      </c>
      <c r="L274" s="23">
        <f t="shared" si="42"/>
        <v>329.3</v>
      </c>
      <c r="M274" s="23">
        <v>30</v>
      </c>
      <c r="N274" s="18">
        <f t="shared" si="36"/>
        <v>44.282191780821918</v>
      </c>
      <c r="O274" s="23">
        <v>6256.7</v>
      </c>
      <c r="P274" s="18">
        <f t="shared" si="37"/>
        <v>45.282191780821918</v>
      </c>
      <c r="Q274" s="18">
        <f t="shared" si="41"/>
        <v>5.6843418860808018E-15</v>
      </c>
      <c r="R274" s="18">
        <f t="shared" si="38"/>
        <v>6256.7</v>
      </c>
      <c r="S274" s="18">
        <f t="shared" si="45"/>
        <v>329.30000000000018</v>
      </c>
    </row>
    <row r="275" spans="1:19" ht="15" customHeight="1" x14ac:dyDescent="0.2">
      <c r="A275" s="14">
        <f t="shared" si="39"/>
        <v>239</v>
      </c>
      <c r="B275" s="21" t="s">
        <v>249</v>
      </c>
      <c r="C275" s="15" t="s">
        <v>3</v>
      </c>
      <c r="D275" s="21" t="s">
        <v>56</v>
      </c>
      <c r="E275" s="21"/>
      <c r="F275" s="69" t="s">
        <v>4</v>
      </c>
      <c r="G275" s="9">
        <v>27760</v>
      </c>
      <c r="H275" s="26">
        <v>4918</v>
      </c>
      <c r="I275" s="17">
        <v>0</v>
      </c>
      <c r="J275" s="17">
        <f t="shared" si="43"/>
        <v>4672.1000000000004</v>
      </c>
      <c r="K275" s="17">
        <f t="shared" si="35"/>
        <v>245.89999999999964</v>
      </c>
      <c r="L275" s="23">
        <f t="shared" si="42"/>
        <v>245.9</v>
      </c>
      <c r="M275" s="23">
        <v>30</v>
      </c>
      <c r="N275" s="18">
        <f t="shared" si="36"/>
        <v>44.282191780821918</v>
      </c>
      <c r="O275" s="23">
        <v>4672.1000000000004</v>
      </c>
      <c r="P275" s="18">
        <f t="shared" si="37"/>
        <v>45.282191780821918</v>
      </c>
      <c r="Q275" s="18">
        <f t="shared" si="41"/>
        <v>-1.2316074086508404E-14</v>
      </c>
      <c r="R275" s="18">
        <f t="shared" si="38"/>
        <v>4672.1000000000004</v>
      </c>
      <c r="S275" s="18">
        <f t="shared" si="45"/>
        <v>245.89999999999964</v>
      </c>
    </row>
    <row r="276" spans="1:19" ht="15" customHeight="1" x14ac:dyDescent="0.2">
      <c r="A276" s="14">
        <f t="shared" si="39"/>
        <v>240</v>
      </c>
      <c r="B276" s="21" t="s">
        <v>250</v>
      </c>
      <c r="C276" s="15" t="s">
        <v>3</v>
      </c>
      <c r="D276" s="21" t="s">
        <v>56</v>
      </c>
      <c r="E276" s="21"/>
      <c r="F276" s="69" t="s">
        <v>4</v>
      </c>
      <c r="G276" s="9">
        <v>27760</v>
      </c>
      <c r="H276" s="26">
        <v>3397</v>
      </c>
      <c r="I276" s="17">
        <v>0</v>
      </c>
      <c r="J276" s="17">
        <f t="shared" si="43"/>
        <v>3227.15</v>
      </c>
      <c r="K276" s="17">
        <f t="shared" si="35"/>
        <v>169.84999999999991</v>
      </c>
      <c r="L276" s="23">
        <f t="shared" si="42"/>
        <v>169.85000000000002</v>
      </c>
      <c r="M276" s="23">
        <v>30</v>
      </c>
      <c r="N276" s="18">
        <f t="shared" si="36"/>
        <v>44.282191780821918</v>
      </c>
      <c r="O276" s="23">
        <v>3227.15</v>
      </c>
      <c r="P276" s="18">
        <f t="shared" si="37"/>
        <v>45.282191780821918</v>
      </c>
      <c r="Q276" s="18">
        <f t="shared" si="41"/>
        <v>-3.7895612573872009E-15</v>
      </c>
      <c r="R276" s="18">
        <f t="shared" si="38"/>
        <v>3227.15</v>
      </c>
      <c r="S276" s="18">
        <f t="shared" si="45"/>
        <v>169.84999999999991</v>
      </c>
    </row>
    <row r="277" spans="1:19" ht="15" customHeight="1" x14ac:dyDescent="0.2">
      <c r="A277" s="14">
        <f t="shared" si="39"/>
        <v>241</v>
      </c>
      <c r="B277" s="21" t="s">
        <v>251</v>
      </c>
      <c r="C277" s="15" t="s">
        <v>3</v>
      </c>
      <c r="D277" s="21" t="s">
        <v>56</v>
      </c>
      <c r="E277" s="21"/>
      <c r="F277" s="69" t="s">
        <v>4</v>
      </c>
      <c r="G277" s="9">
        <v>27760</v>
      </c>
      <c r="H277" s="26">
        <v>2026</v>
      </c>
      <c r="I277" s="17">
        <v>0</v>
      </c>
      <c r="J277" s="17">
        <f t="shared" si="43"/>
        <v>1924.7</v>
      </c>
      <c r="K277" s="17">
        <f t="shared" si="35"/>
        <v>101.29999999999995</v>
      </c>
      <c r="L277" s="23">
        <f t="shared" si="42"/>
        <v>101.30000000000001</v>
      </c>
      <c r="M277" s="23">
        <v>30</v>
      </c>
      <c r="N277" s="18">
        <f t="shared" si="36"/>
        <v>44.282191780821918</v>
      </c>
      <c r="O277" s="23">
        <v>1924.7</v>
      </c>
      <c r="P277" s="18">
        <f t="shared" si="37"/>
        <v>45.282191780821918</v>
      </c>
      <c r="Q277" s="18">
        <f t="shared" si="41"/>
        <v>-1.8947806286936005E-15</v>
      </c>
      <c r="R277" s="18">
        <f t="shared" si="38"/>
        <v>1924.7</v>
      </c>
      <c r="S277" s="18">
        <f t="shared" si="45"/>
        <v>101.29999999999995</v>
      </c>
    </row>
    <row r="278" spans="1:19" ht="15" customHeight="1" x14ac:dyDescent="0.2">
      <c r="A278" s="14">
        <f t="shared" si="39"/>
        <v>242</v>
      </c>
      <c r="B278" s="21" t="s">
        <v>252</v>
      </c>
      <c r="C278" s="15" t="s">
        <v>3</v>
      </c>
      <c r="D278" s="21" t="s">
        <v>56</v>
      </c>
      <c r="E278" s="21"/>
      <c r="F278" s="69" t="s">
        <v>4</v>
      </c>
      <c r="G278" s="9">
        <v>27760</v>
      </c>
      <c r="H278" s="26">
        <v>1373</v>
      </c>
      <c r="I278" s="17">
        <v>0</v>
      </c>
      <c r="J278" s="17">
        <f t="shared" si="43"/>
        <v>1304.3499999999999</v>
      </c>
      <c r="K278" s="17">
        <f t="shared" si="35"/>
        <v>68.650000000000091</v>
      </c>
      <c r="L278" s="23">
        <f t="shared" si="42"/>
        <v>68.650000000000006</v>
      </c>
      <c r="M278" s="23">
        <v>30</v>
      </c>
      <c r="N278" s="18">
        <f t="shared" si="36"/>
        <v>44.282191780821918</v>
      </c>
      <c r="O278" s="23">
        <v>1304.3499999999999</v>
      </c>
      <c r="P278" s="18">
        <f t="shared" si="37"/>
        <v>45.282191780821918</v>
      </c>
      <c r="Q278" s="18">
        <f t="shared" si="41"/>
        <v>2.8421709430404009E-15</v>
      </c>
      <c r="R278" s="18">
        <f t="shared" si="38"/>
        <v>1304.3499999999999</v>
      </c>
      <c r="S278" s="18">
        <f>+IF(N278&gt;P278,0,L278)</f>
        <v>68.650000000000006</v>
      </c>
    </row>
    <row r="279" spans="1:19" ht="15" customHeight="1" x14ac:dyDescent="0.2">
      <c r="A279" s="14">
        <f t="shared" si="39"/>
        <v>243</v>
      </c>
      <c r="B279" s="21" t="s">
        <v>253</v>
      </c>
      <c r="C279" s="15" t="s">
        <v>3</v>
      </c>
      <c r="D279" s="21" t="s">
        <v>56</v>
      </c>
      <c r="E279" s="21"/>
      <c r="F279" s="69" t="s">
        <v>4</v>
      </c>
      <c r="G279" s="9">
        <v>27760</v>
      </c>
      <c r="H279" s="26">
        <v>1370</v>
      </c>
      <c r="I279" s="17">
        <v>0</v>
      </c>
      <c r="J279" s="17">
        <f t="shared" si="43"/>
        <v>1301.5</v>
      </c>
      <c r="K279" s="17">
        <f t="shared" si="35"/>
        <v>68.5</v>
      </c>
      <c r="L279" s="23">
        <f t="shared" si="42"/>
        <v>68.5</v>
      </c>
      <c r="M279" s="23">
        <v>30</v>
      </c>
      <c r="N279" s="18">
        <f t="shared" si="36"/>
        <v>44.282191780821918</v>
      </c>
      <c r="O279" s="23">
        <v>1301.5</v>
      </c>
      <c r="P279" s="18">
        <f t="shared" si="37"/>
        <v>45.282191780821918</v>
      </c>
      <c r="Q279" s="18">
        <f t="shared" si="41"/>
        <v>0</v>
      </c>
      <c r="R279" s="18">
        <f t="shared" si="38"/>
        <v>1301.5</v>
      </c>
      <c r="S279" s="18">
        <f>H279-R279</f>
        <v>68.5</v>
      </c>
    </row>
    <row r="280" spans="1:19" ht="15" customHeight="1" x14ac:dyDescent="0.2">
      <c r="A280" s="14">
        <f t="shared" si="39"/>
        <v>244</v>
      </c>
      <c r="B280" s="21" t="s">
        <v>254</v>
      </c>
      <c r="C280" s="15" t="s">
        <v>3</v>
      </c>
      <c r="D280" s="21" t="s">
        <v>56</v>
      </c>
      <c r="E280" s="21"/>
      <c r="F280" s="69" t="s">
        <v>4</v>
      </c>
      <c r="G280" s="9">
        <v>27760</v>
      </c>
      <c r="H280" s="26">
        <v>1049</v>
      </c>
      <c r="I280" s="17">
        <v>0</v>
      </c>
      <c r="J280" s="17">
        <f t="shared" si="43"/>
        <v>996.55</v>
      </c>
      <c r="K280" s="17">
        <f t="shared" si="35"/>
        <v>52.450000000000045</v>
      </c>
      <c r="L280" s="23">
        <f t="shared" si="42"/>
        <v>52.45</v>
      </c>
      <c r="M280" s="23">
        <v>30</v>
      </c>
      <c r="N280" s="18">
        <f t="shared" si="36"/>
        <v>44.282191780821918</v>
      </c>
      <c r="O280" s="23">
        <v>996.55</v>
      </c>
      <c r="P280" s="18">
        <f t="shared" si="37"/>
        <v>45.282191780821918</v>
      </c>
      <c r="Q280" s="18">
        <f t="shared" si="41"/>
        <v>1.4210854715202005E-15</v>
      </c>
      <c r="R280" s="18">
        <f t="shared" si="38"/>
        <v>996.55</v>
      </c>
      <c r="S280" s="18">
        <f>+IF(N280&gt;P280,0,L280)</f>
        <v>52.45</v>
      </c>
    </row>
    <row r="281" spans="1:19" ht="15" customHeight="1" x14ac:dyDescent="0.2">
      <c r="A281" s="14">
        <f t="shared" si="39"/>
        <v>245</v>
      </c>
      <c r="B281" s="21" t="s">
        <v>255</v>
      </c>
      <c r="C281" s="15" t="s">
        <v>3</v>
      </c>
      <c r="D281" s="21" t="s">
        <v>56</v>
      </c>
      <c r="E281" s="21"/>
      <c r="F281" s="69" t="s">
        <v>11</v>
      </c>
      <c r="G281" s="9">
        <v>27395</v>
      </c>
      <c r="H281" s="26">
        <v>89713</v>
      </c>
      <c r="I281" s="17">
        <v>0</v>
      </c>
      <c r="J281" s="17">
        <f t="shared" si="43"/>
        <v>85227.35</v>
      </c>
      <c r="K281" s="17">
        <f t="shared" si="35"/>
        <v>4485.6499999999942</v>
      </c>
      <c r="L281" s="23">
        <f t="shared" si="42"/>
        <v>4485.6500000000005</v>
      </c>
      <c r="M281" s="23">
        <v>30</v>
      </c>
      <c r="N281" s="18">
        <f t="shared" si="36"/>
        <v>45.282191780821918</v>
      </c>
      <c r="O281" s="23">
        <v>85227.35</v>
      </c>
      <c r="P281" s="18">
        <f t="shared" si="37"/>
        <v>46.282191780821918</v>
      </c>
      <c r="Q281" s="18">
        <f t="shared" si="41"/>
        <v>-2.1221543041368326E-13</v>
      </c>
      <c r="R281" s="18">
        <f t="shared" si="38"/>
        <v>85227.35</v>
      </c>
      <c r="S281" s="18">
        <f t="shared" ref="S281:S295" si="46">H281-R281</f>
        <v>4485.6499999999942</v>
      </c>
    </row>
    <row r="282" spans="1:19" ht="15" customHeight="1" x14ac:dyDescent="0.2">
      <c r="A282" s="14">
        <f t="shared" si="39"/>
        <v>246</v>
      </c>
      <c r="B282" s="21" t="s">
        <v>256</v>
      </c>
      <c r="C282" s="15" t="s">
        <v>3</v>
      </c>
      <c r="D282" s="21" t="s">
        <v>56</v>
      </c>
      <c r="E282" s="21"/>
      <c r="F282" s="69" t="s">
        <v>4</v>
      </c>
      <c r="G282" s="9">
        <v>27395</v>
      </c>
      <c r="H282" s="26">
        <v>35702</v>
      </c>
      <c r="I282" s="17">
        <v>0</v>
      </c>
      <c r="J282" s="17">
        <f t="shared" si="43"/>
        <v>33916.9</v>
      </c>
      <c r="K282" s="17">
        <f t="shared" si="35"/>
        <v>1785.0999999999985</v>
      </c>
      <c r="L282" s="23">
        <f t="shared" si="42"/>
        <v>1785.1000000000001</v>
      </c>
      <c r="M282" s="23">
        <v>30</v>
      </c>
      <c r="N282" s="18">
        <f t="shared" si="36"/>
        <v>45.282191780821918</v>
      </c>
      <c r="O282" s="23">
        <v>33916.9</v>
      </c>
      <c r="P282" s="18">
        <f t="shared" si="37"/>
        <v>46.282191780821918</v>
      </c>
      <c r="Q282" s="18">
        <f t="shared" si="41"/>
        <v>-5.3053857603420815E-14</v>
      </c>
      <c r="R282" s="18">
        <f t="shared" si="38"/>
        <v>33916.9</v>
      </c>
      <c r="S282" s="18">
        <f t="shared" si="46"/>
        <v>1785.0999999999985</v>
      </c>
    </row>
    <row r="283" spans="1:19" ht="15" customHeight="1" x14ac:dyDescent="0.2">
      <c r="A283" s="14">
        <f t="shared" si="39"/>
        <v>247</v>
      </c>
      <c r="B283" s="21" t="s">
        <v>257</v>
      </c>
      <c r="C283" s="15" t="s">
        <v>3</v>
      </c>
      <c r="D283" s="21" t="s">
        <v>56</v>
      </c>
      <c r="E283" s="21"/>
      <c r="F283" s="69" t="s">
        <v>7</v>
      </c>
      <c r="G283" s="9">
        <v>27395</v>
      </c>
      <c r="H283" s="26">
        <v>6965</v>
      </c>
      <c r="I283" s="17">
        <v>0</v>
      </c>
      <c r="J283" s="17">
        <f t="shared" si="43"/>
        <v>6616.75</v>
      </c>
      <c r="K283" s="17">
        <f t="shared" si="35"/>
        <v>348.25</v>
      </c>
      <c r="L283" s="23">
        <f t="shared" si="42"/>
        <v>348.25</v>
      </c>
      <c r="M283" s="23">
        <v>30</v>
      </c>
      <c r="N283" s="18">
        <f t="shared" si="36"/>
        <v>45.282191780821918</v>
      </c>
      <c r="O283" s="23">
        <v>6616.75</v>
      </c>
      <c r="P283" s="18">
        <f t="shared" si="37"/>
        <v>46.282191780821918</v>
      </c>
      <c r="Q283" s="18">
        <f t="shared" si="41"/>
        <v>0</v>
      </c>
      <c r="R283" s="18">
        <f t="shared" si="38"/>
        <v>6616.75</v>
      </c>
      <c r="S283" s="18">
        <f t="shared" si="46"/>
        <v>348.25</v>
      </c>
    </row>
    <row r="284" spans="1:19" ht="15" customHeight="1" x14ac:dyDescent="0.2">
      <c r="A284" s="14">
        <f t="shared" si="39"/>
        <v>248</v>
      </c>
      <c r="B284" s="21" t="s">
        <v>102</v>
      </c>
      <c r="C284" s="15" t="s">
        <v>3</v>
      </c>
      <c r="D284" s="21" t="s">
        <v>56</v>
      </c>
      <c r="E284" s="21"/>
      <c r="F284" s="69" t="s">
        <v>4</v>
      </c>
      <c r="G284" s="9">
        <v>27395</v>
      </c>
      <c r="H284" s="26">
        <v>4154</v>
      </c>
      <c r="I284" s="17">
        <v>0</v>
      </c>
      <c r="J284" s="17">
        <f t="shared" si="43"/>
        <v>3946.3</v>
      </c>
      <c r="K284" s="17">
        <f t="shared" si="35"/>
        <v>207.69999999999982</v>
      </c>
      <c r="L284" s="23">
        <f t="shared" si="42"/>
        <v>207.70000000000002</v>
      </c>
      <c r="M284" s="23">
        <v>30</v>
      </c>
      <c r="N284" s="18">
        <f t="shared" si="36"/>
        <v>45.282191780821918</v>
      </c>
      <c r="O284" s="23">
        <v>3946.3</v>
      </c>
      <c r="P284" s="18">
        <f t="shared" si="37"/>
        <v>46.282191780821918</v>
      </c>
      <c r="Q284" s="18">
        <f t="shared" si="41"/>
        <v>-6.6317322004276018E-15</v>
      </c>
      <c r="R284" s="18">
        <f t="shared" si="38"/>
        <v>3946.3</v>
      </c>
      <c r="S284" s="18">
        <f t="shared" si="46"/>
        <v>207.69999999999982</v>
      </c>
    </row>
    <row r="285" spans="1:19" ht="15" customHeight="1" x14ac:dyDescent="0.2">
      <c r="A285" s="14">
        <f t="shared" si="39"/>
        <v>249</v>
      </c>
      <c r="B285" s="21" t="s">
        <v>258</v>
      </c>
      <c r="C285" s="15" t="s">
        <v>3</v>
      </c>
      <c r="D285" s="21" t="s">
        <v>56</v>
      </c>
      <c r="E285" s="21"/>
      <c r="F285" s="69" t="s">
        <v>4</v>
      </c>
      <c r="G285" s="9">
        <v>27395</v>
      </c>
      <c r="H285" s="26">
        <v>3369</v>
      </c>
      <c r="I285" s="17">
        <v>0</v>
      </c>
      <c r="J285" s="17">
        <f t="shared" si="43"/>
        <v>3200.55</v>
      </c>
      <c r="K285" s="17">
        <f t="shared" si="35"/>
        <v>168.44999999999982</v>
      </c>
      <c r="L285" s="23">
        <f t="shared" si="42"/>
        <v>168.45000000000002</v>
      </c>
      <c r="M285" s="23">
        <v>30</v>
      </c>
      <c r="N285" s="18">
        <f t="shared" si="36"/>
        <v>45.282191780821918</v>
      </c>
      <c r="O285" s="23">
        <v>3200.55</v>
      </c>
      <c r="P285" s="18">
        <f t="shared" si="37"/>
        <v>46.282191780821918</v>
      </c>
      <c r="Q285" s="18">
        <f t="shared" si="41"/>
        <v>-6.6317322004276018E-15</v>
      </c>
      <c r="R285" s="18">
        <f t="shared" si="38"/>
        <v>3200.55</v>
      </c>
      <c r="S285" s="18">
        <f t="shared" si="46"/>
        <v>168.44999999999982</v>
      </c>
    </row>
    <row r="286" spans="1:19" ht="15" customHeight="1" x14ac:dyDescent="0.2">
      <c r="A286" s="14">
        <f t="shared" si="39"/>
        <v>250</v>
      </c>
      <c r="B286" s="21" t="s">
        <v>259</v>
      </c>
      <c r="C286" s="15" t="s">
        <v>3</v>
      </c>
      <c r="D286" s="21" t="s">
        <v>56</v>
      </c>
      <c r="E286" s="21"/>
      <c r="F286" s="69" t="s">
        <v>4</v>
      </c>
      <c r="G286" s="9">
        <v>27395</v>
      </c>
      <c r="H286" s="26">
        <v>3124</v>
      </c>
      <c r="I286" s="17">
        <v>0</v>
      </c>
      <c r="J286" s="17">
        <f t="shared" si="43"/>
        <v>2967.8</v>
      </c>
      <c r="K286" s="17">
        <f t="shared" si="35"/>
        <v>156.19999999999982</v>
      </c>
      <c r="L286" s="23">
        <f t="shared" si="42"/>
        <v>156.20000000000002</v>
      </c>
      <c r="M286" s="23">
        <v>30</v>
      </c>
      <c r="N286" s="18">
        <f t="shared" si="36"/>
        <v>45.282191780821918</v>
      </c>
      <c r="O286" s="23">
        <v>2967.8</v>
      </c>
      <c r="P286" s="18">
        <f t="shared" si="37"/>
        <v>46.282191780821918</v>
      </c>
      <c r="Q286" s="18">
        <f t="shared" si="41"/>
        <v>-6.6317322004276018E-15</v>
      </c>
      <c r="R286" s="18">
        <f t="shared" si="38"/>
        <v>2967.8</v>
      </c>
      <c r="S286" s="18">
        <f t="shared" si="46"/>
        <v>156.19999999999982</v>
      </c>
    </row>
    <row r="287" spans="1:19" ht="15" customHeight="1" x14ac:dyDescent="0.2">
      <c r="A287" s="14">
        <f t="shared" si="39"/>
        <v>251</v>
      </c>
      <c r="B287" s="21" t="s">
        <v>260</v>
      </c>
      <c r="C287" s="15" t="s">
        <v>3</v>
      </c>
      <c r="D287" s="21" t="s">
        <v>56</v>
      </c>
      <c r="E287" s="21"/>
      <c r="F287" s="69" t="s">
        <v>4</v>
      </c>
      <c r="G287" s="9">
        <v>27395</v>
      </c>
      <c r="H287" s="26">
        <v>2853</v>
      </c>
      <c r="I287" s="17">
        <v>0</v>
      </c>
      <c r="J287" s="17">
        <f t="shared" si="43"/>
        <v>2710.35</v>
      </c>
      <c r="K287" s="17">
        <f t="shared" si="35"/>
        <v>142.65000000000009</v>
      </c>
      <c r="L287" s="23">
        <f t="shared" si="42"/>
        <v>142.65</v>
      </c>
      <c r="M287" s="23">
        <v>30</v>
      </c>
      <c r="N287" s="18">
        <f t="shared" si="36"/>
        <v>45.282191780821918</v>
      </c>
      <c r="O287" s="23">
        <v>2710.35</v>
      </c>
      <c r="P287" s="18">
        <f t="shared" si="37"/>
        <v>46.282191780821918</v>
      </c>
      <c r="Q287" s="18">
        <f t="shared" si="41"/>
        <v>2.8421709430404009E-15</v>
      </c>
      <c r="R287" s="18">
        <f t="shared" si="38"/>
        <v>2710.35</v>
      </c>
      <c r="S287" s="18">
        <f t="shared" si="46"/>
        <v>142.65000000000009</v>
      </c>
    </row>
    <row r="288" spans="1:19" ht="15" customHeight="1" x14ac:dyDescent="0.2">
      <c r="A288" s="14">
        <f t="shared" si="39"/>
        <v>252</v>
      </c>
      <c r="B288" s="21" t="s">
        <v>261</v>
      </c>
      <c r="C288" s="15" t="s">
        <v>3</v>
      </c>
      <c r="D288" s="21" t="s">
        <v>56</v>
      </c>
      <c r="E288" s="21"/>
      <c r="F288" s="69" t="s">
        <v>4</v>
      </c>
      <c r="G288" s="9">
        <v>27395</v>
      </c>
      <c r="H288" s="26">
        <v>2380</v>
      </c>
      <c r="I288" s="17">
        <v>0</v>
      </c>
      <c r="J288" s="17">
        <f t="shared" si="43"/>
        <v>2261</v>
      </c>
      <c r="K288" s="17">
        <f t="shared" si="35"/>
        <v>119</v>
      </c>
      <c r="L288" s="23">
        <f t="shared" si="42"/>
        <v>119</v>
      </c>
      <c r="M288" s="23">
        <v>30</v>
      </c>
      <c r="N288" s="18">
        <f t="shared" si="36"/>
        <v>45.282191780821918</v>
      </c>
      <c r="O288" s="23">
        <v>2261</v>
      </c>
      <c r="P288" s="18">
        <f t="shared" si="37"/>
        <v>46.282191780821918</v>
      </c>
      <c r="Q288" s="18">
        <f t="shared" si="41"/>
        <v>0</v>
      </c>
      <c r="R288" s="18">
        <f t="shared" si="38"/>
        <v>2261</v>
      </c>
      <c r="S288" s="18">
        <f t="shared" si="46"/>
        <v>119</v>
      </c>
    </row>
    <row r="289" spans="1:19" ht="15" customHeight="1" x14ac:dyDescent="0.2">
      <c r="A289" s="14">
        <f t="shared" si="39"/>
        <v>253</v>
      </c>
      <c r="B289" s="21" t="s">
        <v>262</v>
      </c>
      <c r="C289" s="15" t="s">
        <v>3</v>
      </c>
      <c r="D289" s="21" t="s">
        <v>56</v>
      </c>
      <c r="E289" s="21"/>
      <c r="F289" s="69" t="s">
        <v>4</v>
      </c>
      <c r="G289" s="9">
        <v>27395</v>
      </c>
      <c r="H289" s="26">
        <v>2032</v>
      </c>
      <c r="I289" s="17">
        <v>0</v>
      </c>
      <c r="J289" s="17">
        <f t="shared" si="43"/>
        <v>1930.4</v>
      </c>
      <c r="K289" s="17">
        <f t="shared" si="35"/>
        <v>101.59999999999991</v>
      </c>
      <c r="L289" s="23">
        <f t="shared" si="42"/>
        <v>101.60000000000001</v>
      </c>
      <c r="M289" s="23">
        <v>30</v>
      </c>
      <c r="N289" s="18">
        <f t="shared" si="36"/>
        <v>45.282191780821918</v>
      </c>
      <c r="O289" s="23">
        <v>1930.4</v>
      </c>
      <c r="P289" s="18">
        <f t="shared" si="37"/>
        <v>46.282191780821918</v>
      </c>
      <c r="Q289" s="18">
        <f t="shared" si="41"/>
        <v>-3.3158661002138009E-15</v>
      </c>
      <c r="R289" s="18">
        <f t="shared" si="38"/>
        <v>1930.4</v>
      </c>
      <c r="S289" s="18">
        <f t="shared" si="46"/>
        <v>101.59999999999991</v>
      </c>
    </row>
    <row r="290" spans="1:19" ht="15" customHeight="1" x14ac:dyDescent="0.2">
      <c r="A290" s="14">
        <f t="shared" si="39"/>
        <v>254</v>
      </c>
      <c r="B290" s="21" t="s">
        <v>263</v>
      </c>
      <c r="C290" s="15" t="s">
        <v>3</v>
      </c>
      <c r="D290" s="21" t="s">
        <v>56</v>
      </c>
      <c r="E290" s="21"/>
      <c r="F290" s="69" t="s">
        <v>4</v>
      </c>
      <c r="G290" s="9">
        <v>27395</v>
      </c>
      <c r="H290" s="26">
        <v>1182</v>
      </c>
      <c r="I290" s="17">
        <v>0</v>
      </c>
      <c r="J290" s="17">
        <f t="shared" si="43"/>
        <v>1122.9000000000001</v>
      </c>
      <c r="K290" s="17">
        <f t="shared" si="35"/>
        <v>59.099999999999909</v>
      </c>
      <c r="L290" s="23">
        <f t="shared" si="42"/>
        <v>59.1</v>
      </c>
      <c r="M290" s="23">
        <v>30</v>
      </c>
      <c r="N290" s="18">
        <f t="shared" si="36"/>
        <v>45.282191780821918</v>
      </c>
      <c r="O290" s="23">
        <v>1122.9000000000001</v>
      </c>
      <c r="P290" s="18">
        <f t="shared" si="37"/>
        <v>46.282191780821918</v>
      </c>
      <c r="Q290" s="18">
        <f t="shared" si="41"/>
        <v>-3.0790185216271009E-15</v>
      </c>
      <c r="R290" s="18">
        <f t="shared" si="38"/>
        <v>1122.9000000000001</v>
      </c>
      <c r="S290" s="18">
        <f t="shared" si="46"/>
        <v>59.099999999999909</v>
      </c>
    </row>
    <row r="291" spans="1:19" ht="15" customHeight="1" x14ac:dyDescent="0.2">
      <c r="A291" s="14">
        <f t="shared" si="39"/>
        <v>255</v>
      </c>
      <c r="B291" s="21" t="s">
        <v>264</v>
      </c>
      <c r="C291" s="15" t="s">
        <v>3</v>
      </c>
      <c r="D291" s="21" t="s">
        <v>56</v>
      </c>
      <c r="E291" s="21"/>
      <c r="F291" s="70" t="s">
        <v>7</v>
      </c>
      <c r="G291" s="9">
        <v>27395</v>
      </c>
      <c r="H291" s="26">
        <v>850</v>
      </c>
      <c r="I291" s="17">
        <v>0</v>
      </c>
      <c r="J291" s="17">
        <f t="shared" si="43"/>
        <v>807.5</v>
      </c>
      <c r="K291" s="17">
        <f t="shared" si="35"/>
        <v>42.5</v>
      </c>
      <c r="L291" s="23">
        <f t="shared" si="42"/>
        <v>42.5</v>
      </c>
      <c r="M291" s="23">
        <v>30</v>
      </c>
      <c r="N291" s="18">
        <f t="shared" si="36"/>
        <v>45.282191780821918</v>
      </c>
      <c r="O291" s="23">
        <v>807.5</v>
      </c>
      <c r="P291" s="18">
        <f t="shared" si="37"/>
        <v>46.282191780821918</v>
      </c>
      <c r="Q291" s="18">
        <f t="shared" si="41"/>
        <v>0</v>
      </c>
      <c r="R291" s="18">
        <f t="shared" si="38"/>
        <v>807.5</v>
      </c>
      <c r="S291" s="18">
        <f t="shared" si="46"/>
        <v>42.5</v>
      </c>
    </row>
    <row r="292" spans="1:19" ht="15" customHeight="1" x14ac:dyDescent="0.2">
      <c r="A292" s="14">
        <f t="shared" si="39"/>
        <v>256</v>
      </c>
      <c r="B292" s="21" t="s">
        <v>265</v>
      </c>
      <c r="C292" s="15" t="s">
        <v>3</v>
      </c>
      <c r="D292" s="21" t="s">
        <v>56</v>
      </c>
      <c r="E292" s="21"/>
      <c r="F292" s="70" t="s">
        <v>7</v>
      </c>
      <c r="G292" s="9">
        <v>27395</v>
      </c>
      <c r="H292" s="26">
        <v>687</v>
      </c>
      <c r="I292" s="17">
        <v>0</v>
      </c>
      <c r="J292" s="17">
        <f t="shared" si="43"/>
        <v>652.65</v>
      </c>
      <c r="K292" s="17">
        <f t="shared" si="35"/>
        <v>34.350000000000023</v>
      </c>
      <c r="L292" s="23">
        <f t="shared" si="42"/>
        <v>34.35</v>
      </c>
      <c r="M292" s="23">
        <v>30</v>
      </c>
      <c r="N292" s="18">
        <f t="shared" si="36"/>
        <v>45.282191780821918</v>
      </c>
      <c r="O292" s="23">
        <v>652.65</v>
      </c>
      <c r="P292" s="18">
        <f t="shared" si="37"/>
        <v>46.282191780821918</v>
      </c>
      <c r="Q292" s="18">
        <f t="shared" si="41"/>
        <v>7.1054273576010023E-16</v>
      </c>
      <c r="R292" s="18">
        <f t="shared" si="38"/>
        <v>652.65</v>
      </c>
      <c r="S292" s="18">
        <f t="shared" si="46"/>
        <v>34.350000000000023</v>
      </c>
    </row>
    <row r="293" spans="1:19" ht="15" customHeight="1" x14ac:dyDescent="0.2">
      <c r="A293" s="14">
        <f t="shared" si="39"/>
        <v>257</v>
      </c>
      <c r="B293" s="21" t="s">
        <v>266</v>
      </c>
      <c r="C293" s="15" t="s">
        <v>3</v>
      </c>
      <c r="D293" s="21" t="s">
        <v>56</v>
      </c>
      <c r="E293" s="21"/>
      <c r="F293" s="69" t="s">
        <v>4</v>
      </c>
      <c r="G293" s="9">
        <v>36250</v>
      </c>
      <c r="H293" s="26">
        <v>4244</v>
      </c>
      <c r="I293" s="17">
        <v>0</v>
      </c>
      <c r="J293" s="17">
        <f t="shared" si="43"/>
        <v>4031.8</v>
      </c>
      <c r="K293" s="17">
        <f t="shared" ref="K293:K356" si="47">H293+I293-J293</f>
        <v>212.19999999999982</v>
      </c>
      <c r="L293" s="23">
        <f t="shared" si="42"/>
        <v>212.20000000000002</v>
      </c>
      <c r="M293" s="23">
        <v>5</v>
      </c>
      <c r="N293" s="18">
        <f t="shared" ref="N293:N356" si="48">IF(($N$35-G293+1)/365&gt;0,($N$35-G293+1)/365,0)</f>
        <v>21.021917808219179</v>
      </c>
      <c r="O293" s="23">
        <v>4031.8</v>
      </c>
      <c r="P293" s="18">
        <f t="shared" ref="P293:P356" si="49">($P$35-G293+1)/365</f>
        <v>22.021917808219179</v>
      </c>
      <c r="Q293" s="18">
        <f t="shared" si="41"/>
        <v>-3.9790393202565614E-14</v>
      </c>
      <c r="R293" s="18">
        <f t="shared" ref="R293:R356" si="50">Q293+O293</f>
        <v>4031.8</v>
      </c>
      <c r="S293" s="18">
        <f t="shared" si="46"/>
        <v>212.19999999999982</v>
      </c>
    </row>
    <row r="294" spans="1:19" ht="15" customHeight="1" x14ac:dyDescent="0.2">
      <c r="A294" s="14">
        <f t="shared" si="39"/>
        <v>258</v>
      </c>
      <c r="B294" s="21" t="s">
        <v>267</v>
      </c>
      <c r="C294" s="15" t="s">
        <v>3</v>
      </c>
      <c r="D294" s="21" t="s">
        <v>56</v>
      </c>
      <c r="E294" s="21"/>
      <c r="F294" s="69" t="s">
        <v>4</v>
      </c>
      <c r="G294" s="9">
        <v>27030</v>
      </c>
      <c r="H294" s="26">
        <v>33860</v>
      </c>
      <c r="I294" s="17">
        <v>0</v>
      </c>
      <c r="J294" s="17">
        <f t="shared" si="43"/>
        <v>32167</v>
      </c>
      <c r="K294" s="17">
        <f t="shared" si="47"/>
        <v>1693</v>
      </c>
      <c r="L294" s="23">
        <f t="shared" si="42"/>
        <v>1693</v>
      </c>
      <c r="M294" s="23">
        <v>30</v>
      </c>
      <c r="N294" s="18">
        <f t="shared" si="48"/>
        <v>46.282191780821918</v>
      </c>
      <c r="O294" s="23">
        <v>32167</v>
      </c>
      <c r="P294" s="18">
        <f t="shared" si="49"/>
        <v>47.282191780821918</v>
      </c>
      <c r="Q294" s="18">
        <f t="shared" si="41"/>
        <v>0</v>
      </c>
      <c r="R294" s="18">
        <f t="shared" si="50"/>
        <v>32167</v>
      </c>
      <c r="S294" s="18">
        <f t="shared" si="46"/>
        <v>1693</v>
      </c>
    </row>
    <row r="295" spans="1:19" ht="15" customHeight="1" x14ac:dyDescent="0.2">
      <c r="A295" s="14">
        <f t="shared" ref="A295:A358" si="51">+A294+1</f>
        <v>259</v>
      </c>
      <c r="B295" s="21" t="s">
        <v>268</v>
      </c>
      <c r="C295" s="15" t="s">
        <v>3</v>
      </c>
      <c r="D295" s="21" t="s">
        <v>56</v>
      </c>
      <c r="E295" s="21"/>
      <c r="F295" s="69" t="s">
        <v>4</v>
      </c>
      <c r="G295" s="9">
        <v>27030</v>
      </c>
      <c r="H295" s="26">
        <v>30532</v>
      </c>
      <c r="I295" s="17">
        <v>0</v>
      </c>
      <c r="J295" s="17">
        <f t="shared" si="43"/>
        <v>29005.4</v>
      </c>
      <c r="K295" s="17">
        <f t="shared" si="47"/>
        <v>1526.5999999999985</v>
      </c>
      <c r="L295" s="23">
        <f t="shared" si="42"/>
        <v>1526.6000000000001</v>
      </c>
      <c r="M295" s="23">
        <v>30</v>
      </c>
      <c r="N295" s="18">
        <f t="shared" si="48"/>
        <v>46.282191780821918</v>
      </c>
      <c r="O295" s="23">
        <v>29005.4</v>
      </c>
      <c r="P295" s="18">
        <f t="shared" si="49"/>
        <v>47.282191780821918</v>
      </c>
      <c r="Q295" s="18">
        <f t="shared" si="41"/>
        <v>-5.3053857603420815E-14</v>
      </c>
      <c r="R295" s="18">
        <f t="shared" si="50"/>
        <v>29005.4</v>
      </c>
      <c r="S295" s="18">
        <f t="shared" si="46"/>
        <v>1526.5999999999985</v>
      </c>
    </row>
    <row r="296" spans="1:19" ht="15" customHeight="1" x14ac:dyDescent="0.2">
      <c r="A296" s="14">
        <f t="shared" si="51"/>
        <v>260</v>
      </c>
      <c r="B296" s="21" t="s">
        <v>269</v>
      </c>
      <c r="C296" s="15" t="s">
        <v>3</v>
      </c>
      <c r="D296" s="21" t="s">
        <v>56</v>
      </c>
      <c r="E296" s="21"/>
      <c r="F296" s="69" t="s">
        <v>4</v>
      </c>
      <c r="G296" s="9">
        <v>27030</v>
      </c>
      <c r="H296" s="26">
        <v>9167</v>
      </c>
      <c r="I296" s="17">
        <v>0</v>
      </c>
      <c r="J296" s="17">
        <f t="shared" si="43"/>
        <v>8708.65</v>
      </c>
      <c r="K296" s="17">
        <f t="shared" si="47"/>
        <v>458.35000000000036</v>
      </c>
      <c r="L296" s="23">
        <f t="shared" si="42"/>
        <v>458.35</v>
      </c>
      <c r="M296" s="23">
        <v>30</v>
      </c>
      <c r="N296" s="18">
        <f t="shared" si="48"/>
        <v>46.282191780821918</v>
      </c>
      <c r="O296" s="23">
        <v>8708.65</v>
      </c>
      <c r="P296" s="18">
        <f t="shared" si="49"/>
        <v>47.282191780821918</v>
      </c>
      <c r="Q296" s="18">
        <f t="shared" si="41"/>
        <v>1.1368683772161604E-14</v>
      </c>
      <c r="R296" s="18">
        <f t="shared" si="50"/>
        <v>8708.65</v>
      </c>
      <c r="S296" s="18">
        <f>+IF(N296&gt;P296,0,L296)</f>
        <v>458.35</v>
      </c>
    </row>
    <row r="297" spans="1:19" ht="15" customHeight="1" x14ac:dyDescent="0.2">
      <c r="A297" s="14">
        <f t="shared" si="51"/>
        <v>261</v>
      </c>
      <c r="B297" s="21" t="s">
        <v>270</v>
      </c>
      <c r="C297" s="15" t="s">
        <v>3</v>
      </c>
      <c r="D297" s="21" t="s">
        <v>56</v>
      </c>
      <c r="E297" s="21"/>
      <c r="F297" s="69" t="s">
        <v>4</v>
      </c>
      <c r="G297" s="9">
        <v>27030</v>
      </c>
      <c r="H297" s="26">
        <v>5848</v>
      </c>
      <c r="I297" s="17">
        <v>0</v>
      </c>
      <c r="J297" s="17">
        <f t="shared" si="43"/>
        <v>5555.6</v>
      </c>
      <c r="K297" s="17">
        <f t="shared" si="47"/>
        <v>292.39999999999964</v>
      </c>
      <c r="L297" s="23">
        <f t="shared" si="42"/>
        <v>292.40000000000003</v>
      </c>
      <c r="M297" s="23">
        <v>30</v>
      </c>
      <c r="N297" s="18">
        <f t="shared" si="48"/>
        <v>46.282191780821918</v>
      </c>
      <c r="O297" s="23">
        <v>5555.6</v>
      </c>
      <c r="P297" s="18">
        <f t="shared" si="49"/>
        <v>47.282191780821918</v>
      </c>
      <c r="Q297" s="18">
        <f t="shared" si="41"/>
        <v>-1.3263464400855204E-14</v>
      </c>
      <c r="R297" s="18">
        <f t="shared" si="50"/>
        <v>5555.6</v>
      </c>
      <c r="S297" s="18">
        <f>H297-R297</f>
        <v>292.39999999999964</v>
      </c>
    </row>
    <row r="298" spans="1:19" ht="15" customHeight="1" x14ac:dyDescent="0.2">
      <c r="A298" s="14">
        <f t="shared" si="51"/>
        <v>262</v>
      </c>
      <c r="B298" s="21" t="s">
        <v>271</v>
      </c>
      <c r="C298" s="15" t="s">
        <v>3</v>
      </c>
      <c r="D298" s="21" t="s">
        <v>56</v>
      </c>
      <c r="E298" s="21"/>
      <c r="F298" s="69" t="s">
        <v>4</v>
      </c>
      <c r="G298" s="9">
        <v>27030</v>
      </c>
      <c r="H298" s="26">
        <v>5480</v>
      </c>
      <c r="I298" s="17">
        <v>0</v>
      </c>
      <c r="J298" s="17">
        <f t="shared" si="43"/>
        <v>5206</v>
      </c>
      <c r="K298" s="17">
        <f t="shared" si="47"/>
        <v>274</v>
      </c>
      <c r="L298" s="23">
        <f t="shared" si="42"/>
        <v>274</v>
      </c>
      <c r="M298" s="23">
        <v>30</v>
      </c>
      <c r="N298" s="18">
        <f t="shared" si="48"/>
        <v>46.282191780821918</v>
      </c>
      <c r="O298" s="23">
        <v>5206</v>
      </c>
      <c r="P298" s="18">
        <f t="shared" si="49"/>
        <v>47.282191780821918</v>
      </c>
      <c r="Q298" s="18">
        <f t="shared" si="41"/>
        <v>0</v>
      </c>
      <c r="R298" s="18">
        <f t="shared" si="50"/>
        <v>5206</v>
      </c>
      <c r="S298" s="18">
        <f>H298-R298</f>
        <v>274</v>
      </c>
    </row>
    <row r="299" spans="1:19" ht="15" customHeight="1" x14ac:dyDescent="0.2">
      <c r="A299" s="14">
        <f t="shared" si="51"/>
        <v>263</v>
      </c>
      <c r="B299" s="21" t="s">
        <v>272</v>
      </c>
      <c r="C299" s="15" t="s">
        <v>3</v>
      </c>
      <c r="D299" s="21" t="s">
        <v>56</v>
      </c>
      <c r="E299" s="21"/>
      <c r="F299" s="69" t="s">
        <v>4</v>
      </c>
      <c r="G299" s="9">
        <v>27030</v>
      </c>
      <c r="H299" s="26">
        <v>1633</v>
      </c>
      <c r="I299" s="17">
        <v>0</v>
      </c>
      <c r="J299" s="17">
        <f t="shared" si="43"/>
        <v>1551.35</v>
      </c>
      <c r="K299" s="17">
        <f t="shared" si="47"/>
        <v>81.650000000000091</v>
      </c>
      <c r="L299" s="23">
        <f t="shared" si="42"/>
        <v>81.650000000000006</v>
      </c>
      <c r="M299" s="23">
        <v>30</v>
      </c>
      <c r="N299" s="18">
        <f t="shared" si="48"/>
        <v>46.282191780821918</v>
      </c>
      <c r="O299" s="23">
        <v>1551.35</v>
      </c>
      <c r="P299" s="18">
        <f t="shared" si="49"/>
        <v>47.282191780821918</v>
      </c>
      <c r="Q299" s="18">
        <f t="shared" si="41"/>
        <v>2.8421709430404009E-15</v>
      </c>
      <c r="R299" s="18">
        <f t="shared" si="50"/>
        <v>1551.35</v>
      </c>
      <c r="S299" s="18">
        <f>+IF(N299&gt;P299,0,L299)</f>
        <v>81.650000000000006</v>
      </c>
    </row>
    <row r="300" spans="1:19" ht="15" customHeight="1" x14ac:dyDescent="0.2">
      <c r="A300" s="14">
        <f t="shared" si="51"/>
        <v>264</v>
      </c>
      <c r="B300" s="21" t="s">
        <v>273</v>
      </c>
      <c r="C300" s="15" t="s">
        <v>3</v>
      </c>
      <c r="D300" s="21" t="s">
        <v>56</v>
      </c>
      <c r="E300" s="21"/>
      <c r="F300" s="69" t="s">
        <v>4</v>
      </c>
      <c r="G300" s="9">
        <v>27030</v>
      </c>
      <c r="H300" s="26">
        <v>1504</v>
      </c>
      <c r="I300" s="17">
        <v>0</v>
      </c>
      <c r="J300" s="17">
        <f t="shared" si="43"/>
        <v>1428.8</v>
      </c>
      <c r="K300" s="17">
        <f t="shared" si="47"/>
        <v>75.200000000000045</v>
      </c>
      <c r="L300" s="23">
        <f t="shared" si="42"/>
        <v>75.2</v>
      </c>
      <c r="M300" s="23">
        <v>30</v>
      </c>
      <c r="N300" s="18">
        <f t="shared" si="48"/>
        <v>46.282191780821918</v>
      </c>
      <c r="O300" s="23">
        <v>1428.8</v>
      </c>
      <c r="P300" s="18">
        <f t="shared" si="49"/>
        <v>47.282191780821918</v>
      </c>
      <c r="Q300" s="18">
        <f t="shared" si="41"/>
        <v>1.4210854715202005E-15</v>
      </c>
      <c r="R300" s="18">
        <f t="shared" si="50"/>
        <v>1428.8</v>
      </c>
      <c r="S300" s="18">
        <f>H300-R300</f>
        <v>75.200000000000045</v>
      </c>
    </row>
    <row r="301" spans="1:19" ht="15" customHeight="1" x14ac:dyDescent="0.2">
      <c r="A301" s="14">
        <f t="shared" si="51"/>
        <v>265</v>
      </c>
      <c r="B301" s="21" t="s">
        <v>274</v>
      </c>
      <c r="C301" s="15" t="s">
        <v>3</v>
      </c>
      <c r="D301" s="21" t="s">
        <v>56</v>
      </c>
      <c r="E301" s="21"/>
      <c r="F301" s="69" t="s">
        <v>4</v>
      </c>
      <c r="G301" s="9">
        <v>27030</v>
      </c>
      <c r="H301" s="26">
        <v>1013</v>
      </c>
      <c r="I301" s="17">
        <v>0</v>
      </c>
      <c r="J301" s="17">
        <f t="shared" si="43"/>
        <v>962.35</v>
      </c>
      <c r="K301" s="17">
        <f t="shared" si="47"/>
        <v>50.649999999999977</v>
      </c>
      <c r="L301" s="23">
        <f t="shared" si="42"/>
        <v>50.650000000000006</v>
      </c>
      <c r="M301" s="23">
        <v>30</v>
      </c>
      <c r="N301" s="18">
        <f t="shared" si="48"/>
        <v>46.282191780821918</v>
      </c>
      <c r="O301" s="23">
        <v>962.35</v>
      </c>
      <c r="P301" s="18">
        <f t="shared" si="49"/>
        <v>47.282191780821918</v>
      </c>
      <c r="Q301" s="18">
        <f t="shared" si="41"/>
        <v>-9.4739031434680023E-16</v>
      </c>
      <c r="R301" s="18">
        <f t="shared" si="50"/>
        <v>962.35</v>
      </c>
      <c r="S301" s="18">
        <f>H301-R301</f>
        <v>50.649999999999977</v>
      </c>
    </row>
    <row r="302" spans="1:19" ht="15" customHeight="1" x14ac:dyDescent="0.2">
      <c r="A302" s="14">
        <f t="shared" si="51"/>
        <v>266</v>
      </c>
      <c r="B302" s="21" t="s">
        <v>233</v>
      </c>
      <c r="C302" s="15" t="s">
        <v>3</v>
      </c>
      <c r="D302" s="21" t="s">
        <v>56</v>
      </c>
      <c r="E302" s="21"/>
      <c r="F302" s="69" t="s">
        <v>4</v>
      </c>
      <c r="G302" s="9">
        <v>27030</v>
      </c>
      <c r="H302" s="26">
        <v>943</v>
      </c>
      <c r="I302" s="17">
        <v>0</v>
      </c>
      <c r="J302" s="17">
        <f t="shared" si="43"/>
        <v>895.85</v>
      </c>
      <c r="K302" s="17">
        <f t="shared" si="47"/>
        <v>47.149999999999977</v>
      </c>
      <c r="L302" s="23">
        <f t="shared" si="42"/>
        <v>47.150000000000006</v>
      </c>
      <c r="M302" s="23">
        <v>30</v>
      </c>
      <c r="N302" s="18">
        <f t="shared" si="48"/>
        <v>46.282191780821918</v>
      </c>
      <c r="O302" s="23">
        <v>895.85</v>
      </c>
      <c r="P302" s="18">
        <f t="shared" si="49"/>
        <v>47.282191780821918</v>
      </c>
      <c r="Q302" s="18">
        <f t="shared" si="41"/>
        <v>-9.4739031434680023E-16</v>
      </c>
      <c r="R302" s="18">
        <f t="shared" si="50"/>
        <v>895.85</v>
      </c>
      <c r="S302" s="18">
        <f>H302-R302</f>
        <v>47.149999999999977</v>
      </c>
    </row>
    <row r="303" spans="1:19" ht="15" customHeight="1" x14ac:dyDescent="0.2">
      <c r="A303" s="14">
        <f t="shared" si="51"/>
        <v>267</v>
      </c>
      <c r="B303" s="21" t="s">
        <v>275</v>
      </c>
      <c r="C303" s="15" t="s">
        <v>3</v>
      </c>
      <c r="D303" s="21" t="s">
        <v>56</v>
      </c>
      <c r="E303" s="21"/>
      <c r="F303" s="69" t="s">
        <v>4</v>
      </c>
      <c r="G303" s="9">
        <v>27030</v>
      </c>
      <c r="H303" s="26">
        <v>617</v>
      </c>
      <c r="I303" s="17">
        <v>0</v>
      </c>
      <c r="J303" s="17">
        <f t="shared" si="43"/>
        <v>586.15</v>
      </c>
      <c r="K303" s="17">
        <f t="shared" si="47"/>
        <v>30.850000000000023</v>
      </c>
      <c r="L303" s="23">
        <f t="shared" si="42"/>
        <v>30.85</v>
      </c>
      <c r="M303" s="23">
        <v>30</v>
      </c>
      <c r="N303" s="18">
        <f t="shared" si="48"/>
        <v>46.282191780821918</v>
      </c>
      <c r="O303" s="23">
        <v>586.15</v>
      </c>
      <c r="P303" s="18">
        <f t="shared" si="49"/>
        <v>47.282191780821918</v>
      </c>
      <c r="Q303" s="18">
        <f t="shared" si="41"/>
        <v>7.1054273576010023E-16</v>
      </c>
      <c r="R303" s="18">
        <f t="shared" si="50"/>
        <v>586.15</v>
      </c>
      <c r="S303" s="18">
        <f>+IF(N303&gt;P303,0,L303)</f>
        <v>30.85</v>
      </c>
    </row>
    <row r="304" spans="1:19" ht="15" customHeight="1" x14ac:dyDescent="0.2">
      <c r="A304" s="14">
        <f t="shared" si="51"/>
        <v>268</v>
      </c>
      <c r="B304" s="21" t="s">
        <v>229</v>
      </c>
      <c r="C304" s="15" t="s">
        <v>3</v>
      </c>
      <c r="D304" s="21" t="s">
        <v>56</v>
      </c>
      <c r="E304" s="21"/>
      <c r="F304" s="69" t="s">
        <v>4</v>
      </c>
      <c r="G304" s="9">
        <v>36128</v>
      </c>
      <c r="H304" s="26">
        <v>1112473</v>
      </c>
      <c r="I304" s="17">
        <v>0</v>
      </c>
      <c r="J304" s="17">
        <f t="shared" si="43"/>
        <v>1056849.3500000001</v>
      </c>
      <c r="K304" s="17">
        <f t="shared" si="47"/>
        <v>55623.649999999907</v>
      </c>
      <c r="L304" s="23">
        <f t="shared" si="42"/>
        <v>55623.65</v>
      </c>
      <c r="M304" s="23">
        <v>5</v>
      </c>
      <c r="N304" s="18">
        <f t="shared" si="48"/>
        <v>21.356164383561644</v>
      </c>
      <c r="O304" s="23">
        <v>1056849.3500000001</v>
      </c>
      <c r="P304" s="18">
        <f t="shared" si="49"/>
        <v>22.356164383561644</v>
      </c>
      <c r="Q304" s="18">
        <f t="shared" si="41"/>
        <v>-1.8917489796876908E-11</v>
      </c>
      <c r="R304" s="18">
        <f t="shared" si="50"/>
        <v>1056849.3500000001</v>
      </c>
      <c r="S304" s="18">
        <f>H304-R304</f>
        <v>55623.649999999907</v>
      </c>
    </row>
    <row r="305" spans="1:19" ht="15" customHeight="1" x14ac:dyDescent="0.2">
      <c r="A305" s="14">
        <f t="shared" si="51"/>
        <v>269</v>
      </c>
      <c r="B305" s="21" t="s">
        <v>276</v>
      </c>
      <c r="C305" s="15" t="s">
        <v>3</v>
      </c>
      <c r="D305" s="21" t="s">
        <v>56</v>
      </c>
      <c r="E305" s="21"/>
      <c r="F305" s="69" t="s">
        <v>7</v>
      </c>
      <c r="G305" s="9">
        <v>26665</v>
      </c>
      <c r="H305" s="26">
        <v>22608</v>
      </c>
      <c r="I305" s="17">
        <v>0</v>
      </c>
      <c r="J305" s="17">
        <f t="shared" si="43"/>
        <v>21477.599999999999</v>
      </c>
      <c r="K305" s="17">
        <f t="shared" si="47"/>
        <v>1130.4000000000015</v>
      </c>
      <c r="L305" s="23">
        <f t="shared" si="42"/>
        <v>1130.4000000000001</v>
      </c>
      <c r="M305" s="23">
        <v>30</v>
      </c>
      <c r="N305" s="18">
        <f t="shared" si="48"/>
        <v>47.282191780821918</v>
      </c>
      <c r="O305" s="23">
        <v>21477.599999999999</v>
      </c>
      <c r="P305" s="18">
        <f t="shared" si="49"/>
        <v>48.282191780821918</v>
      </c>
      <c r="Q305" s="18">
        <f t="shared" si="41"/>
        <v>4.5474735088646414E-14</v>
      </c>
      <c r="R305" s="18">
        <f t="shared" si="50"/>
        <v>21477.599999999999</v>
      </c>
      <c r="S305" s="18">
        <f>+IF(N305&gt;P305,0,L305)</f>
        <v>1130.4000000000001</v>
      </c>
    </row>
    <row r="306" spans="1:19" ht="15" customHeight="1" x14ac:dyDescent="0.2">
      <c r="A306" s="14">
        <f t="shared" si="51"/>
        <v>270</v>
      </c>
      <c r="B306" s="21" t="s">
        <v>277</v>
      </c>
      <c r="C306" s="15" t="s">
        <v>3</v>
      </c>
      <c r="D306" s="21" t="s">
        <v>56</v>
      </c>
      <c r="E306" s="21"/>
      <c r="F306" s="69" t="s">
        <v>7</v>
      </c>
      <c r="G306" s="9">
        <v>26665</v>
      </c>
      <c r="H306" s="26">
        <v>8307</v>
      </c>
      <c r="I306" s="17">
        <v>0</v>
      </c>
      <c r="J306" s="17">
        <f t="shared" si="43"/>
        <v>7891.65</v>
      </c>
      <c r="K306" s="17">
        <f t="shared" si="47"/>
        <v>415.35000000000036</v>
      </c>
      <c r="L306" s="23">
        <f t="shared" si="42"/>
        <v>415.35</v>
      </c>
      <c r="M306" s="23">
        <v>30</v>
      </c>
      <c r="N306" s="18">
        <f t="shared" si="48"/>
        <v>47.282191780821918</v>
      </c>
      <c r="O306" s="23">
        <v>7891.65</v>
      </c>
      <c r="P306" s="18">
        <f t="shared" si="49"/>
        <v>48.282191780821918</v>
      </c>
      <c r="Q306" s="18">
        <f t="shared" si="41"/>
        <v>1.1368683772161604E-14</v>
      </c>
      <c r="R306" s="18">
        <f t="shared" si="50"/>
        <v>7891.65</v>
      </c>
      <c r="S306" s="18">
        <f>+IF(N306&gt;P306,0,L306)</f>
        <v>415.35</v>
      </c>
    </row>
    <row r="307" spans="1:19" ht="15" customHeight="1" x14ac:dyDescent="0.2">
      <c r="A307" s="14">
        <f t="shared" si="51"/>
        <v>271</v>
      </c>
      <c r="B307" s="21" t="s">
        <v>278</v>
      </c>
      <c r="C307" s="15" t="s">
        <v>3</v>
      </c>
      <c r="D307" s="21" t="s">
        <v>56</v>
      </c>
      <c r="E307" s="21"/>
      <c r="F307" s="70" t="s">
        <v>7</v>
      </c>
      <c r="G307" s="9">
        <v>26665</v>
      </c>
      <c r="H307" s="26">
        <v>6186</v>
      </c>
      <c r="I307" s="17">
        <v>0</v>
      </c>
      <c r="J307" s="17">
        <f t="shared" si="43"/>
        <v>5876.7</v>
      </c>
      <c r="K307" s="17">
        <f t="shared" si="47"/>
        <v>309.30000000000018</v>
      </c>
      <c r="L307" s="23">
        <f t="shared" si="42"/>
        <v>309.3</v>
      </c>
      <c r="M307" s="23">
        <v>30</v>
      </c>
      <c r="N307" s="18">
        <f t="shared" si="48"/>
        <v>47.282191780821918</v>
      </c>
      <c r="O307" s="23">
        <v>5876.7</v>
      </c>
      <c r="P307" s="18">
        <f t="shared" si="49"/>
        <v>48.282191780821918</v>
      </c>
      <c r="Q307" s="18">
        <f t="shared" si="41"/>
        <v>5.6843418860808018E-15</v>
      </c>
      <c r="R307" s="18">
        <f t="shared" si="50"/>
        <v>5876.7</v>
      </c>
      <c r="S307" s="18">
        <f>H307-R307</f>
        <v>309.30000000000018</v>
      </c>
    </row>
    <row r="308" spans="1:19" ht="15" customHeight="1" x14ac:dyDescent="0.2">
      <c r="A308" s="14">
        <f t="shared" si="51"/>
        <v>272</v>
      </c>
      <c r="B308" s="21" t="s">
        <v>279</v>
      </c>
      <c r="C308" s="15" t="s">
        <v>3</v>
      </c>
      <c r="D308" s="21" t="s">
        <v>56</v>
      </c>
      <c r="E308" s="21"/>
      <c r="F308" s="69" t="s">
        <v>8</v>
      </c>
      <c r="G308" s="9">
        <v>26665</v>
      </c>
      <c r="H308" s="26">
        <v>6186</v>
      </c>
      <c r="I308" s="17">
        <v>0</v>
      </c>
      <c r="J308" s="17">
        <f t="shared" si="43"/>
        <v>5876.7</v>
      </c>
      <c r="K308" s="17">
        <f t="shared" si="47"/>
        <v>309.30000000000018</v>
      </c>
      <c r="L308" s="23">
        <f t="shared" si="42"/>
        <v>309.3</v>
      </c>
      <c r="M308" s="23">
        <v>30</v>
      </c>
      <c r="N308" s="18">
        <f t="shared" si="48"/>
        <v>47.282191780821918</v>
      </c>
      <c r="O308" s="23">
        <v>5876.7</v>
      </c>
      <c r="P308" s="18">
        <f t="shared" si="49"/>
        <v>48.282191780821918</v>
      </c>
      <c r="Q308" s="18">
        <f t="shared" si="41"/>
        <v>5.6843418860808018E-15</v>
      </c>
      <c r="R308" s="18">
        <f t="shared" si="50"/>
        <v>5876.7</v>
      </c>
      <c r="S308" s="18">
        <f>H308-R308</f>
        <v>309.30000000000018</v>
      </c>
    </row>
    <row r="309" spans="1:19" ht="15" customHeight="1" x14ac:dyDescent="0.2">
      <c r="A309" s="14">
        <f t="shared" si="51"/>
        <v>273</v>
      </c>
      <c r="B309" s="21" t="s">
        <v>280</v>
      </c>
      <c r="C309" s="15" t="s">
        <v>3</v>
      </c>
      <c r="D309" s="21" t="s">
        <v>56</v>
      </c>
      <c r="E309" s="21"/>
      <c r="F309" s="69" t="s">
        <v>4</v>
      </c>
      <c r="G309" s="9">
        <v>26665</v>
      </c>
      <c r="H309" s="26">
        <v>5155</v>
      </c>
      <c r="I309" s="17">
        <v>0</v>
      </c>
      <c r="J309" s="17">
        <f t="shared" si="43"/>
        <v>4897.25</v>
      </c>
      <c r="K309" s="17">
        <f t="shared" si="47"/>
        <v>257.75</v>
      </c>
      <c r="L309" s="23">
        <f t="shared" si="42"/>
        <v>257.75</v>
      </c>
      <c r="M309" s="23">
        <v>30</v>
      </c>
      <c r="N309" s="18">
        <f t="shared" si="48"/>
        <v>47.282191780821918</v>
      </c>
      <c r="O309" s="23">
        <v>4897.25</v>
      </c>
      <c r="P309" s="18">
        <f t="shared" si="49"/>
        <v>48.282191780821918</v>
      </c>
      <c r="Q309" s="18">
        <f t="shared" si="41"/>
        <v>0</v>
      </c>
      <c r="R309" s="18">
        <f t="shared" si="50"/>
        <v>4897.25</v>
      </c>
      <c r="S309" s="18">
        <f>H309-R309</f>
        <v>257.75</v>
      </c>
    </row>
    <row r="310" spans="1:19" ht="15" customHeight="1" x14ac:dyDescent="0.2">
      <c r="A310" s="14">
        <f t="shared" si="51"/>
        <v>274</v>
      </c>
      <c r="B310" s="21" t="s">
        <v>281</v>
      </c>
      <c r="C310" s="15" t="s">
        <v>3</v>
      </c>
      <c r="D310" s="21" t="s">
        <v>56</v>
      </c>
      <c r="E310" s="21"/>
      <c r="F310" s="70" t="s">
        <v>7</v>
      </c>
      <c r="G310" s="9">
        <v>26665</v>
      </c>
      <c r="H310" s="26">
        <v>3521</v>
      </c>
      <c r="I310" s="17">
        <v>0</v>
      </c>
      <c r="J310" s="17">
        <f t="shared" si="43"/>
        <v>3344.95</v>
      </c>
      <c r="K310" s="17">
        <f t="shared" si="47"/>
        <v>176.05000000000018</v>
      </c>
      <c r="L310" s="23">
        <f t="shared" si="42"/>
        <v>176.05</v>
      </c>
      <c r="M310" s="23">
        <v>30</v>
      </c>
      <c r="N310" s="18">
        <f t="shared" si="48"/>
        <v>47.282191780821918</v>
      </c>
      <c r="O310" s="23">
        <v>3344.95</v>
      </c>
      <c r="P310" s="18">
        <f t="shared" si="49"/>
        <v>48.282191780821918</v>
      </c>
      <c r="Q310" s="18">
        <f t="shared" si="41"/>
        <v>5.6843418860808018E-15</v>
      </c>
      <c r="R310" s="18">
        <f t="shared" si="50"/>
        <v>3344.95</v>
      </c>
      <c r="S310" s="18">
        <f>+IF(N310&gt;P310,0,L310)</f>
        <v>176.05</v>
      </c>
    </row>
    <row r="311" spans="1:19" ht="15" customHeight="1" x14ac:dyDescent="0.2">
      <c r="A311" s="14">
        <f t="shared" si="51"/>
        <v>275</v>
      </c>
      <c r="B311" s="21" t="s">
        <v>282</v>
      </c>
      <c r="C311" s="15" t="s">
        <v>3</v>
      </c>
      <c r="D311" s="21" t="s">
        <v>56</v>
      </c>
      <c r="E311" s="21"/>
      <c r="F311" s="69" t="s">
        <v>4</v>
      </c>
      <c r="G311" s="9">
        <v>26665</v>
      </c>
      <c r="H311" s="26">
        <v>1496</v>
      </c>
      <c r="I311" s="17">
        <v>0</v>
      </c>
      <c r="J311" s="17">
        <f t="shared" si="43"/>
        <v>1421.2</v>
      </c>
      <c r="K311" s="17">
        <f t="shared" si="47"/>
        <v>74.799999999999955</v>
      </c>
      <c r="L311" s="23">
        <f t="shared" si="42"/>
        <v>74.8</v>
      </c>
      <c r="M311" s="23">
        <v>30</v>
      </c>
      <c r="N311" s="18">
        <f t="shared" si="48"/>
        <v>47.282191780821918</v>
      </c>
      <c r="O311" s="23">
        <v>1421.2</v>
      </c>
      <c r="P311" s="18">
        <f t="shared" si="49"/>
        <v>48.282191780821918</v>
      </c>
      <c r="Q311" s="18">
        <f t="shared" ref="Q311:Q374" si="52">(P311-N311)/M311*(K311-L311)</f>
        <v>-1.4210854715202005E-15</v>
      </c>
      <c r="R311" s="18">
        <f t="shared" si="50"/>
        <v>1421.2</v>
      </c>
      <c r="S311" s="18">
        <f>H311-R311</f>
        <v>74.799999999999955</v>
      </c>
    </row>
    <row r="312" spans="1:19" ht="15" customHeight="1" x14ac:dyDescent="0.2">
      <c r="A312" s="14">
        <f t="shared" si="51"/>
        <v>276</v>
      </c>
      <c r="B312" s="21" t="s">
        <v>283</v>
      </c>
      <c r="C312" s="15" t="s">
        <v>3</v>
      </c>
      <c r="D312" s="21" t="s">
        <v>56</v>
      </c>
      <c r="E312" s="21"/>
      <c r="F312" s="69" t="s">
        <v>4</v>
      </c>
      <c r="G312" s="9">
        <v>26665</v>
      </c>
      <c r="H312" s="26">
        <v>1027</v>
      </c>
      <c r="I312" s="17">
        <v>0</v>
      </c>
      <c r="J312" s="17">
        <f t="shared" si="43"/>
        <v>975.65</v>
      </c>
      <c r="K312" s="17">
        <f t="shared" si="47"/>
        <v>51.350000000000023</v>
      </c>
      <c r="L312" s="23">
        <f t="shared" ref="L312:L375" si="53">H312*0.05</f>
        <v>51.35</v>
      </c>
      <c r="M312" s="23">
        <v>30</v>
      </c>
      <c r="N312" s="18">
        <f t="shared" si="48"/>
        <v>47.282191780821918</v>
      </c>
      <c r="O312" s="23">
        <v>975.65</v>
      </c>
      <c r="P312" s="18">
        <f t="shared" si="49"/>
        <v>48.282191780821918</v>
      </c>
      <c r="Q312" s="18">
        <f t="shared" si="52"/>
        <v>7.1054273576010023E-16</v>
      </c>
      <c r="R312" s="18">
        <f t="shared" si="50"/>
        <v>975.65</v>
      </c>
      <c r="S312" s="18">
        <f>H312-R312</f>
        <v>51.350000000000023</v>
      </c>
    </row>
    <row r="313" spans="1:19" ht="15" customHeight="1" x14ac:dyDescent="0.2">
      <c r="A313" s="14">
        <f t="shared" si="51"/>
        <v>277</v>
      </c>
      <c r="B313" s="21" t="s">
        <v>284</v>
      </c>
      <c r="C313" s="15" t="s">
        <v>3</v>
      </c>
      <c r="D313" s="21" t="s">
        <v>56</v>
      </c>
      <c r="E313" s="21"/>
      <c r="F313" s="69" t="s">
        <v>8</v>
      </c>
      <c r="G313" s="9">
        <v>26665</v>
      </c>
      <c r="H313" s="26">
        <v>536</v>
      </c>
      <c r="I313" s="17">
        <v>0</v>
      </c>
      <c r="J313" s="17">
        <f t="shared" ref="J313:J376" si="54">H313-L313</f>
        <v>509.2</v>
      </c>
      <c r="K313" s="17">
        <f t="shared" si="47"/>
        <v>26.800000000000011</v>
      </c>
      <c r="L313" s="23">
        <f t="shared" si="53"/>
        <v>26.8</v>
      </c>
      <c r="M313" s="23">
        <v>30</v>
      </c>
      <c r="N313" s="18">
        <f t="shared" si="48"/>
        <v>47.282191780821918</v>
      </c>
      <c r="O313" s="23">
        <v>509.2</v>
      </c>
      <c r="P313" s="18">
        <f t="shared" si="49"/>
        <v>48.282191780821918</v>
      </c>
      <c r="Q313" s="18">
        <f t="shared" si="52"/>
        <v>3.5527136788005011E-16</v>
      </c>
      <c r="R313" s="18">
        <f t="shared" si="50"/>
        <v>509.2</v>
      </c>
      <c r="S313" s="18">
        <f>H313-R313</f>
        <v>26.800000000000011</v>
      </c>
    </row>
    <row r="314" spans="1:19" ht="15" customHeight="1" x14ac:dyDescent="0.2">
      <c r="A314" s="14">
        <f t="shared" si="51"/>
        <v>278</v>
      </c>
      <c r="B314" s="21" t="s">
        <v>133</v>
      </c>
      <c r="C314" s="15" t="s">
        <v>3</v>
      </c>
      <c r="D314" s="21" t="s">
        <v>56</v>
      </c>
      <c r="E314" s="21"/>
      <c r="F314" s="69" t="s">
        <v>11</v>
      </c>
      <c r="G314" s="9">
        <v>26665</v>
      </c>
      <c r="H314" s="26">
        <v>513</v>
      </c>
      <c r="I314" s="17">
        <v>0</v>
      </c>
      <c r="J314" s="17">
        <f t="shared" si="54"/>
        <v>487.35</v>
      </c>
      <c r="K314" s="17">
        <f t="shared" si="47"/>
        <v>25.649999999999977</v>
      </c>
      <c r="L314" s="23">
        <f t="shared" si="53"/>
        <v>25.650000000000002</v>
      </c>
      <c r="M314" s="23">
        <v>30</v>
      </c>
      <c r="N314" s="18">
        <f t="shared" si="48"/>
        <v>47.282191780821918</v>
      </c>
      <c r="O314" s="23">
        <v>487.35</v>
      </c>
      <c r="P314" s="18">
        <f t="shared" si="49"/>
        <v>48.282191780821918</v>
      </c>
      <c r="Q314" s="18">
        <f t="shared" si="52"/>
        <v>-8.2896652505345023E-16</v>
      </c>
      <c r="R314" s="18">
        <f t="shared" si="50"/>
        <v>487.35</v>
      </c>
      <c r="S314" s="18">
        <f>H314-R314</f>
        <v>25.649999999999977</v>
      </c>
    </row>
    <row r="315" spans="1:19" ht="15" customHeight="1" x14ac:dyDescent="0.2">
      <c r="A315" s="14">
        <f t="shared" si="51"/>
        <v>279</v>
      </c>
      <c r="B315" s="21" t="s">
        <v>285</v>
      </c>
      <c r="C315" s="15" t="s">
        <v>3</v>
      </c>
      <c r="D315" s="21" t="s">
        <v>56</v>
      </c>
      <c r="E315" s="21"/>
      <c r="F315" s="69" t="s">
        <v>4</v>
      </c>
      <c r="G315" s="9">
        <v>26665</v>
      </c>
      <c r="H315" s="26">
        <v>378</v>
      </c>
      <c r="I315" s="17">
        <v>0</v>
      </c>
      <c r="J315" s="17">
        <f t="shared" si="54"/>
        <v>359.1</v>
      </c>
      <c r="K315" s="17">
        <f t="shared" si="47"/>
        <v>18.899999999999977</v>
      </c>
      <c r="L315" s="23">
        <f t="shared" si="53"/>
        <v>18.900000000000002</v>
      </c>
      <c r="M315" s="23">
        <v>30</v>
      </c>
      <c r="N315" s="18">
        <f t="shared" si="48"/>
        <v>47.282191780821918</v>
      </c>
      <c r="O315" s="23">
        <v>359.1</v>
      </c>
      <c r="P315" s="18">
        <f t="shared" si="49"/>
        <v>48.282191780821918</v>
      </c>
      <c r="Q315" s="18">
        <f t="shared" si="52"/>
        <v>-8.2896652505345023E-16</v>
      </c>
      <c r="R315" s="18">
        <f t="shared" si="50"/>
        <v>359.1</v>
      </c>
      <c r="S315" s="18">
        <f>H315-R315</f>
        <v>18.899999999999977</v>
      </c>
    </row>
    <row r="316" spans="1:19" ht="15" customHeight="1" x14ac:dyDescent="0.2">
      <c r="A316" s="14">
        <f t="shared" si="51"/>
        <v>280</v>
      </c>
      <c r="B316" s="21" t="s">
        <v>266</v>
      </c>
      <c r="C316" s="15" t="s">
        <v>3</v>
      </c>
      <c r="D316" s="21" t="s">
        <v>56</v>
      </c>
      <c r="E316" s="21"/>
      <c r="F316" s="69" t="s">
        <v>4</v>
      </c>
      <c r="G316" s="9">
        <v>35657</v>
      </c>
      <c r="H316" s="26">
        <v>4931</v>
      </c>
      <c r="I316" s="17">
        <v>0</v>
      </c>
      <c r="J316" s="17">
        <f t="shared" si="54"/>
        <v>4684.45</v>
      </c>
      <c r="K316" s="17">
        <f t="shared" si="47"/>
        <v>246.55000000000018</v>
      </c>
      <c r="L316" s="23">
        <f t="shared" si="53"/>
        <v>246.55</v>
      </c>
      <c r="M316" s="23">
        <v>5</v>
      </c>
      <c r="N316" s="18">
        <f t="shared" si="48"/>
        <v>22.646575342465752</v>
      </c>
      <c r="O316" s="23">
        <v>4684.45</v>
      </c>
      <c r="P316" s="18">
        <f t="shared" si="49"/>
        <v>23.646575342465752</v>
      </c>
      <c r="Q316" s="18">
        <f t="shared" si="52"/>
        <v>3.4106051316484814E-14</v>
      </c>
      <c r="R316" s="18">
        <f t="shared" si="50"/>
        <v>4684.45</v>
      </c>
      <c r="S316" s="18">
        <f>+IF(N316&gt;P316,0,L316)</f>
        <v>246.55</v>
      </c>
    </row>
    <row r="317" spans="1:19" ht="15" customHeight="1" x14ac:dyDescent="0.2">
      <c r="A317" s="14">
        <f t="shared" si="51"/>
        <v>281</v>
      </c>
      <c r="B317" s="21" t="s">
        <v>286</v>
      </c>
      <c r="C317" s="15" t="s">
        <v>3</v>
      </c>
      <c r="D317" s="21" t="s">
        <v>56</v>
      </c>
      <c r="E317" s="21"/>
      <c r="F317" s="69" t="s">
        <v>8</v>
      </c>
      <c r="G317" s="9">
        <v>26299</v>
      </c>
      <c r="H317" s="26">
        <v>4724</v>
      </c>
      <c r="I317" s="17">
        <v>0</v>
      </c>
      <c r="J317" s="17">
        <f t="shared" si="54"/>
        <v>4487.8</v>
      </c>
      <c r="K317" s="17">
        <f t="shared" si="47"/>
        <v>236.19999999999982</v>
      </c>
      <c r="L317" s="23">
        <f t="shared" si="53"/>
        <v>236.20000000000002</v>
      </c>
      <c r="M317" s="23">
        <v>30</v>
      </c>
      <c r="N317" s="18">
        <f t="shared" si="48"/>
        <v>48.284931506849318</v>
      </c>
      <c r="O317" s="23">
        <v>4487.8</v>
      </c>
      <c r="P317" s="18">
        <f t="shared" si="49"/>
        <v>49.284931506849318</v>
      </c>
      <c r="Q317" s="18">
        <f t="shared" si="52"/>
        <v>-6.6317322004276018E-15</v>
      </c>
      <c r="R317" s="18">
        <f t="shared" si="50"/>
        <v>4487.8</v>
      </c>
      <c r="S317" s="18">
        <f>H317-R317</f>
        <v>236.19999999999982</v>
      </c>
    </row>
    <row r="318" spans="1:19" ht="15" customHeight="1" x14ac:dyDescent="0.2">
      <c r="A318" s="14">
        <f t="shared" si="51"/>
        <v>282</v>
      </c>
      <c r="B318" s="21" t="s">
        <v>287</v>
      </c>
      <c r="C318" s="15" t="s">
        <v>3</v>
      </c>
      <c r="D318" s="21" t="s">
        <v>56</v>
      </c>
      <c r="E318" s="21"/>
      <c r="F318" s="69" t="s">
        <v>4</v>
      </c>
      <c r="G318" s="9">
        <v>26299</v>
      </c>
      <c r="H318" s="26">
        <v>2858</v>
      </c>
      <c r="I318" s="17">
        <v>0</v>
      </c>
      <c r="J318" s="17">
        <f t="shared" si="54"/>
        <v>2715.1</v>
      </c>
      <c r="K318" s="17">
        <f t="shared" si="47"/>
        <v>142.90000000000009</v>
      </c>
      <c r="L318" s="23">
        <f t="shared" si="53"/>
        <v>142.9</v>
      </c>
      <c r="M318" s="23">
        <v>30</v>
      </c>
      <c r="N318" s="18">
        <f t="shared" si="48"/>
        <v>48.284931506849318</v>
      </c>
      <c r="O318" s="23">
        <v>2715.1</v>
      </c>
      <c r="P318" s="18">
        <f t="shared" si="49"/>
        <v>49.284931506849318</v>
      </c>
      <c r="Q318" s="18">
        <f t="shared" si="52"/>
        <v>2.8421709430404009E-15</v>
      </c>
      <c r="R318" s="18">
        <f t="shared" si="50"/>
        <v>2715.1</v>
      </c>
      <c r="S318" s="18">
        <f>H318-R318</f>
        <v>142.90000000000009</v>
      </c>
    </row>
    <row r="319" spans="1:19" ht="15" customHeight="1" x14ac:dyDescent="0.2">
      <c r="A319" s="14">
        <f t="shared" si="51"/>
        <v>283</v>
      </c>
      <c r="B319" s="21" t="s">
        <v>288</v>
      </c>
      <c r="C319" s="15" t="s">
        <v>3</v>
      </c>
      <c r="D319" s="21" t="s">
        <v>56</v>
      </c>
      <c r="E319" s="21"/>
      <c r="F319" s="69" t="s">
        <v>4</v>
      </c>
      <c r="G319" s="9">
        <v>26299</v>
      </c>
      <c r="H319" s="26">
        <v>2487</v>
      </c>
      <c r="I319" s="17">
        <v>0</v>
      </c>
      <c r="J319" s="17">
        <f t="shared" si="54"/>
        <v>2362.65</v>
      </c>
      <c r="K319" s="17">
        <f t="shared" si="47"/>
        <v>124.34999999999991</v>
      </c>
      <c r="L319" s="23">
        <f t="shared" si="53"/>
        <v>124.35000000000001</v>
      </c>
      <c r="M319" s="23">
        <v>30</v>
      </c>
      <c r="N319" s="18">
        <f t="shared" si="48"/>
        <v>48.284931506849318</v>
      </c>
      <c r="O319" s="23">
        <v>2362.65</v>
      </c>
      <c r="P319" s="18">
        <f t="shared" si="49"/>
        <v>49.284931506849318</v>
      </c>
      <c r="Q319" s="18">
        <f t="shared" si="52"/>
        <v>-3.3158661002138009E-15</v>
      </c>
      <c r="R319" s="18">
        <f t="shared" si="50"/>
        <v>2362.65</v>
      </c>
      <c r="S319" s="18">
        <f>H319-R319</f>
        <v>124.34999999999991</v>
      </c>
    </row>
    <row r="320" spans="1:19" ht="15" customHeight="1" x14ac:dyDescent="0.2">
      <c r="A320" s="14">
        <f t="shared" si="51"/>
        <v>284</v>
      </c>
      <c r="B320" s="21" t="s">
        <v>289</v>
      </c>
      <c r="C320" s="15" t="s">
        <v>3</v>
      </c>
      <c r="D320" s="21" t="s">
        <v>56</v>
      </c>
      <c r="E320" s="21"/>
      <c r="F320" s="69" t="s">
        <v>4</v>
      </c>
      <c r="G320" s="9">
        <v>26299</v>
      </c>
      <c r="H320" s="26">
        <v>2088</v>
      </c>
      <c r="I320" s="17">
        <v>0</v>
      </c>
      <c r="J320" s="17">
        <f t="shared" si="54"/>
        <v>1983.6</v>
      </c>
      <c r="K320" s="17">
        <f t="shared" si="47"/>
        <v>104.40000000000009</v>
      </c>
      <c r="L320" s="23">
        <f t="shared" si="53"/>
        <v>104.4</v>
      </c>
      <c r="M320" s="23">
        <v>30</v>
      </c>
      <c r="N320" s="18">
        <f t="shared" si="48"/>
        <v>48.284931506849318</v>
      </c>
      <c r="O320" s="23">
        <v>1983.6</v>
      </c>
      <c r="P320" s="18">
        <f t="shared" si="49"/>
        <v>49.284931506849318</v>
      </c>
      <c r="Q320" s="18">
        <f t="shared" si="52"/>
        <v>2.8421709430404009E-15</v>
      </c>
      <c r="R320" s="18">
        <f t="shared" si="50"/>
        <v>1983.6</v>
      </c>
      <c r="S320" s="18">
        <f>+IF(N320&gt;P320,0,L320)</f>
        <v>104.4</v>
      </c>
    </row>
    <row r="321" spans="1:19" ht="15" customHeight="1" x14ac:dyDescent="0.2">
      <c r="A321" s="14">
        <f t="shared" si="51"/>
        <v>285</v>
      </c>
      <c r="B321" s="21" t="s">
        <v>290</v>
      </c>
      <c r="C321" s="15" t="s">
        <v>3</v>
      </c>
      <c r="D321" s="21" t="s">
        <v>56</v>
      </c>
      <c r="E321" s="21"/>
      <c r="F321" s="69" t="s">
        <v>4</v>
      </c>
      <c r="G321" s="9">
        <v>26299</v>
      </c>
      <c r="H321" s="26">
        <v>1399</v>
      </c>
      <c r="I321" s="17">
        <v>0</v>
      </c>
      <c r="J321" s="17">
        <f t="shared" si="54"/>
        <v>1329.05</v>
      </c>
      <c r="K321" s="17">
        <f t="shared" si="47"/>
        <v>69.950000000000045</v>
      </c>
      <c r="L321" s="23">
        <f t="shared" si="53"/>
        <v>69.95</v>
      </c>
      <c r="M321" s="23">
        <v>30</v>
      </c>
      <c r="N321" s="18">
        <f t="shared" si="48"/>
        <v>48.284931506849318</v>
      </c>
      <c r="O321" s="23">
        <v>1329.05</v>
      </c>
      <c r="P321" s="18">
        <f t="shared" si="49"/>
        <v>49.284931506849318</v>
      </c>
      <c r="Q321" s="18">
        <f t="shared" si="52"/>
        <v>1.4210854715202005E-15</v>
      </c>
      <c r="R321" s="18">
        <f t="shared" si="50"/>
        <v>1329.05</v>
      </c>
      <c r="S321" s="18">
        <f>H321-R321</f>
        <v>69.950000000000045</v>
      </c>
    </row>
    <row r="322" spans="1:19" ht="15" customHeight="1" x14ac:dyDescent="0.2">
      <c r="A322" s="14">
        <f t="shared" si="51"/>
        <v>286</v>
      </c>
      <c r="B322" s="21" t="s">
        <v>291</v>
      </c>
      <c r="C322" s="15" t="s">
        <v>3</v>
      </c>
      <c r="D322" s="21" t="s">
        <v>56</v>
      </c>
      <c r="E322" s="21"/>
      <c r="F322" s="69" t="s">
        <v>4</v>
      </c>
      <c r="G322" s="9">
        <v>26299</v>
      </c>
      <c r="H322" s="26">
        <v>1259</v>
      </c>
      <c r="I322" s="17">
        <v>0</v>
      </c>
      <c r="J322" s="17">
        <f t="shared" si="54"/>
        <v>1196.05</v>
      </c>
      <c r="K322" s="17">
        <f t="shared" si="47"/>
        <v>62.950000000000045</v>
      </c>
      <c r="L322" s="23">
        <f t="shared" si="53"/>
        <v>62.95</v>
      </c>
      <c r="M322" s="23">
        <v>30</v>
      </c>
      <c r="N322" s="18">
        <f t="shared" si="48"/>
        <v>48.284931506849318</v>
      </c>
      <c r="O322" s="23">
        <v>1196.05</v>
      </c>
      <c r="P322" s="18">
        <f t="shared" si="49"/>
        <v>49.284931506849318</v>
      </c>
      <c r="Q322" s="18">
        <f t="shared" si="52"/>
        <v>1.4210854715202005E-15</v>
      </c>
      <c r="R322" s="18">
        <f t="shared" si="50"/>
        <v>1196.05</v>
      </c>
      <c r="S322" s="18">
        <f>+IF(N322&gt;P322,0,L322)</f>
        <v>62.95</v>
      </c>
    </row>
    <row r="323" spans="1:19" ht="15" customHeight="1" x14ac:dyDescent="0.2">
      <c r="A323" s="14">
        <f t="shared" si="51"/>
        <v>287</v>
      </c>
      <c r="B323" s="21" t="s">
        <v>292</v>
      </c>
      <c r="C323" s="15" t="s">
        <v>3</v>
      </c>
      <c r="D323" s="21" t="s">
        <v>56</v>
      </c>
      <c r="E323" s="21"/>
      <c r="F323" s="69" t="s">
        <v>4</v>
      </c>
      <c r="G323" s="9">
        <v>26299</v>
      </c>
      <c r="H323" s="26">
        <v>1062</v>
      </c>
      <c r="I323" s="17">
        <v>0</v>
      </c>
      <c r="J323" s="17">
        <f t="shared" si="54"/>
        <v>1008.9</v>
      </c>
      <c r="K323" s="17">
        <f t="shared" si="47"/>
        <v>53.100000000000023</v>
      </c>
      <c r="L323" s="23">
        <f t="shared" si="53"/>
        <v>53.1</v>
      </c>
      <c r="M323" s="23">
        <v>30</v>
      </c>
      <c r="N323" s="18">
        <f t="shared" si="48"/>
        <v>48.284931506849318</v>
      </c>
      <c r="O323" s="23">
        <v>1008.9</v>
      </c>
      <c r="P323" s="18">
        <f t="shared" si="49"/>
        <v>49.284931506849318</v>
      </c>
      <c r="Q323" s="18">
        <f t="shared" si="52"/>
        <v>7.1054273576010023E-16</v>
      </c>
      <c r="R323" s="18">
        <f t="shared" si="50"/>
        <v>1008.9</v>
      </c>
      <c r="S323" s="18">
        <f>H323-R323</f>
        <v>53.100000000000023</v>
      </c>
    </row>
    <row r="324" spans="1:19" ht="15" customHeight="1" x14ac:dyDescent="0.2">
      <c r="A324" s="14">
        <f t="shared" si="51"/>
        <v>288</v>
      </c>
      <c r="B324" s="21" t="s">
        <v>293</v>
      </c>
      <c r="C324" s="15" t="s">
        <v>3</v>
      </c>
      <c r="D324" s="21" t="s">
        <v>56</v>
      </c>
      <c r="E324" s="21"/>
      <c r="F324" s="69" t="s">
        <v>4</v>
      </c>
      <c r="G324" s="9">
        <v>26299</v>
      </c>
      <c r="H324" s="26">
        <v>1037</v>
      </c>
      <c r="I324" s="17">
        <v>0</v>
      </c>
      <c r="J324" s="17">
        <f t="shared" si="54"/>
        <v>985.15</v>
      </c>
      <c r="K324" s="17">
        <f t="shared" si="47"/>
        <v>51.850000000000023</v>
      </c>
      <c r="L324" s="23">
        <f t="shared" si="53"/>
        <v>51.85</v>
      </c>
      <c r="M324" s="23">
        <v>30</v>
      </c>
      <c r="N324" s="18">
        <f t="shared" si="48"/>
        <v>48.284931506849318</v>
      </c>
      <c r="O324" s="23">
        <v>985.15</v>
      </c>
      <c r="P324" s="18">
        <f t="shared" si="49"/>
        <v>49.284931506849318</v>
      </c>
      <c r="Q324" s="18">
        <f t="shared" si="52"/>
        <v>7.1054273576010023E-16</v>
      </c>
      <c r="R324" s="18">
        <f t="shared" si="50"/>
        <v>985.15</v>
      </c>
      <c r="S324" s="18">
        <f>H324-R324</f>
        <v>51.850000000000023</v>
      </c>
    </row>
    <row r="325" spans="1:19" ht="15" customHeight="1" x14ac:dyDescent="0.2">
      <c r="A325" s="14">
        <f t="shared" si="51"/>
        <v>289</v>
      </c>
      <c r="B325" s="21" t="s">
        <v>294</v>
      </c>
      <c r="C325" s="15" t="s">
        <v>3</v>
      </c>
      <c r="D325" s="21" t="s">
        <v>56</v>
      </c>
      <c r="E325" s="21"/>
      <c r="F325" s="69" t="s">
        <v>4</v>
      </c>
      <c r="G325" s="9">
        <v>26299</v>
      </c>
      <c r="H325" s="26">
        <v>835</v>
      </c>
      <c r="I325" s="17">
        <v>0</v>
      </c>
      <c r="J325" s="17">
        <f t="shared" si="54"/>
        <v>793.25</v>
      </c>
      <c r="K325" s="17">
        <f t="shared" si="47"/>
        <v>41.75</v>
      </c>
      <c r="L325" s="23">
        <f t="shared" si="53"/>
        <v>41.75</v>
      </c>
      <c r="M325" s="23">
        <v>30</v>
      </c>
      <c r="N325" s="18">
        <f t="shared" si="48"/>
        <v>48.284931506849318</v>
      </c>
      <c r="O325" s="23">
        <v>793.25</v>
      </c>
      <c r="P325" s="18">
        <f t="shared" si="49"/>
        <v>49.284931506849318</v>
      </c>
      <c r="Q325" s="18">
        <f t="shared" si="52"/>
        <v>0</v>
      </c>
      <c r="R325" s="18">
        <f t="shared" si="50"/>
        <v>793.25</v>
      </c>
      <c r="S325" s="18">
        <f>H325-R325</f>
        <v>41.75</v>
      </c>
    </row>
    <row r="326" spans="1:19" ht="15" customHeight="1" x14ac:dyDescent="0.2">
      <c r="A326" s="14">
        <f t="shared" si="51"/>
        <v>290</v>
      </c>
      <c r="B326" s="21" t="s">
        <v>295</v>
      </c>
      <c r="C326" s="15" t="s">
        <v>3</v>
      </c>
      <c r="D326" s="21" t="s">
        <v>56</v>
      </c>
      <c r="E326" s="21"/>
      <c r="F326" s="69" t="s">
        <v>4</v>
      </c>
      <c r="G326" s="9">
        <v>26299</v>
      </c>
      <c r="H326" s="26">
        <v>686</v>
      </c>
      <c r="I326" s="17">
        <v>0</v>
      </c>
      <c r="J326" s="17">
        <f t="shared" si="54"/>
        <v>651.70000000000005</v>
      </c>
      <c r="K326" s="17">
        <f t="shared" si="47"/>
        <v>34.299999999999955</v>
      </c>
      <c r="L326" s="23">
        <f t="shared" si="53"/>
        <v>34.300000000000004</v>
      </c>
      <c r="M326" s="23">
        <v>30</v>
      </c>
      <c r="N326" s="18">
        <f t="shared" si="48"/>
        <v>48.284931506849318</v>
      </c>
      <c r="O326" s="23">
        <v>651.70000000000005</v>
      </c>
      <c r="P326" s="18">
        <f t="shared" si="49"/>
        <v>49.284931506849318</v>
      </c>
      <c r="Q326" s="18">
        <f t="shared" si="52"/>
        <v>-1.6579330501069005E-15</v>
      </c>
      <c r="R326" s="18">
        <f t="shared" si="50"/>
        <v>651.70000000000005</v>
      </c>
      <c r="S326" s="18">
        <f>H326-R326</f>
        <v>34.299999999999955</v>
      </c>
    </row>
    <row r="327" spans="1:19" ht="15" customHeight="1" x14ac:dyDescent="0.2">
      <c r="A327" s="14">
        <f t="shared" si="51"/>
        <v>291</v>
      </c>
      <c r="B327" s="21" t="s">
        <v>296</v>
      </c>
      <c r="C327" s="15" t="s">
        <v>3</v>
      </c>
      <c r="D327" s="21" t="s">
        <v>56</v>
      </c>
      <c r="E327" s="21"/>
      <c r="F327" s="69" t="s">
        <v>4</v>
      </c>
      <c r="G327" s="9">
        <v>26299</v>
      </c>
      <c r="H327" s="26">
        <v>629</v>
      </c>
      <c r="I327" s="17">
        <v>0</v>
      </c>
      <c r="J327" s="17">
        <f t="shared" si="54"/>
        <v>597.54999999999995</v>
      </c>
      <c r="K327" s="17">
        <f t="shared" si="47"/>
        <v>31.450000000000045</v>
      </c>
      <c r="L327" s="23">
        <f t="shared" si="53"/>
        <v>31.450000000000003</v>
      </c>
      <c r="M327" s="23">
        <v>30</v>
      </c>
      <c r="N327" s="18">
        <f t="shared" si="48"/>
        <v>48.284931506849318</v>
      </c>
      <c r="O327" s="23">
        <v>597.54999999999995</v>
      </c>
      <c r="P327" s="18">
        <f t="shared" si="49"/>
        <v>49.284931506849318</v>
      </c>
      <c r="Q327" s="18">
        <f t="shared" si="52"/>
        <v>1.4210854715202005E-15</v>
      </c>
      <c r="R327" s="18">
        <f t="shared" si="50"/>
        <v>597.54999999999995</v>
      </c>
      <c r="S327" s="18">
        <f>+IF(N327&gt;P327,0,L327)</f>
        <v>31.450000000000003</v>
      </c>
    </row>
    <row r="328" spans="1:19" ht="15" customHeight="1" x14ac:dyDescent="0.2">
      <c r="A328" s="14">
        <f t="shared" si="51"/>
        <v>292</v>
      </c>
      <c r="B328" s="21" t="s">
        <v>297</v>
      </c>
      <c r="C328" s="15" t="s">
        <v>3</v>
      </c>
      <c r="D328" s="21" t="s">
        <v>56</v>
      </c>
      <c r="E328" s="21"/>
      <c r="F328" s="70" t="s">
        <v>7</v>
      </c>
      <c r="G328" s="9">
        <v>26299</v>
      </c>
      <c r="H328" s="26">
        <v>369</v>
      </c>
      <c r="I328" s="17">
        <v>0</v>
      </c>
      <c r="J328" s="17">
        <f t="shared" si="54"/>
        <v>350.55</v>
      </c>
      <c r="K328" s="17">
        <f t="shared" si="47"/>
        <v>18.449999999999989</v>
      </c>
      <c r="L328" s="23">
        <f t="shared" si="53"/>
        <v>18.45</v>
      </c>
      <c r="M328" s="23">
        <v>30</v>
      </c>
      <c r="N328" s="18">
        <f t="shared" si="48"/>
        <v>48.284931506849318</v>
      </c>
      <c r="O328" s="23">
        <v>350.55</v>
      </c>
      <c r="P328" s="18">
        <f t="shared" si="49"/>
        <v>49.284931506849318</v>
      </c>
      <c r="Q328" s="18">
        <f t="shared" si="52"/>
        <v>-3.5527136788005011E-16</v>
      </c>
      <c r="R328" s="18">
        <f t="shared" si="50"/>
        <v>350.55</v>
      </c>
      <c r="S328" s="18">
        <f t="shared" ref="S328:S333" si="55">H328-R328</f>
        <v>18.449999999999989</v>
      </c>
    </row>
    <row r="329" spans="1:19" ht="15" customHeight="1" x14ac:dyDescent="0.2">
      <c r="A329" s="14">
        <f t="shared" si="51"/>
        <v>293</v>
      </c>
      <c r="B329" s="21" t="s">
        <v>298</v>
      </c>
      <c r="C329" s="15" t="s">
        <v>3</v>
      </c>
      <c r="D329" s="21" t="s">
        <v>56</v>
      </c>
      <c r="E329" s="21"/>
      <c r="F329" s="69" t="s">
        <v>4</v>
      </c>
      <c r="G329" s="9">
        <v>26299</v>
      </c>
      <c r="H329" s="26">
        <v>265</v>
      </c>
      <c r="I329" s="17">
        <v>0</v>
      </c>
      <c r="J329" s="17">
        <f t="shared" si="54"/>
        <v>251.75</v>
      </c>
      <c r="K329" s="17">
        <f t="shared" si="47"/>
        <v>13.25</v>
      </c>
      <c r="L329" s="23">
        <f t="shared" si="53"/>
        <v>13.25</v>
      </c>
      <c r="M329" s="23">
        <v>30</v>
      </c>
      <c r="N329" s="18">
        <f t="shared" si="48"/>
        <v>48.284931506849318</v>
      </c>
      <c r="O329" s="23">
        <v>251.75</v>
      </c>
      <c r="P329" s="18">
        <f t="shared" si="49"/>
        <v>49.284931506849318</v>
      </c>
      <c r="Q329" s="18">
        <f t="shared" si="52"/>
        <v>0</v>
      </c>
      <c r="R329" s="18">
        <f t="shared" si="50"/>
        <v>251.75</v>
      </c>
      <c r="S329" s="18">
        <f t="shared" si="55"/>
        <v>13.25</v>
      </c>
    </row>
    <row r="330" spans="1:19" ht="15" customHeight="1" x14ac:dyDescent="0.2">
      <c r="A330" s="14">
        <f t="shared" si="51"/>
        <v>294</v>
      </c>
      <c r="B330" s="21" t="s">
        <v>299</v>
      </c>
      <c r="C330" s="15" t="s">
        <v>3</v>
      </c>
      <c r="D330" s="21" t="s">
        <v>56</v>
      </c>
      <c r="E330" s="21"/>
      <c r="F330" s="69" t="s">
        <v>8</v>
      </c>
      <c r="G330" s="9">
        <v>25934</v>
      </c>
      <c r="H330" s="26">
        <v>83825</v>
      </c>
      <c r="I330" s="17">
        <v>0</v>
      </c>
      <c r="J330" s="17">
        <f t="shared" si="54"/>
        <v>79633.75</v>
      </c>
      <c r="K330" s="17">
        <f t="shared" si="47"/>
        <v>4191.25</v>
      </c>
      <c r="L330" s="23">
        <f t="shared" si="53"/>
        <v>4191.25</v>
      </c>
      <c r="M330" s="23">
        <v>30</v>
      </c>
      <c r="N330" s="18">
        <f t="shared" si="48"/>
        <v>49.284931506849318</v>
      </c>
      <c r="O330" s="23">
        <v>79633.75</v>
      </c>
      <c r="P330" s="18">
        <f t="shared" si="49"/>
        <v>50.284931506849318</v>
      </c>
      <c r="Q330" s="18">
        <f t="shared" si="52"/>
        <v>0</v>
      </c>
      <c r="R330" s="18">
        <f t="shared" si="50"/>
        <v>79633.75</v>
      </c>
      <c r="S330" s="18">
        <f t="shared" si="55"/>
        <v>4191.25</v>
      </c>
    </row>
    <row r="331" spans="1:19" ht="15" customHeight="1" x14ac:dyDescent="0.2">
      <c r="A331" s="14">
        <f t="shared" si="51"/>
        <v>295</v>
      </c>
      <c r="B331" s="21" t="s">
        <v>300</v>
      </c>
      <c r="C331" s="15" t="s">
        <v>3</v>
      </c>
      <c r="D331" s="21" t="s">
        <v>56</v>
      </c>
      <c r="E331" s="21"/>
      <c r="F331" s="69" t="s">
        <v>4</v>
      </c>
      <c r="G331" s="9">
        <v>25934</v>
      </c>
      <c r="H331" s="26">
        <v>15963</v>
      </c>
      <c r="I331" s="17">
        <v>0</v>
      </c>
      <c r="J331" s="17">
        <f t="shared" si="54"/>
        <v>15164.85</v>
      </c>
      <c r="K331" s="17">
        <f t="shared" si="47"/>
        <v>798.14999999999964</v>
      </c>
      <c r="L331" s="23">
        <f t="shared" si="53"/>
        <v>798.15000000000009</v>
      </c>
      <c r="M331" s="23">
        <v>30</v>
      </c>
      <c r="N331" s="18">
        <f t="shared" si="48"/>
        <v>49.284931506849318</v>
      </c>
      <c r="O331" s="23">
        <v>15164.85</v>
      </c>
      <c r="P331" s="18">
        <f t="shared" si="49"/>
        <v>50.284931506849318</v>
      </c>
      <c r="Q331" s="18">
        <f t="shared" si="52"/>
        <v>-1.5158245029548804E-14</v>
      </c>
      <c r="R331" s="18">
        <f t="shared" si="50"/>
        <v>15164.85</v>
      </c>
      <c r="S331" s="18">
        <f t="shared" si="55"/>
        <v>798.14999999999964</v>
      </c>
    </row>
    <row r="332" spans="1:19" ht="15" customHeight="1" x14ac:dyDescent="0.2">
      <c r="A332" s="14">
        <f t="shared" si="51"/>
        <v>296</v>
      </c>
      <c r="B332" s="21" t="s">
        <v>301</v>
      </c>
      <c r="C332" s="15" t="s">
        <v>3</v>
      </c>
      <c r="D332" s="21" t="s">
        <v>56</v>
      </c>
      <c r="E332" s="21"/>
      <c r="F332" s="69" t="s">
        <v>4</v>
      </c>
      <c r="G332" s="9">
        <v>25934</v>
      </c>
      <c r="H332" s="26">
        <v>13508</v>
      </c>
      <c r="I332" s="17">
        <v>0</v>
      </c>
      <c r="J332" s="17">
        <f t="shared" si="54"/>
        <v>12832.6</v>
      </c>
      <c r="K332" s="17">
        <f t="shared" si="47"/>
        <v>675.39999999999964</v>
      </c>
      <c r="L332" s="23">
        <f t="shared" si="53"/>
        <v>675.40000000000009</v>
      </c>
      <c r="M332" s="23">
        <v>30</v>
      </c>
      <c r="N332" s="18">
        <f t="shared" si="48"/>
        <v>49.284931506849318</v>
      </c>
      <c r="O332" s="23">
        <v>12832.6</v>
      </c>
      <c r="P332" s="18">
        <f t="shared" si="49"/>
        <v>50.284931506849318</v>
      </c>
      <c r="Q332" s="18">
        <f t="shared" si="52"/>
        <v>-1.5158245029548804E-14</v>
      </c>
      <c r="R332" s="18">
        <f t="shared" si="50"/>
        <v>12832.6</v>
      </c>
      <c r="S332" s="18">
        <f t="shared" si="55"/>
        <v>675.39999999999964</v>
      </c>
    </row>
    <row r="333" spans="1:19" ht="15" customHeight="1" x14ac:dyDescent="0.2">
      <c r="A333" s="14">
        <f t="shared" si="51"/>
        <v>297</v>
      </c>
      <c r="B333" s="21" t="s">
        <v>302</v>
      </c>
      <c r="C333" s="15" t="s">
        <v>3</v>
      </c>
      <c r="D333" s="21" t="s">
        <v>56</v>
      </c>
      <c r="E333" s="21"/>
      <c r="F333" s="69" t="s">
        <v>4</v>
      </c>
      <c r="G333" s="9">
        <v>25934</v>
      </c>
      <c r="H333" s="26">
        <v>5844</v>
      </c>
      <c r="I333" s="17">
        <v>0</v>
      </c>
      <c r="J333" s="17">
        <f t="shared" si="54"/>
        <v>5551.8</v>
      </c>
      <c r="K333" s="17">
        <f t="shared" si="47"/>
        <v>292.19999999999982</v>
      </c>
      <c r="L333" s="23">
        <f t="shared" si="53"/>
        <v>292.2</v>
      </c>
      <c r="M333" s="23">
        <v>30</v>
      </c>
      <c r="N333" s="18">
        <f t="shared" si="48"/>
        <v>49.284931506849318</v>
      </c>
      <c r="O333" s="23">
        <v>5551.8</v>
      </c>
      <c r="P333" s="18">
        <f t="shared" si="49"/>
        <v>50.284931506849318</v>
      </c>
      <c r="Q333" s="18">
        <f t="shared" si="52"/>
        <v>-5.6843418860808018E-15</v>
      </c>
      <c r="R333" s="18">
        <f t="shared" si="50"/>
        <v>5551.8</v>
      </c>
      <c r="S333" s="18">
        <f t="shared" si="55"/>
        <v>292.19999999999982</v>
      </c>
    </row>
    <row r="334" spans="1:19" ht="15" customHeight="1" x14ac:dyDescent="0.2">
      <c r="A334" s="14">
        <f t="shared" si="51"/>
        <v>298</v>
      </c>
      <c r="B334" s="21" t="s">
        <v>303</v>
      </c>
      <c r="C334" s="15" t="s">
        <v>3</v>
      </c>
      <c r="D334" s="21" t="s">
        <v>56</v>
      </c>
      <c r="E334" s="21"/>
      <c r="F334" s="69" t="s">
        <v>4</v>
      </c>
      <c r="G334" s="9">
        <v>25934</v>
      </c>
      <c r="H334" s="26">
        <v>5842</v>
      </c>
      <c r="I334" s="17">
        <v>0</v>
      </c>
      <c r="J334" s="17">
        <f t="shared" si="54"/>
        <v>5549.9</v>
      </c>
      <c r="K334" s="17">
        <f t="shared" si="47"/>
        <v>292.10000000000036</v>
      </c>
      <c r="L334" s="23">
        <f t="shared" si="53"/>
        <v>292.10000000000002</v>
      </c>
      <c r="M334" s="23">
        <v>30</v>
      </c>
      <c r="N334" s="18">
        <f t="shared" si="48"/>
        <v>49.284931506849318</v>
      </c>
      <c r="O334" s="23">
        <v>5549.9</v>
      </c>
      <c r="P334" s="18">
        <f t="shared" si="49"/>
        <v>50.284931506849318</v>
      </c>
      <c r="Q334" s="18">
        <f t="shared" si="52"/>
        <v>1.1368683772161604E-14</v>
      </c>
      <c r="R334" s="18">
        <f t="shared" si="50"/>
        <v>5549.9</v>
      </c>
      <c r="S334" s="18">
        <f>+IF(N334&gt;P334,0,L334)</f>
        <v>292.10000000000002</v>
      </c>
    </row>
    <row r="335" spans="1:19" ht="15" customHeight="1" x14ac:dyDescent="0.2">
      <c r="A335" s="14">
        <f t="shared" si="51"/>
        <v>299</v>
      </c>
      <c r="B335" s="21" t="s">
        <v>304</v>
      </c>
      <c r="C335" s="15" t="s">
        <v>3</v>
      </c>
      <c r="D335" s="21" t="s">
        <v>56</v>
      </c>
      <c r="E335" s="21"/>
      <c r="F335" s="69" t="s">
        <v>4</v>
      </c>
      <c r="G335" s="9">
        <v>25934</v>
      </c>
      <c r="H335" s="26">
        <v>3922</v>
      </c>
      <c r="I335" s="17">
        <v>0</v>
      </c>
      <c r="J335" s="17">
        <f t="shared" si="54"/>
        <v>3725.9</v>
      </c>
      <c r="K335" s="17">
        <f t="shared" si="47"/>
        <v>196.09999999999991</v>
      </c>
      <c r="L335" s="23">
        <f t="shared" si="53"/>
        <v>196.10000000000002</v>
      </c>
      <c r="M335" s="23">
        <v>30</v>
      </c>
      <c r="N335" s="18">
        <f t="shared" si="48"/>
        <v>49.284931506849318</v>
      </c>
      <c r="O335" s="23">
        <v>3725.9</v>
      </c>
      <c r="P335" s="18">
        <f t="shared" si="49"/>
        <v>50.284931506849318</v>
      </c>
      <c r="Q335" s="18">
        <f t="shared" si="52"/>
        <v>-3.7895612573872009E-15</v>
      </c>
      <c r="R335" s="18">
        <f t="shared" si="50"/>
        <v>3725.9</v>
      </c>
      <c r="S335" s="18">
        <f>H335-R335</f>
        <v>196.09999999999991</v>
      </c>
    </row>
    <row r="336" spans="1:19" ht="15" customHeight="1" x14ac:dyDescent="0.2">
      <c r="A336" s="14">
        <f t="shared" si="51"/>
        <v>300</v>
      </c>
      <c r="B336" s="21" t="s">
        <v>217</v>
      </c>
      <c r="C336" s="15" t="s">
        <v>3</v>
      </c>
      <c r="D336" s="21" t="s">
        <v>56</v>
      </c>
      <c r="E336" s="21"/>
      <c r="F336" s="69" t="s">
        <v>4</v>
      </c>
      <c r="G336" s="9">
        <v>25934</v>
      </c>
      <c r="H336" s="26">
        <v>2426</v>
      </c>
      <c r="I336" s="17">
        <v>0</v>
      </c>
      <c r="J336" s="17">
        <f t="shared" si="54"/>
        <v>2304.6999999999998</v>
      </c>
      <c r="K336" s="17">
        <f t="shared" si="47"/>
        <v>121.30000000000018</v>
      </c>
      <c r="L336" s="23">
        <f t="shared" si="53"/>
        <v>121.30000000000001</v>
      </c>
      <c r="M336" s="23">
        <v>30</v>
      </c>
      <c r="N336" s="18">
        <f t="shared" si="48"/>
        <v>49.284931506849318</v>
      </c>
      <c r="O336" s="23">
        <v>2304.6999999999998</v>
      </c>
      <c r="P336" s="18">
        <f t="shared" si="49"/>
        <v>50.284931506849318</v>
      </c>
      <c r="Q336" s="18">
        <f t="shared" si="52"/>
        <v>5.6843418860808018E-15</v>
      </c>
      <c r="R336" s="18">
        <f t="shared" si="50"/>
        <v>2304.6999999999998</v>
      </c>
      <c r="S336" s="18">
        <f>+IF(N336&gt;P336,0,L336)</f>
        <v>121.30000000000001</v>
      </c>
    </row>
    <row r="337" spans="1:19" ht="15" customHeight="1" x14ac:dyDescent="0.2">
      <c r="A337" s="14">
        <f t="shared" si="51"/>
        <v>301</v>
      </c>
      <c r="B337" s="21" t="s">
        <v>305</v>
      </c>
      <c r="C337" s="15" t="s">
        <v>3</v>
      </c>
      <c r="D337" s="21" t="s">
        <v>56</v>
      </c>
      <c r="E337" s="21"/>
      <c r="F337" s="69" t="s">
        <v>11</v>
      </c>
      <c r="G337" s="9">
        <v>25934</v>
      </c>
      <c r="H337" s="26">
        <v>1888</v>
      </c>
      <c r="I337" s="17">
        <v>0</v>
      </c>
      <c r="J337" s="17">
        <f t="shared" si="54"/>
        <v>1793.6</v>
      </c>
      <c r="K337" s="17">
        <f t="shared" si="47"/>
        <v>94.400000000000091</v>
      </c>
      <c r="L337" s="23">
        <f t="shared" si="53"/>
        <v>94.4</v>
      </c>
      <c r="M337" s="23">
        <v>30</v>
      </c>
      <c r="N337" s="18">
        <f t="shared" si="48"/>
        <v>49.284931506849318</v>
      </c>
      <c r="O337" s="23">
        <v>1793.6</v>
      </c>
      <c r="P337" s="18">
        <f t="shared" si="49"/>
        <v>50.284931506849318</v>
      </c>
      <c r="Q337" s="18">
        <f t="shared" si="52"/>
        <v>2.8421709430404009E-15</v>
      </c>
      <c r="R337" s="18">
        <f t="shared" si="50"/>
        <v>1793.6</v>
      </c>
      <c r="S337" s="18">
        <f>+IF(N337&gt;P337,0,L337)</f>
        <v>94.4</v>
      </c>
    </row>
    <row r="338" spans="1:19" ht="15" customHeight="1" x14ac:dyDescent="0.2">
      <c r="A338" s="14">
        <f t="shared" si="51"/>
        <v>302</v>
      </c>
      <c r="B338" s="21" t="s">
        <v>306</v>
      </c>
      <c r="C338" s="15" t="s">
        <v>3</v>
      </c>
      <c r="D338" s="21" t="s">
        <v>56</v>
      </c>
      <c r="E338" s="21"/>
      <c r="F338" s="69" t="s">
        <v>4</v>
      </c>
      <c r="G338" s="9">
        <v>25934</v>
      </c>
      <c r="H338" s="26">
        <v>1731</v>
      </c>
      <c r="I338" s="17">
        <v>0</v>
      </c>
      <c r="J338" s="17">
        <f t="shared" si="54"/>
        <v>1644.45</v>
      </c>
      <c r="K338" s="17">
        <f t="shared" si="47"/>
        <v>86.549999999999955</v>
      </c>
      <c r="L338" s="23">
        <f t="shared" si="53"/>
        <v>86.550000000000011</v>
      </c>
      <c r="M338" s="23">
        <v>30</v>
      </c>
      <c r="N338" s="18">
        <f t="shared" si="48"/>
        <v>49.284931506849318</v>
      </c>
      <c r="O338" s="23">
        <v>1644.45</v>
      </c>
      <c r="P338" s="18">
        <f t="shared" si="49"/>
        <v>50.284931506849318</v>
      </c>
      <c r="Q338" s="18">
        <f t="shared" si="52"/>
        <v>-1.8947806286936005E-15</v>
      </c>
      <c r="R338" s="18">
        <f t="shared" si="50"/>
        <v>1644.45</v>
      </c>
      <c r="S338" s="18">
        <f t="shared" ref="S338:S343" si="56">H338-R338</f>
        <v>86.549999999999955</v>
      </c>
    </row>
    <row r="339" spans="1:19" ht="15" customHeight="1" x14ac:dyDescent="0.2">
      <c r="A339" s="14">
        <f t="shared" si="51"/>
        <v>303</v>
      </c>
      <c r="B339" s="21" t="s">
        <v>307</v>
      </c>
      <c r="C339" s="15" t="s">
        <v>3</v>
      </c>
      <c r="D339" s="21" t="s">
        <v>56</v>
      </c>
      <c r="E339" s="21"/>
      <c r="F339" s="69" t="s">
        <v>4</v>
      </c>
      <c r="G339" s="9">
        <v>25934</v>
      </c>
      <c r="H339" s="26">
        <v>1575</v>
      </c>
      <c r="I339" s="17">
        <v>0</v>
      </c>
      <c r="J339" s="17">
        <f t="shared" si="54"/>
        <v>1496.25</v>
      </c>
      <c r="K339" s="17">
        <f t="shared" si="47"/>
        <v>78.75</v>
      </c>
      <c r="L339" s="23">
        <f t="shared" si="53"/>
        <v>78.75</v>
      </c>
      <c r="M339" s="23">
        <v>30</v>
      </c>
      <c r="N339" s="18">
        <f t="shared" si="48"/>
        <v>49.284931506849318</v>
      </c>
      <c r="O339" s="23">
        <v>1496.25</v>
      </c>
      <c r="P339" s="18">
        <f t="shared" si="49"/>
        <v>50.284931506849318</v>
      </c>
      <c r="Q339" s="18">
        <f t="shared" si="52"/>
        <v>0</v>
      </c>
      <c r="R339" s="18">
        <f t="shared" si="50"/>
        <v>1496.25</v>
      </c>
      <c r="S339" s="18">
        <f t="shared" si="56"/>
        <v>78.75</v>
      </c>
    </row>
    <row r="340" spans="1:19" ht="15" customHeight="1" x14ac:dyDescent="0.2">
      <c r="A340" s="14">
        <f t="shared" si="51"/>
        <v>304</v>
      </c>
      <c r="B340" s="21" t="s">
        <v>308</v>
      </c>
      <c r="C340" s="15" t="s">
        <v>3</v>
      </c>
      <c r="D340" s="21" t="s">
        <v>56</v>
      </c>
      <c r="E340" s="21"/>
      <c r="F340" s="69" t="s">
        <v>4</v>
      </c>
      <c r="G340" s="9">
        <v>25934</v>
      </c>
      <c r="H340" s="26">
        <v>1307</v>
      </c>
      <c r="I340" s="17">
        <v>0</v>
      </c>
      <c r="J340" s="17">
        <f t="shared" si="54"/>
        <v>1241.6500000000001</v>
      </c>
      <c r="K340" s="17">
        <f t="shared" si="47"/>
        <v>65.349999999999909</v>
      </c>
      <c r="L340" s="23">
        <f t="shared" si="53"/>
        <v>65.350000000000009</v>
      </c>
      <c r="M340" s="23">
        <v>30</v>
      </c>
      <c r="N340" s="18">
        <f t="shared" si="48"/>
        <v>49.284931506849318</v>
      </c>
      <c r="O340" s="23">
        <v>1241.6500000000001</v>
      </c>
      <c r="P340" s="18">
        <f t="shared" si="49"/>
        <v>50.284931506849318</v>
      </c>
      <c r="Q340" s="18">
        <f t="shared" si="52"/>
        <v>-3.3158661002138009E-15</v>
      </c>
      <c r="R340" s="18">
        <f t="shared" si="50"/>
        <v>1241.6500000000001</v>
      </c>
      <c r="S340" s="18">
        <f t="shared" si="56"/>
        <v>65.349999999999909</v>
      </c>
    </row>
    <row r="341" spans="1:19" ht="15" customHeight="1" x14ac:dyDescent="0.2">
      <c r="A341" s="14">
        <f t="shared" si="51"/>
        <v>305</v>
      </c>
      <c r="B341" s="21" t="s">
        <v>309</v>
      </c>
      <c r="C341" s="15" t="s">
        <v>3</v>
      </c>
      <c r="D341" s="21" t="s">
        <v>56</v>
      </c>
      <c r="E341" s="21"/>
      <c r="F341" s="69" t="s">
        <v>4</v>
      </c>
      <c r="G341" s="9">
        <v>25934</v>
      </c>
      <c r="H341" s="26">
        <v>1135</v>
      </c>
      <c r="I341" s="17">
        <v>0</v>
      </c>
      <c r="J341" s="17">
        <f t="shared" si="54"/>
        <v>1078.25</v>
      </c>
      <c r="K341" s="17">
        <f t="shared" si="47"/>
        <v>56.75</v>
      </c>
      <c r="L341" s="23">
        <f t="shared" si="53"/>
        <v>56.75</v>
      </c>
      <c r="M341" s="23">
        <v>30</v>
      </c>
      <c r="N341" s="18">
        <f t="shared" si="48"/>
        <v>49.284931506849318</v>
      </c>
      <c r="O341" s="23">
        <v>1078.25</v>
      </c>
      <c r="P341" s="18">
        <f t="shared" si="49"/>
        <v>50.284931506849318</v>
      </c>
      <c r="Q341" s="18">
        <f t="shared" si="52"/>
        <v>0</v>
      </c>
      <c r="R341" s="18">
        <f t="shared" si="50"/>
        <v>1078.25</v>
      </c>
      <c r="S341" s="18">
        <f t="shared" si="56"/>
        <v>56.75</v>
      </c>
    </row>
    <row r="342" spans="1:19" ht="15" customHeight="1" x14ac:dyDescent="0.2">
      <c r="A342" s="14">
        <f t="shared" si="51"/>
        <v>306</v>
      </c>
      <c r="B342" s="21" t="s">
        <v>310</v>
      </c>
      <c r="C342" s="15" t="s">
        <v>3</v>
      </c>
      <c r="D342" s="21" t="s">
        <v>56</v>
      </c>
      <c r="E342" s="21"/>
      <c r="F342" s="69" t="s">
        <v>6</v>
      </c>
      <c r="G342" s="9">
        <v>25934</v>
      </c>
      <c r="H342" s="26">
        <v>1111</v>
      </c>
      <c r="I342" s="17">
        <v>0</v>
      </c>
      <c r="J342" s="17">
        <f t="shared" si="54"/>
        <v>1055.45</v>
      </c>
      <c r="K342" s="17">
        <f t="shared" si="47"/>
        <v>55.549999999999955</v>
      </c>
      <c r="L342" s="23">
        <f t="shared" si="53"/>
        <v>55.550000000000004</v>
      </c>
      <c r="M342" s="23">
        <v>30</v>
      </c>
      <c r="N342" s="18">
        <f t="shared" si="48"/>
        <v>49.284931506849318</v>
      </c>
      <c r="O342" s="23">
        <v>1055.45</v>
      </c>
      <c r="P342" s="18">
        <f t="shared" si="49"/>
        <v>50.284931506849318</v>
      </c>
      <c r="Q342" s="18">
        <f t="shared" si="52"/>
        <v>-1.6579330501069005E-15</v>
      </c>
      <c r="R342" s="18">
        <f t="shared" si="50"/>
        <v>1055.45</v>
      </c>
      <c r="S342" s="18">
        <f t="shared" si="56"/>
        <v>55.549999999999955</v>
      </c>
    </row>
    <row r="343" spans="1:19" ht="15" customHeight="1" x14ac:dyDescent="0.2">
      <c r="A343" s="14">
        <f t="shared" si="51"/>
        <v>307</v>
      </c>
      <c r="B343" s="21" t="s">
        <v>311</v>
      </c>
      <c r="C343" s="15" t="s">
        <v>3</v>
      </c>
      <c r="D343" s="21" t="s">
        <v>56</v>
      </c>
      <c r="E343" s="21"/>
      <c r="F343" s="69" t="s">
        <v>4</v>
      </c>
      <c r="G343" s="9">
        <v>25934</v>
      </c>
      <c r="H343" s="26">
        <v>1071</v>
      </c>
      <c r="I343" s="17">
        <v>0</v>
      </c>
      <c r="J343" s="17">
        <f t="shared" si="54"/>
        <v>1017.45</v>
      </c>
      <c r="K343" s="17">
        <f t="shared" si="47"/>
        <v>53.549999999999955</v>
      </c>
      <c r="L343" s="23">
        <f t="shared" si="53"/>
        <v>53.550000000000004</v>
      </c>
      <c r="M343" s="23">
        <v>30</v>
      </c>
      <c r="N343" s="18">
        <f t="shared" si="48"/>
        <v>49.284931506849318</v>
      </c>
      <c r="O343" s="23">
        <v>1017.45</v>
      </c>
      <c r="P343" s="18">
        <f t="shared" si="49"/>
        <v>50.284931506849318</v>
      </c>
      <c r="Q343" s="18">
        <f t="shared" si="52"/>
        <v>-1.6579330501069005E-15</v>
      </c>
      <c r="R343" s="18">
        <f t="shared" si="50"/>
        <v>1017.45</v>
      </c>
      <c r="S343" s="18">
        <f t="shared" si="56"/>
        <v>53.549999999999955</v>
      </c>
    </row>
    <row r="344" spans="1:19" ht="15" customHeight="1" x14ac:dyDescent="0.2">
      <c r="A344" s="14">
        <f t="shared" si="51"/>
        <v>308</v>
      </c>
      <c r="B344" s="21" t="s">
        <v>312</v>
      </c>
      <c r="C344" s="15" t="s">
        <v>3</v>
      </c>
      <c r="D344" s="21" t="s">
        <v>56</v>
      </c>
      <c r="E344" s="21"/>
      <c r="F344" s="69" t="s">
        <v>11</v>
      </c>
      <c r="G344" s="9">
        <v>25934</v>
      </c>
      <c r="H344" s="26">
        <v>1064</v>
      </c>
      <c r="I344" s="17">
        <v>0</v>
      </c>
      <c r="J344" s="17">
        <f t="shared" si="54"/>
        <v>1010.8</v>
      </c>
      <c r="K344" s="17">
        <f t="shared" si="47"/>
        <v>53.200000000000045</v>
      </c>
      <c r="L344" s="23">
        <f t="shared" si="53"/>
        <v>53.2</v>
      </c>
      <c r="M344" s="23">
        <v>30</v>
      </c>
      <c r="N344" s="18">
        <f t="shared" si="48"/>
        <v>49.284931506849318</v>
      </c>
      <c r="O344" s="23">
        <v>1010.8</v>
      </c>
      <c r="P344" s="18">
        <f t="shared" si="49"/>
        <v>50.284931506849318</v>
      </c>
      <c r="Q344" s="18">
        <f t="shared" si="52"/>
        <v>1.4210854715202005E-15</v>
      </c>
      <c r="R344" s="18">
        <f t="shared" si="50"/>
        <v>1010.8</v>
      </c>
      <c r="S344" s="18">
        <f>+IF(N344&gt;P344,0,L344)</f>
        <v>53.2</v>
      </c>
    </row>
    <row r="345" spans="1:19" ht="15" customHeight="1" x14ac:dyDescent="0.2">
      <c r="A345" s="14">
        <f t="shared" si="51"/>
        <v>309</v>
      </c>
      <c r="B345" s="21" t="s">
        <v>313</v>
      </c>
      <c r="C345" s="15" t="s">
        <v>3</v>
      </c>
      <c r="D345" s="21" t="s">
        <v>56</v>
      </c>
      <c r="E345" s="21"/>
      <c r="F345" s="69" t="s">
        <v>4</v>
      </c>
      <c r="G345" s="9">
        <v>25934</v>
      </c>
      <c r="H345" s="26">
        <v>499</v>
      </c>
      <c r="I345" s="17">
        <v>0</v>
      </c>
      <c r="J345" s="17">
        <f t="shared" si="54"/>
        <v>474.05</v>
      </c>
      <c r="K345" s="17">
        <f t="shared" si="47"/>
        <v>24.949999999999989</v>
      </c>
      <c r="L345" s="23">
        <f t="shared" si="53"/>
        <v>24.950000000000003</v>
      </c>
      <c r="M345" s="23">
        <v>30</v>
      </c>
      <c r="N345" s="18">
        <f t="shared" si="48"/>
        <v>49.284931506849318</v>
      </c>
      <c r="O345" s="23">
        <v>474.05</v>
      </c>
      <c r="P345" s="18">
        <f t="shared" si="49"/>
        <v>50.284931506849318</v>
      </c>
      <c r="Q345" s="18">
        <f t="shared" si="52"/>
        <v>-4.7369515717340012E-16</v>
      </c>
      <c r="R345" s="18">
        <f t="shared" si="50"/>
        <v>474.05</v>
      </c>
      <c r="S345" s="18">
        <f>H345-R345</f>
        <v>24.949999999999989</v>
      </c>
    </row>
    <row r="346" spans="1:19" ht="15" customHeight="1" x14ac:dyDescent="0.2">
      <c r="A346" s="14">
        <f t="shared" si="51"/>
        <v>310</v>
      </c>
      <c r="B346" s="21" t="s">
        <v>314</v>
      </c>
      <c r="C346" s="15" t="s">
        <v>3</v>
      </c>
      <c r="D346" s="21" t="s">
        <v>56</v>
      </c>
      <c r="E346" s="21"/>
      <c r="F346" s="69" t="s">
        <v>12</v>
      </c>
      <c r="G346" s="9">
        <v>25934</v>
      </c>
      <c r="H346" s="26">
        <v>414</v>
      </c>
      <c r="I346" s="17">
        <v>0</v>
      </c>
      <c r="J346" s="17">
        <f t="shared" si="54"/>
        <v>393.3</v>
      </c>
      <c r="K346" s="17">
        <f t="shared" si="47"/>
        <v>20.699999999999989</v>
      </c>
      <c r="L346" s="23">
        <f t="shared" si="53"/>
        <v>20.700000000000003</v>
      </c>
      <c r="M346" s="23">
        <v>30</v>
      </c>
      <c r="N346" s="18">
        <f t="shared" si="48"/>
        <v>49.284931506849318</v>
      </c>
      <c r="O346" s="23">
        <v>393.3</v>
      </c>
      <c r="P346" s="18">
        <f t="shared" si="49"/>
        <v>50.284931506849318</v>
      </c>
      <c r="Q346" s="18">
        <f t="shared" si="52"/>
        <v>-4.7369515717340012E-16</v>
      </c>
      <c r="R346" s="18">
        <f t="shared" si="50"/>
        <v>393.3</v>
      </c>
      <c r="S346" s="18">
        <f>H346-R346</f>
        <v>20.699999999999989</v>
      </c>
    </row>
    <row r="347" spans="1:19" ht="15" customHeight="1" x14ac:dyDescent="0.2">
      <c r="A347" s="14">
        <f t="shared" si="51"/>
        <v>311</v>
      </c>
      <c r="B347" s="21" t="s">
        <v>315</v>
      </c>
      <c r="C347" s="15" t="s">
        <v>3</v>
      </c>
      <c r="D347" s="21" t="s">
        <v>56</v>
      </c>
      <c r="E347" s="21"/>
      <c r="F347" s="69" t="s">
        <v>4</v>
      </c>
      <c r="G347" s="9">
        <v>25934</v>
      </c>
      <c r="H347" s="26">
        <v>365</v>
      </c>
      <c r="I347" s="17">
        <v>0</v>
      </c>
      <c r="J347" s="17">
        <f t="shared" si="54"/>
        <v>346.75</v>
      </c>
      <c r="K347" s="17">
        <f t="shared" si="47"/>
        <v>18.25</v>
      </c>
      <c r="L347" s="23">
        <f t="shared" si="53"/>
        <v>18.25</v>
      </c>
      <c r="M347" s="23">
        <v>30</v>
      </c>
      <c r="N347" s="18">
        <f t="shared" si="48"/>
        <v>49.284931506849318</v>
      </c>
      <c r="O347" s="23">
        <v>346.75</v>
      </c>
      <c r="P347" s="18">
        <f t="shared" si="49"/>
        <v>50.284931506849318</v>
      </c>
      <c r="Q347" s="18">
        <f t="shared" si="52"/>
        <v>0</v>
      </c>
      <c r="R347" s="18">
        <f t="shared" si="50"/>
        <v>346.75</v>
      </c>
      <c r="S347" s="18">
        <f>H347-R347</f>
        <v>18.25</v>
      </c>
    </row>
    <row r="348" spans="1:19" ht="15" customHeight="1" x14ac:dyDescent="0.2">
      <c r="A348" s="14">
        <f t="shared" si="51"/>
        <v>312</v>
      </c>
      <c r="B348" s="21" t="s">
        <v>316</v>
      </c>
      <c r="C348" s="15" t="s">
        <v>3</v>
      </c>
      <c r="D348" s="21" t="s">
        <v>56</v>
      </c>
      <c r="E348" s="21"/>
      <c r="F348" s="69" t="s">
        <v>4</v>
      </c>
      <c r="G348" s="9">
        <v>25934</v>
      </c>
      <c r="H348" s="26">
        <v>297</v>
      </c>
      <c r="I348" s="17">
        <v>0</v>
      </c>
      <c r="J348" s="17">
        <f t="shared" si="54"/>
        <v>282.14999999999998</v>
      </c>
      <c r="K348" s="17">
        <f t="shared" si="47"/>
        <v>14.850000000000023</v>
      </c>
      <c r="L348" s="23">
        <f t="shared" si="53"/>
        <v>14.850000000000001</v>
      </c>
      <c r="M348" s="23">
        <v>30</v>
      </c>
      <c r="N348" s="18">
        <f t="shared" si="48"/>
        <v>49.284931506849318</v>
      </c>
      <c r="O348" s="23">
        <v>282.14999999999998</v>
      </c>
      <c r="P348" s="18">
        <f t="shared" si="49"/>
        <v>50.284931506849318</v>
      </c>
      <c r="Q348" s="18">
        <f t="shared" si="52"/>
        <v>7.1054273576010023E-16</v>
      </c>
      <c r="R348" s="18">
        <f t="shared" si="50"/>
        <v>282.14999999999998</v>
      </c>
      <c r="S348" s="18">
        <f>+IF(N348&gt;P348,0,L348)</f>
        <v>14.850000000000001</v>
      </c>
    </row>
    <row r="349" spans="1:19" ht="15" customHeight="1" x14ac:dyDescent="0.2">
      <c r="A349" s="14">
        <f t="shared" si="51"/>
        <v>313</v>
      </c>
      <c r="B349" s="21" t="s">
        <v>317</v>
      </c>
      <c r="C349" s="15" t="s">
        <v>3</v>
      </c>
      <c r="D349" s="21" t="s">
        <v>56</v>
      </c>
      <c r="E349" s="21"/>
      <c r="F349" s="69" t="s">
        <v>4</v>
      </c>
      <c r="G349" s="9">
        <v>25934</v>
      </c>
      <c r="H349" s="26">
        <v>256</v>
      </c>
      <c r="I349" s="17">
        <v>0</v>
      </c>
      <c r="J349" s="17">
        <f t="shared" si="54"/>
        <v>243.2</v>
      </c>
      <c r="K349" s="17">
        <f t="shared" si="47"/>
        <v>12.800000000000011</v>
      </c>
      <c r="L349" s="23">
        <f t="shared" si="53"/>
        <v>12.8</v>
      </c>
      <c r="M349" s="23">
        <v>30</v>
      </c>
      <c r="N349" s="18">
        <f t="shared" si="48"/>
        <v>49.284931506849318</v>
      </c>
      <c r="O349" s="23">
        <v>243.2</v>
      </c>
      <c r="P349" s="18">
        <f t="shared" si="49"/>
        <v>50.284931506849318</v>
      </c>
      <c r="Q349" s="18">
        <f t="shared" si="52"/>
        <v>3.5527136788005011E-16</v>
      </c>
      <c r="R349" s="18">
        <f t="shared" si="50"/>
        <v>243.2</v>
      </c>
      <c r="S349" s="18">
        <f>+IF(N349&gt;P349,0,L349)</f>
        <v>12.8</v>
      </c>
    </row>
    <row r="350" spans="1:19" ht="15" customHeight="1" x14ac:dyDescent="0.2">
      <c r="A350" s="14">
        <f t="shared" si="51"/>
        <v>314</v>
      </c>
      <c r="B350" s="21" t="s">
        <v>318</v>
      </c>
      <c r="C350" s="15" t="s">
        <v>3</v>
      </c>
      <c r="D350" s="21" t="s">
        <v>56</v>
      </c>
      <c r="E350" s="21"/>
      <c r="F350" s="69" t="s">
        <v>4</v>
      </c>
      <c r="G350" s="9">
        <v>34748</v>
      </c>
      <c r="H350" s="26">
        <v>340879</v>
      </c>
      <c r="I350" s="17">
        <v>0</v>
      </c>
      <c r="J350" s="17">
        <f t="shared" si="54"/>
        <v>323835.05</v>
      </c>
      <c r="K350" s="17">
        <f t="shared" si="47"/>
        <v>17043.950000000012</v>
      </c>
      <c r="L350" s="23">
        <f t="shared" si="53"/>
        <v>17043.95</v>
      </c>
      <c r="M350" s="23">
        <v>5</v>
      </c>
      <c r="N350" s="18">
        <f t="shared" si="48"/>
        <v>25.136986301369863</v>
      </c>
      <c r="O350" s="23">
        <v>323835.05</v>
      </c>
      <c r="P350" s="18">
        <f t="shared" si="49"/>
        <v>26.136986301369863</v>
      </c>
      <c r="Q350" s="18">
        <f t="shared" si="52"/>
        <v>2.1827872842550281E-12</v>
      </c>
      <c r="R350" s="18">
        <f t="shared" si="50"/>
        <v>323835.05</v>
      </c>
      <c r="S350" s="18">
        <f>+IF(N350&gt;P350,0,L350)</f>
        <v>17043.95</v>
      </c>
    </row>
    <row r="351" spans="1:19" ht="15" customHeight="1" x14ac:dyDescent="0.2">
      <c r="A351" s="14">
        <f t="shared" si="51"/>
        <v>315</v>
      </c>
      <c r="B351" s="21" t="s">
        <v>319</v>
      </c>
      <c r="C351" s="15" t="s">
        <v>3</v>
      </c>
      <c r="D351" s="21" t="s">
        <v>56</v>
      </c>
      <c r="E351" s="21"/>
      <c r="F351" s="69" t="s">
        <v>4</v>
      </c>
      <c r="G351" s="9">
        <v>34714</v>
      </c>
      <c r="H351" s="26">
        <v>561585</v>
      </c>
      <c r="I351" s="17">
        <v>0</v>
      </c>
      <c r="J351" s="17">
        <f t="shared" si="54"/>
        <v>533505.75</v>
      </c>
      <c r="K351" s="17">
        <f t="shared" si="47"/>
        <v>28079.25</v>
      </c>
      <c r="L351" s="23">
        <f t="shared" si="53"/>
        <v>28079.25</v>
      </c>
      <c r="M351" s="23">
        <v>5</v>
      </c>
      <c r="N351" s="18">
        <f t="shared" si="48"/>
        <v>25.230136986301371</v>
      </c>
      <c r="O351" s="23">
        <v>533505.75</v>
      </c>
      <c r="P351" s="18">
        <f t="shared" si="49"/>
        <v>26.230136986301371</v>
      </c>
      <c r="Q351" s="18">
        <f t="shared" si="52"/>
        <v>0</v>
      </c>
      <c r="R351" s="18">
        <f t="shared" si="50"/>
        <v>533505.75</v>
      </c>
      <c r="S351" s="18">
        <f>H351-R351</f>
        <v>28079.25</v>
      </c>
    </row>
    <row r="352" spans="1:19" ht="15" customHeight="1" x14ac:dyDescent="0.2">
      <c r="A352" s="14">
        <f t="shared" si="51"/>
        <v>316</v>
      </c>
      <c r="B352" s="21" t="s">
        <v>320</v>
      </c>
      <c r="C352" s="15" t="s">
        <v>3</v>
      </c>
      <c r="D352" s="21" t="s">
        <v>56</v>
      </c>
      <c r="E352" s="21"/>
      <c r="F352" s="69" t="s">
        <v>4</v>
      </c>
      <c r="G352" s="9">
        <v>25569</v>
      </c>
      <c r="H352" s="26">
        <v>31286</v>
      </c>
      <c r="I352" s="17">
        <v>0</v>
      </c>
      <c r="J352" s="17">
        <f t="shared" si="54"/>
        <v>29721.7</v>
      </c>
      <c r="K352" s="17">
        <f t="shared" si="47"/>
        <v>1564.2999999999993</v>
      </c>
      <c r="L352" s="23">
        <f t="shared" si="53"/>
        <v>1564.3000000000002</v>
      </c>
      <c r="M352" s="23">
        <v>30</v>
      </c>
      <c r="N352" s="18">
        <f t="shared" si="48"/>
        <v>50.284931506849318</v>
      </c>
      <c r="O352" s="23">
        <v>29721.7</v>
      </c>
      <c r="P352" s="18">
        <f t="shared" si="49"/>
        <v>51.284931506849318</v>
      </c>
      <c r="Q352" s="18">
        <f t="shared" si="52"/>
        <v>-3.0316490059097608E-14</v>
      </c>
      <c r="R352" s="18">
        <f t="shared" si="50"/>
        <v>29721.7</v>
      </c>
      <c r="S352" s="18">
        <f>H352-R352</f>
        <v>1564.2999999999993</v>
      </c>
    </row>
    <row r="353" spans="1:19" ht="15" customHeight="1" x14ac:dyDescent="0.2">
      <c r="A353" s="14">
        <f t="shared" si="51"/>
        <v>317</v>
      </c>
      <c r="B353" s="21" t="s">
        <v>321</v>
      </c>
      <c r="C353" s="15" t="s">
        <v>3</v>
      </c>
      <c r="D353" s="21" t="s">
        <v>56</v>
      </c>
      <c r="E353" s="21"/>
      <c r="F353" s="69" t="s">
        <v>4</v>
      </c>
      <c r="G353" s="9">
        <v>25569</v>
      </c>
      <c r="H353" s="26">
        <v>16351</v>
      </c>
      <c r="I353" s="17">
        <v>0</v>
      </c>
      <c r="J353" s="17">
        <f t="shared" si="54"/>
        <v>15533.45</v>
      </c>
      <c r="K353" s="17">
        <f t="shared" si="47"/>
        <v>817.54999999999927</v>
      </c>
      <c r="L353" s="23">
        <f t="shared" si="53"/>
        <v>817.55000000000007</v>
      </c>
      <c r="M353" s="23">
        <v>30</v>
      </c>
      <c r="N353" s="18">
        <f t="shared" si="48"/>
        <v>50.284931506849318</v>
      </c>
      <c r="O353" s="23">
        <v>15533.45</v>
      </c>
      <c r="P353" s="18">
        <f t="shared" si="49"/>
        <v>51.284931506849318</v>
      </c>
      <c r="Q353" s="18">
        <f t="shared" si="52"/>
        <v>-2.6526928801710407E-14</v>
      </c>
      <c r="R353" s="18">
        <f t="shared" si="50"/>
        <v>15533.45</v>
      </c>
      <c r="S353" s="18">
        <f>H353-R353</f>
        <v>817.54999999999927</v>
      </c>
    </row>
    <row r="354" spans="1:19" ht="15" customHeight="1" x14ac:dyDescent="0.2">
      <c r="A354" s="14">
        <f t="shared" si="51"/>
        <v>318</v>
      </c>
      <c r="B354" s="21" t="s">
        <v>322</v>
      </c>
      <c r="C354" s="15" t="s">
        <v>3</v>
      </c>
      <c r="D354" s="21" t="s">
        <v>56</v>
      </c>
      <c r="E354" s="21"/>
      <c r="F354" s="69" t="s">
        <v>11</v>
      </c>
      <c r="G354" s="9">
        <v>25569</v>
      </c>
      <c r="H354" s="26">
        <v>13154</v>
      </c>
      <c r="I354" s="17">
        <v>0</v>
      </c>
      <c r="J354" s="17">
        <f t="shared" si="54"/>
        <v>12496.3</v>
      </c>
      <c r="K354" s="17">
        <f t="shared" si="47"/>
        <v>657.70000000000073</v>
      </c>
      <c r="L354" s="23">
        <f t="shared" si="53"/>
        <v>657.7</v>
      </c>
      <c r="M354" s="23">
        <v>30</v>
      </c>
      <c r="N354" s="18">
        <f t="shared" si="48"/>
        <v>50.284931506849318</v>
      </c>
      <c r="O354" s="23">
        <v>12496.3</v>
      </c>
      <c r="P354" s="18">
        <f t="shared" si="49"/>
        <v>51.284931506849318</v>
      </c>
      <c r="Q354" s="18">
        <f t="shared" si="52"/>
        <v>2.2737367544323207E-14</v>
      </c>
      <c r="R354" s="18">
        <f t="shared" si="50"/>
        <v>12496.3</v>
      </c>
      <c r="S354" s="18">
        <f>+IF(N354&gt;P354,0,L354)</f>
        <v>657.7</v>
      </c>
    </row>
    <row r="355" spans="1:19" ht="15" customHeight="1" x14ac:dyDescent="0.2">
      <c r="A355" s="14">
        <f t="shared" si="51"/>
        <v>319</v>
      </c>
      <c r="B355" s="21" t="s">
        <v>323</v>
      </c>
      <c r="C355" s="15" t="s">
        <v>3</v>
      </c>
      <c r="D355" s="21" t="s">
        <v>56</v>
      </c>
      <c r="E355" s="21"/>
      <c r="F355" s="69" t="s">
        <v>4</v>
      </c>
      <c r="G355" s="9">
        <v>25569</v>
      </c>
      <c r="H355" s="26">
        <v>13108</v>
      </c>
      <c r="I355" s="17">
        <v>0</v>
      </c>
      <c r="J355" s="17">
        <f t="shared" si="54"/>
        <v>12452.6</v>
      </c>
      <c r="K355" s="17">
        <f t="shared" si="47"/>
        <v>655.39999999999964</v>
      </c>
      <c r="L355" s="23">
        <f t="shared" si="53"/>
        <v>655.40000000000009</v>
      </c>
      <c r="M355" s="23">
        <v>30</v>
      </c>
      <c r="N355" s="18">
        <f t="shared" si="48"/>
        <v>50.284931506849318</v>
      </c>
      <c r="O355" s="23">
        <v>12452.6</v>
      </c>
      <c r="P355" s="18">
        <f t="shared" si="49"/>
        <v>51.284931506849318</v>
      </c>
      <c r="Q355" s="18">
        <f t="shared" si="52"/>
        <v>-1.5158245029548804E-14</v>
      </c>
      <c r="R355" s="18">
        <f t="shared" si="50"/>
        <v>12452.6</v>
      </c>
      <c r="S355" s="18">
        <f t="shared" ref="S355:S362" si="57">H355-R355</f>
        <v>655.39999999999964</v>
      </c>
    </row>
    <row r="356" spans="1:19" ht="15" customHeight="1" x14ac:dyDescent="0.2">
      <c r="A356" s="14">
        <f t="shared" si="51"/>
        <v>320</v>
      </c>
      <c r="B356" s="21" t="s">
        <v>324</v>
      </c>
      <c r="C356" s="15" t="s">
        <v>3</v>
      </c>
      <c r="D356" s="21" t="s">
        <v>56</v>
      </c>
      <c r="E356" s="21"/>
      <c r="F356" s="69" t="s">
        <v>4</v>
      </c>
      <c r="G356" s="9">
        <v>25569</v>
      </c>
      <c r="H356" s="26">
        <v>6758</v>
      </c>
      <c r="I356" s="17">
        <v>0</v>
      </c>
      <c r="J356" s="17">
        <f t="shared" si="54"/>
        <v>6420.1</v>
      </c>
      <c r="K356" s="17">
        <f t="shared" si="47"/>
        <v>337.89999999999964</v>
      </c>
      <c r="L356" s="23">
        <f t="shared" si="53"/>
        <v>337.90000000000003</v>
      </c>
      <c r="M356" s="23">
        <v>30</v>
      </c>
      <c r="N356" s="18">
        <f t="shared" si="48"/>
        <v>50.284931506849318</v>
      </c>
      <c r="O356" s="23">
        <v>6420.1</v>
      </c>
      <c r="P356" s="18">
        <f t="shared" si="49"/>
        <v>51.284931506849318</v>
      </c>
      <c r="Q356" s="18">
        <f t="shared" si="52"/>
        <v>-1.3263464400855204E-14</v>
      </c>
      <c r="R356" s="18">
        <f t="shared" si="50"/>
        <v>6420.1</v>
      </c>
      <c r="S356" s="18">
        <f t="shared" si="57"/>
        <v>337.89999999999964</v>
      </c>
    </row>
    <row r="357" spans="1:19" ht="15" customHeight="1" x14ac:dyDescent="0.2">
      <c r="A357" s="14">
        <f t="shared" si="51"/>
        <v>321</v>
      </c>
      <c r="B357" s="30" t="s">
        <v>325</v>
      </c>
      <c r="C357" s="15" t="s">
        <v>3</v>
      </c>
      <c r="D357" s="21" t="s">
        <v>56</v>
      </c>
      <c r="E357" s="21"/>
      <c r="F357" s="71" t="s">
        <v>14</v>
      </c>
      <c r="G357" s="9">
        <v>25569</v>
      </c>
      <c r="H357" s="26">
        <v>5506</v>
      </c>
      <c r="I357" s="17">
        <v>0</v>
      </c>
      <c r="J357" s="17">
        <f t="shared" si="54"/>
        <v>5230.7</v>
      </c>
      <c r="K357" s="17">
        <f t="shared" ref="K357:K420" si="58">H357+I357-J357</f>
        <v>275.30000000000018</v>
      </c>
      <c r="L357" s="23">
        <f t="shared" si="53"/>
        <v>275.3</v>
      </c>
      <c r="M357" s="23">
        <v>30</v>
      </c>
      <c r="N357" s="18">
        <f t="shared" ref="N357:N420" si="59">IF(($N$35-G357+1)/365&gt;0,($N$35-G357+1)/365,0)</f>
        <v>50.284931506849318</v>
      </c>
      <c r="O357" s="23">
        <v>5230.7</v>
      </c>
      <c r="P357" s="18">
        <f t="shared" ref="P357:P420" si="60">($P$35-G357+1)/365</f>
        <v>51.284931506849318</v>
      </c>
      <c r="Q357" s="18">
        <f t="shared" si="52"/>
        <v>5.6843418860808018E-15</v>
      </c>
      <c r="R357" s="18">
        <f t="shared" ref="R357:R420" si="61">Q357+O357</f>
        <v>5230.7</v>
      </c>
      <c r="S357" s="18">
        <f t="shared" si="57"/>
        <v>275.30000000000018</v>
      </c>
    </row>
    <row r="358" spans="1:19" ht="15" customHeight="1" x14ac:dyDescent="0.2">
      <c r="A358" s="14">
        <f t="shared" si="51"/>
        <v>322</v>
      </c>
      <c r="B358" s="21" t="s">
        <v>326</v>
      </c>
      <c r="C358" s="15" t="s">
        <v>3</v>
      </c>
      <c r="D358" s="21" t="s">
        <v>56</v>
      </c>
      <c r="E358" s="21"/>
      <c r="F358" s="69" t="s">
        <v>4</v>
      </c>
      <c r="G358" s="9">
        <v>25569</v>
      </c>
      <c r="H358" s="26">
        <v>5460</v>
      </c>
      <c r="I358" s="17">
        <v>0</v>
      </c>
      <c r="J358" s="17">
        <f t="shared" si="54"/>
        <v>5187</v>
      </c>
      <c r="K358" s="17">
        <f t="shared" si="58"/>
        <v>273</v>
      </c>
      <c r="L358" s="23">
        <f t="shared" si="53"/>
        <v>273</v>
      </c>
      <c r="M358" s="23">
        <v>30</v>
      </c>
      <c r="N358" s="18">
        <f t="shared" si="59"/>
        <v>50.284931506849318</v>
      </c>
      <c r="O358" s="23">
        <v>5187</v>
      </c>
      <c r="P358" s="18">
        <f t="shared" si="60"/>
        <v>51.284931506849318</v>
      </c>
      <c r="Q358" s="18">
        <f t="shared" si="52"/>
        <v>0</v>
      </c>
      <c r="R358" s="18">
        <f t="shared" si="61"/>
        <v>5187</v>
      </c>
      <c r="S358" s="18">
        <f t="shared" si="57"/>
        <v>273</v>
      </c>
    </row>
    <row r="359" spans="1:19" ht="15" customHeight="1" x14ac:dyDescent="0.2">
      <c r="A359" s="14">
        <f t="shared" ref="A359:A422" si="62">+A358+1</f>
        <v>323</v>
      </c>
      <c r="B359" s="21" t="s">
        <v>327</v>
      </c>
      <c r="C359" s="15" t="s">
        <v>3</v>
      </c>
      <c r="D359" s="21" t="s">
        <v>56</v>
      </c>
      <c r="E359" s="21"/>
      <c r="F359" s="69" t="s">
        <v>4</v>
      </c>
      <c r="G359" s="9">
        <v>25569</v>
      </c>
      <c r="H359" s="26">
        <v>2745</v>
      </c>
      <c r="I359" s="17">
        <v>0</v>
      </c>
      <c r="J359" s="17">
        <f t="shared" si="54"/>
        <v>2607.75</v>
      </c>
      <c r="K359" s="17">
        <f t="shared" si="58"/>
        <v>137.25</v>
      </c>
      <c r="L359" s="23">
        <f t="shared" si="53"/>
        <v>137.25</v>
      </c>
      <c r="M359" s="23">
        <v>30</v>
      </c>
      <c r="N359" s="18">
        <f t="shared" si="59"/>
        <v>50.284931506849318</v>
      </c>
      <c r="O359" s="23">
        <v>2607.75</v>
      </c>
      <c r="P359" s="18">
        <f t="shared" si="60"/>
        <v>51.284931506849318</v>
      </c>
      <c r="Q359" s="18">
        <f t="shared" si="52"/>
        <v>0</v>
      </c>
      <c r="R359" s="18">
        <f t="shared" si="61"/>
        <v>2607.75</v>
      </c>
      <c r="S359" s="18">
        <f t="shared" si="57"/>
        <v>137.25</v>
      </c>
    </row>
    <row r="360" spans="1:19" ht="15" customHeight="1" x14ac:dyDescent="0.2">
      <c r="A360" s="14">
        <f t="shared" si="62"/>
        <v>324</v>
      </c>
      <c r="B360" s="21" t="s">
        <v>328</v>
      </c>
      <c r="C360" s="15" t="s">
        <v>3</v>
      </c>
      <c r="D360" s="21" t="s">
        <v>56</v>
      </c>
      <c r="E360" s="21"/>
      <c r="F360" s="69" t="s">
        <v>4</v>
      </c>
      <c r="G360" s="9">
        <v>25569</v>
      </c>
      <c r="H360" s="26">
        <v>1507</v>
      </c>
      <c r="I360" s="17">
        <v>0</v>
      </c>
      <c r="J360" s="17">
        <f t="shared" si="54"/>
        <v>1431.65</v>
      </c>
      <c r="K360" s="17">
        <f t="shared" si="58"/>
        <v>75.349999999999909</v>
      </c>
      <c r="L360" s="23">
        <f t="shared" si="53"/>
        <v>75.350000000000009</v>
      </c>
      <c r="M360" s="23">
        <v>30</v>
      </c>
      <c r="N360" s="18">
        <f t="shared" si="59"/>
        <v>50.284931506849318</v>
      </c>
      <c r="O360" s="23">
        <v>1431.65</v>
      </c>
      <c r="P360" s="18">
        <f t="shared" si="60"/>
        <v>51.284931506849318</v>
      </c>
      <c r="Q360" s="18">
        <f t="shared" si="52"/>
        <v>-3.3158661002138009E-15</v>
      </c>
      <c r="R360" s="18">
        <f t="shared" si="61"/>
        <v>1431.65</v>
      </c>
      <c r="S360" s="18">
        <f t="shared" si="57"/>
        <v>75.349999999999909</v>
      </c>
    </row>
    <row r="361" spans="1:19" ht="15" customHeight="1" x14ac:dyDescent="0.2">
      <c r="A361" s="14">
        <f t="shared" si="62"/>
        <v>325</v>
      </c>
      <c r="B361" s="21" t="s">
        <v>329</v>
      </c>
      <c r="C361" s="15" t="s">
        <v>3</v>
      </c>
      <c r="D361" s="21" t="s">
        <v>56</v>
      </c>
      <c r="E361" s="21"/>
      <c r="F361" s="69" t="s">
        <v>6</v>
      </c>
      <c r="G361" s="9">
        <v>25569</v>
      </c>
      <c r="H361" s="26">
        <v>1441</v>
      </c>
      <c r="I361" s="17">
        <v>0</v>
      </c>
      <c r="J361" s="17">
        <f t="shared" si="54"/>
        <v>1368.95</v>
      </c>
      <c r="K361" s="17">
        <f t="shared" si="58"/>
        <v>72.049999999999955</v>
      </c>
      <c r="L361" s="23">
        <f t="shared" si="53"/>
        <v>72.05</v>
      </c>
      <c r="M361" s="23">
        <v>30</v>
      </c>
      <c r="N361" s="18">
        <f t="shared" si="59"/>
        <v>50.284931506849318</v>
      </c>
      <c r="O361" s="23">
        <v>1368.95</v>
      </c>
      <c r="P361" s="18">
        <f t="shared" si="60"/>
        <v>51.284931506849318</v>
      </c>
      <c r="Q361" s="18">
        <f t="shared" si="52"/>
        <v>-1.4210854715202005E-15</v>
      </c>
      <c r="R361" s="18">
        <f t="shared" si="61"/>
        <v>1368.95</v>
      </c>
      <c r="S361" s="18">
        <f t="shared" si="57"/>
        <v>72.049999999999955</v>
      </c>
    </row>
    <row r="362" spans="1:19" ht="15" customHeight="1" x14ac:dyDescent="0.2">
      <c r="A362" s="14">
        <f t="shared" si="62"/>
        <v>326</v>
      </c>
      <c r="B362" s="21" t="s">
        <v>330</v>
      </c>
      <c r="C362" s="15" t="s">
        <v>3</v>
      </c>
      <c r="D362" s="21" t="s">
        <v>56</v>
      </c>
      <c r="E362" s="21"/>
      <c r="F362" s="69" t="s">
        <v>4</v>
      </c>
      <c r="G362" s="9">
        <v>25569</v>
      </c>
      <c r="H362" s="26">
        <v>1384</v>
      </c>
      <c r="I362" s="17">
        <v>0</v>
      </c>
      <c r="J362" s="17">
        <f t="shared" si="54"/>
        <v>1314.8</v>
      </c>
      <c r="K362" s="17">
        <f t="shared" si="58"/>
        <v>69.200000000000045</v>
      </c>
      <c r="L362" s="23">
        <f t="shared" si="53"/>
        <v>69.2</v>
      </c>
      <c r="M362" s="23">
        <v>30</v>
      </c>
      <c r="N362" s="18">
        <f t="shared" si="59"/>
        <v>50.284931506849318</v>
      </c>
      <c r="O362" s="23">
        <v>1314.8</v>
      </c>
      <c r="P362" s="18">
        <f t="shared" si="60"/>
        <v>51.284931506849318</v>
      </c>
      <c r="Q362" s="18">
        <f t="shared" si="52"/>
        <v>1.4210854715202005E-15</v>
      </c>
      <c r="R362" s="18">
        <f t="shared" si="61"/>
        <v>1314.8</v>
      </c>
      <c r="S362" s="18">
        <f t="shared" si="57"/>
        <v>69.200000000000045</v>
      </c>
    </row>
    <row r="363" spans="1:19" ht="15" customHeight="1" x14ac:dyDescent="0.2">
      <c r="A363" s="14">
        <f t="shared" si="62"/>
        <v>327</v>
      </c>
      <c r="B363" s="21" t="s">
        <v>331</v>
      </c>
      <c r="C363" s="15" t="s">
        <v>3</v>
      </c>
      <c r="D363" s="21" t="s">
        <v>56</v>
      </c>
      <c r="E363" s="21"/>
      <c r="F363" s="69" t="s">
        <v>4</v>
      </c>
      <c r="G363" s="9">
        <v>25569</v>
      </c>
      <c r="H363" s="26">
        <v>1298</v>
      </c>
      <c r="I363" s="17">
        <v>0</v>
      </c>
      <c r="J363" s="17">
        <f t="shared" si="54"/>
        <v>1233.0999999999999</v>
      </c>
      <c r="K363" s="17">
        <f t="shared" si="58"/>
        <v>64.900000000000091</v>
      </c>
      <c r="L363" s="23">
        <f t="shared" si="53"/>
        <v>64.900000000000006</v>
      </c>
      <c r="M363" s="23">
        <v>30</v>
      </c>
      <c r="N363" s="18">
        <f t="shared" si="59"/>
        <v>50.284931506849318</v>
      </c>
      <c r="O363" s="23">
        <v>1233.0999999999999</v>
      </c>
      <c r="P363" s="18">
        <f t="shared" si="60"/>
        <v>51.284931506849318</v>
      </c>
      <c r="Q363" s="18">
        <f t="shared" si="52"/>
        <v>2.8421709430404009E-15</v>
      </c>
      <c r="R363" s="18">
        <f t="shared" si="61"/>
        <v>1233.0999999999999</v>
      </c>
      <c r="S363" s="18">
        <f>+IF(N363&gt;P363,0,L363)</f>
        <v>64.900000000000006</v>
      </c>
    </row>
    <row r="364" spans="1:19" ht="15" customHeight="1" x14ac:dyDescent="0.2">
      <c r="A364" s="14">
        <f t="shared" si="62"/>
        <v>328</v>
      </c>
      <c r="B364" s="21" t="s">
        <v>332</v>
      </c>
      <c r="C364" s="15" t="s">
        <v>3</v>
      </c>
      <c r="D364" s="21" t="s">
        <v>56</v>
      </c>
      <c r="E364" s="21"/>
      <c r="F364" s="69" t="s">
        <v>4</v>
      </c>
      <c r="G364" s="9">
        <v>25569</v>
      </c>
      <c r="H364" s="26">
        <v>1294</v>
      </c>
      <c r="I364" s="17">
        <v>0</v>
      </c>
      <c r="J364" s="17">
        <f t="shared" si="54"/>
        <v>1229.3</v>
      </c>
      <c r="K364" s="17">
        <f t="shared" si="58"/>
        <v>64.700000000000045</v>
      </c>
      <c r="L364" s="23">
        <f t="shared" si="53"/>
        <v>64.7</v>
      </c>
      <c r="M364" s="23">
        <v>30</v>
      </c>
      <c r="N364" s="18">
        <f t="shared" si="59"/>
        <v>50.284931506849318</v>
      </c>
      <c r="O364" s="23">
        <v>1229.3</v>
      </c>
      <c r="P364" s="18">
        <f t="shared" si="60"/>
        <v>51.284931506849318</v>
      </c>
      <c r="Q364" s="18">
        <f t="shared" si="52"/>
        <v>1.4210854715202005E-15</v>
      </c>
      <c r="R364" s="18">
        <f t="shared" si="61"/>
        <v>1229.3</v>
      </c>
      <c r="S364" s="18">
        <f t="shared" ref="S364:S372" si="63">H364-R364</f>
        <v>64.700000000000045</v>
      </c>
    </row>
    <row r="365" spans="1:19" ht="15" customHeight="1" x14ac:dyDescent="0.2">
      <c r="A365" s="14">
        <f t="shared" si="62"/>
        <v>329</v>
      </c>
      <c r="B365" s="21" t="s">
        <v>333</v>
      </c>
      <c r="C365" s="15" t="s">
        <v>3</v>
      </c>
      <c r="D365" s="21" t="s">
        <v>56</v>
      </c>
      <c r="E365" s="21"/>
      <c r="F365" s="69" t="s">
        <v>4</v>
      </c>
      <c r="G365" s="9">
        <v>25569</v>
      </c>
      <c r="H365" s="26">
        <v>1096</v>
      </c>
      <c r="I365" s="17">
        <v>0</v>
      </c>
      <c r="J365" s="17">
        <f t="shared" si="54"/>
        <v>1041.2</v>
      </c>
      <c r="K365" s="17">
        <f t="shared" si="58"/>
        <v>54.799999999999955</v>
      </c>
      <c r="L365" s="23">
        <f t="shared" si="53"/>
        <v>54.800000000000004</v>
      </c>
      <c r="M365" s="23">
        <v>30</v>
      </c>
      <c r="N365" s="18">
        <f t="shared" si="59"/>
        <v>50.284931506849318</v>
      </c>
      <c r="O365" s="23">
        <v>1041.2</v>
      </c>
      <c r="P365" s="18">
        <f t="shared" si="60"/>
        <v>51.284931506849318</v>
      </c>
      <c r="Q365" s="18">
        <f t="shared" si="52"/>
        <v>-1.6579330501069005E-15</v>
      </c>
      <c r="R365" s="18">
        <f t="shared" si="61"/>
        <v>1041.2</v>
      </c>
      <c r="S365" s="18">
        <f t="shared" si="63"/>
        <v>54.799999999999955</v>
      </c>
    </row>
    <row r="366" spans="1:19" ht="15" customHeight="1" x14ac:dyDescent="0.2">
      <c r="A366" s="14">
        <f t="shared" si="62"/>
        <v>330</v>
      </c>
      <c r="B366" s="21" t="s">
        <v>334</v>
      </c>
      <c r="C366" s="15" t="s">
        <v>3</v>
      </c>
      <c r="D366" s="21" t="s">
        <v>56</v>
      </c>
      <c r="E366" s="21"/>
      <c r="F366" s="69" t="s">
        <v>4</v>
      </c>
      <c r="G366" s="9">
        <v>25569</v>
      </c>
      <c r="H366" s="26">
        <v>1013</v>
      </c>
      <c r="I366" s="17">
        <v>0</v>
      </c>
      <c r="J366" s="17">
        <f t="shared" si="54"/>
        <v>962.35</v>
      </c>
      <c r="K366" s="17">
        <f t="shared" si="58"/>
        <v>50.649999999999977</v>
      </c>
      <c r="L366" s="23">
        <f t="shared" si="53"/>
        <v>50.650000000000006</v>
      </c>
      <c r="M366" s="23">
        <v>30</v>
      </c>
      <c r="N366" s="18">
        <f t="shared" si="59"/>
        <v>50.284931506849318</v>
      </c>
      <c r="O366" s="23">
        <v>962.35</v>
      </c>
      <c r="P366" s="18">
        <f t="shared" si="60"/>
        <v>51.284931506849318</v>
      </c>
      <c r="Q366" s="18">
        <f t="shared" si="52"/>
        <v>-9.4739031434680023E-16</v>
      </c>
      <c r="R366" s="18">
        <f t="shared" si="61"/>
        <v>962.35</v>
      </c>
      <c r="S366" s="18">
        <f t="shared" si="63"/>
        <v>50.649999999999977</v>
      </c>
    </row>
    <row r="367" spans="1:19" ht="15" customHeight="1" x14ac:dyDescent="0.2">
      <c r="A367" s="14">
        <f t="shared" si="62"/>
        <v>331</v>
      </c>
      <c r="B367" s="21" t="s">
        <v>335</v>
      </c>
      <c r="C367" s="15" t="s">
        <v>3</v>
      </c>
      <c r="D367" s="21" t="s">
        <v>56</v>
      </c>
      <c r="E367" s="21"/>
      <c r="F367" s="69" t="s">
        <v>7</v>
      </c>
      <c r="G367" s="9">
        <v>25569</v>
      </c>
      <c r="H367" s="26">
        <v>947</v>
      </c>
      <c r="I367" s="17">
        <v>0</v>
      </c>
      <c r="J367" s="17">
        <f t="shared" si="54"/>
        <v>899.65</v>
      </c>
      <c r="K367" s="17">
        <f t="shared" si="58"/>
        <v>47.350000000000023</v>
      </c>
      <c r="L367" s="23">
        <f t="shared" si="53"/>
        <v>47.35</v>
      </c>
      <c r="M367" s="23">
        <v>30</v>
      </c>
      <c r="N367" s="18">
        <f t="shared" si="59"/>
        <v>50.284931506849318</v>
      </c>
      <c r="O367" s="23">
        <v>899.65</v>
      </c>
      <c r="P367" s="18">
        <f t="shared" si="60"/>
        <v>51.284931506849318</v>
      </c>
      <c r="Q367" s="18">
        <f t="shared" si="52"/>
        <v>7.1054273576010023E-16</v>
      </c>
      <c r="R367" s="18">
        <f t="shared" si="61"/>
        <v>899.65</v>
      </c>
      <c r="S367" s="18">
        <f t="shared" si="63"/>
        <v>47.350000000000023</v>
      </c>
    </row>
    <row r="368" spans="1:19" ht="15" customHeight="1" x14ac:dyDescent="0.2">
      <c r="A368" s="14">
        <f t="shared" si="62"/>
        <v>332</v>
      </c>
      <c r="B368" s="21" t="s">
        <v>336</v>
      </c>
      <c r="C368" s="15" t="s">
        <v>3</v>
      </c>
      <c r="D368" s="21" t="s">
        <v>56</v>
      </c>
      <c r="E368" s="21"/>
      <c r="F368" s="70" t="s">
        <v>7</v>
      </c>
      <c r="G368" s="9">
        <v>25569</v>
      </c>
      <c r="H368" s="26">
        <v>788</v>
      </c>
      <c r="I368" s="17">
        <v>0</v>
      </c>
      <c r="J368" s="17">
        <f t="shared" si="54"/>
        <v>748.6</v>
      </c>
      <c r="K368" s="17">
        <f t="shared" si="58"/>
        <v>39.399999999999977</v>
      </c>
      <c r="L368" s="23">
        <f t="shared" si="53"/>
        <v>39.400000000000006</v>
      </c>
      <c r="M368" s="23">
        <v>30</v>
      </c>
      <c r="N368" s="18">
        <f t="shared" si="59"/>
        <v>50.284931506849318</v>
      </c>
      <c r="O368" s="23">
        <v>748.6</v>
      </c>
      <c r="P368" s="18">
        <f t="shared" si="60"/>
        <v>51.284931506849318</v>
      </c>
      <c r="Q368" s="18">
        <f t="shared" si="52"/>
        <v>-9.4739031434680023E-16</v>
      </c>
      <c r="R368" s="18">
        <f t="shared" si="61"/>
        <v>748.6</v>
      </c>
      <c r="S368" s="18">
        <f t="shared" si="63"/>
        <v>39.399999999999977</v>
      </c>
    </row>
    <row r="369" spans="1:19" ht="15" customHeight="1" x14ac:dyDescent="0.2">
      <c r="A369" s="14">
        <f t="shared" si="62"/>
        <v>333</v>
      </c>
      <c r="B369" s="21" t="s">
        <v>337</v>
      </c>
      <c r="C369" s="15" t="s">
        <v>3</v>
      </c>
      <c r="D369" s="21" t="s">
        <v>56</v>
      </c>
      <c r="E369" s="21"/>
      <c r="F369" s="69" t="s">
        <v>4</v>
      </c>
      <c r="G369" s="9">
        <v>25569</v>
      </c>
      <c r="H369" s="26">
        <v>768</v>
      </c>
      <c r="I369" s="17">
        <v>0</v>
      </c>
      <c r="J369" s="17">
        <f t="shared" si="54"/>
        <v>729.6</v>
      </c>
      <c r="K369" s="17">
        <f t="shared" si="58"/>
        <v>38.399999999999977</v>
      </c>
      <c r="L369" s="23">
        <f t="shared" si="53"/>
        <v>38.400000000000006</v>
      </c>
      <c r="M369" s="23">
        <v>30</v>
      </c>
      <c r="N369" s="18">
        <f t="shared" si="59"/>
        <v>50.284931506849318</v>
      </c>
      <c r="O369" s="23">
        <v>729.6</v>
      </c>
      <c r="P369" s="18">
        <f t="shared" si="60"/>
        <v>51.284931506849318</v>
      </c>
      <c r="Q369" s="18">
        <f t="shared" si="52"/>
        <v>-9.4739031434680023E-16</v>
      </c>
      <c r="R369" s="18">
        <f t="shared" si="61"/>
        <v>729.6</v>
      </c>
      <c r="S369" s="18">
        <f t="shared" si="63"/>
        <v>38.399999999999977</v>
      </c>
    </row>
    <row r="370" spans="1:19" ht="15" customHeight="1" x14ac:dyDescent="0.2">
      <c r="A370" s="14">
        <f t="shared" si="62"/>
        <v>334</v>
      </c>
      <c r="B370" s="21" t="s">
        <v>338</v>
      </c>
      <c r="C370" s="15" t="s">
        <v>3</v>
      </c>
      <c r="D370" s="21" t="s">
        <v>56</v>
      </c>
      <c r="E370" s="21"/>
      <c r="F370" s="69" t="s">
        <v>4</v>
      </c>
      <c r="G370" s="9">
        <v>25569</v>
      </c>
      <c r="H370" s="26">
        <v>748</v>
      </c>
      <c r="I370" s="17">
        <v>0</v>
      </c>
      <c r="J370" s="17">
        <f t="shared" si="54"/>
        <v>710.6</v>
      </c>
      <c r="K370" s="17">
        <f t="shared" si="58"/>
        <v>37.399999999999977</v>
      </c>
      <c r="L370" s="23">
        <f t="shared" si="53"/>
        <v>37.4</v>
      </c>
      <c r="M370" s="23">
        <v>30</v>
      </c>
      <c r="N370" s="18">
        <f t="shared" si="59"/>
        <v>50.284931506849318</v>
      </c>
      <c r="O370" s="23">
        <v>710.6</v>
      </c>
      <c r="P370" s="18">
        <f t="shared" si="60"/>
        <v>51.284931506849318</v>
      </c>
      <c r="Q370" s="18">
        <f t="shared" si="52"/>
        <v>-7.1054273576010023E-16</v>
      </c>
      <c r="R370" s="18">
        <f t="shared" si="61"/>
        <v>710.6</v>
      </c>
      <c r="S370" s="18">
        <f t="shared" si="63"/>
        <v>37.399999999999977</v>
      </c>
    </row>
    <row r="371" spans="1:19" ht="15" customHeight="1" x14ac:dyDescent="0.2">
      <c r="A371" s="14">
        <f t="shared" si="62"/>
        <v>335</v>
      </c>
      <c r="B371" s="21" t="s">
        <v>339</v>
      </c>
      <c r="C371" s="15" t="s">
        <v>3</v>
      </c>
      <c r="D371" s="21" t="s">
        <v>56</v>
      </c>
      <c r="E371" s="21"/>
      <c r="F371" s="69" t="s">
        <v>4</v>
      </c>
      <c r="G371" s="9">
        <v>25569</v>
      </c>
      <c r="H371" s="26">
        <v>712</v>
      </c>
      <c r="I371" s="17">
        <v>0</v>
      </c>
      <c r="J371" s="17">
        <f t="shared" si="54"/>
        <v>676.4</v>
      </c>
      <c r="K371" s="17">
        <f t="shared" si="58"/>
        <v>35.600000000000023</v>
      </c>
      <c r="L371" s="23">
        <f t="shared" si="53"/>
        <v>35.6</v>
      </c>
      <c r="M371" s="23">
        <v>30</v>
      </c>
      <c r="N371" s="18">
        <f t="shared" si="59"/>
        <v>50.284931506849318</v>
      </c>
      <c r="O371" s="23">
        <v>676.4</v>
      </c>
      <c r="P371" s="18">
        <f t="shared" si="60"/>
        <v>51.284931506849318</v>
      </c>
      <c r="Q371" s="18">
        <f t="shared" si="52"/>
        <v>7.1054273576010023E-16</v>
      </c>
      <c r="R371" s="18">
        <f t="shared" si="61"/>
        <v>676.4</v>
      </c>
      <c r="S371" s="18">
        <f t="shared" si="63"/>
        <v>35.600000000000023</v>
      </c>
    </row>
    <row r="372" spans="1:19" ht="15" customHeight="1" x14ac:dyDescent="0.2">
      <c r="A372" s="14">
        <f t="shared" si="62"/>
        <v>336</v>
      </c>
      <c r="B372" s="21" t="s">
        <v>340</v>
      </c>
      <c r="C372" s="15" t="s">
        <v>3</v>
      </c>
      <c r="D372" s="21" t="s">
        <v>56</v>
      </c>
      <c r="E372" s="21"/>
      <c r="F372" s="69" t="s">
        <v>4</v>
      </c>
      <c r="G372" s="9">
        <v>25569</v>
      </c>
      <c r="H372" s="26">
        <v>470</v>
      </c>
      <c r="I372" s="17">
        <v>0</v>
      </c>
      <c r="J372" s="17">
        <f t="shared" si="54"/>
        <v>446.5</v>
      </c>
      <c r="K372" s="17">
        <f t="shared" si="58"/>
        <v>23.5</v>
      </c>
      <c r="L372" s="23">
        <f t="shared" si="53"/>
        <v>23.5</v>
      </c>
      <c r="M372" s="23">
        <v>30</v>
      </c>
      <c r="N372" s="18">
        <f t="shared" si="59"/>
        <v>50.284931506849318</v>
      </c>
      <c r="O372" s="23">
        <v>446.5</v>
      </c>
      <c r="P372" s="18">
        <f t="shared" si="60"/>
        <v>51.284931506849318</v>
      </c>
      <c r="Q372" s="18">
        <f t="shared" si="52"/>
        <v>0</v>
      </c>
      <c r="R372" s="18">
        <f t="shared" si="61"/>
        <v>446.5</v>
      </c>
      <c r="S372" s="18">
        <f t="shared" si="63"/>
        <v>23.5</v>
      </c>
    </row>
    <row r="373" spans="1:19" ht="15" customHeight="1" x14ac:dyDescent="0.2">
      <c r="A373" s="14">
        <f t="shared" si="62"/>
        <v>337</v>
      </c>
      <c r="B373" s="21" t="s">
        <v>341</v>
      </c>
      <c r="C373" s="15" t="s">
        <v>3</v>
      </c>
      <c r="D373" s="21" t="s">
        <v>56</v>
      </c>
      <c r="E373" s="21"/>
      <c r="F373" s="69" t="s">
        <v>4</v>
      </c>
      <c r="G373" s="9">
        <v>25569</v>
      </c>
      <c r="H373" s="26">
        <v>196</v>
      </c>
      <c r="I373" s="17">
        <v>0</v>
      </c>
      <c r="J373" s="17">
        <f t="shared" si="54"/>
        <v>186.2</v>
      </c>
      <c r="K373" s="17">
        <f t="shared" si="58"/>
        <v>9.8000000000000114</v>
      </c>
      <c r="L373" s="23">
        <f t="shared" si="53"/>
        <v>9.8000000000000007</v>
      </c>
      <c r="M373" s="23">
        <v>30</v>
      </c>
      <c r="N373" s="18">
        <f t="shared" si="59"/>
        <v>50.284931506849318</v>
      </c>
      <c r="O373" s="23">
        <v>186.2</v>
      </c>
      <c r="P373" s="18">
        <f t="shared" si="60"/>
        <v>51.284931506849318</v>
      </c>
      <c r="Q373" s="18">
        <f t="shared" si="52"/>
        <v>3.5527136788005011E-16</v>
      </c>
      <c r="R373" s="18">
        <f t="shared" si="61"/>
        <v>186.2</v>
      </c>
      <c r="S373" s="18">
        <f>+IF(N373&gt;P373,0,L373)</f>
        <v>9.8000000000000007</v>
      </c>
    </row>
    <row r="374" spans="1:19" ht="15" customHeight="1" x14ac:dyDescent="0.2">
      <c r="A374" s="14">
        <f t="shared" si="62"/>
        <v>338</v>
      </c>
      <c r="B374" s="21" t="s">
        <v>342</v>
      </c>
      <c r="C374" s="15" t="s">
        <v>3</v>
      </c>
      <c r="D374" s="21" t="s">
        <v>56</v>
      </c>
      <c r="E374" s="21"/>
      <c r="F374" s="69" t="s">
        <v>4</v>
      </c>
      <c r="G374" s="9">
        <v>25569</v>
      </c>
      <c r="H374" s="26">
        <v>90</v>
      </c>
      <c r="I374" s="17">
        <v>0</v>
      </c>
      <c r="J374" s="17">
        <f t="shared" si="54"/>
        <v>85.5</v>
      </c>
      <c r="K374" s="17">
        <f t="shared" si="58"/>
        <v>4.5</v>
      </c>
      <c r="L374" s="23">
        <f t="shared" si="53"/>
        <v>4.5</v>
      </c>
      <c r="M374" s="23">
        <v>30</v>
      </c>
      <c r="N374" s="18">
        <f t="shared" si="59"/>
        <v>50.284931506849318</v>
      </c>
      <c r="O374" s="23">
        <v>85.5</v>
      </c>
      <c r="P374" s="18">
        <f t="shared" si="60"/>
        <v>51.284931506849318</v>
      </c>
      <c r="Q374" s="18">
        <f t="shared" si="52"/>
        <v>0</v>
      </c>
      <c r="R374" s="18">
        <f t="shared" si="61"/>
        <v>85.5</v>
      </c>
      <c r="S374" s="18">
        <f>H374-R374</f>
        <v>4.5</v>
      </c>
    </row>
    <row r="375" spans="1:19" ht="15" customHeight="1" x14ac:dyDescent="0.2">
      <c r="A375" s="14">
        <f t="shared" si="62"/>
        <v>339</v>
      </c>
      <c r="B375" s="21" t="s">
        <v>343</v>
      </c>
      <c r="C375" s="15" t="s">
        <v>3</v>
      </c>
      <c r="D375" s="21" t="s">
        <v>56</v>
      </c>
      <c r="E375" s="21"/>
      <c r="F375" s="69" t="s">
        <v>7</v>
      </c>
      <c r="G375" s="9">
        <v>25204</v>
      </c>
      <c r="H375" s="26">
        <v>4194</v>
      </c>
      <c r="I375" s="17">
        <v>0</v>
      </c>
      <c r="J375" s="17">
        <f t="shared" si="54"/>
        <v>3984.3</v>
      </c>
      <c r="K375" s="17">
        <f t="shared" si="58"/>
        <v>209.69999999999982</v>
      </c>
      <c r="L375" s="23">
        <f t="shared" si="53"/>
        <v>209.70000000000002</v>
      </c>
      <c r="M375" s="23">
        <v>30</v>
      </c>
      <c r="N375" s="18">
        <f t="shared" si="59"/>
        <v>51.284931506849318</v>
      </c>
      <c r="O375" s="23">
        <v>3984.3</v>
      </c>
      <c r="P375" s="18">
        <f t="shared" si="60"/>
        <v>52.284931506849318</v>
      </c>
      <c r="Q375" s="18">
        <f t="shared" ref="Q375:Q438" si="64">(P375-N375)/M375*(K375-L375)</f>
        <v>-6.6317322004276018E-15</v>
      </c>
      <c r="R375" s="18">
        <f t="shared" si="61"/>
        <v>3984.3</v>
      </c>
      <c r="S375" s="18">
        <f>H375-R375</f>
        <v>209.69999999999982</v>
      </c>
    </row>
    <row r="376" spans="1:19" ht="15" customHeight="1" x14ac:dyDescent="0.2">
      <c r="A376" s="14">
        <f t="shared" si="62"/>
        <v>340</v>
      </c>
      <c r="B376" s="21" t="s">
        <v>344</v>
      </c>
      <c r="C376" s="15" t="s">
        <v>3</v>
      </c>
      <c r="D376" s="21" t="s">
        <v>56</v>
      </c>
      <c r="E376" s="21"/>
      <c r="F376" s="69" t="s">
        <v>4</v>
      </c>
      <c r="G376" s="9">
        <v>25204</v>
      </c>
      <c r="H376" s="26">
        <v>3498</v>
      </c>
      <c r="I376" s="17">
        <v>0</v>
      </c>
      <c r="J376" s="17">
        <f t="shared" si="54"/>
        <v>3323.1</v>
      </c>
      <c r="K376" s="17">
        <f t="shared" si="58"/>
        <v>174.90000000000009</v>
      </c>
      <c r="L376" s="23">
        <f t="shared" ref="L376:L439" si="65">H376*0.05</f>
        <v>174.9</v>
      </c>
      <c r="M376" s="23">
        <v>30</v>
      </c>
      <c r="N376" s="18">
        <f t="shared" si="59"/>
        <v>51.284931506849318</v>
      </c>
      <c r="O376" s="23">
        <v>3323.1</v>
      </c>
      <c r="P376" s="18">
        <f t="shared" si="60"/>
        <v>52.284931506849318</v>
      </c>
      <c r="Q376" s="18">
        <f t="shared" si="64"/>
        <v>2.8421709430404009E-15</v>
      </c>
      <c r="R376" s="18">
        <f t="shared" si="61"/>
        <v>3323.1</v>
      </c>
      <c r="S376" s="18">
        <f>H376-R376</f>
        <v>174.90000000000009</v>
      </c>
    </row>
    <row r="377" spans="1:19" ht="15" customHeight="1" x14ac:dyDescent="0.2">
      <c r="A377" s="14">
        <f t="shared" si="62"/>
        <v>341</v>
      </c>
      <c r="B377" s="21" t="s">
        <v>345</v>
      </c>
      <c r="C377" s="15" t="s">
        <v>3</v>
      </c>
      <c r="D377" s="21" t="s">
        <v>56</v>
      </c>
      <c r="E377" s="21"/>
      <c r="F377" s="69" t="s">
        <v>4</v>
      </c>
      <c r="G377" s="9">
        <v>25204</v>
      </c>
      <c r="H377" s="26">
        <v>3109</v>
      </c>
      <c r="I377" s="17">
        <v>0</v>
      </c>
      <c r="J377" s="17">
        <f t="shared" ref="J377:J440" si="66">H377-L377</f>
        <v>2953.55</v>
      </c>
      <c r="K377" s="17">
        <f t="shared" si="58"/>
        <v>155.44999999999982</v>
      </c>
      <c r="L377" s="23">
        <f t="shared" si="65"/>
        <v>155.45000000000002</v>
      </c>
      <c r="M377" s="23">
        <v>30</v>
      </c>
      <c r="N377" s="18">
        <f t="shared" si="59"/>
        <v>51.284931506849318</v>
      </c>
      <c r="O377" s="23">
        <v>2953.55</v>
      </c>
      <c r="P377" s="18">
        <f t="shared" si="60"/>
        <v>52.284931506849318</v>
      </c>
      <c r="Q377" s="18">
        <f t="shared" si="64"/>
        <v>-6.6317322004276018E-15</v>
      </c>
      <c r="R377" s="18">
        <f t="shared" si="61"/>
        <v>2953.55</v>
      </c>
      <c r="S377" s="18">
        <f>H377-R377</f>
        <v>155.44999999999982</v>
      </c>
    </row>
    <row r="378" spans="1:19" ht="15" customHeight="1" x14ac:dyDescent="0.2">
      <c r="A378" s="14">
        <f t="shared" si="62"/>
        <v>342</v>
      </c>
      <c r="B378" s="21" t="s">
        <v>320</v>
      </c>
      <c r="C378" s="15" t="s">
        <v>3</v>
      </c>
      <c r="D378" s="21" t="s">
        <v>56</v>
      </c>
      <c r="E378" s="21"/>
      <c r="F378" s="69" t="s">
        <v>4</v>
      </c>
      <c r="G378" s="9">
        <v>25204</v>
      </c>
      <c r="H378" s="26">
        <v>2851</v>
      </c>
      <c r="I378" s="17">
        <v>0</v>
      </c>
      <c r="J378" s="17">
        <f t="shared" si="66"/>
        <v>2708.45</v>
      </c>
      <c r="K378" s="17">
        <f t="shared" si="58"/>
        <v>142.55000000000018</v>
      </c>
      <c r="L378" s="23">
        <f t="shared" si="65"/>
        <v>142.55000000000001</v>
      </c>
      <c r="M378" s="23">
        <v>30</v>
      </c>
      <c r="N378" s="18">
        <f t="shared" si="59"/>
        <v>51.284931506849318</v>
      </c>
      <c r="O378" s="23">
        <v>2708.45</v>
      </c>
      <c r="P378" s="18">
        <f t="shared" si="60"/>
        <v>52.284931506849318</v>
      </c>
      <c r="Q378" s="18">
        <f t="shared" si="64"/>
        <v>5.6843418860808018E-15</v>
      </c>
      <c r="R378" s="18">
        <f t="shared" si="61"/>
        <v>2708.45</v>
      </c>
      <c r="S378" s="18">
        <f>+IF(N378&gt;P378,0,L378)</f>
        <v>142.55000000000001</v>
      </c>
    </row>
    <row r="379" spans="1:19" ht="15" customHeight="1" x14ac:dyDescent="0.2">
      <c r="A379" s="14">
        <f t="shared" si="62"/>
        <v>343</v>
      </c>
      <c r="B379" s="21" t="s">
        <v>346</v>
      </c>
      <c r="C379" s="15" t="s">
        <v>3</v>
      </c>
      <c r="D379" s="21" t="s">
        <v>56</v>
      </c>
      <c r="E379" s="21"/>
      <c r="F379" s="69" t="s">
        <v>4</v>
      </c>
      <c r="G379" s="9">
        <v>25204</v>
      </c>
      <c r="H379" s="26">
        <v>2663</v>
      </c>
      <c r="I379" s="17">
        <v>0</v>
      </c>
      <c r="J379" s="17">
        <f t="shared" si="66"/>
        <v>2529.85</v>
      </c>
      <c r="K379" s="17">
        <f t="shared" si="58"/>
        <v>133.15000000000009</v>
      </c>
      <c r="L379" s="23">
        <f t="shared" si="65"/>
        <v>133.15</v>
      </c>
      <c r="M379" s="23">
        <v>30</v>
      </c>
      <c r="N379" s="18">
        <f t="shared" si="59"/>
        <v>51.284931506849318</v>
      </c>
      <c r="O379" s="23">
        <v>2529.85</v>
      </c>
      <c r="P379" s="18">
        <f t="shared" si="60"/>
        <v>52.284931506849318</v>
      </c>
      <c r="Q379" s="18">
        <f t="shared" si="64"/>
        <v>2.8421709430404009E-15</v>
      </c>
      <c r="R379" s="18">
        <f t="shared" si="61"/>
        <v>2529.85</v>
      </c>
      <c r="S379" s="18">
        <f>H379-R379</f>
        <v>133.15000000000009</v>
      </c>
    </row>
    <row r="380" spans="1:19" ht="15" customHeight="1" x14ac:dyDescent="0.2">
      <c r="A380" s="14">
        <f t="shared" si="62"/>
        <v>344</v>
      </c>
      <c r="B380" s="21" t="s">
        <v>347</v>
      </c>
      <c r="C380" s="15" t="s">
        <v>3</v>
      </c>
      <c r="D380" s="21" t="s">
        <v>56</v>
      </c>
      <c r="E380" s="21"/>
      <c r="F380" s="69" t="s">
        <v>4</v>
      </c>
      <c r="G380" s="9">
        <v>25204</v>
      </c>
      <c r="H380" s="26">
        <v>2373</v>
      </c>
      <c r="I380" s="17">
        <v>0</v>
      </c>
      <c r="J380" s="17">
        <f t="shared" si="66"/>
        <v>2254.35</v>
      </c>
      <c r="K380" s="17">
        <f t="shared" si="58"/>
        <v>118.65000000000009</v>
      </c>
      <c r="L380" s="23">
        <f t="shared" si="65"/>
        <v>118.65</v>
      </c>
      <c r="M380" s="23">
        <v>30</v>
      </c>
      <c r="N380" s="18">
        <f t="shared" si="59"/>
        <v>51.284931506849318</v>
      </c>
      <c r="O380" s="23">
        <v>2254.35</v>
      </c>
      <c r="P380" s="18">
        <f t="shared" si="60"/>
        <v>52.284931506849318</v>
      </c>
      <c r="Q380" s="18">
        <f t="shared" si="64"/>
        <v>2.8421709430404009E-15</v>
      </c>
      <c r="R380" s="18">
        <f t="shared" si="61"/>
        <v>2254.35</v>
      </c>
      <c r="S380" s="18">
        <f>+IF(N380&gt;P380,0,L380)</f>
        <v>118.65</v>
      </c>
    </row>
    <row r="381" spans="1:19" ht="15" customHeight="1" x14ac:dyDescent="0.2">
      <c r="A381" s="14">
        <f t="shared" si="62"/>
        <v>345</v>
      </c>
      <c r="B381" s="21" t="s">
        <v>348</v>
      </c>
      <c r="C381" s="15" t="s">
        <v>3</v>
      </c>
      <c r="D381" s="21" t="s">
        <v>56</v>
      </c>
      <c r="E381" s="21"/>
      <c r="F381" s="69" t="s">
        <v>4</v>
      </c>
      <c r="G381" s="9">
        <v>25204</v>
      </c>
      <c r="H381" s="26">
        <v>1950</v>
      </c>
      <c r="I381" s="17">
        <v>0</v>
      </c>
      <c r="J381" s="17">
        <f t="shared" si="66"/>
        <v>1852.5</v>
      </c>
      <c r="K381" s="17">
        <f t="shared" si="58"/>
        <v>97.5</v>
      </c>
      <c r="L381" s="23">
        <f t="shared" si="65"/>
        <v>97.5</v>
      </c>
      <c r="M381" s="23">
        <v>30</v>
      </c>
      <c r="N381" s="18">
        <f t="shared" si="59"/>
        <v>51.284931506849318</v>
      </c>
      <c r="O381" s="23">
        <v>1852.5</v>
      </c>
      <c r="P381" s="18">
        <f t="shared" si="60"/>
        <v>52.284931506849318</v>
      </c>
      <c r="Q381" s="18">
        <f t="shared" si="64"/>
        <v>0</v>
      </c>
      <c r="R381" s="18">
        <f t="shared" si="61"/>
        <v>1852.5</v>
      </c>
      <c r="S381" s="18">
        <f>H381-R381</f>
        <v>97.5</v>
      </c>
    </row>
    <row r="382" spans="1:19" ht="15" customHeight="1" x14ac:dyDescent="0.2">
      <c r="A382" s="14">
        <f t="shared" si="62"/>
        <v>346</v>
      </c>
      <c r="B382" s="21" t="s">
        <v>349</v>
      </c>
      <c r="C382" s="15" t="s">
        <v>3</v>
      </c>
      <c r="D382" s="21" t="s">
        <v>56</v>
      </c>
      <c r="E382" s="21"/>
      <c r="F382" s="69" t="s">
        <v>4</v>
      </c>
      <c r="G382" s="9">
        <v>25204</v>
      </c>
      <c r="H382" s="26">
        <v>1649</v>
      </c>
      <c r="I382" s="17">
        <v>0</v>
      </c>
      <c r="J382" s="17">
        <f t="shared" si="66"/>
        <v>1566.55</v>
      </c>
      <c r="K382" s="17">
        <f t="shared" si="58"/>
        <v>82.450000000000045</v>
      </c>
      <c r="L382" s="23">
        <f t="shared" si="65"/>
        <v>82.45</v>
      </c>
      <c r="M382" s="23">
        <v>30</v>
      </c>
      <c r="N382" s="18">
        <f t="shared" si="59"/>
        <v>51.284931506849318</v>
      </c>
      <c r="O382" s="23">
        <v>1566.55</v>
      </c>
      <c r="P382" s="18">
        <f t="shared" si="60"/>
        <v>52.284931506849318</v>
      </c>
      <c r="Q382" s="18">
        <f t="shared" si="64"/>
        <v>1.4210854715202005E-15</v>
      </c>
      <c r="R382" s="18">
        <f t="shared" si="61"/>
        <v>1566.55</v>
      </c>
      <c r="S382" s="18">
        <f>H382-R382</f>
        <v>82.450000000000045</v>
      </c>
    </row>
    <row r="383" spans="1:19" ht="15" customHeight="1" x14ac:dyDescent="0.2">
      <c r="A383" s="14">
        <f t="shared" si="62"/>
        <v>347</v>
      </c>
      <c r="B383" s="21" t="s">
        <v>350</v>
      </c>
      <c r="C383" s="15" t="s">
        <v>3</v>
      </c>
      <c r="D383" s="21" t="s">
        <v>56</v>
      </c>
      <c r="E383" s="21"/>
      <c r="F383" s="69" t="s">
        <v>4</v>
      </c>
      <c r="G383" s="9">
        <v>25204</v>
      </c>
      <c r="H383" s="26">
        <v>548</v>
      </c>
      <c r="I383" s="17">
        <v>0</v>
      </c>
      <c r="J383" s="17">
        <f t="shared" si="66"/>
        <v>520.6</v>
      </c>
      <c r="K383" s="17">
        <f t="shared" si="58"/>
        <v>27.399999999999977</v>
      </c>
      <c r="L383" s="23">
        <f t="shared" si="65"/>
        <v>27.400000000000002</v>
      </c>
      <c r="M383" s="23">
        <v>30</v>
      </c>
      <c r="N383" s="18">
        <f t="shared" si="59"/>
        <v>51.284931506849318</v>
      </c>
      <c r="O383" s="23">
        <v>520.6</v>
      </c>
      <c r="P383" s="18">
        <f t="shared" si="60"/>
        <v>52.284931506849318</v>
      </c>
      <c r="Q383" s="18">
        <f t="shared" si="64"/>
        <v>-8.2896652505345023E-16</v>
      </c>
      <c r="R383" s="18">
        <f t="shared" si="61"/>
        <v>520.6</v>
      </c>
      <c r="S383" s="18">
        <f>H383-R383</f>
        <v>27.399999999999977</v>
      </c>
    </row>
    <row r="384" spans="1:19" ht="15" customHeight="1" x14ac:dyDescent="0.2">
      <c r="A384" s="14">
        <f t="shared" si="62"/>
        <v>348</v>
      </c>
      <c r="B384" s="21" t="s">
        <v>351</v>
      </c>
      <c r="C384" s="15" t="s">
        <v>3</v>
      </c>
      <c r="D384" s="21" t="s">
        <v>56</v>
      </c>
      <c r="E384" s="21"/>
      <c r="F384" s="70" t="s">
        <v>7</v>
      </c>
      <c r="G384" s="9">
        <v>25204</v>
      </c>
      <c r="H384" s="26">
        <v>498</v>
      </c>
      <c r="I384" s="17">
        <v>0</v>
      </c>
      <c r="J384" s="17">
        <f t="shared" si="66"/>
        <v>473.1</v>
      </c>
      <c r="K384" s="17">
        <f t="shared" si="58"/>
        <v>24.899999999999977</v>
      </c>
      <c r="L384" s="23">
        <f t="shared" si="65"/>
        <v>24.900000000000002</v>
      </c>
      <c r="M384" s="23">
        <v>30</v>
      </c>
      <c r="N384" s="18">
        <f t="shared" si="59"/>
        <v>51.284931506849318</v>
      </c>
      <c r="O384" s="23">
        <v>473.1</v>
      </c>
      <c r="P384" s="18">
        <f t="shared" si="60"/>
        <v>52.284931506849318</v>
      </c>
      <c r="Q384" s="18">
        <f t="shared" si="64"/>
        <v>-8.2896652505345023E-16</v>
      </c>
      <c r="R384" s="18">
        <f t="shared" si="61"/>
        <v>473.1</v>
      </c>
      <c r="S384" s="18">
        <f>H384-R384</f>
        <v>24.899999999999977</v>
      </c>
    </row>
    <row r="385" spans="1:19" ht="15" customHeight="1" x14ac:dyDescent="0.2">
      <c r="A385" s="14">
        <f t="shared" si="62"/>
        <v>349</v>
      </c>
      <c r="B385" s="21" t="s">
        <v>352</v>
      </c>
      <c r="C385" s="15" t="s">
        <v>3</v>
      </c>
      <c r="D385" s="21" t="s">
        <v>56</v>
      </c>
      <c r="E385" s="21"/>
      <c r="F385" s="69" t="s">
        <v>4</v>
      </c>
      <c r="G385" s="9">
        <v>25204</v>
      </c>
      <c r="H385" s="26">
        <v>271</v>
      </c>
      <c r="I385" s="17">
        <v>0</v>
      </c>
      <c r="J385" s="17">
        <f t="shared" si="66"/>
        <v>257.45</v>
      </c>
      <c r="K385" s="17">
        <f t="shared" si="58"/>
        <v>13.550000000000011</v>
      </c>
      <c r="L385" s="23">
        <f t="shared" si="65"/>
        <v>13.55</v>
      </c>
      <c r="M385" s="23">
        <v>30</v>
      </c>
      <c r="N385" s="18">
        <f t="shared" si="59"/>
        <v>51.284931506849318</v>
      </c>
      <c r="O385" s="23">
        <v>257.45</v>
      </c>
      <c r="P385" s="18">
        <f t="shared" si="60"/>
        <v>52.284931506849318</v>
      </c>
      <c r="Q385" s="18">
        <f t="shared" si="64"/>
        <v>3.5527136788005011E-16</v>
      </c>
      <c r="R385" s="18">
        <f t="shared" si="61"/>
        <v>257.45</v>
      </c>
      <c r="S385" s="18">
        <f>+IF(N385&gt;P385,0,L385)</f>
        <v>13.55</v>
      </c>
    </row>
    <row r="386" spans="1:19" ht="15" customHeight="1" x14ac:dyDescent="0.2">
      <c r="A386" s="14">
        <f t="shared" si="62"/>
        <v>350</v>
      </c>
      <c r="B386" s="21" t="s">
        <v>353</v>
      </c>
      <c r="C386" s="15" t="s">
        <v>3</v>
      </c>
      <c r="D386" s="21" t="s">
        <v>56</v>
      </c>
      <c r="E386" s="21"/>
      <c r="F386" s="69" t="s">
        <v>6</v>
      </c>
      <c r="G386" s="9">
        <v>25204</v>
      </c>
      <c r="H386" s="26">
        <v>140</v>
      </c>
      <c r="I386" s="17">
        <v>0</v>
      </c>
      <c r="J386" s="17">
        <f t="shared" si="66"/>
        <v>133</v>
      </c>
      <c r="K386" s="17">
        <f t="shared" si="58"/>
        <v>7</v>
      </c>
      <c r="L386" s="23">
        <f t="shared" si="65"/>
        <v>7</v>
      </c>
      <c r="M386" s="23">
        <v>30</v>
      </c>
      <c r="N386" s="18">
        <f t="shared" si="59"/>
        <v>51.284931506849318</v>
      </c>
      <c r="O386" s="23">
        <v>133</v>
      </c>
      <c r="P386" s="18">
        <f t="shared" si="60"/>
        <v>52.284931506849318</v>
      </c>
      <c r="Q386" s="18">
        <f t="shared" si="64"/>
        <v>0</v>
      </c>
      <c r="R386" s="18">
        <f t="shared" si="61"/>
        <v>133</v>
      </c>
      <c r="S386" s="18">
        <f>H386-R386</f>
        <v>7</v>
      </c>
    </row>
    <row r="387" spans="1:19" ht="15" customHeight="1" x14ac:dyDescent="0.2">
      <c r="A387" s="14">
        <f t="shared" si="62"/>
        <v>351</v>
      </c>
      <c r="B387" s="21" t="s">
        <v>354</v>
      </c>
      <c r="C387" s="15" t="s">
        <v>3</v>
      </c>
      <c r="D387" s="21" t="s">
        <v>56</v>
      </c>
      <c r="E387" s="21"/>
      <c r="F387" s="69" t="s">
        <v>4</v>
      </c>
      <c r="G387" s="9">
        <v>25204</v>
      </c>
      <c r="H387" s="26">
        <v>124</v>
      </c>
      <c r="I387" s="17">
        <v>0</v>
      </c>
      <c r="J387" s="17">
        <f t="shared" si="66"/>
        <v>117.8</v>
      </c>
      <c r="K387" s="17">
        <f t="shared" si="58"/>
        <v>6.2000000000000028</v>
      </c>
      <c r="L387" s="23">
        <f t="shared" si="65"/>
        <v>6.2</v>
      </c>
      <c r="M387" s="23">
        <v>30</v>
      </c>
      <c r="N387" s="18">
        <f t="shared" si="59"/>
        <v>51.284931506849318</v>
      </c>
      <c r="O387" s="23">
        <v>117.8</v>
      </c>
      <c r="P387" s="18">
        <f t="shared" si="60"/>
        <v>52.284931506849318</v>
      </c>
      <c r="Q387" s="18">
        <f t="shared" si="64"/>
        <v>8.8817841970012528E-17</v>
      </c>
      <c r="R387" s="18">
        <f t="shared" si="61"/>
        <v>117.8</v>
      </c>
      <c r="S387" s="18">
        <f>H387-R387</f>
        <v>6.2000000000000028</v>
      </c>
    </row>
    <row r="388" spans="1:19" ht="15" customHeight="1" x14ac:dyDescent="0.2">
      <c r="A388" s="14">
        <f t="shared" si="62"/>
        <v>352</v>
      </c>
      <c r="B388" s="21" t="s">
        <v>355</v>
      </c>
      <c r="C388" s="15" t="s">
        <v>3</v>
      </c>
      <c r="D388" s="21" t="s">
        <v>56</v>
      </c>
      <c r="E388" s="21"/>
      <c r="F388" s="69" t="s">
        <v>4</v>
      </c>
      <c r="G388" s="9">
        <v>25204</v>
      </c>
      <c r="H388" s="26">
        <v>106</v>
      </c>
      <c r="I388" s="17">
        <v>0</v>
      </c>
      <c r="J388" s="17">
        <f t="shared" si="66"/>
        <v>100.7</v>
      </c>
      <c r="K388" s="17">
        <f t="shared" si="58"/>
        <v>5.2999999999999972</v>
      </c>
      <c r="L388" s="23">
        <f t="shared" si="65"/>
        <v>5.3000000000000007</v>
      </c>
      <c r="M388" s="23">
        <v>30</v>
      </c>
      <c r="N388" s="18">
        <f t="shared" si="59"/>
        <v>51.284931506849318</v>
      </c>
      <c r="O388" s="23">
        <v>100.7</v>
      </c>
      <c r="P388" s="18">
        <f t="shared" si="60"/>
        <v>52.284931506849318</v>
      </c>
      <c r="Q388" s="18">
        <f t="shared" si="64"/>
        <v>-1.1842378929335003E-16</v>
      </c>
      <c r="R388" s="18">
        <f t="shared" si="61"/>
        <v>100.7</v>
      </c>
      <c r="S388" s="18">
        <f>H388-R388</f>
        <v>5.2999999999999972</v>
      </c>
    </row>
    <row r="389" spans="1:19" ht="15" customHeight="1" x14ac:dyDescent="0.2">
      <c r="A389" s="14">
        <f t="shared" si="62"/>
        <v>353</v>
      </c>
      <c r="B389" s="21" t="s">
        <v>356</v>
      </c>
      <c r="C389" s="15" t="s">
        <v>3</v>
      </c>
      <c r="D389" s="21" t="s">
        <v>56</v>
      </c>
      <c r="E389" s="21"/>
      <c r="F389" s="69" t="s">
        <v>4</v>
      </c>
      <c r="G389" s="9">
        <v>34293</v>
      </c>
      <c r="H389" s="26">
        <v>639700</v>
      </c>
      <c r="I389" s="17">
        <v>0</v>
      </c>
      <c r="J389" s="17">
        <f t="shared" si="66"/>
        <v>607715</v>
      </c>
      <c r="K389" s="17">
        <f t="shared" si="58"/>
        <v>31985</v>
      </c>
      <c r="L389" s="23">
        <f t="shared" si="65"/>
        <v>31985</v>
      </c>
      <c r="M389" s="23">
        <v>5</v>
      </c>
      <c r="N389" s="18">
        <f t="shared" si="59"/>
        <v>26.383561643835616</v>
      </c>
      <c r="O389" s="23">
        <v>607715</v>
      </c>
      <c r="P389" s="18">
        <f t="shared" si="60"/>
        <v>27.383561643835616</v>
      </c>
      <c r="Q389" s="18">
        <f t="shared" si="64"/>
        <v>0</v>
      </c>
      <c r="R389" s="18">
        <f t="shared" si="61"/>
        <v>607715</v>
      </c>
      <c r="S389" s="18">
        <f>H389-R389</f>
        <v>31985</v>
      </c>
    </row>
    <row r="390" spans="1:19" ht="15" customHeight="1" x14ac:dyDescent="0.2">
      <c r="A390" s="14">
        <f t="shared" si="62"/>
        <v>354</v>
      </c>
      <c r="B390" s="21" t="s">
        <v>200</v>
      </c>
      <c r="C390" s="15" t="s">
        <v>3</v>
      </c>
      <c r="D390" s="21" t="s">
        <v>56</v>
      </c>
      <c r="E390" s="21"/>
      <c r="F390" s="69" t="s">
        <v>4</v>
      </c>
      <c r="G390" s="9">
        <v>24838</v>
      </c>
      <c r="H390" s="26">
        <v>5687</v>
      </c>
      <c r="I390" s="17">
        <v>0</v>
      </c>
      <c r="J390" s="17">
        <f t="shared" si="66"/>
        <v>5402.65</v>
      </c>
      <c r="K390" s="17">
        <f t="shared" si="58"/>
        <v>284.35000000000036</v>
      </c>
      <c r="L390" s="23">
        <f t="shared" si="65"/>
        <v>284.35000000000002</v>
      </c>
      <c r="M390" s="23">
        <v>30</v>
      </c>
      <c r="N390" s="18">
        <f t="shared" si="59"/>
        <v>52.287671232876711</v>
      </c>
      <c r="O390" s="23">
        <v>5402.65</v>
      </c>
      <c r="P390" s="18">
        <f t="shared" si="60"/>
        <v>53.287671232876711</v>
      </c>
      <c r="Q390" s="18">
        <f t="shared" si="64"/>
        <v>1.1368683772161604E-14</v>
      </c>
      <c r="R390" s="18">
        <f t="shared" si="61"/>
        <v>5402.65</v>
      </c>
      <c r="S390" s="18">
        <f>+IF(N390&gt;P390,0,L390)</f>
        <v>284.35000000000002</v>
      </c>
    </row>
    <row r="391" spans="1:19" ht="15" customHeight="1" x14ac:dyDescent="0.2">
      <c r="A391" s="14">
        <f t="shared" si="62"/>
        <v>355</v>
      </c>
      <c r="B391" s="21" t="s">
        <v>357</v>
      </c>
      <c r="C391" s="15" t="s">
        <v>3</v>
      </c>
      <c r="D391" s="21" t="s">
        <v>56</v>
      </c>
      <c r="E391" s="21"/>
      <c r="F391" s="69" t="s">
        <v>6</v>
      </c>
      <c r="G391" s="9">
        <v>24838</v>
      </c>
      <c r="H391" s="26">
        <v>2331</v>
      </c>
      <c r="I391" s="17">
        <v>0</v>
      </c>
      <c r="J391" s="17">
        <f t="shared" si="66"/>
        <v>2214.4499999999998</v>
      </c>
      <c r="K391" s="17">
        <f t="shared" si="58"/>
        <v>116.55000000000018</v>
      </c>
      <c r="L391" s="23">
        <f t="shared" si="65"/>
        <v>116.55000000000001</v>
      </c>
      <c r="M391" s="23">
        <v>30</v>
      </c>
      <c r="N391" s="18">
        <f t="shared" si="59"/>
        <v>52.287671232876711</v>
      </c>
      <c r="O391" s="23">
        <v>2214.4499999999998</v>
      </c>
      <c r="P391" s="18">
        <f t="shared" si="60"/>
        <v>53.287671232876711</v>
      </c>
      <c r="Q391" s="18">
        <f t="shared" si="64"/>
        <v>5.6843418860808018E-15</v>
      </c>
      <c r="R391" s="18">
        <f t="shared" si="61"/>
        <v>2214.4499999999998</v>
      </c>
      <c r="S391" s="18">
        <f>+IF(N391&gt;P391,0,L391)</f>
        <v>116.55000000000001</v>
      </c>
    </row>
    <row r="392" spans="1:19" ht="15" customHeight="1" x14ac:dyDescent="0.2">
      <c r="A392" s="14">
        <f t="shared" si="62"/>
        <v>356</v>
      </c>
      <c r="B392" s="21" t="s">
        <v>358</v>
      </c>
      <c r="C392" s="15" t="s">
        <v>3</v>
      </c>
      <c r="D392" s="21" t="s">
        <v>56</v>
      </c>
      <c r="E392" s="21"/>
      <c r="F392" s="70" t="s">
        <v>7</v>
      </c>
      <c r="G392" s="9">
        <v>24838</v>
      </c>
      <c r="H392" s="26">
        <v>1097</v>
      </c>
      <c r="I392" s="17">
        <v>0</v>
      </c>
      <c r="J392" s="17">
        <f t="shared" si="66"/>
        <v>1042.1500000000001</v>
      </c>
      <c r="K392" s="17">
        <f t="shared" si="58"/>
        <v>54.849999999999909</v>
      </c>
      <c r="L392" s="23">
        <f t="shared" si="65"/>
        <v>54.85</v>
      </c>
      <c r="M392" s="23">
        <v>30</v>
      </c>
      <c r="N392" s="18">
        <f t="shared" si="59"/>
        <v>52.287671232876711</v>
      </c>
      <c r="O392" s="23">
        <v>1042.1500000000001</v>
      </c>
      <c r="P392" s="18">
        <f t="shared" si="60"/>
        <v>53.287671232876711</v>
      </c>
      <c r="Q392" s="18">
        <f t="shared" si="64"/>
        <v>-3.0790185216271009E-15</v>
      </c>
      <c r="R392" s="18">
        <f t="shared" si="61"/>
        <v>1042.1500000000001</v>
      </c>
      <c r="S392" s="18">
        <f>H392-R392</f>
        <v>54.849999999999909</v>
      </c>
    </row>
    <row r="393" spans="1:19" ht="15" customHeight="1" x14ac:dyDescent="0.2">
      <c r="A393" s="14">
        <f t="shared" si="62"/>
        <v>357</v>
      </c>
      <c r="B393" s="21" t="s">
        <v>359</v>
      </c>
      <c r="C393" s="15" t="s">
        <v>3</v>
      </c>
      <c r="D393" s="21" t="s">
        <v>56</v>
      </c>
      <c r="E393" s="21"/>
      <c r="F393" s="69" t="s">
        <v>6</v>
      </c>
      <c r="G393" s="9">
        <v>24838</v>
      </c>
      <c r="H393" s="26">
        <v>897</v>
      </c>
      <c r="I393" s="17">
        <v>0</v>
      </c>
      <c r="J393" s="17">
        <f t="shared" si="66"/>
        <v>852.15</v>
      </c>
      <c r="K393" s="17">
        <f t="shared" si="58"/>
        <v>44.850000000000023</v>
      </c>
      <c r="L393" s="23">
        <f t="shared" si="65"/>
        <v>44.85</v>
      </c>
      <c r="M393" s="23">
        <v>30</v>
      </c>
      <c r="N393" s="18">
        <f t="shared" si="59"/>
        <v>52.287671232876711</v>
      </c>
      <c r="O393" s="23">
        <v>852.15</v>
      </c>
      <c r="P393" s="18">
        <f t="shared" si="60"/>
        <v>53.287671232876711</v>
      </c>
      <c r="Q393" s="18">
        <f t="shared" si="64"/>
        <v>7.1054273576010023E-16</v>
      </c>
      <c r="R393" s="18">
        <f t="shared" si="61"/>
        <v>852.15</v>
      </c>
      <c r="S393" s="18">
        <f>H393-R393</f>
        <v>44.850000000000023</v>
      </c>
    </row>
    <row r="394" spans="1:19" ht="15" customHeight="1" x14ac:dyDescent="0.2">
      <c r="A394" s="14">
        <f t="shared" si="62"/>
        <v>358</v>
      </c>
      <c r="B394" s="21" t="s">
        <v>360</v>
      </c>
      <c r="C394" s="15" t="s">
        <v>3</v>
      </c>
      <c r="D394" s="21" t="s">
        <v>56</v>
      </c>
      <c r="E394" s="21"/>
      <c r="F394" s="69" t="s">
        <v>4</v>
      </c>
      <c r="G394" s="9">
        <v>24838</v>
      </c>
      <c r="H394" s="26">
        <v>767</v>
      </c>
      <c r="I394" s="17">
        <v>0</v>
      </c>
      <c r="J394" s="17">
        <f t="shared" si="66"/>
        <v>728.65</v>
      </c>
      <c r="K394" s="17">
        <f t="shared" si="58"/>
        <v>38.350000000000023</v>
      </c>
      <c r="L394" s="23">
        <f t="shared" si="65"/>
        <v>38.35</v>
      </c>
      <c r="M394" s="23">
        <v>30</v>
      </c>
      <c r="N394" s="18">
        <f t="shared" si="59"/>
        <v>52.287671232876711</v>
      </c>
      <c r="O394" s="23">
        <v>728.65</v>
      </c>
      <c r="P394" s="18">
        <f t="shared" si="60"/>
        <v>53.287671232876711</v>
      </c>
      <c r="Q394" s="18">
        <f t="shared" si="64"/>
        <v>7.1054273576010023E-16</v>
      </c>
      <c r="R394" s="18">
        <f t="shared" si="61"/>
        <v>728.65</v>
      </c>
      <c r="S394" s="18">
        <f>H394-R394</f>
        <v>38.350000000000023</v>
      </c>
    </row>
    <row r="395" spans="1:19" ht="15" customHeight="1" x14ac:dyDescent="0.2">
      <c r="A395" s="14">
        <f t="shared" si="62"/>
        <v>359</v>
      </c>
      <c r="B395" s="21" t="s">
        <v>361</v>
      </c>
      <c r="C395" s="15" t="s">
        <v>3</v>
      </c>
      <c r="D395" s="21" t="s">
        <v>56</v>
      </c>
      <c r="E395" s="21"/>
      <c r="F395" s="69" t="s">
        <v>4</v>
      </c>
      <c r="G395" s="9">
        <v>24838</v>
      </c>
      <c r="H395" s="26">
        <v>621</v>
      </c>
      <c r="I395" s="17">
        <v>0</v>
      </c>
      <c r="J395" s="17">
        <f t="shared" si="66"/>
        <v>589.95000000000005</v>
      </c>
      <c r="K395" s="17">
        <f t="shared" si="58"/>
        <v>31.049999999999955</v>
      </c>
      <c r="L395" s="23">
        <f t="shared" si="65"/>
        <v>31.05</v>
      </c>
      <c r="M395" s="23">
        <v>30</v>
      </c>
      <c r="N395" s="18">
        <f t="shared" si="59"/>
        <v>52.287671232876711</v>
      </c>
      <c r="O395" s="23">
        <v>589.95000000000005</v>
      </c>
      <c r="P395" s="18">
        <f t="shared" si="60"/>
        <v>53.287671232876711</v>
      </c>
      <c r="Q395" s="18">
        <f t="shared" si="64"/>
        <v>-1.5395092608135505E-15</v>
      </c>
      <c r="R395" s="18">
        <f t="shared" si="61"/>
        <v>589.95000000000005</v>
      </c>
      <c r="S395" s="18">
        <f>H395-R395</f>
        <v>31.049999999999955</v>
      </c>
    </row>
    <row r="396" spans="1:19" ht="15" customHeight="1" x14ac:dyDescent="0.2">
      <c r="A396" s="14">
        <f t="shared" si="62"/>
        <v>360</v>
      </c>
      <c r="B396" s="21" t="s">
        <v>362</v>
      </c>
      <c r="C396" s="15" t="s">
        <v>3</v>
      </c>
      <c r="D396" s="21" t="s">
        <v>56</v>
      </c>
      <c r="E396" s="21"/>
      <c r="F396" s="69" t="s">
        <v>4</v>
      </c>
      <c r="G396" s="9">
        <v>24838</v>
      </c>
      <c r="H396" s="26">
        <v>502</v>
      </c>
      <c r="I396" s="17">
        <v>0</v>
      </c>
      <c r="J396" s="17">
        <f t="shared" si="66"/>
        <v>476.9</v>
      </c>
      <c r="K396" s="17">
        <f t="shared" si="58"/>
        <v>25.100000000000023</v>
      </c>
      <c r="L396" s="23">
        <f t="shared" si="65"/>
        <v>25.1</v>
      </c>
      <c r="M396" s="23">
        <v>30</v>
      </c>
      <c r="N396" s="18">
        <f t="shared" si="59"/>
        <v>52.287671232876711</v>
      </c>
      <c r="O396" s="23">
        <v>476.9</v>
      </c>
      <c r="P396" s="18">
        <f t="shared" si="60"/>
        <v>53.287671232876711</v>
      </c>
      <c r="Q396" s="18">
        <f t="shared" si="64"/>
        <v>7.1054273576010023E-16</v>
      </c>
      <c r="R396" s="18">
        <f t="shared" si="61"/>
        <v>476.9</v>
      </c>
      <c r="S396" s="18">
        <f>+IF(N396&gt;P396,0,L396)</f>
        <v>25.1</v>
      </c>
    </row>
    <row r="397" spans="1:19" ht="15" customHeight="1" x14ac:dyDescent="0.2">
      <c r="A397" s="14">
        <f t="shared" si="62"/>
        <v>361</v>
      </c>
      <c r="B397" s="21" t="s">
        <v>363</v>
      </c>
      <c r="C397" s="15" t="s">
        <v>3</v>
      </c>
      <c r="D397" s="21" t="s">
        <v>56</v>
      </c>
      <c r="E397" s="21"/>
      <c r="F397" s="69" t="s">
        <v>4</v>
      </c>
      <c r="G397" s="9">
        <v>24838</v>
      </c>
      <c r="H397" s="26">
        <v>371</v>
      </c>
      <c r="I397" s="17">
        <v>0</v>
      </c>
      <c r="J397" s="17">
        <f t="shared" si="66"/>
        <v>352.45</v>
      </c>
      <c r="K397" s="17">
        <f t="shared" si="58"/>
        <v>18.550000000000011</v>
      </c>
      <c r="L397" s="23">
        <f t="shared" si="65"/>
        <v>18.55</v>
      </c>
      <c r="M397" s="23">
        <v>30</v>
      </c>
      <c r="N397" s="18">
        <f t="shared" si="59"/>
        <v>52.287671232876711</v>
      </c>
      <c r="O397" s="23">
        <v>352.45</v>
      </c>
      <c r="P397" s="18">
        <f t="shared" si="60"/>
        <v>53.287671232876711</v>
      </c>
      <c r="Q397" s="18">
        <f t="shared" si="64"/>
        <v>3.5527136788005011E-16</v>
      </c>
      <c r="R397" s="18">
        <f t="shared" si="61"/>
        <v>352.45</v>
      </c>
      <c r="S397" s="18">
        <f t="shared" ref="S397:S403" si="67">H397-R397</f>
        <v>18.550000000000011</v>
      </c>
    </row>
    <row r="398" spans="1:19" ht="15" customHeight="1" x14ac:dyDescent="0.2">
      <c r="A398" s="14">
        <f t="shared" si="62"/>
        <v>362</v>
      </c>
      <c r="B398" s="21" t="s">
        <v>364</v>
      </c>
      <c r="C398" s="15" t="s">
        <v>3</v>
      </c>
      <c r="D398" s="21" t="s">
        <v>56</v>
      </c>
      <c r="E398" s="21"/>
      <c r="F398" s="69" t="s">
        <v>14</v>
      </c>
      <c r="G398" s="9">
        <v>24838</v>
      </c>
      <c r="H398" s="26">
        <v>218</v>
      </c>
      <c r="I398" s="17">
        <v>0</v>
      </c>
      <c r="J398" s="17">
        <f t="shared" si="66"/>
        <v>207.1</v>
      </c>
      <c r="K398" s="17">
        <f t="shared" si="58"/>
        <v>10.900000000000006</v>
      </c>
      <c r="L398" s="23">
        <f t="shared" si="65"/>
        <v>10.9</v>
      </c>
      <c r="M398" s="23">
        <v>30</v>
      </c>
      <c r="N398" s="18">
        <f t="shared" si="59"/>
        <v>52.287671232876711</v>
      </c>
      <c r="O398" s="23">
        <v>207.1</v>
      </c>
      <c r="P398" s="18">
        <f t="shared" si="60"/>
        <v>53.287671232876711</v>
      </c>
      <c r="Q398" s="18">
        <f t="shared" si="64"/>
        <v>1.7763568394002506E-16</v>
      </c>
      <c r="R398" s="18">
        <f t="shared" si="61"/>
        <v>207.1</v>
      </c>
      <c r="S398" s="18">
        <f t="shared" si="67"/>
        <v>10.900000000000006</v>
      </c>
    </row>
    <row r="399" spans="1:19" ht="15" customHeight="1" x14ac:dyDescent="0.2">
      <c r="A399" s="14">
        <f t="shared" si="62"/>
        <v>363</v>
      </c>
      <c r="B399" s="21" t="s">
        <v>350</v>
      </c>
      <c r="C399" s="15" t="s">
        <v>3</v>
      </c>
      <c r="D399" s="21" t="s">
        <v>56</v>
      </c>
      <c r="E399" s="21"/>
      <c r="F399" s="69" t="s">
        <v>4</v>
      </c>
      <c r="G399" s="9">
        <v>24838</v>
      </c>
      <c r="H399" s="26">
        <v>204</v>
      </c>
      <c r="I399" s="17">
        <v>0</v>
      </c>
      <c r="J399" s="17">
        <f t="shared" si="66"/>
        <v>193.8</v>
      </c>
      <c r="K399" s="17">
        <f t="shared" si="58"/>
        <v>10.199999999999989</v>
      </c>
      <c r="L399" s="23">
        <f t="shared" si="65"/>
        <v>10.200000000000001</v>
      </c>
      <c r="M399" s="23">
        <v>30</v>
      </c>
      <c r="N399" s="18">
        <f t="shared" si="59"/>
        <v>52.287671232876711</v>
      </c>
      <c r="O399" s="23">
        <v>193.8</v>
      </c>
      <c r="P399" s="18">
        <f t="shared" si="60"/>
        <v>53.287671232876711</v>
      </c>
      <c r="Q399" s="18">
        <f t="shared" si="64"/>
        <v>-4.1448326252672511E-16</v>
      </c>
      <c r="R399" s="18">
        <f t="shared" si="61"/>
        <v>193.8</v>
      </c>
      <c r="S399" s="18">
        <f t="shared" si="67"/>
        <v>10.199999999999989</v>
      </c>
    </row>
    <row r="400" spans="1:19" ht="15" customHeight="1" x14ac:dyDescent="0.2">
      <c r="A400" s="14">
        <f t="shared" si="62"/>
        <v>364</v>
      </c>
      <c r="B400" s="21" t="s">
        <v>365</v>
      </c>
      <c r="C400" s="15" t="s">
        <v>3</v>
      </c>
      <c r="D400" s="21" t="s">
        <v>56</v>
      </c>
      <c r="E400" s="21"/>
      <c r="F400" s="69" t="s">
        <v>4</v>
      </c>
      <c r="G400" s="9">
        <v>24838</v>
      </c>
      <c r="H400" s="26">
        <v>7</v>
      </c>
      <c r="I400" s="17">
        <v>0</v>
      </c>
      <c r="J400" s="17">
        <f t="shared" si="66"/>
        <v>6.65</v>
      </c>
      <c r="K400" s="17">
        <f t="shared" si="58"/>
        <v>0.34999999999999964</v>
      </c>
      <c r="L400" s="23">
        <f t="shared" si="65"/>
        <v>0.35000000000000003</v>
      </c>
      <c r="M400" s="23">
        <v>30</v>
      </c>
      <c r="N400" s="18">
        <f t="shared" si="59"/>
        <v>52.287671232876711</v>
      </c>
      <c r="O400" s="23">
        <v>6.65</v>
      </c>
      <c r="P400" s="18">
        <f t="shared" si="60"/>
        <v>53.287671232876711</v>
      </c>
      <c r="Q400" s="18">
        <f t="shared" si="64"/>
        <v>-1.295260195396016E-17</v>
      </c>
      <c r="R400" s="18">
        <f t="shared" si="61"/>
        <v>6.65</v>
      </c>
      <c r="S400" s="18">
        <f t="shared" si="67"/>
        <v>0.34999999999999964</v>
      </c>
    </row>
    <row r="401" spans="1:19" ht="15" customHeight="1" x14ac:dyDescent="0.2">
      <c r="A401" s="14">
        <f t="shared" si="62"/>
        <v>365</v>
      </c>
      <c r="B401" s="21" t="s">
        <v>266</v>
      </c>
      <c r="C401" s="15" t="s">
        <v>3</v>
      </c>
      <c r="D401" s="21" t="s">
        <v>56</v>
      </c>
      <c r="E401" s="21"/>
      <c r="F401" s="69" t="s">
        <v>4</v>
      </c>
      <c r="G401" s="9">
        <v>33653</v>
      </c>
      <c r="H401" s="26">
        <v>2880</v>
      </c>
      <c r="I401" s="17">
        <v>0</v>
      </c>
      <c r="J401" s="17">
        <f t="shared" si="66"/>
        <v>2736</v>
      </c>
      <c r="K401" s="17">
        <f t="shared" si="58"/>
        <v>144</v>
      </c>
      <c r="L401" s="23">
        <f t="shared" si="65"/>
        <v>144</v>
      </c>
      <c r="M401" s="23">
        <v>5</v>
      </c>
      <c r="N401" s="18">
        <f t="shared" si="59"/>
        <v>28.136986301369863</v>
      </c>
      <c r="O401" s="23">
        <v>2736</v>
      </c>
      <c r="P401" s="18">
        <f t="shared" si="60"/>
        <v>29.136986301369863</v>
      </c>
      <c r="Q401" s="18">
        <f t="shared" si="64"/>
        <v>0</v>
      </c>
      <c r="R401" s="18">
        <f t="shared" si="61"/>
        <v>2736</v>
      </c>
      <c r="S401" s="18">
        <f t="shared" si="67"/>
        <v>144</v>
      </c>
    </row>
    <row r="402" spans="1:19" ht="15" customHeight="1" x14ac:dyDescent="0.2">
      <c r="A402" s="14">
        <f t="shared" si="62"/>
        <v>366</v>
      </c>
      <c r="B402" s="21" t="s">
        <v>366</v>
      </c>
      <c r="C402" s="15" t="s">
        <v>3</v>
      </c>
      <c r="D402" s="21" t="s">
        <v>56</v>
      </c>
      <c r="E402" s="21"/>
      <c r="F402" s="69" t="s">
        <v>4</v>
      </c>
      <c r="G402" s="9">
        <v>24473</v>
      </c>
      <c r="H402" s="26">
        <v>2107</v>
      </c>
      <c r="I402" s="17">
        <v>0</v>
      </c>
      <c r="J402" s="17">
        <f t="shared" si="66"/>
        <v>2001.65</v>
      </c>
      <c r="K402" s="17">
        <f t="shared" si="58"/>
        <v>105.34999999999991</v>
      </c>
      <c r="L402" s="23">
        <f t="shared" si="65"/>
        <v>105.35000000000001</v>
      </c>
      <c r="M402" s="23">
        <v>30</v>
      </c>
      <c r="N402" s="18">
        <f t="shared" si="59"/>
        <v>53.287671232876711</v>
      </c>
      <c r="O402" s="23">
        <v>2001.65</v>
      </c>
      <c r="P402" s="18">
        <f t="shared" si="60"/>
        <v>54.287671232876711</v>
      </c>
      <c r="Q402" s="18">
        <f t="shared" si="64"/>
        <v>-3.3158661002138009E-15</v>
      </c>
      <c r="R402" s="18">
        <f t="shared" si="61"/>
        <v>2001.65</v>
      </c>
      <c r="S402" s="18">
        <f t="shared" si="67"/>
        <v>105.34999999999991</v>
      </c>
    </row>
    <row r="403" spans="1:19" ht="15" customHeight="1" x14ac:dyDescent="0.2">
      <c r="A403" s="14">
        <f t="shared" si="62"/>
        <v>367</v>
      </c>
      <c r="B403" s="21" t="s">
        <v>367</v>
      </c>
      <c r="C403" s="15" t="s">
        <v>3</v>
      </c>
      <c r="D403" s="21" t="s">
        <v>56</v>
      </c>
      <c r="E403" s="21"/>
      <c r="F403" s="69" t="s">
        <v>4</v>
      </c>
      <c r="G403" s="9">
        <v>24473</v>
      </c>
      <c r="H403" s="26">
        <v>1869</v>
      </c>
      <c r="I403" s="17">
        <v>0</v>
      </c>
      <c r="J403" s="17">
        <f t="shared" si="66"/>
        <v>1775.55</v>
      </c>
      <c r="K403" s="17">
        <f t="shared" si="58"/>
        <v>93.450000000000045</v>
      </c>
      <c r="L403" s="23">
        <f t="shared" si="65"/>
        <v>93.45</v>
      </c>
      <c r="M403" s="23">
        <v>30</v>
      </c>
      <c r="N403" s="18">
        <f t="shared" si="59"/>
        <v>53.287671232876711</v>
      </c>
      <c r="O403" s="23">
        <v>1775.55</v>
      </c>
      <c r="P403" s="18">
        <f t="shared" si="60"/>
        <v>54.287671232876711</v>
      </c>
      <c r="Q403" s="18">
        <f t="shared" si="64"/>
        <v>1.4210854715202005E-15</v>
      </c>
      <c r="R403" s="18">
        <f t="shared" si="61"/>
        <v>1775.55</v>
      </c>
      <c r="S403" s="18">
        <f t="shared" si="67"/>
        <v>93.450000000000045</v>
      </c>
    </row>
    <row r="404" spans="1:19" ht="15" customHeight="1" x14ac:dyDescent="0.2">
      <c r="A404" s="14">
        <f t="shared" si="62"/>
        <v>368</v>
      </c>
      <c r="B404" s="21" t="s">
        <v>368</v>
      </c>
      <c r="C404" s="15" t="s">
        <v>3</v>
      </c>
      <c r="D404" s="21" t="s">
        <v>56</v>
      </c>
      <c r="E404" s="21"/>
      <c r="F404" s="70" t="s">
        <v>7</v>
      </c>
      <c r="G404" s="9">
        <v>24473</v>
      </c>
      <c r="H404" s="26">
        <v>1703</v>
      </c>
      <c r="I404" s="17">
        <v>0</v>
      </c>
      <c r="J404" s="17">
        <f t="shared" si="66"/>
        <v>1617.85</v>
      </c>
      <c r="K404" s="17">
        <f t="shared" si="58"/>
        <v>85.150000000000091</v>
      </c>
      <c r="L404" s="23">
        <f t="shared" si="65"/>
        <v>85.15</v>
      </c>
      <c r="M404" s="23">
        <v>30</v>
      </c>
      <c r="N404" s="18">
        <f t="shared" si="59"/>
        <v>53.287671232876711</v>
      </c>
      <c r="O404" s="23">
        <v>1617.85</v>
      </c>
      <c r="P404" s="18">
        <f t="shared" si="60"/>
        <v>54.287671232876711</v>
      </c>
      <c r="Q404" s="18">
        <f t="shared" si="64"/>
        <v>2.8421709430404009E-15</v>
      </c>
      <c r="R404" s="18">
        <f t="shared" si="61"/>
        <v>1617.85</v>
      </c>
      <c r="S404" s="18">
        <f>+IF(N404&gt;P404,0,L404)</f>
        <v>85.15</v>
      </c>
    </row>
    <row r="405" spans="1:19" ht="15" customHeight="1" x14ac:dyDescent="0.2">
      <c r="A405" s="14">
        <f t="shared" si="62"/>
        <v>369</v>
      </c>
      <c r="B405" s="21" t="s">
        <v>369</v>
      </c>
      <c r="C405" s="15" t="s">
        <v>3</v>
      </c>
      <c r="D405" s="21" t="s">
        <v>56</v>
      </c>
      <c r="E405" s="21"/>
      <c r="F405" s="69" t="s">
        <v>4</v>
      </c>
      <c r="G405" s="9">
        <v>24473</v>
      </c>
      <c r="H405" s="26">
        <v>871</v>
      </c>
      <c r="I405" s="17">
        <v>0</v>
      </c>
      <c r="J405" s="17">
        <f t="shared" si="66"/>
        <v>827.45</v>
      </c>
      <c r="K405" s="17">
        <f t="shared" si="58"/>
        <v>43.549999999999955</v>
      </c>
      <c r="L405" s="23">
        <f t="shared" si="65"/>
        <v>43.550000000000004</v>
      </c>
      <c r="M405" s="23">
        <v>30</v>
      </c>
      <c r="N405" s="18">
        <f t="shared" si="59"/>
        <v>53.287671232876711</v>
      </c>
      <c r="O405" s="23">
        <v>827.45</v>
      </c>
      <c r="P405" s="18">
        <f t="shared" si="60"/>
        <v>54.287671232876711</v>
      </c>
      <c r="Q405" s="18">
        <f t="shared" si="64"/>
        <v>-1.6579330501069005E-15</v>
      </c>
      <c r="R405" s="18">
        <f t="shared" si="61"/>
        <v>827.45</v>
      </c>
      <c r="S405" s="18">
        <f>H405-R405</f>
        <v>43.549999999999955</v>
      </c>
    </row>
    <row r="406" spans="1:19" ht="15" customHeight="1" x14ac:dyDescent="0.2">
      <c r="A406" s="14">
        <f t="shared" si="62"/>
        <v>370</v>
      </c>
      <c r="B406" s="21" t="s">
        <v>370</v>
      </c>
      <c r="C406" s="15" t="s">
        <v>3</v>
      </c>
      <c r="D406" s="21" t="s">
        <v>56</v>
      </c>
      <c r="E406" s="21"/>
      <c r="F406" s="69" t="s">
        <v>4</v>
      </c>
      <c r="G406" s="9">
        <v>24473</v>
      </c>
      <c r="H406" s="26">
        <v>843</v>
      </c>
      <c r="I406" s="17">
        <v>0</v>
      </c>
      <c r="J406" s="17">
        <f t="shared" si="66"/>
        <v>800.85</v>
      </c>
      <c r="K406" s="17">
        <f t="shared" si="58"/>
        <v>42.149999999999977</v>
      </c>
      <c r="L406" s="23">
        <f t="shared" si="65"/>
        <v>42.150000000000006</v>
      </c>
      <c r="M406" s="23">
        <v>30</v>
      </c>
      <c r="N406" s="18">
        <f t="shared" si="59"/>
        <v>53.287671232876711</v>
      </c>
      <c r="O406" s="23">
        <v>800.85</v>
      </c>
      <c r="P406" s="18">
        <f t="shared" si="60"/>
        <v>54.287671232876711</v>
      </c>
      <c r="Q406" s="18">
        <f t="shared" si="64"/>
        <v>-9.4739031434680023E-16</v>
      </c>
      <c r="R406" s="18">
        <f t="shared" si="61"/>
        <v>800.85</v>
      </c>
      <c r="S406" s="18">
        <f>H406-R406</f>
        <v>42.149999999999977</v>
      </c>
    </row>
    <row r="407" spans="1:19" ht="15" customHeight="1" x14ac:dyDescent="0.2">
      <c r="A407" s="14">
        <f t="shared" si="62"/>
        <v>371</v>
      </c>
      <c r="B407" s="21" t="s">
        <v>371</v>
      </c>
      <c r="C407" s="15" t="s">
        <v>3</v>
      </c>
      <c r="D407" s="21" t="s">
        <v>56</v>
      </c>
      <c r="E407" s="21"/>
      <c r="F407" s="69" t="s">
        <v>4</v>
      </c>
      <c r="G407" s="9">
        <v>24473</v>
      </c>
      <c r="H407" s="26">
        <v>492</v>
      </c>
      <c r="I407" s="17">
        <v>0</v>
      </c>
      <c r="J407" s="17">
        <f t="shared" si="66"/>
        <v>467.4</v>
      </c>
      <c r="K407" s="17">
        <f t="shared" si="58"/>
        <v>24.600000000000023</v>
      </c>
      <c r="L407" s="23">
        <f t="shared" si="65"/>
        <v>24.6</v>
      </c>
      <c r="M407" s="23">
        <v>30</v>
      </c>
      <c r="N407" s="18">
        <f t="shared" si="59"/>
        <v>53.287671232876711</v>
      </c>
      <c r="O407" s="23">
        <v>467.4</v>
      </c>
      <c r="P407" s="18">
        <f t="shared" si="60"/>
        <v>54.287671232876711</v>
      </c>
      <c r="Q407" s="18">
        <f t="shared" si="64"/>
        <v>7.1054273576010023E-16</v>
      </c>
      <c r="R407" s="18">
        <f t="shared" si="61"/>
        <v>467.4</v>
      </c>
      <c r="S407" s="18">
        <f>+IF(N407&gt;P407,0,L407)</f>
        <v>24.6</v>
      </c>
    </row>
    <row r="408" spans="1:19" ht="15" customHeight="1" x14ac:dyDescent="0.2">
      <c r="A408" s="14">
        <f t="shared" si="62"/>
        <v>372</v>
      </c>
      <c r="B408" s="21" t="s">
        <v>372</v>
      </c>
      <c r="C408" s="15" t="s">
        <v>3</v>
      </c>
      <c r="D408" s="21" t="s">
        <v>56</v>
      </c>
      <c r="E408" s="21"/>
      <c r="F408" s="69" t="s">
        <v>11</v>
      </c>
      <c r="G408" s="9">
        <v>24473</v>
      </c>
      <c r="H408" s="26">
        <v>435</v>
      </c>
      <c r="I408" s="17">
        <v>0</v>
      </c>
      <c r="J408" s="17">
        <f t="shared" si="66"/>
        <v>413.25</v>
      </c>
      <c r="K408" s="17">
        <f t="shared" si="58"/>
        <v>21.75</v>
      </c>
      <c r="L408" s="23">
        <f t="shared" si="65"/>
        <v>21.75</v>
      </c>
      <c r="M408" s="23">
        <v>30</v>
      </c>
      <c r="N408" s="18">
        <f t="shared" si="59"/>
        <v>53.287671232876711</v>
      </c>
      <c r="O408" s="23">
        <v>413.25</v>
      </c>
      <c r="P408" s="18">
        <f t="shared" si="60"/>
        <v>54.287671232876711</v>
      </c>
      <c r="Q408" s="18">
        <f t="shared" si="64"/>
        <v>0</v>
      </c>
      <c r="R408" s="18">
        <f t="shared" si="61"/>
        <v>413.25</v>
      </c>
      <c r="S408" s="18">
        <f>H408-R408</f>
        <v>21.75</v>
      </c>
    </row>
    <row r="409" spans="1:19" ht="15" customHeight="1" x14ac:dyDescent="0.2">
      <c r="A409" s="14">
        <f t="shared" si="62"/>
        <v>373</v>
      </c>
      <c r="B409" s="21" t="s">
        <v>373</v>
      </c>
      <c r="C409" s="15" t="s">
        <v>3</v>
      </c>
      <c r="D409" s="21" t="s">
        <v>56</v>
      </c>
      <c r="E409" s="21"/>
      <c r="F409" s="69" t="s">
        <v>4</v>
      </c>
      <c r="G409" s="9">
        <v>24473</v>
      </c>
      <c r="H409" s="26">
        <v>225</v>
      </c>
      <c r="I409" s="17">
        <v>0</v>
      </c>
      <c r="J409" s="17">
        <f t="shared" si="66"/>
        <v>213.75</v>
      </c>
      <c r="K409" s="17">
        <f t="shared" si="58"/>
        <v>11.25</v>
      </c>
      <c r="L409" s="23">
        <f t="shared" si="65"/>
        <v>11.25</v>
      </c>
      <c r="M409" s="23">
        <v>30</v>
      </c>
      <c r="N409" s="18">
        <f t="shared" si="59"/>
        <v>53.287671232876711</v>
      </c>
      <c r="O409" s="23">
        <v>213.75</v>
      </c>
      <c r="P409" s="18">
        <f t="shared" si="60"/>
        <v>54.287671232876711</v>
      </c>
      <c r="Q409" s="18">
        <f t="shared" si="64"/>
        <v>0</v>
      </c>
      <c r="R409" s="18">
        <f t="shared" si="61"/>
        <v>213.75</v>
      </c>
      <c r="S409" s="18">
        <f>H409-R409</f>
        <v>11.25</v>
      </c>
    </row>
    <row r="410" spans="1:19" ht="15" customHeight="1" x14ac:dyDescent="0.2">
      <c r="A410" s="14">
        <f t="shared" si="62"/>
        <v>374</v>
      </c>
      <c r="B410" s="21" t="s">
        <v>374</v>
      </c>
      <c r="C410" s="15" t="s">
        <v>3</v>
      </c>
      <c r="D410" s="21" t="s">
        <v>56</v>
      </c>
      <c r="E410" s="21"/>
      <c r="F410" s="69" t="s">
        <v>4</v>
      </c>
      <c r="G410" s="9">
        <v>24473</v>
      </c>
      <c r="H410" s="26">
        <v>216</v>
      </c>
      <c r="I410" s="17">
        <v>0</v>
      </c>
      <c r="J410" s="17">
        <f t="shared" si="66"/>
        <v>205.2</v>
      </c>
      <c r="K410" s="17">
        <f t="shared" si="58"/>
        <v>10.800000000000011</v>
      </c>
      <c r="L410" s="23">
        <f t="shared" si="65"/>
        <v>10.8</v>
      </c>
      <c r="M410" s="23">
        <v>30</v>
      </c>
      <c r="N410" s="18">
        <f t="shared" si="59"/>
        <v>53.287671232876711</v>
      </c>
      <c r="O410" s="23">
        <v>205.2</v>
      </c>
      <c r="P410" s="18">
        <f t="shared" si="60"/>
        <v>54.287671232876711</v>
      </c>
      <c r="Q410" s="18">
        <f t="shared" si="64"/>
        <v>3.5527136788005011E-16</v>
      </c>
      <c r="R410" s="18">
        <f t="shared" si="61"/>
        <v>205.2</v>
      </c>
      <c r="S410" s="18">
        <f>+IF(N410&gt;P410,0,L410)</f>
        <v>10.8</v>
      </c>
    </row>
    <row r="411" spans="1:19" ht="15" customHeight="1" x14ac:dyDescent="0.2">
      <c r="A411" s="14">
        <f t="shared" si="62"/>
        <v>375</v>
      </c>
      <c r="B411" s="21" t="s">
        <v>266</v>
      </c>
      <c r="C411" s="15" t="s">
        <v>3</v>
      </c>
      <c r="D411" s="21" t="s">
        <v>56</v>
      </c>
      <c r="E411" s="21"/>
      <c r="F411" s="69" t="s">
        <v>4</v>
      </c>
      <c r="G411" s="9">
        <v>33301</v>
      </c>
      <c r="H411" s="26">
        <v>3496</v>
      </c>
      <c r="I411" s="17">
        <v>0</v>
      </c>
      <c r="J411" s="17">
        <f t="shared" si="66"/>
        <v>3321.2</v>
      </c>
      <c r="K411" s="17">
        <f t="shared" si="58"/>
        <v>174.80000000000018</v>
      </c>
      <c r="L411" s="23">
        <f t="shared" si="65"/>
        <v>174.8</v>
      </c>
      <c r="M411" s="23">
        <v>5</v>
      </c>
      <c r="N411" s="18">
        <f t="shared" si="59"/>
        <v>29.101369863013698</v>
      </c>
      <c r="O411" s="23">
        <v>3321.2</v>
      </c>
      <c r="P411" s="18">
        <f t="shared" si="60"/>
        <v>30.101369863013698</v>
      </c>
      <c r="Q411" s="18">
        <f t="shared" si="64"/>
        <v>3.4106051316484814E-14</v>
      </c>
      <c r="R411" s="18">
        <f t="shared" si="61"/>
        <v>3321.2</v>
      </c>
      <c r="S411" s="18">
        <f>+IF(N411&gt;P411,0,L411)</f>
        <v>174.8</v>
      </c>
    </row>
    <row r="412" spans="1:19" ht="15" customHeight="1" x14ac:dyDescent="0.2">
      <c r="A412" s="14">
        <f t="shared" si="62"/>
        <v>376</v>
      </c>
      <c r="B412" s="21" t="s">
        <v>375</v>
      </c>
      <c r="C412" s="15" t="s">
        <v>3</v>
      </c>
      <c r="D412" s="21" t="s">
        <v>56</v>
      </c>
      <c r="E412" s="21"/>
      <c r="F412" s="70" t="s">
        <v>7</v>
      </c>
      <c r="G412" s="9">
        <v>33299</v>
      </c>
      <c r="H412" s="26">
        <v>250496</v>
      </c>
      <c r="I412" s="17">
        <v>0</v>
      </c>
      <c r="J412" s="17">
        <f t="shared" si="66"/>
        <v>237971.20000000001</v>
      </c>
      <c r="K412" s="17">
        <f t="shared" si="58"/>
        <v>12524.799999999988</v>
      </c>
      <c r="L412" s="23">
        <f t="shared" si="65"/>
        <v>12524.800000000001</v>
      </c>
      <c r="M412" s="23">
        <v>5</v>
      </c>
      <c r="N412" s="18">
        <f t="shared" si="59"/>
        <v>29.106849315068494</v>
      </c>
      <c r="O412" s="23">
        <v>237971.20000000001</v>
      </c>
      <c r="P412" s="18">
        <f t="shared" si="60"/>
        <v>30.106849315068494</v>
      </c>
      <c r="Q412" s="18">
        <f t="shared" si="64"/>
        <v>-2.5465851649641993E-12</v>
      </c>
      <c r="R412" s="18">
        <f t="shared" si="61"/>
        <v>237971.20000000001</v>
      </c>
      <c r="S412" s="18">
        <f>H412-R412</f>
        <v>12524.799999999988</v>
      </c>
    </row>
    <row r="413" spans="1:19" ht="15" customHeight="1" x14ac:dyDescent="0.2">
      <c r="A413" s="14">
        <f t="shared" si="62"/>
        <v>377</v>
      </c>
      <c r="B413" s="21" t="s">
        <v>376</v>
      </c>
      <c r="C413" s="15" t="s">
        <v>3</v>
      </c>
      <c r="D413" s="21" t="s">
        <v>56</v>
      </c>
      <c r="E413" s="21"/>
      <c r="F413" s="69" t="s">
        <v>4</v>
      </c>
      <c r="G413" s="9">
        <v>24108</v>
      </c>
      <c r="H413" s="26">
        <v>17485</v>
      </c>
      <c r="I413" s="17">
        <v>0</v>
      </c>
      <c r="J413" s="17">
        <f t="shared" si="66"/>
        <v>16610.75</v>
      </c>
      <c r="K413" s="17">
        <f t="shared" si="58"/>
        <v>874.25</v>
      </c>
      <c r="L413" s="23">
        <f t="shared" si="65"/>
        <v>874.25</v>
      </c>
      <c r="M413" s="23">
        <v>30</v>
      </c>
      <c r="N413" s="18">
        <f t="shared" si="59"/>
        <v>54.287671232876711</v>
      </c>
      <c r="O413" s="23">
        <v>16610.75</v>
      </c>
      <c r="P413" s="18">
        <f t="shared" si="60"/>
        <v>55.287671232876711</v>
      </c>
      <c r="Q413" s="18">
        <f t="shared" si="64"/>
        <v>0</v>
      </c>
      <c r="R413" s="18">
        <f t="shared" si="61"/>
        <v>16610.75</v>
      </c>
      <c r="S413" s="18">
        <f>H413-R413</f>
        <v>874.25</v>
      </c>
    </row>
    <row r="414" spans="1:19" ht="15" customHeight="1" x14ac:dyDescent="0.2">
      <c r="A414" s="14">
        <f t="shared" si="62"/>
        <v>378</v>
      </c>
      <c r="B414" s="21" t="s">
        <v>377</v>
      </c>
      <c r="C414" s="15" t="s">
        <v>3</v>
      </c>
      <c r="D414" s="21" t="s">
        <v>56</v>
      </c>
      <c r="E414" s="21"/>
      <c r="F414" s="69" t="s">
        <v>4</v>
      </c>
      <c r="G414" s="9">
        <v>24108</v>
      </c>
      <c r="H414" s="26">
        <v>10432</v>
      </c>
      <c r="I414" s="17">
        <v>0</v>
      </c>
      <c r="J414" s="17">
        <f t="shared" si="66"/>
        <v>9910.4</v>
      </c>
      <c r="K414" s="17">
        <f t="shared" si="58"/>
        <v>521.60000000000036</v>
      </c>
      <c r="L414" s="23">
        <f t="shared" si="65"/>
        <v>521.6</v>
      </c>
      <c r="M414" s="23">
        <v>30</v>
      </c>
      <c r="N414" s="18">
        <f t="shared" si="59"/>
        <v>54.287671232876711</v>
      </c>
      <c r="O414" s="23">
        <v>9910.4</v>
      </c>
      <c r="P414" s="18">
        <f t="shared" si="60"/>
        <v>55.287671232876711</v>
      </c>
      <c r="Q414" s="18">
        <f t="shared" si="64"/>
        <v>1.1368683772161604E-14</v>
      </c>
      <c r="R414" s="18">
        <f t="shared" si="61"/>
        <v>9910.4</v>
      </c>
      <c r="S414" s="18">
        <f>H414-R414</f>
        <v>521.60000000000036</v>
      </c>
    </row>
    <row r="415" spans="1:19" ht="15" customHeight="1" x14ac:dyDescent="0.2">
      <c r="A415" s="14">
        <f t="shared" si="62"/>
        <v>379</v>
      </c>
      <c r="B415" s="21" t="s">
        <v>378</v>
      </c>
      <c r="C415" s="15" t="s">
        <v>3</v>
      </c>
      <c r="D415" s="21" t="s">
        <v>56</v>
      </c>
      <c r="E415" s="21"/>
      <c r="F415" s="69" t="s">
        <v>4</v>
      </c>
      <c r="G415" s="9">
        <v>24108</v>
      </c>
      <c r="H415" s="26">
        <v>8136</v>
      </c>
      <c r="I415" s="17">
        <v>0</v>
      </c>
      <c r="J415" s="17">
        <f t="shared" si="66"/>
        <v>7729.2</v>
      </c>
      <c r="K415" s="17">
        <f t="shared" si="58"/>
        <v>406.80000000000018</v>
      </c>
      <c r="L415" s="23">
        <f t="shared" si="65"/>
        <v>406.8</v>
      </c>
      <c r="M415" s="23">
        <v>30</v>
      </c>
      <c r="N415" s="18">
        <f t="shared" si="59"/>
        <v>54.287671232876711</v>
      </c>
      <c r="O415" s="23">
        <v>7729.2</v>
      </c>
      <c r="P415" s="18">
        <f t="shared" si="60"/>
        <v>55.287671232876711</v>
      </c>
      <c r="Q415" s="18">
        <f t="shared" si="64"/>
        <v>5.6843418860808018E-15</v>
      </c>
      <c r="R415" s="18">
        <f t="shared" si="61"/>
        <v>7729.2</v>
      </c>
      <c r="S415" s="18">
        <f>H415-R415</f>
        <v>406.80000000000018</v>
      </c>
    </row>
    <row r="416" spans="1:19" ht="15" customHeight="1" x14ac:dyDescent="0.2">
      <c r="A416" s="14">
        <f t="shared" si="62"/>
        <v>380</v>
      </c>
      <c r="B416" s="21" t="s">
        <v>379</v>
      </c>
      <c r="C416" s="15" t="s">
        <v>3</v>
      </c>
      <c r="D416" s="21" t="s">
        <v>56</v>
      </c>
      <c r="E416" s="21"/>
      <c r="F416" s="69" t="s">
        <v>4</v>
      </c>
      <c r="G416" s="9">
        <v>24108</v>
      </c>
      <c r="H416" s="26">
        <v>3711</v>
      </c>
      <c r="I416" s="17">
        <v>0</v>
      </c>
      <c r="J416" s="17">
        <f t="shared" si="66"/>
        <v>3525.45</v>
      </c>
      <c r="K416" s="17">
        <f t="shared" si="58"/>
        <v>185.55000000000018</v>
      </c>
      <c r="L416" s="23">
        <f t="shared" si="65"/>
        <v>185.55</v>
      </c>
      <c r="M416" s="23">
        <v>30</v>
      </c>
      <c r="N416" s="18">
        <f t="shared" si="59"/>
        <v>54.287671232876711</v>
      </c>
      <c r="O416" s="23">
        <v>3525.45</v>
      </c>
      <c r="P416" s="18">
        <f t="shared" si="60"/>
        <v>55.287671232876711</v>
      </c>
      <c r="Q416" s="18">
        <f t="shared" si="64"/>
        <v>5.6843418860808018E-15</v>
      </c>
      <c r="R416" s="18">
        <f t="shared" si="61"/>
        <v>3525.45</v>
      </c>
      <c r="S416" s="18">
        <f>+IF(N416&gt;P416,0,L416)</f>
        <v>185.55</v>
      </c>
    </row>
    <row r="417" spans="1:19" ht="15" customHeight="1" x14ac:dyDescent="0.2">
      <c r="A417" s="14">
        <f t="shared" si="62"/>
        <v>381</v>
      </c>
      <c r="B417" s="21" t="s">
        <v>380</v>
      </c>
      <c r="C417" s="15" t="s">
        <v>3</v>
      </c>
      <c r="D417" s="21" t="s">
        <v>56</v>
      </c>
      <c r="E417" s="21"/>
      <c r="F417" s="69" t="s">
        <v>12</v>
      </c>
      <c r="G417" s="9">
        <v>24108</v>
      </c>
      <c r="H417" s="26">
        <v>3170</v>
      </c>
      <c r="I417" s="17">
        <v>0</v>
      </c>
      <c r="J417" s="17">
        <f t="shared" si="66"/>
        <v>3011.5</v>
      </c>
      <c r="K417" s="17">
        <f t="shared" si="58"/>
        <v>158.5</v>
      </c>
      <c r="L417" s="23">
        <f t="shared" si="65"/>
        <v>158.5</v>
      </c>
      <c r="M417" s="23">
        <v>30</v>
      </c>
      <c r="N417" s="18">
        <f t="shared" si="59"/>
        <v>54.287671232876711</v>
      </c>
      <c r="O417" s="23">
        <v>3011.5</v>
      </c>
      <c r="P417" s="18">
        <f t="shared" si="60"/>
        <v>55.287671232876711</v>
      </c>
      <c r="Q417" s="18">
        <f t="shared" si="64"/>
        <v>0</v>
      </c>
      <c r="R417" s="18">
        <f t="shared" si="61"/>
        <v>3011.5</v>
      </c>
      <c r="S417" s="18">
        <f>H417-R417</f>
        <v>158.5</v>
      </c>
    </row>
    <row r="418" spans="1:19" ht="15" customHeight="1" x14ac:dyDescent="0.2">
      <c r="A418" s="14">
        <f t="shared" si="62"/>
        <v>382</v>
      </c>
      <c r="B418" s="21" t="s">
        <v>381</v>
      </c>
      <c r="C418" s="15" t="s">
        <v>3</v>
      </c>
      <c r="D418" s="21" t="s">
        <v>56</v>
      </c>
      <c r="E418" s="21"/>
      <c r="F418" s="69" t="s">
        <v>4</v>
      </c>
      <c r="G418" s="9">
        <v>24108</v>
      </c>
      <c r="H418" s="26">
        <v>2568</v>
      </c>
      <c r="I418" s="17">
        <v>0</v>
      </c>
      <c r="J418" s="17">
        <f t="shared" si="66"/>
        <v>2439.6</v>
      </c>
      <c r="K418" s="17">
        <f t="shared" si="58"/>
        <v>128.40000000000009</v>
      </c>
      <c r="L418" s="23">
        <f t="shared" si="65"/>
        <v>128.4</v>
      </c>
      <c r="M418" s="23">
        <v>30</v>
      </c>
      <c r="N418" s="18">
        <f t="shared" si="59"/>
        <v>54.287671232876711</v>
      </c>
      <c r="O418" s="23">
        <v>2439.6</v>
      </c>
      <c r="P418" s="18">
        <f t="shared" si="60"/>
        <v>55.287671232876711</v>
      </c>
      <c r="Q418" s="18">
        <f t="shared" si="64"/>
        <v>2.8421709430404009E-15</v>
      </c>
      <c r="R418" s="18">
        <f t="shared" si="61"/>
        <v>2439.6</v>
      </c>
      <c r="S418" s="18">
        <f>H418-R418</f>
        <v>128.40000000000009</v>
      </c>
    </row>
    <row r="419" spans="1:19" ht="15" customHeight="1" x14ac:dyDescent="0.2">
      <c r="A419" s="14">
        <f t="shared" si="62"/>
        <v>383</v>
      </c>
      <c r="B419" s="21" t="s">
        <v>382</v>
      </c>
      <c r="C419" s="15" t="s">
        <v>3</v>
      </c>
      <c r="D419" s="21" t="s">
        <v>56</v>
      </c>
      <c r="E419" s="21"/>
      <c r="F419" s="69" t="s">
        <v>4</v>
      </c>
      <c r="G419" s="9">
        <v>24108</v>
      </c>
      <c r="H419" s="26">
        <v>2541</v>
      </c>
      <c r="I419" s="17">
        <v>0</v>
      </c>
      <c r="J419" s="17">
        <f t="shared" si="66"/>
        <v>2413.9499999999998</v>
      </c>
      <c r="K419" s="17">
        <f t="shared" si="58"/>
        <v>127.05000000000018</v>
      </c>
      <c r="L419" s="23">
        <f t="shared" si="65"/>
        <v>127.05000000000001</v>
      </c>
      <c r="M419" s="23">
        <v>30</v>
      </c>
      <c r="N419" s="18">
        <f t="shared" si="59"/>
        <v>54.287671232876711</v>
      </c>
      <c r="O419" s="23">
        <v>2413.9499999999998</v>
      </c>
      <c r="P419" s="18">
        <f t="shared" si="60"/>
        <v>55.287671232876711</v>
      </c>
      <c r="Q419" s="18">
        <f t="shared" si="64"/>
        <v>5.6843418860808018E-15</v>
      </c>
      <c r="R419" s="18">
        <f t="shared" si="61"/>
        <v>2413.9499999999998</v>
      </c>
      <c r="S419" s="18">
        <f>+IF(N419&gt;P419,0,L419)</f>
        <v>127.05000000000001</v>
      </c>
    </row>
    <row r="420" spans="1:19" ht="15" customHeight="1" x14ac:dyDescent="0.2">
      <c r="A420" s="14">
        <f t="shared" si="62"/>
        <v>384</v>
      </c>
      <c r="B420" s="21" t="s">
        <v>383</v>
      </c>
      <c r="C420" s="15" t="s">
        <v>3</v>
      </c>
      <c r="D420" s="21" t="s">
        <v>56</v>
      </c>
      <c r="E420" s="21"/>
      <c r="F420" s="69" t="s">
        <v>6</v>
      </c>
      <c r="G420" s="9">
        <v>24108</v>
      </c>
      <c r="H420" s="26">
        <v>2077</v>
      </c>
      <c r="I420" s="17">
        <v>0</v>
      </c>
      <c r="J420" s="17">
        <f t="shared" si="66"/>
        <v>1973.15</v>
      </c>
      <c r="K420" s="17">
        <f t="shared" si="58"/>
        <v>103.84999999999991</v>
      </c>
      <c r="L420" s="23">
        <f t="shared" si="65"/>
        <v>103.85000000000001</v>
      </c>
      <c r="M420" s="23">
        <v>30</v>
      </c>
      <c r="N420" s="18">
        <f t="shared" si="59"/>
        <v>54.287671232876711</v>
      </c>
      <c r="O420" s="23">
        <v>1973.15</v>
      </c>
      <c r="P420" s="18">
        <f t="shared" si="60"/>
        <v>55.287671232876711</v>
      </c>
      <c r="Q420" s="18">
        <f t="shared" si="64"/>
        <v>-3.3158661002138009E-15</v>
      </c>
      <c r="R420" s="18">
        <f t="shared" si="61"/>
        <v>1973.15</v>
      </c>
      <c r="S420" s="18">
        <f>H420-R420</f>
        <v>103.84999999999991</v>
      </c>
    </row>
    <row r="421" spans="1:19" ht="15" customHeight="1" x14ac:dyDescent="0.2">
      <c r="A421" s="14">
        <f t="shared" si="62"/>
        <v>385</v>
      </c>
      <c r="B421" s="21" t="s">
        <v>384</v>
      </c>
      <c r="C421" s="15" t="s">
        <v>3</v>
      </c>
      <c r="D421" s="21" t="s">
        <v>56</v>
      </c>
      <c r="E421" s="21"/>
      <c r="F421" s="69" t="s">
        <v>4</v>
      </c>
      <c r="G421" s="9">
        <v>24108</v>
      </c>
      <c r="H421" s="26">
        <v>1801</v>
      </c>
      <c r="I421" s="17">
        <v>0</v>
      </c>
      <c r="J421" s="17">
        <f t="shared" si="66"/>
        <v>1710.95</v>
      </c>
      <c r="K421" s="17">
        <f t="shared" ref="K421:K484" si="68">H421+I421-J421</f>
        <v>90.049999999999955</v>
      </c>
      <c r="L421" s="23">
        <f t="shared" si="65"/>
        <v>90.050000000000011</v>
      </c>
      <c r="M421" s="23">
        <v>30</v>
      </c>
      <c r="N421" s="18">
        <f t="shared" ref="N421:N484" si="69">IF(($N$35-G421+1)/365&gt;0,($N$35-G421+1)/365,0)</f>
        <v>54.287671232876711</v>
      </c>
      <c r="O421" s="23">
        <v>1710.95</v>
      </c>
      <c r="P421" s="18">
        <f t="shared" ref="P421:P484" si="70">($P$35-G421+1)/365</f>
        <v>55.287671232876711</v>
      </c>
      <c r="Q421" s="18">
        <f t="shared" si="64"/>
        <v>-1.8947806286936005E-15</v>
      </c>
      <c r="R421" s="18">
        <f t="shared" ref="R421:R484" si="71">Q421+O421</f>
        <v>1710.95</v>
      </c>
      <c r="S421" s="18">
        <f>H421-R421</f>
        <v>90.049999999999955</v>
      </c>
    </row>
    <row r="422" spans="1:19" ht="15" customHeight="1" x14ac:dyDescent="0.2">
      <c r="A422" s="14">
        <f t="shared" si="62"/>
        <v>386</v>
      </c>
      <c r="B422" s="21" t="s">
        <v>385</v>
      </c>
      <c r="C422" s="15" t="s">
        <v>3</v>
      </c>
      <c r="D422" s="21" t="s">
        <v>56</v>
      </c>
      <c r="E422" s="21"/>
      <c r="F422" s="69" t="s">
        <v>4</v>
      </c>
      <c r="G422" s="9">
        <v>24108</v>
      </c>
      <c r="H422" s="26">
        <v>1756</v>
      </c>
      <c r="I422" s="17">
        <v>0</v>
      </c>
      <c r="J422" s="17">
        <f t="shared" si="66"/>
        <v>1668.2</v>
      </c>
      <c r="K422" s="17">
        <f t="shared" si="68"/>
        <v>87.799999999999955</v>
      </c>
      <c r="L422" s="23">
        <f t="shared" si="65"/>
        <v>87.800000000000011</v>
      </c>
      <c r="M422" s="23">
        <v>30</v>
      </c>
      <c r="N422" s="18">
        <f t="shared" si="69"/>
        <v>54.287671232876711</v>
      </c>
      <c r="O422" s="23">
        <v>1668.2</v>
      </c>
      <c r="P422" s="18">
        <f t="shared" si="70"/>
        <v>55.287671232876711</v>
      </c>
      <c r="Q422" s="18">
        <f t="shared" si="64"/>
        <v>-1.8947806286936005E-15</v>
      </c>
      <c r="R422" s="18">
        <f t="shared" si="71"/>
        <v>1668.2</v>
      </c>
      <c r="S422" s="18">
        <f>H422-R422</f>
        <v>87.799999999999955</v>
      </c>
    </row>
    <row r="423" spans="1:19" ht="15" customHeight="1" x14ac:dyDescent="0.2">
      <c r="A423" s="14">
        <f t="shared" ref="A423:A486" si="72">+A422+1</f>
        <v>387</v>
      </c>
      <c r="B423" s="21" t="s">
        <v>386</v>
      </c>
      <c r="C423" s="15" t="s">
        <v>3</v>
      </c>
      <c r="D423" s="21" t="s">
        <v>56</v>
      </c>
      <c r="E423" s="21"/>
      <c r="F423" s="70" t="s">
        <v>7</v>
      </c>
      <c r="G423" s="9">
        <v>24108</v>
      </c>
      <c r="H423" s="26">
        <v>1684</v>
      </c>
      <c r="I423" s="17">
        <v>0</v>
      </c>
      <c r="J423" s="17">
        <f t="shared" si="66"/>
        <v>1599.8</v>
      </c>
      <c r="K423" s="17">
        <f t="shared" si="68"/>
        <v>84.200000000000045</v>
      </c>
      <c r="L423" s="23">
        <f t="shared" si="65"/>
        <v>84.2</v>
      </c>
      <c r="M423" s="23">
        <v>30</v>
      </c>
      <c r="N423" s="18">
        <f t="shared" si="69"/>
        <v>54.287671232876711</v>
      </c>
      <c r="O423" s="23">
        <v>1599.8</v>
      </c>
      <c r="P423" s="18">
        <f t="shared" si="70"/>
        <v>55.287671232876711</v>
      </c>
      <c r="Q423" s="18">
        <f t="shared" si="64"/>
        <v>1.4210854715202005E-15</v>
      </c>
      <c r="R423" s="18">
        <f t="shared" si="71"/>
        <v>1599.8</v>
      </c>
      <c r="S423" s="18">
        <f>H423-R423</f>
        <v>84.200000000000045</v>
      </c>
    </row>
    <row r="424" spans="1:19" ht="15" customHeight="1" x14ac:dyDescent="0.2">
      <c r="A424" s="14">
        <f t="shared" si="72"/>
        <v>388</v>
      </c>
      <c r="B424" s="21" t="s">
        <v>387</v>
      </c>
      <c r="C424" s="15" t="s">
        <v>3</v>
      </c>
      <c r="D424" s="21" t="s">
        <v>56</v>
      </c>
      <c r="E424" s="21"/>
      <c r="F424" s="69" t="s">
        <v>7</v>
      </c>
      <c r="G424" s="9">
        <v>24108</v>
      </c>
      <c r="H424" s="26">
        <v>1228</v>
      </c>
      <c r="I424" s="17">
        <v>0</v>
      </c>
      <c r="J424" s="17">
        <f t="shared" si="66"/>
        <v>1166.5999999999999</v>
      </c>
      <c r="K424" s="17">
        <f t="shared" si="68"/>
        <v>61.400000000000091</v>
      </c>
      <c r="L424" s="23">
        <f t="shared" si="65"/>
        <v>61.400000000000006</v>
      </c>
      <c r="M424" s="23">
        <v>30</v>
      </c>
      <c r="N424" s="18">
        <f t="shared" si="69"/>
        <v>54.287671232876711</v>
      </c>
      <c r="O424" s="23">
        <v>1166.5999999999999</v>
      </c>
      <c r="P424" s="18">
        <f t="shared" si="70"/>
        <v>55.287671232876711</v>
      </c>
      <c r="Q424" s="18">
        <f t="shared" si="64"/>
        <v>2.8421709430404009E-15</v>
      </c>
      <c r="R424" s="18">
        <f t="shared" si="71"/>
        <v>1166.5999999999999</v>
      </c>
      <c r="S424" s="18">
        <f>+IF(N424&gt;P424,0,L424)</f>
        <v>61.400000000000006</v>
      </c>
    </row>
    <row r="425" spans="1:19" ht="15" customHeight="1" x14ac:dyDescent="0.2">
      <c r="A425" s="14">
        <f t="shared" si="72"/>
        <v>389</v>
      </c>
      <c r="B425" s="21" t="s">
        <v>388</v>
      </c>
      <c r="C425" s="15" t="s">
        <v>3</v>
      </c>
      <c r="D425" s="21" t="s">
        <v>56</v>
      </c>
      <c r="E425" s="21"/>
      <c r="F425" s="69" t="s">
        <v>4</v>
      </c>
      <c r="G425" s="9">
        <v>24108</v>
      </c>
      <c r="H425" s="26">
        <v>1165</v>
      </c>
      <c r="I425" s="17">
        <v>0</v>
      </c>
      <c r="J425" s="17">
        <f t="shared" si="66"/>
        <v>1106.75</v>
      </c>
      <c r="K425" s="17">
        <f t="shared" si="68"/>
        <v>58.25</v>
      </c>
      <c r="L425" s="23">
        <f t="shared" si="65"/>
        <v>58.25</v>
      </c>
      <c r="M425" s="23">
        <v>30</v>
      </c>
      <c r="N425" s="18">
        <f t="shared" si="69"/>
        <v>54.287671232876711</v>
      </c>
      <c r="O425" s="23">
        <v>1106.75</v>
      </c>
      <c r="P425" s="18">
        <f t="shared" si="70"/>
        <v>55.287671232876711</v>
      </c>
      <c r="Q425" s="18">
        <f t="shared" si="64"/>
        <v>0</v>
      </c>
      <c r="R425" s="18">
        <f t="shared" si="71"/>
        <v>1106.75</v>
      </c>
      <c r="S425" s="18">
        <f>H425-R425</f>
        <v>58.25</v>
      </c>
    </row>
    <row r="426" spans="1:19" ht="15" customHeight="1" x14ac:dyDescent="0.2">
      <c r="A426" s="14">
        <f t="shared" si="72"/>
        <v>390</v>
      </c>
      <c r="B426" s="21" t="s">
        <v>389</v>
      </c>
      <c r="C426" s="15" t="s">
        <v>3</v>
      </c>
      <c r="D426" s="21" t="s">
        <v>56</v>
      </c>
      <c r="E426" s="21"/>
      <c r="F426" s="69" t="s">
        <v>4</v>
      </c>
      <c r="G426" s="9">
        <v>24108</v>
      </c>
      <c r="H426" s="26">
        <v>1106</v>
      </c>
      <c r="I426" s="17">
        <v>0</v>
      </c>
      <c r="J426" s="17">
        <f t="shared" si="66"/>
        <v>1050.7</v>
      </c>
      <c r="K426" s="17">
        <f t="shared" si="68"/>
        <v>55.299999999999955</v>
      </c>
      <c r="L426" s="23">
        <f t="shared" si="65"/>
        <v>55.300000000000004</v>
      </c>
      <c r="M426" s="23">
        <v>30</v>
      </c>
      <c r="N426" s="18">
        <f t="shared" si="69"/>
        <v>54.287671232876711</v>
      </c>
      <c r="O426" s="23">
        <v>1050.7</v>
      </c>
      <c r="P426" s="18">
        <f t="shared" si="70"/>
        <v>55.287671232876711</v>
      </c>
      <c r="Q426" s="18">
        <f t="shared" si="64"/>
        <v>-1.6579330501069005E-15</v>
      </c>
      <c r="R426" s="18">
        <f t="shared" si="71"/>
        <v>1050.7</v>
      </c>
      <c r="S426" s="18">
        <f>H426-R426</f>
        <v>55.299999999999955</v>
      </c>
    </row>
    <row r="427" spans="1:19" ht="15" customHeight="1" x14ac:dyDescent="0.2">
      <c r="A427" s="14">
        <f t="shared" si="72"/>
        <v>391</v>
      </c>
      <c r="B427" s="21" t="s">
        <v>390</v>
      </c>
      <c r="C427" s="15" t="s">
        <v>3</v>
      </c>
      <c r="D427" s="21" t="s">
        <v>56</v>
      </c>
      <c r="E427" s="21"/>
      <c r="F427" s="69" t="s">
        <v>11</v>
      </c>
      <c r="G427" s="9">
        <v>24108</v>
      </c>
      <c r="H427" s="26">
        <v>864</v>
      </c>
      <c r="I427" s="17">
        <v>0</v>
      </c>
      <c r="J427" s="17">
        <f t="shared" si="66"/>
        <v>820.8</v>
      </c>
      <c r="K427" s="17">
        <f t="shared" si="68"/>
        <v>43.200000000000045</v>
      </c>
      <c r="L427" s="23">
        <f t="shared" si="65"/>
        <v>43.2</v>
      </c>
      <c r="M427" s="23">
        <v>30</v>
      </c>
      <c r="N427" s="18">
        <f t="shared" si="69"/>
        <v>54.287671232876711</v>
      </c>
      <c r="O427" s="23">
        <v>820.8</v>
      </c>
      <c r="P427" s="18">
        <f t="shared" si="70"/>
        <v>55.287671232876711</v>
      </c>
      <c r="Q427" s="18">
        <f t="shared" si="64"/>
        <v>1.4210854715202005E-15</v>
      </c>
      <c r="R427" s="18">
        <f t="shared" si="71"/>
        <v>820.8</v>
      </c>
      <c r="S427" s="18">
        <f>+IF(N427&gt;P427,0,L427)</f>
        <v>43.2</v>
      </c>
    </row>
    <row r="428" spans="1:19" ht="15" customHeight="1" x14ac:dyDescent="0.2">
      <c r="A428" s="14">
        <f t="shared" si="72"/>
        <v>392</v>
      </c>
      <c r="B428" s="21" t="s">
        <v>391</v>
      </c>
      <c r="C428" s="15" t="s">
        <v>3</v>
      </c>
      <c r="D428" s="21" t="s">
        <v>56</v>
      </c>
      <c r="E428" s="21"/>
      <c r="F428" s="69" t="s">
        <v>4</v>
      </c>
      <c r="G428" s="9">
        <v>24108</v>
      </c>
      <c r="H428" s="26">
        <v>846</v>
      </c>
      <c r="I428" s="17">
        <v>0</v>
      </c>
      <c r="J428" s="17">
        <f t="shared" si="66"/>
        <v>803.7</v>
      </c>
      <c r="K428" s="17">
        <f t="shared" si="68"/>
        <v>42.299999999999955</v>
      </c>
      <c r="L428" s="23">
        <f t="shared" si="65"/>
        <v>42.300000000000004</v>
      </c>
      <c r="M428" s="23">
        <v>30</v>
      </c>
      <c r="N428" s="18">
        <f t="shared" si="69"/>
        <v>54.287671232876711</v>
      </c>
      <c r="O428" s="23">
        <v>803.7</v>
      </c>
      <c r="P428" s="18">
        <f t="shared" si="70"/>
        <v>55.287671232876711</v>
      </c>
      <c r="Q428" s="18">
        <f t="shared" si="64"/>
        <v>-1.6579330501069005E-15</v>
      </c>
      <c r="R428" s="18">
        <f t="shared" si="71"/>
        <v>803.7</v>
      </c>
      <c r="S428" s="18">
        <f t="shared" ref="S428:S440" si="73">H428-R428</f>
        <v>42.299999999999955</v>
      </c>
    </row>
    <row r="429" spans="1:19" ht="15" customHeight="1" x14ac:dyDescent="0.2">
      <c r="A429" s="14">
        <f t="shared" si="72"/>
        <v>393</v>
      </c>
      <c r="B429" s="21" t="s">
        <v>392</v>
      </c>
      <c r="C429" s="15" t="s">
        <v>3</v>
      </c>
      <c r="D429" s="21" t="s">
        <v>56</v>
      </c>
      <c r="E429" s="21"/>
      <c r="F429" s="69" t="s">
        <v>11</v>
      </c>
      <c r="G429" s="9">
        <v>24108</v>
      </c>
      <c r="H429" s="26">
        <v>435</v>
      </c>
      <c r="I429" s="17">
        <v>0</v>
      </c>
      <c r="J429" s="17">
        <f t="shared" si="66"/>
        <v>413.25</v>
      </c>
      <c r="K429" s="17">
        <f t="shared" si="68"/>
        <v>21.75</v>
      </c>
      <c r="L429" s="23">
        <f t="shared" si="65"/>
        <v>21.75</v>
      </c>
      <c r="M429" s="23">
        <v>30</v>
      </c>
      <c r="N429" s="18">
        <f t="shared" si="69"/>
        <v>54.287671232876711</v>
      </c>
      <c r="O429" s="23">
        <v>413.25</v>
      </c>
      <c r="P429" s="18">
        <f t="shared" si="70"/>
        <v>55.287671232876711</v>
      </c>
      <c r="Q429" s="18">
        <f t="shared" si="64"/>
        <v>0</v>
      </c>
      <c r="R429" s="18">
        <f t="shared" si="71"/>
        <v>413.25</v>
      </c>
      <c r="S429" s="18">
        <f t="shared" si="73"/>
        <v>21.75</v>
      </c>
    </row>
    <row r="430" spans="1:19" ht="15" customHeight="1" x14ac:dyDescent="0.2">
      <c r="A430" s="14">
        <f t="shared" si="72"/>
        <v>394</v>
      </c>
      <c r="B430" s="21" t="s">
        <v>392</v>
      </c>
      <c r="C430" s="15" t="s">
        <v>3</v>
      </c>
      <c r="D430" s="21" t="s">
        <v>56</v>
      </c>
      <c r="E430" s="21"/>
      <c r="F430" s="69" t="s">
        <v>11</v>
      </c>
      <c r="G430" s="9">
        <v>23743</v>
      </c>
      <c r="H430" s="26">
        <v>48510</v>
      </c>
      <c r="I430" s="17">
        <v>0</v>
      </c>
      <c r="J430" s="17">
        <f t="shared" si="66"/>
        <v>46084.5</v>
      </c>
      <c r="K430" s="17">
        <f t="shared" si="68"/>
        <v>2425.5</v>
      </c>
      <c r="L430" s="23">
        <f t="shared" si="65"/>
        <v>2425.5</v>
      </c>
      <c r="M430" s="23">
        <v>30</v>
      </c>
      <c r="N430" s="18">
        <f t="shared" si="69"/>
        <v>55.287671232876711</v>
      </c>
      <c r="O430" s="23">
        <v>46084.5</v>
      </c>
      <c r="P430" s="18">
        <f t="shared" si="70"/>
        <v>56.287671232876711</v>
      </c>
      <c r="Q430" s="18">
        <f t="shared" si="64"/>
        <v>0</v>
      </c>
      <c r="R430" s="18">
        <f t="shared" si="71"/>
        <v>46084.5</v>
      </c>
      <c r="S430" s="18">
        <f t="shared" si="73"/>
        <v>2425.5</v>
      </c>
    </row>
    <row r="431" spans="1:19" ht="15" customHeight="1" x14ac:dyDescent="0.2">
      <c r="A431" s="14">
        <f t="shared" si="72"/>
        <v>395</v>
      </c>
      <c r="B431" s="21" t="s">
        <v>393</v>
      </c>
      <c r="C431" s="15" t="s">
        <v>3</v>
      </c>
      <c r="D431" s="21" t="s">
        <v>56</v>
      </c>
      <c r="E431" s="21"/>
      <c r="F431" s="69" t="s">
        <v>4</v>
      </c>
      <c r="G431" s="9">
        <v>23743</v>
      </c>
      <c r="H431" s="26">
        <v>6301</v>
      </c>
      <c r="I431" s="17">
        <v>0</v>
      </c>
      <c r="J431" s="17">
        <f t="shared" si="66"/>
        <v>5985.95</v>
      </c>
      <c r="K431" s="17">
        <f t="shared" si="68"/>
        <v>315.05000000000018</v>
      </c>
      <c r="L431" s="23">
        <f t="shared" si="65"/>
        <v>315.05</v>
      </c>
      <c r="M431" s="23">
        <v>30</v>
      </c>
      <c r="N431" s="18">
        <f t="shared" si="69"/>
        <v>55.287671232876711</v>
      </c>
      <c r="O431" s="23">
        <v>5985.95</v>
      </c>
      <c r="P431" s="18">
        <f t="shared" si="70"/>
        <v>56.287671232876711</v>
      </c>
      <c r="Q431" s="18">
        <f t="shared" si="64"/>
        <v>5.6843418860808018E-15</v>
      </c>
      <c r="R431" s="18">
        <f t="shared" si="71"/>
        <v>5985.95</v>
      </c>
      <c r="S431" s="18">
        <f t="shared" si="73"/>
        <v>315.05000000000018</v>
      </c>
    </row>
    <row r="432" spans="1:19" ht="15" customHeight="1" x14ac:dyDescent="0.2">
      <c r="A432" s="14">
        <f t="shared" si="72"/>
        <v>396</v>
      </c>
      <c r="B432" s="21" t="s">
        <v>384</v>
      </c>
      <c r="C432" s="15" t="s">
        <v>3</v>
      </c>
      <c r="D432" s="21" t="s">
        <v>56</v>
      </c>
      <c r="E432" s="21"/>
      <c r="F432" s="69" t="s">
        <v>4</v>
      </c>
      <c r="G432" s="9">
        <v>23743</v>
      </c>
      <c r="H432" s="26">
        <v>5694</v>
      </c>
      <c r="I432" s="17">
        <v>0</v>
      </c>
      <c r="J432" s="17">
        <f t="shared" si="66"/>
        <v>5409.3</v>
      </c>
      <c r="K432" s="17">
        <f t="shared" si="68"/>
        <v>284.69999999999982</v>
      </c>
      <c r="L432" s="23">
        <f t="shared" si="65"/>
        <v>284.7</v>
      </c>
      <c r="M432" s="23">
        <v>30</v>
      </c>
      <c r="N432" s="18">
        <f t="shared" si="69"/>
        <v>55.287671232876711</v>
      </c>
      <c r="O432" s="23">
        <v>5409.3</v>
      </c>
      <c r="P432" s="18">
        <f t="shared" si="70"/>
        <v>56.287671232876711</v>
      </c>
      <c r="Q432" s="18">
        <f t="shared" si="64"/>
        <v>-5.6843418860808018E-15</v>
      </c>
      <c r="R432" s="18">
        <f t="shared" si="71"/>
        <v>5409.3</v>
      </c>
      <c r="S432" s="18">
        <f t="shared" si="73"/>
        <v>284.69999999999982</v>
      </c>
    </row>
    <row r="433" spans="1:19" ht="15" customHeight="1" x14ac:dyDescent="0.2">
      <c r="A433" s="14">
        <f t="shared" si="72"/>
        <v>397</v>
      </c>
      <c r="B433" s="21" t="s">
        <v>394</v>
      </c>
      <c r="C433" s="15" t="s">
        <v>3</v>
      </c>
      <c r="D433" s="21" t="s">
        <v>56</v>
      </c>
      <c r="E433" s="21"/>
      <c r="F433" s="69" t="s">
        <v>4</v>
      </c>
      <c r="G433" s="9">
        <v>23743</v>
      </c>
      <c r="H433" s="26">
        <v>4620</v>
      </c>
      <c r="I433" s="17">
        <v>0</v>
      </c>
      <c r="J433" s="17">
        <f t="shared" si="66"/>
        <v>4389</v>
      </c>
      <c r="K433" s="17">
        <f t="shared" si="68"/>
        <v>231</v>
      </c>
      <c r="L433" s="23">
        <f t="shared" si="65"/>
        <v>231</v>
      </c>
      <c r="M433" s="23">
        <v>30</v>
      </c>
      <c r="N433" s="18">
        <f t="shared" si="69"/>
        <v>55.287671232876711</v>
      </c>
      <c r="O433" s="23">
        <v>4389</v>
      </c>
      <c r="P433" s="18">
        <f t="shared" si="70"/>
        <v>56.287671232876711</v>
      </c>
      <c r="Q433" s="18">
        <f t="shared" si="64"/>
        <v>0</v>
      </c>
      <c r="R433" s="18">
        <f t="shared" si="71"/>
        <v>4389</v>
      </c>
      <c r="S433" s="18">
        <f t="shared" si="73"/>
        <v>231</v>
      </c>
    </row>
    <row r="434" spans="1:19" ht="15" customHeight="1" x14ac:dyDescent="0.2">
      <c r="A434" s="14">
        <f t="shared" si="72"/>
        <v>398</v>
      </c>
      <c r="B434" s="21" t="s">
        <v>395</v>
      </c>
      <c r="C434" s="15" t="s">
        <v>3</v>
      </c>
      <c r="D434" s="21" t="s">
        <v>56</v>
      </c>
      <c r="E434" s="21"/>
      <c r="F434" s="69" t="s">
        <v>4</v>
      </c>
      <c r="G434" s="9">
        <v>23743</v>
      </c>
      <c r="H434" s="26">
        <v>3825</v>
      </c>
      <c r="I434" s="17">
        <v>0</v>
      </c>
      <c r="J434" s="17">
        <f t="shared" si="66"/>
        <v>3633.75</v>
      </c>
      <c r="K434" s="17">
        <f t="shared" si="68"/>
        <v>191.25</v>
      </c>
      <c r="L434" s="23">
        <f t="shared" si="65"/>
        <v>191.25</v>
      </c>
      <c r="M434" s="23">
        <v>30</v>
      </c>
      <c r="N434" s="18">
        <f t="shared" si="69"/>
        <v>55.287671232876711</v>
      </c>
      <c r="O434" s="23">
        <v>3633.75</v>
      </c>
      <c r="P434" s="18">
        <f t="shared" si="70"/>
        <v>56.287671232876711</v>
      </c>
      <c r="Q434" s="18">
        <f t="shared" si="64"/>
        <v>0</v>
      </c>
      <c r="R434" s="18">
        <f t="shared" si="71"/>
        <v>3633.75</v>
      </c>
      <c r="S434" s="18">
        <f t="shared" si="73"/>
        <v>191.25</v>
      </c>
    </row>
    <row r="435" spans="1:19" ht="15" customHeight="1" x14ac:dyDescent="0.2">
      <c r="A435" s="14">
        <f t="shared" si="72"/>
        <v>399</v>
      </c>
      <c r="B435" s="21" t="s">
        <v>396</v>
      </c>
      <c r="C435" s="15" t="s">
        <v>3</v>
      </c>
      <c r="D435" s="21" t="s">
        <v>56</v>
      </c>
      <c r="E435" s="21"/>
      <c r="F435" s="69" t="s">
        <v>4</v>
      </c>
      <c r="G435" s="9">
        <v>23743</v>
      </c>
      <c r="H435" s="26">
        <v>1764</v>
      </c>
      <c r="I435" s="17">
        <v>0</v>
      </c>
      <c r="J435" s="17">
        <f t="shared" si="66"/>
        <v>1675.8</v>
      </c>
      <c r="K435" s="17">
        <f t="shared" si="68"/>
        <v>88.200000000000045</v>
      </c>
      <c r="L435" s="23">
        <f t="shared" si="65"/>
        <v>88.2</v>
      </c>
      <c r="M435" s="23">
        <v>30</v>
      </c>
      <c r="N435" s="18">
        <f t="shared" si="69"/>
        <v>55.287671232876711</v>
      </c>
      <c r="O435" s="23">
        <v>1675.8</v>
      </c>
      <c r="P435" s="18">
        <f t="shared" si="70"/>
        <v>56.287671232876711</v>
      </c>
      <c r="Q435" s="18">
        <f t="shared" si="64"/>
        <v>1.4210854715202005E-15</v>
      </c>
      <c r="R435" s="18">
        <f t="shared" si="71"/>
        <v>1675.8</v>
      </c>
      <c r="S435" s="18">
        <f t="shared" si="73"/>
        <v>88.200000000000045</v>
      </c>
    </row>
    <row r="436" spans="1:19" ht="15" customHeight="1" x14ac:dyDescent="0.2">
      <c r="A436" s="14">
        <f t="shared" si="72"/>
        <v>400</v>
      </c>
      <c r="B436" s="21" t="s">
        <v>397</v>
      </c>
      <c r="C436" s="15" t="s">
        <v>3</v>
      </c>
      <c r="D436" s="21" t="s">
        <v>56</v>
      </c>
      <c r="E436" s="21"/>
      <c r="F436" s="69" t="s">
        <v>4</v>
      </c>
      <c r="G436" s="9">
        <v>23743</v>
      </c>
      <c r="H436" s="26">
        <v>902</v>
      </c>
      <c r="I436" s="17">
        <v>0</v>
      </c>
      <c r="J436" s="17">
        <f t="shared" si="66"/>
        <v>856.9</v>
      </c>
      <c r="K436" s="17">
        <f t="shared" si="68"/>
        <v>45.100000000000023</v>
      </c>
      <c r="L436" s="23">
        <f t="shared" si="65"/>
        <v>45.1</v>
      </c>
      <c r="M436" s="23">
        <v>30</v>
      </c>
      <c r="N436" s="18">
        <f t="shared" si="69"/>
        <v>55.287671232876711</v>
      </c>
      <c r="O436" s="23">
        <v>856.9</v>
      </c>
      <c r="P436" s="18">
        <f t="shared" si="70"/>
        <v>56.287671232876711</v>
      </c>
      <c r="Q436" s="18">
        <f t="shared" si="64"/>
        <v>7.1054273576010023E-16</v>
      </c>
      <c r="R436" s="18">
        <f t="shared" si="71"/>
        <v>856.9</v>
      </c>
      <c r="S436" s="18">
        <f t="shared" si="73"/>
        <v>45.100000000000023</v>
      </c>
    </row>
    <row r="437" spans="1:19" ht="15" customHeight="1" x14ac:dyDescent="0.2">
      <c r="A437" s="14">
        <f t="shared" si="72"/>
        <v>401</v>
      </c>
      <c r="B437" s="21" t="s">
        <v>382</v>
      </c>
      <c r="C437" s="15" t="s">
        <v>3</v>
      </c>
      <c r="D437" s="21" t="s">
        <v>56</v>
      </c>
      <c r="E437" s="21"/>
      <c r="F437" s="69" t="s">
        <v>4</v>
      </c>
      <c r="G437" s="9">
        <v>23743</v>
      </c>
      <c r="H437" s="26">
        <v>605</v>
      </c>
      <c r="I437" s="17">
        <v>0</v>
      </c>
      <c r="J437" s="17">
        <f t="shared" si="66"/>
        <v>574.75</v>
      </c>
      <c r="K437" s="17">
        <f t="shared" si="68"/>
        <v>30.25</v>
      </c>
      <c r="L437" s="23">
        <f t="shared" si="65"/>
        <v>30.25</v>
      </c>
      <c r="M437" s="23">
        <v>30</v>
      </c>
      <c r="N437" s="18">
        <f t="shared" si="69"/>
        <v>55.287671232876711</v>
      </c>
      <c r="O437" s="23">
        <v>574.75</v>
      </c>
      <c r="P437" s="18">
        <f t="shared" si="70"/>
        <v>56.287671232876711</v>
      </c>
      <c r="Q437" s="18">
        <f t="shared" si="64"/>
        <v>0</v>
      </c>
      <c r="R437" s="18">
        <f t="shared" si="71"/>
        <v>574.75</v>
      </c>
      <c r="S437" s="18">
        <f t="shared" si="73"/>
        <v>30.25</v>
      </c>
    </row>
    <row r="438" spans="1:19" ht="15" customHeight="1" x14ac:dyDescent="0.2">
      <c r="A438" s="14">
        <f t="shared" si="72"/>
        <v>402</v>
      </c>
      <c r="B438" s="21" t="s">
        <v>398</v>
      </c>
      <c r="C438" s="15" t="s">
        <v>3</v>
      </c>
      <c r="D438" s="21" t="s">
        <v>56</v>
      </c>
      <c r="E438" s="21"/>
      <c r="F438" s="69" t="s">
        <v>6</v>
      </c>
      <c r="G438" s="9">
        <v>23743</v>
      </c>
      <c r="H438" s="26">
        <v>555</v>
      </c>
      <c r="I438" s="17">
        <v>0</v>
      </c>
      <c r="J438" s="17">
        <f t="shared" si="66"/>
        <v>527.25</v>
      </c>
      <c r="K438" s="17">
        <f t="shared" si="68"/>
        <v>27.75</v>
      </c>
      <c r="L438" s="23">
        <f t="shared" si="65"/>
        <v>27.75</v>
      </c>
      <c r="M438" s="23">
        <v>30</v>
      </c>
      <c r="N438" s="18">
        <f t="shared" si="69"/>
        <v>55.287671232876711</v>
      </c>
      <c r="O438" s="23">
        <v>527.25</v>
      </c>
      <c r="P438" s="18">
        <f t="shared" si="70"/>
        <v>56.287671232876711</v>
      </c>
      <c r="Q438" s="18">
        <f t="shared" si="64"/>
        <v>0</v>
      </c>
      <c r="R438" s="18">
        <f t="shared" si="71"/>
        <v>527.25</v>
      </c>
      <c r="S438" s="18">
        <f t="shared" si="73"/>
        <v>27.75</v>
      </c>
    </row>
    <row r="439" spans="1:19" ht="15" customHeight="1" x14ac:dyDescent="0.2">
      <c r="A439" s="14">
        <f t="shared" si="72"/>
        <v>403</v>
      </c>
      <c r="B439" s="21" t="s">
        <v>200</v>
      </c>
      <c r="C439" s="15" t="s">
        <v>3</v>
      </c>
      <c r="D439" s="21" t="s">
        <v>56</v>
      </c>
      <c r="E439" s="21"/>
      <c r="F439" s="69" t="s">
        <v>4</v>
      </c>
      <c r="G439" s="9">
        <v>23743</v>
      </c>
      <c r="H439" s="26">
        <v>454</v>
      </c>
      <c r="I439" s="17">
        <v>0</v>
      </c>
      <c r="J439" s="17">
        <f t="shared" si="66"/>
        <v>431.3</v>
      </c>
      <c r="K439" s="17">
        <f t="shared" si="68"/>
        <v>22.699999999999989</v>
      </c>
      <c r="L439" s="23">
        <f t="shared" si="65"/>
        <v>22.700000000000003</v>
      </c>
      <c r="M439" s="23">
        <v>30</v>
      </c>
      <c r="N439" s="18">
        <f t="shared" si="69"/>
        <v>55.287671232876711</v>
      </c>
      <c r="O439" s="23">
        <v>431.3</v>
      </c>
      <c r="P439" s="18">
        <f t="shared" si="70"/>
        <v>56.287671232876711</v>
      </c>
      <c r="Q439" s="18">
        <f t="shared" ref="Q439:Q502" si="74">(P439-N439)/M439*(K439-L439)</f>
        <v>-4.7369515717340012E-16</v>
      </c>
      <c r="R439" s="18">
        <f t="shared" si="71"/>
        <v>431.3</v>
      </c>
      <c r="S439" s="18">
        <f t="shared" si="73"/>
        <v>22.699999999999989</v>
      </c>
    </row>
    <row r="440" spans="1:19" ht="15" customHeight="1" x14ac:dyDescent="0.2">
      <c r="A440" s="14">
        <f t="shared" si="72"/>
        <v>404</v>
      </c>
      <c r="B440" s="21" t="s">
        <v>399</v>
      </c>
      <c r="C440" s="15" t="s">
        <v>3</v>
      </c>
      <c r="D440" s="21" t="s">
        <v>56</v>
      </c>
      <c r="E440" s="21"/>
      <c r="F440" s="69" t="s">
        <v>4</v>
      </c>
      <c r="G440" s="9">
        <v>23743</v>
      </c>
      <c r="H440" s="26">
        <v>419</v>
      </c>
      <c r="I440" s="17">
        <v>0</v>
      </c>
      <c r="J440" s="17">
        <f t="shared" si="66"/>
        <v>398.05</v>
      </c>
      <c r="K440" s="17">
        <f t="shared" si="68"/>
        <v>20.949999999999989</v>
      </c>
      <c r="L440" s="23">
        <f t="shared" ref="L440:L503" si="75">H440*0.05</f>
        <v>20.950000000000003</v>
      </c>
      <c r="M440" s="23">
        <v>30</v>
      </c>
      <c r="N440" s="18">
        <f t="shared" si="69"/>
        <v>55.287671232876711</v>
      </c>
      <c r="O440" s="23">
        <v>398.05</v>
      </c>
      <c r="P440" s="18">
        <f t="shared" si="70"/>
        <v>56.287671232876711</v>
      </c>
      <c r="Q440" s="18">
        <f t="shared" si="74"/>
        <v>-4.7369515717340012E-16</v>
      </c>
      <c r="R440" s="18">
        <f t="shared" si="71"/>
        <v>398.05</v>
      </c>
      <c r="S440" s="18">
        <f t="shared" si="73"/>
        <v>20.949999999999989</v>
      </c>
    </row>
    <row r="441" spans="1:19" ht="15" customHeight="1" x14ac:dyDescent="0.2">
      <c r="A441" s="14">
        <f t="shared" si="72"/>
        <v>405</v>
      </c>
      <c r="B441" s="21" t="s">
        <v>400</v>
      </c>
      <c r="C441" s="15" t="s">
        <v>3</v>
      </c>
      <c r="D441" s="21" t="s">
        <v>56</v>
      </c>
      <c r="E441" s="21"/>
      <c r="F441" s="69" t="s">
        <v>4</v>
      </c>
      <c r="G441" s="9">
        <v>23743</v>
      </c>
      <c r="H441" s="26">
        <v>216</v>
      </c>
      <c r="I441" s="17">
        <v>0</v>
      </c>
      <c r="J441" s="17">
        <f t="shared" ref="J441:J504" si="76">H441-L441</f>
        <v>205.2</v>
      </c>
      <c r="K441" s="17">
        <f t="shared" si="68"/>
        <v>10.800000000000011</v>
      </c>
      <c r="L441" s="23">
        <f t="shared" si="75"/>
        <v>10.8</v>
      </c>
      <c r="M441" s="23">
        <v>30</v>
      </c>
      <c r="N441" s="18">
        <f t="shared" si="69"/>
        <v>55.287671232876711</v>
      </c>
      <c r="O441" s="23">
        <v>205.2</v>
      </c>
      <c r="P441" s="18">
        <f t="shared" si="70"/>
        <v>56.287671232876711</v>
      </c>
      <c r="Q441" s="18">
        <f t="shared" si="74"/>
        <v>3.5527136788005011E-16</v>
      </c>
      <c r="R441" s="18">
        <f t="shared" si="71"/>
        <v>205.2</v>
      </c>
      <c r="S441" s="18">
        <f>+IF(N441&gt;P441,0,L441)</f>
        <v>10.8</v>
      </c>
    </row>
    <row r="442" spans="1:19" ht="15" customHeight="1" x14ac:dyDescent="0.2">
      <c r="A442" s="14">
        <f t="shared" si="72"/>
        <v>406</v>
      </c>
      <c r="B442" s="21" t="s">
        <v>401</v>
      </c>
      <c r="C442" s="15" t="s">
        <v>3</v>
      </c>
      <c r="D442" s="21" t="s">
        <v>56</v>
      </c>
      <c r="E442" s="21"/>
      <c r="F442" s="69" t="s">
        <v>4</v>
      </c>
      <c r="G442" s="9">
        <v>23743</v>
      </c>
      <c r="H442" s="26">
        <v>29</v>
      </c>
      <c r="I442" s="17">
        <v>0</v>
      </c>
      <c r="J442" s="17">
        <f t="shared" si="76"/>
        <v>27.55</v>
      </c>
      <c r="K442" s="17">
        <f t="shared" si="68"/>
        <v>1.4499999999999993</v>
      </c>
      <c r="L442" s="23">
        <f t="shared" si="75"/>
        <v>1.4500000000000002</v>
      </c>
      <c r="M442" s="23">
        <v>30</v>
      </c>
      <c r="N442" s="18">
        <f t="shared" si="69"/>
        <v>55.287671232876711</v>
      </c>
      <c r="O442" s="23">
        <v>27.55</v>
      </c>
      <c r="P442" s="18">
        <f t="shared" si="70"/>
        <v>56.287671232876711</v>
      </c>
      <c r="Q442" s="18">
        <f t="shared" si="74"/>
        <v>-2.9605947323337507E-17</v>
      </c>
      <c r="R442" s="18">
        <f t="shared" si="71"/>
        <v>27.55</v>
      </c>
      <c r="S442" s="18">
        <f>H442-R442</f>
        <v>1.4499999999999993</v>
      </c>
    </row>
    <row r="443" spans="1:19" ht="15" customHeight="1" x14ac:dyDescent="0.2">
      <c r="A443" s="14">
        <f t="shared" si="72"/>
        <v>407</v>
      </c>
      <c r="B443" s="21" t="s">
        <v>392</v>
      </c>
      <c r="C443" s="15" t="s">
        <v>3</v>
      </c>
      <c r="D443" s="21" t="s">
        <v>56</v>
      </c>
      <c r="E443" s="21"/>
      <c r="F443" s="69" t="s">
        <v>11</v>
      </c>
      <c r="G443" s="9">
        <v>23377</v>
      </c>
      <c r="H443" s="26">
        <v>28608</v>
      </c>
      <c r="I443" s="17">
        <v>0</v>
      </c>
      <c r="J443" s="17">
        <f t="shared" si="76"/>
        <v>27177.599999999999</v>
      </c>
      <c r="K443" s="17">
        <f t="shared" si="68"/>
        <v>1430.4000000000015</v>
      </c>
      <c r="L443" s="23">
        <f t="shared" si="75"/>
        <v>1430.4</v>
      </c>
      <c r="M443" s="23">
        <v>30</v>
      </c>
      <c r="N443" s="18">
        <f t="shared" si="69"/>
        <v>56.290410958904111</v>
      </c>
      <c r="O443" s="23">
        <v>27177.599999999999</v>
      </c>
      <c r="P443" s="18">
        <f t="shared" si="70"/>
        <v>57.290410958904111</v>
      </c>
      <c r="Q443" s="18">
        <f t="shared" si="74"/>
        <v>4.5474735088646414E-14</v>
      </c>
      <c r="R443" s="18">
        <f t="shared" si="71"/>
        <v>27177.599999999999</v>
      </c>
      <c r="S443" s="18">
        <f>+IF(N443&gt;P443,0,L443)</f>
        <v>1430.4</v>
      </c>
    </row>
    <row r="444" spans="1:19" ht="15" customHeight="1" x14ac:dyDescent="0.2">
      <c r="A444" s="14">
        <f t="shared" si="72"/>
        <v>408</v>
      </c>
      <c r="B444" s="21" t="s">
        <v>402</v>
      </c>
      <c r="C444" s="15" t="s">
        <v>3</v>
      </c>
      <c r="D444" s="21" t="s">
        <v>56</v>
      </c>
      <c r="E444" s="21"/>
      <c r="F444" s="69" t="s">
        <v>10</v>
      </c>
      <c r="G444" s="9">
        <v>23377</v>
      </c>
      <c r="H444" s="26">
        <v>4227</v>
      </c>
      <c r="I444" s="17">
        <v>0</v>
      </c>
      <c r="J444" s="17">
        <f t="shared" si="76"/>
        <v>4015.65</v>
      </c>
      <c r="K444" s="17">
        <f t="shared" si="68"/>
        <v>211.34999999999991</v>
      </c>
      <c r="L444" s="23">
        <f t="shared" si="75"/>
        <v>211.35000000000002</v>
      </c>
      <c r="M444" s="23">
        <v>30</v>
      </c>
      <c r="N444" s="18">
        <f t="shared" si="69"/>
        <v>56.290410958904111</v>
      </c>
      <c r="O444" s="23">
        <v>4015.65</v>
      </c>
      <c r="P444" s="18">
        <f t="shared" si="70"/>
        <v>57.290410958904111</v>
      </c>
      <c r="Q444" s="18">
        <f t="shared" si="74"/>
        <v>-3.7895612573872009E-15</v>
      </c>
      <c r="R444" s="18">
        <f t="shared" si="71"/>
        <v>4015.65</v>
      </c>
      <c r="S444" s="18">
        <f>H444-R444</f>
        <v>211.34999999999991</v>
      </c>
    </row>
    <row r="445" spans="1:19" ht="15" customHeight="1" x14ac:dyDescent="0.2">
      <c r="A445" s="14">
        <f t="shared" si="72"/>
        <v>409</v>
      </c>
      <c r="B445" s="21" t="s">
        <v>403</v>
      </c>
      <c r="C445" s="15" t="s">
        <v>3</v>
      </c>
      <c r="D445" s="21" t="s">
        <v>56</v>
      </c>
      <c r="E445" s="21"/>
      <c r="F445" s="69" t="s">
        <v>4</v>
      </c>
      <c r="G445" s="9">
        <v>23377</v>
      </c>
      <c r="H445" s="26">
        <v>4001</v>
      </c>
      <c r="I445" s="17">
        <v>0</v>
      </c>
      <c r="J445" s="17">
        <f t="shared" si="76"/>
        <v>3800.95</v>
      </c>
      <c r="K445" s="17">
        <f t="shared" si="68"/>
        <v>200.05000000000018</v>
      </c>
      <c r="L445" s="23">
        <f t="shared" si="75"/>
        <v>200.05</v>
      </c>
      <c r="M445" s="23">
        <v>30</v>
      </c>
      <c r="N445" s="18">
        <f t="shared" si="69"/>
        <v>56.290410958904111</v>
      </c>
      <c r="O445" s="23">
        <v>3800.95</v>
      </c>
      <c r="P445" s="18">
        <f t="shared" si="70"/>
        <v>57.290410958904111</v>
      </c>
      <c r="Q445" s="18">
        <f t="shared" si="74"/>
        <v>5.6843418860808018E-15</v>
      </c>
      <c r="R445" s="18">
        <f t="shared" si="71"/>
        <v>3800.95</v>
      </c>
      <c r="S445" s="18">
        <f>+IF(N445&gt;P445,0,L445)</f>
        <v>200.05</v>
      </c>
    </row>
    <row r="446" spans="1:19" ht="15" customHeight="1" x14ac:dyDescent="0.2">
      <c r="A446" s="14">
        <f t="shared" si="72"/>
        <v>410</v>
      </c>
      <c r="B446" s="21" t="s">
        <v>353</v>
      </c>
      <c r="C446" s="15" t="s">
        <v>3</v>
      </c>
      <c r="D446" s="21" t="s">
        <v>56</v>
      </c>
      <c r="E446" s="21"/>
      <c r="F446" s="69" t="s">
        <v>6</v>
      </c>
      <c r="G446" s="9">
        <v>23377</v>
      </c>
      <c r="H446" s="26">
        <v>3635</v>
      </c>
      <c r="I446" s="17">
        <v>0</v>
      </c>
      <c r="J446" s="17">
        <f t="shared" si="76"/>
        <v>3453.25</v>
      </c>
      <c r="K446" s="17">
        <f t="shared" si="68"/>
        <v>181.75</v>
      </c>
      <c r="L446" s="23">
        <f t="shared" si="75"/>
        <v>181.75</v>
      </c>
      <c r="M446" s="23">
        <v>30</v>
      </c>
      <c r="N446" s="18">
        <f t="shared" si="69"/>
        <v>56.290410958904111</v>
      </c>
      <c r="O446" s="23">
        <v>3453.25</v>
      </c>
      <c r="P446" s="18">
        <f t="shared" si="70"/>
        <v>57.290410958904111</v>
      </c>
      <c r="Q446" s="18">
        <f t="shared" si="74"/>
        <v>0</v>
      </c>
      <c r="R446" s="18">
        <f t="shared" si="71"/>
        <v>3453.25</v>
      </c>
      <c r="S446" s="18">
        <f t="shared" ref="S446:S454" si="77">H446-R446</f>
        <v>181.75</v>
      </c>
    </row>
    <row r="447" spans="1:19" ht="15" customHeight="1" x14ac:dyDescent="0.2">
      <c r="A447" s="14">
        <f t="shared" si="72"/>
        <v>411</v>
      </c>
      <c r="B447" s="21" t="s">
        <v>404</v>
      </c>
      <c r="C447" s="15" t="s">
        <v>3</v>
      </c>
      <c r="D447" s="21" t="s">
        <v>56</v>
      </c>
      <c r="E447" s="21"/>
      <c r="F447" s="69" t="s">
        <v>4</v>
      </c>
      <c r="G447" s="9">
        <v>23377</v>
      </c>
      <c r="H447" s="26">
        <v>3232</v>
      </c>
      <c r="I447" s="17">
        <v>0</v>
      </c>
      <c r="J447" s="17">
        <f t="shared" si="76"/>
        <v>3070.4</v>
      </c>
      <c r="K447" s="17">
        <f t="shared" si="68"/>
        <v>161.59999999999991</v>
      </c>
      <c r="L447" s="23">
        <f t="shared" si="75"/>
        <v>161.60000000000002</v>
      </c>
      <c r="M447" s="23">
        <v>30</v>
      </c>
      <c r="N447" s="18">
        <f t="shared" si="69"/>
        <v>56.290410958904111</v>
      </c>
      <c r="O447" s="23">
        <v>3070.4</v>
      </c>
      <c r="P447" s="18">
        <f t="shared" si="70"/>
        <v>57.290410958904111</v>
      </c>
      <c r="Q447" s="18">
        <f t="shared" si="74"/>
        <v>-3.7895612573872009E-15</v>
      </c>
      <c r="R447" s="18">
        <f t="shared" si="71"/>
        <v>3070.4</v>
      </c>
      <c r="S447" s="18">
        <f t="shared" si="77"/>
        <v>161.59999999999991</v>
      </c>
    </row>
    <row r="448" spans="1:19" ht="15" customHeight="1" x14ac:dyDescent="0.2">
      <c r="A448" s="14">
        <f t="shared" si="72"/>
        <v>412</v>
      </c>
      <c r="B448" s="21" t="s">
        <v>405</v>
      </c>
      <c r="C448" s="15" t="s">
        <v>3</v>
      </c>
      <c r="D448" s="21" t="s">
        <v>56</v>
      </c>
      <c r="E448" s="21"/>
      <c r="F448" s="69" t="s">
        <v>6</v>
      </c>
      <c r="G448" s="9">
        <v>23377</v>
      </c>
      <c r="H448" s="26">
        <v>2835</v>
      </c>
      <c r="I448" s="17">
        <v>0</v>
      </c>
      <c r="J448" s="17">
        <f t="shared" si="76"/>
        <v>2693.25</v>
      </c>
      <c r="K448" s="17">
        <f t="shared" si="68"/>
        <v>141.75</v>
      </c>
      <c r="L448" s="23">
        <f t="shared" si="75"/>
        <v>141.75</v>
      </c>
      <c r="M448" s="23">
        <v>30</v>
      </c>
      <c r="N448" s="18">
        <f t="shared" si="69"/>
        <v>56.290410958904111</v>
      </c>
      <c r="O448" s="23">
        <v>2693.25</v>
      </c>
      <c r="P448" s="18">
        <f t="shared" si="70"/>
        <v>57.290410958904111</v>
      </c>
      <c r="Q448" s="18">
        <f t="shared" si="74"/>
        <v>0</v>
      </c>
      <c r="R448" s="18">
        <f t="shared" si="71"/>
        <v>2693.25</v>
      </c>
      <c r="S448" s="18">
        <f t="shared" si="77"/>
        <v>141.75</v>
      </c>
    </row>
    <row r="449" spans="1:19" ht="15" customHeight="1" x14ac:dyDescent="0.2">
      <c r="A449" s="14">
        <f t="shared" si="72"/>
        <v>413</v>
      </c>
      <c r="B449" s="21" t="s">
        <v>406</v>
      </c>
      <c r="C449" s="15" t="s">
        <v>3</v>
      </c>
      <c r="D449" s="21" t="s">
        <v>56</v>
      </c>
      <c r="E449" s="21"/>
      <c r="F449" s="69" t="s">
        <v>4</v>
      </c>
      <c r="G449" s="9">
        <v>23377</v>
      </c>
      <c r="H449" s="26">
        <v>2828</v>
      </c>
      <c r="I449" s="17">
        <v>0</v>
      </c>
      <c r="J449" s="17">
        <f t="shared" si="76"/>
        <v>2686.6</v>
      </c>
      <c r="K449" s="17">
        <f t="shared" si="68"/>
        <v>141.40000000000009</v>
      </c>
      <c r="L449" s="23">
        <f t="shared" si="75"/>
        <v>141.4</v>
      </c>
      <c r="M449" s="23">
        <v>30</v>
      </c>
      <c r="N449" s="18">
        <f t="shared" si="69"/>
        <v>56.290410958904111</v>
      </c>
      <c r="O449" s="23">
        <v>2686.6</v>
      </c>
      <c r="P449" s="18">
        <f t="shared" si="70"/>
        <v>57.290410958904111</v>
      </c>
      <c r="Q449" s="18">
        <f t="shared" si="74"/>
        <v>2.8421709430404009E-15</v>
      </c>
      <c r="R449" s="18">
        <f t="shared" si="71"/>
        <v>2686.6</v>
      </c>
      <c r="S449" s="18">
        <f t="shared" si="77"/>
        <v>141.40000000000009</v>
      </c>
    </row>
    <row r="450" spans="1:19" ht="15" customHeight="1" x14ac:dyDescent="0.2">
      <c r="A450" s="14">
        <f t="shared" si="72"/>
        <v>414</v>
      </c>
      <c r="B450" s="21" t="s">
        <v>407</v>
      </c>
      <c r="C450" s="15" t="s">
        <v>3</v>
      </c>
      <c r="D450" s="21" t="s">
        <v>56</v>
      </c>
      <c r="E450" s="21"/>
      <c r="F450" s="69" t="s">
        <v>4</v>
      </c>
      <c r="G450" s="9">
        <v>23377</v>
      </c>
      <c r="H450" s="26">
        <v>2624</v>
      </c>
      <c r="I450" s="17">
        <v>0</v>
      </c>
      <c r="J450" s="17">
        <f t="shared" si="76"/>
        <v>2492.8000000000002</v>
      </c>
      <c r="K450" s="17">
        <f t="shared" si="68"/>
        <v>131.19999999999982</v>
      </c>
      <c r="L450" s="23">
        <f t="shared" si="75"/>
        <v>131.20000000000002</v>
      </c>
      <c r="M450" s="23">
        <v>30</v>
      </c>
      <c r="N450" s="18">
        <f t="shared" si="69"/>
        <v>56.290410958904111</v>
      </c>
      <c r="O450" s="23">
        <v>2492.8000000000002</v>
      </c>
      <c r="P450" s="18">
        <f t="shared" si="70"/>
        <v>57.290410958904111</v>
      </c>
      <c r="Q450" s="18">
        <f t="shared" si="74"/>
        <v>-6.6317322004276018E-15</v>
      </c>
      <c r="R450" s="18">
        <f t="shared" si="71"/>
        <v>2492.8000000000002</v>
      </c>
      <c r="S450" s="18">
        <f t="shared" si="77"/>
        <v>131.19999999999982</v>
      </c>
    </row>
    <row r="451" spans="1:19" ht="15" customHeight="1" x14ac:dyDescent="0.2">
      <c r="A451" s="14">
        <f t="shared" si="72"/>
        <v>415</v>
      </c>
      <c r="B451" s="21" t="s">
        <v>400</v>
      </c>
      <c r="C451" s="15" t="s">
        <v>3</v>
      </c>
      <c r="D451" s="21" t="s">
        <v>56</v>
      </c>
      <c r="E451" s="21"/>
      <c r="F451" s="69" t="s">
        <v>4</v>
      </c>
      <c r="G451" s="9">
        <v>23377</v>
      </c>
      <c r="H451" s="26">
        <v>2001</v>
      </c>
      <c r="I451" s="17">
        <v>0</v>
      </c>
      <c r="J451" s="17">
        <f t="shared" si="76"/>
        <v>1900.95</v>
      </c>
      <c r="K451" s="17">
        <f t="shared" si="68"/>
        <v>100.04999999999995</v>
      </c>
      <c r="L451" s="23">
        <f t="shared" si="75"/>
        <v>100.05000000000001</v>
      </c>
      <c r="M451" s="23">
        <v>30</v>
      </c>
      <c r="N451" s="18">
        <f t="shared" si="69"/>
        <v>56.290410958904111</v>
      </c>
      <c r="O451" s="23">
        <v>1900.95</v>
      </c>
      <c r="P451" s="18">
        <f t="shared" si="70"/>
        <v>57.290410958904111</v>
      </c>
      <c r="Q451" s="18">
        <f t="shared" si="74"/>
        <v>-1.8947806286936005E-15</v>
      </c>
      <c r="R451" s="18">
        <f t="shared" si="71"/>
        <v>1900.95</v>
      </c>
      <c r="S451" s="18">
        <f t="shared" si="77"/>
        <v>100.04999999999995</v>
      </c>
    </row>
    <row r="452" spans="1:19" ht="15" customHeight="1" x14ac:dyDescent="0.2">
      <c r="A452" s="14">
        <f t="shared" si="72"/>
        <v>416</v>
      </c>
      <c r="B452" s="21" t="s">
        <v>408</v>
      </c>
      <c r="C452" s="15" t="s">
        <v>3</v>
      </c>
      <c r="D452" s="21" t="s">
        <v>56</v>
      </c>
      <c r="E452" s="21"/>
      <c r="F452" s="69" t="s">
        <v>4</v>
      </c>
      <c r="G452" s="9">
        <v>23377</v>
      </c>
      <c r="H452" s="26">
        <v>1267</v>
      </c>
      <c r="I452" s="17">
        <v>0</v>
      </c>
      <c r="J452" s="17">
        <f t="shared" si="76"/>
        <v>1203.6500000000001</v>
      </c>
      <c r="K452" s="17">
        <f t="shared" si="68"/>
        <v>63.349999999999909</v>
      </c>
      <c r="L452" s="23">
        <f t="shared" si="75"/>
        <v>63.35</v>
      </c>
      <c r="M452" s="23">
        <v>30</v>
      </c>
      <c r="N452" s="18">
        <f t="shared" si="69"/>
        <v>56.290410958904111</v>
      </c>
      <c r="O452" s="23">
        <v>1203.6500000000001</v>
      </c>
      <c r="P452" s="18">
        <f t="shared" si="70"/>
        <v>57.290410958904111</v>
      </c>
      <c r="Q452" s="18">
        <f t="shared" si="74"/>
        <v>-3.0790185216271009E-15</v>
      </c>
      <c r="R452" s="18">
        <f t="shared" si="71"/>
        <v>1203.6500000000001</v>
      </c>
      <c r="S452" s="18">
        <f t="shared" si="77"/>
        <v>63.349999999999909</v>
      </c>
    </row>
    <row r="453" spans="1:19" ht="15" customHeight="1" x14ac:dyDescent="0.2">
      <c r="A453" s="14">
        <f t="shared" si="72"/>
        <v>417</v>
      </c>
      <c r="B453" s="21" t="s">
        <v>409</v>
      </c>
      <c r="C453" s="15" t="s">
        <v>3</v>
      </c>
      <c r="D453" s="21" t="s">
        <v>56</v>
      </c>
      <c r="E453" s="21"/>
      <c r="F453" s="69" t="s">
        <v>4</v>
      </c>
      <c r="G453" s="9">
        <v>23377</v>
      </c>
      <c r="H453" s="26">
        <v>1071</v>
      </c>
      <c r="I453" s="17">
        <v>0</v>
      </c>
      <c r="J453" s="17">
        <f t="shared" si="76"/>
        <v>1017.45</v>
      </c>
      <c r="K453" s="17">
        <f t="shared" si="68"/>
        <v>53.549999999999955</v>
      </c>
      <c r="L453" s="23">
        <f t="shared" si="75"/>
        <v>53.550000000000004</v>
      </c>
      <c r="M453" s="23">
        <v>30</v>
      </c>
      <c r="N453" s="18">
        <f t="shared" si="69"/>
        <v>56.290410958904111</v>
      </c>
      <c r="O453" s="23">
        <v>1017.45</v>
      </c>
      <c r="P453" s="18">
        <f t="shared" si="70"/>
        <v>57.290410958904111</v>
      </c>
      <c r="Q453" s="18">
        <f t="shared" si="74"/>
        <v>-1.6579330501069005E-15</v>
      </c>
      <c r="R453" s="18">
        <f t="shared" si="71"/>
        <v>1017.45</v>
      </c>
      <c r="S453" s="18">
        <f t="shared" si="77"/>
        <v>53.549999999999955</v>
      </c>
    </row>
    <row r="454" spans="1:19" ht="15" customHeight="1" x14ac:dyDescent="0.2">
      <c r="A454" s="14">
        <f t="shared" si="72"/>
        <v>418</v>
      </c>
      <c r="B454" s="21" t="s">
        <v>410</v>
      </c>
      <c r="C454" s="15" t="s">
        <v>3</v>
      </c>
      <c r="D454" s="21" t="s">
        <v>56</v>
      </c>
      <c r="E454" s="21"/>
      <c r="F454" s="69" t="s">
        <v>4</v>
      </c>
      <c r="G454" s="9">
        <v>23377</v>
      </c>
      <c r="H454" s="26">
        <v>1050</v>
      </c>
      <c r="I454" s="17">
        <v>0</v>
      </c>
      <c r="J454" s="17">
        <f t="shared" si="76"/>
        <v>997.5</v>
      </c>
      <c r="K454" s="17">
        <f t="shared" si="68"/>
        <v>52.5</v>
      </c>
      <c r="L454" s="23">
        <f t="shared" si="75"/>
        <v>52.5</v>
      </c>
      <c r="M454" s="23">
        <v>30</v>
      </c>
      <c r="N454" s="18">
        <f t="shared" si="69"/>
        <v>56.290410958904111</v>
      </c>
      <c r="O454" s="23">
        <v>997.5</v>
      </c>
      <c r="P454" s="18">
        <f t="shared" si="70"/>
        <v>57.290410958904111</v>
      </c>
      <c r="Q454" s="18">
        <f t="shared" si="74"/>
        <v>0</v>
      </c>
      <c r="R454" s="18">
        <f t="shared" si="71"/>
        <v>997.5</v>
      </c>
      <c r="S454" s="18">
        <f t="shared" si="77"/>
        <v>52.5</v>
      </c>
    </row>
    <row r="455" spans="1:19" ht="15" customHeight="1" x14ac:dyDescent="0.2">
      <c r="A455" s="14">
        <f t="shared" si="72"/>
        <v>419</v>
      </c>
      <c r="B455" s="21" t="s">
        <v>411</v>
      </c>
      <c r="C455" s="15" t="s">
        <v>3</v>
      </c>
      <c r="D455" s="21" t="s">
        <v>56</v>
      </c>
      <c r="E455" s="21"/>
      <c r="F455" s="69" t="s">
        <v>4</v>
      </c>
      <c r="G455" s="9">
        <v>23377</v>
      </c>
      <c r="H455" s="26">
        <v>839</v>
      </c>
      <c r="I455" s="17">
        <v>0</v>
      </c>
      <c r="J455" s="17">
        <f t="shared" si="76"/>
        <v>797.05</v>
      </c>
      <c r="K455" s="17">
        <f t="shared" si="68"/>
        <v>41.950000000000045</v>
      </c>
      <c r="L455" s="23">
        <f t="shared" si="75"/>
        <v>41.95</v>
      </c>
      <c r="M455" s="23">
        <v>30</v>
      </c>
      <c r="N455" s="18">
        <f t="shared" si="69"/>
        <v>56.290410958904111</v>
      </c>
      <c r="O455" s="23">
        <v>797.05</v>
      </c>
      <c r="P455" s="18">
        <f t="shared" si="70"/>
        <v>57.290410958904111</v>
      </c>
      <c r="Q455" s="18">
        <f t="shared" si="74"/>
        <v>1.4210854715202005E-15</v>
      </c>
      <c r="R455" s="18">
        <f t="shared" si="71"/>
        <v>797.05</v>
      </c>
      <c r="S455" s="18">
        <f>+IF(N455&gt;P455,0,L455)</f>
        <v>41.95</v>
      </c>
    </row>
    <row r="456" spans="1:19" ht="15" customHeight="1" x14ac:dyDescent="0.2">
      <c r="A456" s="14">
        <f t="shared" si="72"/>
        <v>420</v>
      </c>
      <c r="B456" s="21" t="s">
        <v>412</v>
      </c>
      <c r="C456" s="15" t="s">
        <v>3</v>
      </c>
      <c r="D456" s="21" t="s">
        <v>56</v>
      </c>
      <c r="E456" s="21"/>
      <c r="F456" s="69" t="s">
        <v>4</v>
      </c>
      <c r="G456" s="9">
        <v>23377</v>
      </c>
      <c r="H456" s="26">
        <v>284</v>
      </c>
      <c r="I456" s="17">
        <v>0</v>
      </c>
      <c r="J456" s="17">
        <f t="shared" si="76"/>
        <v>269.8</v>
      </c>
      <c r="K456" s="17">
        <f t="shared" si="68"/>
        <v>14.199999999999989</v>
      </c>
      <c r="L456" s="23">
        <f t="shared" si="75"/>
        <v>14.200000000000001</v>
      </c>
      <c r="M456" s="23">
        <v>30</v>
      </c>
      <c r="N456" s="18">
        <f t="shared" si="69"/>
        <v>56.290410958904111</v>
      </c>
      <c r="O456" s="23">
        <v>269.8</v>
      </c>
      <c r="P456" s="18">
        <f t="shared" si="70"/>
        <v>57.290410958904111</v>
      </c>
      <c r="Q456" s="18">
        <f t="shared" si="74"/>
        <v>-4.1448326252672511E-16</v>
      </c>
      <c r="R456" s="18">
        <f t="shared" si="71"/>
        <v>269.8</v>
      </c>
      <c r="S456" s="18">
        <f>H456-R456</f>
        <v>14.199999999999989</v>
      </c>
    </row>
    <row r="457" spans="1:19" ht="15" customHeight="1" x14ac:dyDescent="0.2">
      <c r="A457" s="14">
        <f t="shared" si="72"/>
        <v>421</v>
      </c>
      <c r="B457" s="21" t="s">
        <v>413</v>
      </c>
      <c r="C457" s="15" t="s">
        <v>3</v>
      </c>
      <c r="D457" s="21" t="s">
        <v>56</v>
      </c>
      <c r="E457" s="21"/>
      <c r="F457" s="69" t="s">
        <v>6</v>
      </c>
      <c r="G457" s="9">
        <v>23012</v>
      </c>
      <c r="H457" s="26">
        <v>27800</v>
      </c>
      <c r="I457" s="17">
        <v>0</v>
      </c>
      <c r="J457" s="17">
        <f t="shared" si="76"/>
        <v>26410</v>
      </c>
      <c r="K457" s="17">
        <f t="shared" si="68"/>
        <v>1390</v>
      </c>
      <c r="L457" s="23">
        <f t="shared" si="75"/>
        <v>1390</v>
      </c>
      <c r="M457" s="23">
        <v>30</v>
      </c>
      <c r="N457" s="18">
        <f t="shared" si="69"/>
        <v>57.290410958904111</v>
      </c>
      <c r="O457" s="23">
        <v>26410</v>
      </c>
      <c r="P457" s="18">
        <f t="shared" si="70"/>
        <v>58.290410958904111</v>
      </c>
      <c r="Q457" s="18">
        <f t="shared" si="74"/>
        <v>0</v>
      </c>
      <c r="R457" s="18">
        <f t="shared" si="71"/>
        <v>26410</v>
      </c>
      <c r="S457" s="18">
        <f>H457-R457</f>
        <v>1390</v>
      </c>
    </row>
    <row r="458" spans="1:19" ht="15" customHeight="1" x14ac:dyDescent="0.2">
      <c r="A458" s="14">
        <f t="shared" si="72"/>
        <v>422</v>
      </c>
      <c r="B458" s="21" t="s">
        <v>414</v>
      </c>
      <c r="C458" s="15" t="s">
        <v>3</v>
      </c>
      <c r="D458" s="21" t="s">
        <v>56</v>
      </c>
      <c r="E458" s="21"/>
      <c r="F458" s="69" t="s">
        <v>4</v>
      </c>
      <c r="G458" s="9">
        <v>23012</v>
      </c>
      <c r="H458" s="26">
        <v>5621</v>
      </c>
      <c r="I458" s="17">
        <v>0</v>
      </c>
      <c r="J458" s="17">
        <f t="shared" si="76"/>
        <v>5339.95</v>
      </c>
      <c r="K458" s="17">
        <f t="shared" si="68"/>
        <v>281.05000000000018</v>
      </c>
      <c r="L458" s="23">
        <f t="shared" si="75"/>
        <v>281.05</v>
      </c>
      <c r="M458" s="23">
        <v>30</v>
      </c>
      <c r="N458" s="18">
        <f t="shared" si="69"/>
        <v>57.290410958904111</v>
      </c>
      <c r="O458" s="23">
        <v>5339.95</v>
      </c>
      <c r="P458" s="18">
        <f t="shared" si="70"/>
        <v>58.290410958904111</v>
      </c>
      <c r="Q458" s="18">
        <f t="shared" si="74"/>
        <v>5.6843418860808018E-15</v>
      </c>
      <c r="R458" s="18">
        <f t="shared" si="71"/>
        <v>5339.95</v>
      </c>
      <c r="S458" s="18">
        <f>H458-R458</f>
        <v>281.05000000000018</v>
      </c>
    </row>
    <row r="459" spans="1:19" ht="15" customHeight="1" x14ac:dyDescent="0.2">
      <c r="A459" s="14">
        <f t="shared" si="72"/>
        <v>423</v>
      </c>
      <c r="B459" s="21" t="s">
        <v>402</v>
      </c>
      <c r="C459" s="15" t="s">
        <v>3</v>
      </c>
      <c r="D459" s="21" t="s">
        <v>56</v>
      </c>
      <c r="E459" s="21"/>
      <c r="F459" s="69" t="s">
        <v>10</v>
      </c>
      <c r="G459" s="9">
        <v>23012</v>
      </c>
      <c r="H459" s="26">
        <v>3493</v>
      </c>
      <c r="I459" s="17">
        <v>0</v>
      </c>
      <c r="J459" s="17">
        <f t="shared" si="76"/>
        <v>3318.35</v>
      </c>
      <c r="K459" s="17">
        <f t="shared" si="68"/>
        <v>174.65000000000009</v>
      </c>
      <c r="L459" s="23">
        <f t="shared" si="75"/>
        <v>174.65</v>
      </c>
      <c r="M459" s="23">
        <v>30</v>
      </c>
      <c r="N459" s="18">
        <f t="shared" si="69"/>
        <v>57.290410958904111</v>
      </c>
      <c r="O459" s="23">
        <v>3318.35</v>
      </c>
      <c r="P459" s="18">
        <f t="shared" si="70"/>
        <v>58.290410958904111</v>
      </c>
      <c r="Q459" s="18">
        <f t="shared" si="74"/>
        <v>2.8421709430404009E-15</v>
      </c>
      <c r="R459" s="18">
        <f t="shared" si="71"/>
        <v>3318.35</v>
      </c>
      <c r="S459" s="18">
        <f>H459-R459</f>
        <v>174.65000000000009</v>
      </c>
    </row>
    <row r="460" spans="1:19" ht="15" customHeight="1" x14ac:dyDescent="0.2">
      <c r="A460" s="14">
        <f t="shared" si="72"/>
        <v>424</v>
      </c>
      <c r="B460" s="21" t="s">
        <v>415</v>
      </c>
      <c r="C460" s="15" t="s">
        <v>3</v>
      </c>
      <c r="D460" s="21" t="s">
        <v>56</v>
      </c>
      <c r="E460" s="21"/>
      <c r="F460" s="69" t="s">
        <v>4</v>
      </c>
      <c r="G460" s="9">
        <v>23012</v>
      </c>
      <c r="H460" s="26">
        <v>3129</v>
      </c>
      <c r="I460" s="17">
        <v>0</v>
      </c>
      <c r="J460" s="17">
        <f t="shared" si="76"/>
        <v>2972.55</v>
      </c>
      <c r="K460" s="17">
        <f t="shared" si="68"/>
        <v>156.44999999999982</v>
      </c>
      <c r="L460" s="23">
        <f t="shared" si="75"/>
        <v>156.45000000000002</v>
      </c>
      <c r="M460" s="23">
        <v>30</v>
      </c>
      <c r="N460" s="18">
        <f t="shared" si="69"/>
        <v>57.290410958904111</v>
      </c>
      <c r="O460" s="23">
        <v>2972.55</v>
      </c>
      <c r="P460" s="18">
        <f t="shared" si="70"/>
        <v>58.290410958904111</v>
      </c>
      <c r="Q460" s="18">
        <f t="shared" si="74"/>
        <v>-6.6317322004276018E-15</v>
      </c>
      <c r="R460" s="18">
        <f t="shared" si="71"/>
        <v>2972.55</v>
      </c>
      <c r="S460" s="18">
        <f>H460-R460</f>
        <v>156.44999999999982</v>
      </c>
    </row>
    <row r="461" spans="1:19" ht="15" customHeight="1" x14ac:dyDescent="0.2">
      <c r="A461" s="14">
        <f t="shared" si="72"/>
        <v>425</v>
      </c>
      <c r="B461" s="21" t="s">
        <v>416</v>
      </c>
      <c r="C461" s="15" t="s">
        <v>3</v>
      </c>
      <c r="D461" s="21" t="s">
        <v>56</v>
      </c>
      <c r="E461" s="21"/>
      <c r="F461" s="69" t="s">
        <v>4</v>
      </c>
      <c r="G461" s="9">
        <v>23012</v>
      </c>
      <c r="H461" s="26">
        <v>1743</v>
      </c>
      <c r="I461" s="17">
        <v>0</v>
      </c>
      <c r="J461" s="17">
        <f t="shared" si="76"/>
        <v>1655.85</v>
      </c>
      <c r="K461" s="17">
        <f t="shared" si="68"/>
        <v>87.150000000000091</v>
      </c>
      <c r="L461" s="23">
        <f t="shared" si="75"/>
        <v>87.15</v>
      </c>
      <c r="M461" s="23">
        <v>30</v>
      </c>
      <c r="N461" s="18">
        <f t="shared" si="69"/>
        <v>57.290410958904111</v>
      </c>
      <c r="O461" s="23">
        <v>1655.85</v>
      </c>
      <c r="P461" s="18">
        <f t="shared" si="70"/>
        <v>58.290410958904111</v>
      </c>
      <c r="Q461" s="18">
        <f t="shared" si="74"/>
        <v>2.8421709430404009E-15</v>
      </c>
      <c r="R461" s="18">
        <f t="shared" si="71"/>
        <v>1655.85</v>
      </c>
      <c r="S461" s="18">
        <f>+IF(N461&gt;P461,0,L461)</f>
        <v>87.15</v>
      </c>
    </row>
    <row r="462" spans="1:19" ht="15" customHeight="1" x14ac:dyDescent="0.2">
      <c r="A462" s="14">
        <f t="shared" si="72"/>
        <v>426</v>
      </c>
      <c r="B462" s="21" t="s">
        <v>403</v>
      </c>
      <c r="C462" s="15" t="s">
        <v>3</v>
      </c>
      <c r="D462" s="21" t="s">
        <v>56</v>
      </c>
      <c r="E462" s="21"/>
      <c r="F462" s="69" t="s">
        <v>4</v>
      </c>
      <c r="G462" s="9">
        <v>23012</v>
      </c>
      <c r="H462" s="26">
        <v>1212</v>
      </c>
      <c r="I462" s="17">
        <v>0</v>
      </c>
      <c r="J462" s="17">
        <f t="shared" si="76"/>
        <v>1151.4000000000001</v>
      </c>
      <c r="K462" s="17">
        <f t="shared" si="68"/>
        <v>60.599999999999909</v>
      </c>
      <c r="L462" s="23">
        <f t="shared" si="75"/>
        <v>60.6</v>
      </c>
      <c r="M462" s="23">
        <v>30</v>
      </c>
      <c r="N462" s="18">
        <f t="shared" si="69"/>
        <v>57.290410958904111</v>
      </c>
      <c r="O462" s="23">
        <v>1151.4000000000001</v>
      </c>
      <c r="P462" s="18">
        <f t="shared" si="70"/>
        <v>58.290410958904111</v>
      </c>
      <c r="Q462" s="18">
        <f t="shared" si="74"/>
        <v>-3.0790185216271009E-15</v>
      </c>
      <c r="R462" s="18">
        <f t="shared" si="71"/>
        <v>1151.4000000000001</v>
      </c>
      <c r="S462" s="18">
        <f t="shared" ref="S462:S467" si="78">H462-R462</f>
        <v>60.599999999999909</v>
      </c>
    </row>
    <row r="463" spans="1:19" ht="15" customHeight="1" x14ac:dyDescent="0.2">
      <c r="A463" s="14">
        <f t="shared" si="72"/>
        <v>427</v>
      </c>
      <c r="B463" s="21" t="s">
        <v>417</v>
      </c>
      <c r="C463" s="15" t="s">
        <v>3</v>
      </c>
      <c r="D463" s="21" t="s">
        <v>56</v>
      </c>
      <c r="E463" s="21"/>
      <c r="F463" s="69" t="s">
        <v>4</v>
      </c>
      <c r="G463" s="9">
        <v>23012</v>
      </c>
      <c r="H463" s="26">
        <v>1022</v>
      </c>
      <c r="I463" s="17">
        <v>0</v>
      </c>
      <c r="J463" s="17">
        <f t="shared" si="76"/>
        <v>970.9</v>
      </c>
      <c r="K463" s="17">
        <f t="shared" si="68"/>
        <v>51.100000000000023</v>
      </c>
      <c r="L463" s="23">
        <f t="shared" si="75"/>
        <v>51.1</v>
      </c>
      <c r="M463" s="23">
        <v>30</v>
      </c>
      <c r="N463" s="18">
        <f t="shared" si="69"/>
        <v>57.290410958904111</v>
      </c>
      <c r="O463" s="23">
        <v>970.9</v>
      </c>
      <c r="P463" s="18">
        <f t="shared" si="70"/>
        <v>58.290410958904111</v>
      </c>
      <c r="Q463" s="18">
        <f t="shared" si="74"/>
        <v>7.1054273576010023E-16</v>
      </c>
      <c r="R463" s="18">
        <f t="shared" si="71"/>
        <v>970.9</v>
      </c>
      <c r="S463" s="18">
        <f t="shared" si="78"/>
        <v>51.100000000000023</v>
      </c>
    </row>
    <row r="464" spans="1:19" ht="15" customHeight="1" x14ac:dyDescent="0.2">
      <c r="A464" s="14">
        <f t="shared" si="72"/>
        <v>428</v>
      </c>
      <c r="B464" s="21" t="s">
        <v>418</v>
      </c>
      <c r="C464" s="15" t="s">
        <v>3</v>
      </c>
      <c r="D464" s="21" t="s">
        <v>56</v>
      </c>
      <c r="E464" s="21"/>
      <c r="F464" s="69" t="s">
        <v>10</v>
      </c>
      <c r="G464" s="9">
        <v>23012</v>
      </c>
      <c r="H464" s="26">
        <v>820</v>
      </c>
      <c r="I464" s="17">
        <v>0</v>
      </c>
      <c r="J464" s="17">
        <f t="shared" si="76"/>
        <v>779</v>
      </c>
      <c r="K464" s="17">
        <f t="shared" si="68"/>
        <v>41</v>
      </c>
      <c r="L464" s="23">
        <f t="shared" si="75"/>
        <v>41</v>
      </c>
      <c r="M464" s="23">
        <v>30</v>
      </c>
      <c r="N464" s="18">
        <f t="shared" si="69"/>
        <v>57.290410958904111</v>
      </c>
      <c r="O464" s="23">
        <v>779</v>
      </c>
      <c r="P464" s="18">
        <f t="shared" si="70"/>
        <v>58.290410958904111</v>
      </c>
      <c r="Q464" s="18">
        <f t="shared" si="74"/>
        <v>0</v>
      </c>
      <c r="R464" s="18">
        <f t="shared" si="71"/>
        <v>779</v>
      </c>
      <c r="S464" s="18">
        <f t="shared" si="78"/>
        <v>41</v>
      </c>
    </row>
    <row r="465" spans="1:19" ht="15" customHeight="1" x14ac:dyDescent="0.2">
      <c r="A465" s="14">
        <f t="shared" si="72"/>
        <v>429</v>
      </c>
      <c r="B465" s="21" t="s">
        <v>229</v>
      </c>
      <c r="C465" s="15" t="s">
        <v>3</v>
      </c>
      <c r="D465" s="21" t="s">
        <v>56</v>
      </c>
      <c r="E465" s="21"/>
      <c r="F465" s="69" t="s">
        <v>4</v>
      </c>
      <c r="G465" s="9">
        <v>31778</v>
      </c>
      <c r="H465" s="26">
        <v>11873</v>
      </c>
      <c r="I465" s="17">
        <v>0</v>
      </c>
      <c r="J465" s="17">
        <f t="shared" si="76"/>
        <v>11279.35</v>
      </c>
      <c r="K465" s="17">
        <f t="shared" si="68"/>
        <v>593.64999999999964</v>
      </c>
      <c r="L465" s="23">
        <f t="shared" si="75"/>
        <v>593.65</v>
      </c>
      <c r="M465" s="23">
        <v>5</v>
      </c>
      <c r="N465" s="18">
        <f t="shared" si="69"/>
        <v>33.273972602739725</v>
      </c>
      <c r="O465" s="23">
        <v>11279.35</v>
      </c>
      <c r="P465" s="18">
        <f t="shared" si="70"/>
        <v>34.273972602739725</v>
      </c>
      <c r="Q465" s="18">
        <f t="shared" si="74"/>
        <v>-6.8212102632969628E-14</v>
      </c>
      <c r="R465" s="18">
        <f t="shared" si="71"/>
        <v>11279.35</v>
      </c>
      <c r="S465" s="18">
        <f t="shared" si="78"/>
        <v>593.64999999999964</v>
      </c>
    </row>
    <row r="466" spans="1:19" ht="15" customHeight="1" x14ac:dyDescent="0.2">
      <c r="A466" s="14">
        <f t="shared" si="72"/>
        <v>430</v>
      </c>
      <c r="B466" s="21" t="s">
        <v>419</v>
      </c>
      <c r="C466" s="15" t="s">
        <v>3</v>
      </c>
      <c r="D466" s="21" t="s">
        <v>56</v>
      </c>
      <c r="E466" s="21"/>
      <c r="F466" s="69" t="s">
        <v>4</v>
      </c>
      <c r="G466" s="9">
        <v>22647</v>
      </c>
      <c r="H466" s="26">
        <v>21595</v>
      </c>
      <c r="I466" s="17">
        <v>0</v>
      </c>
      <c r="J466" s="17">
        <f t="shared" si="76"/>
        <v>20515.25</v>
      </c>
      <c r="K466" s="17">
        <f t="shared" si="68"/>
        <v>1079.75</v>
      </c>
      <c r="L466" s="23">
        <f t="shared" si="75"/>
        <v>1079.75</v>
      </c>
      <c r="M466" s="23">
        <v>30</v>
      </c>
      <c r="N466" s="18">
        <f t="shared" si="69"/>
        <v>58.290410958904111</v>
      </c>
      <c r="O466" s="23">
        <v>20515.25</v>
      </c>
      <c r="P466" s="18">
        <f t="shared" si="70"/>
        <v>59.290410958904111</v>
      </c>
      <c r="Q466" s="18">
        <f t="shared" si="74"/>
        <v>0</v>
      </c>
      <c r="R466" s="18">
        <f t="shared" si="71"/>
        <v>20515.25</v>
      </c>
      <c r="S466" s="18">
        <f t="shared" si="78"/>
        <v>1079.75</v>
      </c>
    </row>
    <row r="467" spans="1:19" ht="15" customHeight="1" x14ac:dyDescent="0.2">
      <c r="A467" s="14">
        <f t="shared" si="72"/>
        <v>431</v>
      </c>
      <c r="B467" s="21" t="s">
        <v>420</v>
      </c>
      <c r="C467" s="15" t="s">
        <v>3</v>
      </c>
      <c r="D467" s="21" t="s">
        <v>56</v>
      </c>
      <c r="E467" s="21"/>
      <c r="F467" s="69" t="s">
        <v>6</v>
      </c>
      <c r="G467" s="9">
        <v>22647</v>
      </c>
      <c r="H467" s="26">
        <v>14140</v>
      </c>
      <c r="I467" s="17">
        <v>0</v>
      </c>
      <c r="J467" s="17">
        <f t="shared" si="76"/>
        <v>13433</v>
      </c>
      <c r="K467" s="17">
        <f t="shared" si="68"/>
        <v>707</v>
      </c>
      <c r="L467" s="23">
        <f t="shared" si="75"/>
        <v>707</v>
      </c>
      <c r="M467" s="23">
        <v>30</v>
      </c>
      <c r="N467" s="18">
        <f t="shared" si="69"/>
        <v>58.290410958904111</v>
      </c>
      <c r="O467" s="23">
        <v>13433</v>
      </c>
      <c r="P467" s="18">
        <f t="shared" si="70"/>
        <v>59.290410958904111</v>
      </c>
      <c r="Q467" s="18">
        <f t="shared" si="74"/>
        <v>0</v>
      </c>
      <c r="R467" s="18">
        <f t="shared" si="71"/>
        <v>13433</v>
      </c>
      <c r="S467" s="18">
        <f t="shared" si="78"/>
        <v>707</v>
      </c>
    </row>
    <row r="468" spans="1:19" ht="15" customHeight="1" x14ac:dyDescent="0.2">
      <c r="A468" s="14">
        <f t="shared" si="72"/>
        <v>432</v>
      </c>
      <c r="B468" s="21" t="s">
        <v>421</v>
      </c>
      <c r="C468" s="15" t="s">
        <v>3</v>
      </c>
      <c r="D468" s="21" t="s">
        <v>56</v>
      </c>
      <c r="E468" s="21"/>
      <c r="F468" s="69" t="s">
        <v>4</v>
      </c>
      <c r="G468" s="9">
        <v>22647</v>
      </c>
      <c r="H468" s="26">
        <v>9239</v>
      </c>
      <c r="I468" s="17">
        <v>0</v>
      </c>
      <c r="J468" s="17">
        <f t="shared" si="76"/>
        <v>8777.0499999999993</v>
      </c>
      <c r="K468" s="17">
        <f t="shared" si="68"/>
        <v>461.95000000000073</v>
      </c>
      <c r="L468" s="23">
        <f t="shared" si="75"/>
        <v>461.95000000000005</v>
      </c>
      <c r="M468" s="23">
        <v>30</v>
      </c>
      <c r="N468" s="18">
        <f t="shared" si="69"/>
        <v>58.290410958904111</v>
      </c>
      <c r="O468" s="23">
        <v>8777.0499999999993</v>
      </c>
      <c r="P468" s="18">
        <f t="shared" si="70"/>
        <v>59.290410958904111</v>
      </c>
      <c r="Q468" s="18">
        <f t="shared" si="74"/>
        <v>2.2737367544323207E-14</v>
      </c>
      <c r="R468" s="18">
        <f t="shared" si="71"/>
        <v>8777.0499999999993</v>
      </c>
      <c r="S468" s="18">
        <f>+IF(N468&gt;P468,0,L468)</f>
        <v>461.95000000000005</v>
      </c>
    </row>
    <row r="469" spans="1:19" ht="15" customHeight="1" x14ac:dyDescent="0.2">
      <c r="A469" s="14">
        <f t="shared" si="72"/>
        <v>433</v>
      </c>
      <c r="B469" s="21" t="s">
        <v>422</v>
      </c>
      <c r="C469" s="15" t="s">
        <v>3</v>
      </c>
      <c r="D469" s="21" t="s">
        <v>56</v>
      </c>
      <c r="E469" s="21"/>
      <c r="F469" s="69" t="s">
        <v>4</v>
      </c>
      <c r="G469" s="9">
        <v>22647</v>
      </c>
      <c r="H469" s="26">
        <v>6786</v>
      </c>
      <c r="I469" s="17">
        <v>0</v>
      </c>
      <c r="J469" s="17">
        <f t="shared" si="76"/>
        <v>6446.7</v>
      </c>
      <c r="K469" s="17">
        <f t="shared" si="68"/>
        <v>339.30000000000018</v>
      </c>
      <c r="L469" s="23">
        <f t="shared" si="75"/>
        <v>339.3</v>
      </c>
      <c r="M469" s="23">
        <v>30</v>
      </c>
      <c r="N469" s="18">
        <f t="shared" si="69"/>
        <v>58.290410958904111</v>
      </c>
      <c r="O469" s="23">
        <v>6446.7</v>
      </c>
      <c r="P469" s="18">
        <f t="shared" si="70"/>
        <v>59.290410958904111</v>
      </c>
      <c r="Q469" s="18">
        <f t="shared" si="74"/>
        <v>5.6843418860808018E-15</v>
      </c>
      <c r="R469" s="18">
        <f t="shared" si="71"/>
        <v>6446.7</v>
      </c>
      <c r="S469" s="18">
        <f>H469-R469</f>
        <v>339.30000000000018</v>
      </c>
    </row>
    <row r="470" spans="1:19" ht="15" customHeight="1" x14ac:dyDescent="0.2">
      <c r="A470" s="14">
        <f t="shared" si="72"/>
        <v>434</v>
      </c>
      <c r="B470" s="21" t="s">
        <v>416</v>
      </c>
      <c r="C470" s="15" t="s">
        <v>3</v>
      </c>
      <c r="D470" s="21" t="s">
        <v>56</v>
      </c>
      <c r="E470" s="21"/>
      <c r="F470" s="69" t="s">
        <v>4</v>
      </c>
      <c r="G470" s="9">
        <v>22647</v>
      </c>
      <c r="H470" s="26">
        <v>3920</v>
      </c>
      <c r="I470" s="17">
        <v>0</v>
      </c>
      <c r="J470" s="17">
        <f t="shared" si="76"/>
        <v>3724</v>
      </c>
      <c r="K470" s="17">
        <f t="shared" si="68"/>
        <v>196</v>
      </c>
      <c r="L470" s="23">
        <f t="shared" si="75"/>
        <v>196</v>
      </c>
      <c r="M470" s="23">
        <v>30</v>
      </c>
      <c r="N470" s="18">
        <f t="shared" si="69"/>
        <v>58.290410958904111</v>
      </c>
      <c r="O470" s="23">
        <v>3724</v>
      </c>
      <c r="P470" s="18">
        <f t="shared" si="70"/>
        <v>59.290410958904111</v>
      </c>
      <c r="Q470" s="18">
        <f t="shared" si="74"/>
        <v>0</v>
      </c>
      <c r="R470" s="18">
        <f t="shared" si="71"/>
        <v>3724</v>
      </c>
      <c r="S470" s="18">
        <f>H470-R470</f>
        <v>196</v>
      </c>
    </row>
    <row r="471" spans="1:19" ht="15" customHeight="1" x14ac:dyDescent="0.2">
      <c r="A471" s="14">
        <f t="shared" si="72"/>
        <v>435</v>
      </c>
      <c r="B471" s="21" t="s">
        <v>423</v>
      </c>
      <c r="C471" s="15" t="s">
        <v>3</v>
      </c>
      <c r="D471" s="21" t="s">
        <v>56</v>
      </c>
      <c r="E471" s="21"/>
      <c r="F471" s="69" t="s">
        <v>6</v>
      </c>
      <c r="G471" s="9">
        <v>22647</v>
      </c>
      <c r="H471" s="26">
        <v>3719</v>
      </c>
      <c r="I471" s="17">
        <v>0</v>
      </c>
      <c r="J471" s="17">
        <f t="shared" si="76"/>
        <v>3533.05</v>
      </c>
      <c r="K471" s="17">
        <f t="shared" si="68"/>
        <v>185.94999999999982</v>
      </c>
      <c r="L471" s="23">
        <f t="shared" si="75"/>
        <v>185.95000000000002</v>
      </c>
      <c r="M471" s="23">
        <v>30</v>
      </c>
      <c r="N471" s="18">
        <f t="shared" si="69"/>
        <v>58.290410958904111</v>
      </c>
      <c r="O471" s="23">
        <v>3533.05</v>
      </c>
      <c r="P471" s="18">
        <f t="shared" si="70"/>
        <v>59.290410958904111</v>
      </c>
      <c r="Q471" s="18">
        <f t="shared" si="74"/>
        <v>-6.6317322004276018E-15</v>
      </c>
      <c r="R471" s="18">
        <f t="shared" si="71"/>
        <v>3533.05</v>
      </c>
      <c r="S471" s="18">
        <f>H471-R471</f>
        <v>185.94999999999982</v>
      </c>
    </row>
    <row r="472" spans="1:19" ht="15" customHeight="1" x14ac:dyDescent="0.2">
      <c r="A472" s="14">
        <f t="shared" si="72"/>
        <v>436</v>
      </c>
      <c r="B472" s="21" t="s">
        <v>424</v>
      </c>
      <c r="C472" s="15" t="s">
        <v>3</v>
      </c>
      <c r="D472" s="21" t="s">
        <v>56</v>
      </c>
      <c r="E472" s="21"/>
      <c r="F472" s="69" t="s">
        <v>4</v>
      </c>
      <c r="G472" s="9">
        <v>22647</v>
      </c>
      <c r="H472" s="26">
        <v>2199</v>
      </c>
      <c r="I472" s="17">
        <v>0</v>
      </c>
      <c r="J472" s="17">
        <f t="shared" si="76"/>
        <v>2089.0500000000002</v>
      </c>
      <c r="K472" s="17">
        <f t="shared" si="68"/>
        <v>109.94999999999982</v>
      </c>
      <c r="L472" s="23">
        <f t="shared" si="75"/>
        <v>109.95</v>
      </c>
      <c r="M472" s="23">
        <v>30</v>
      </c>
      <c r="N472" s="18">
        <f t="shared" si="69"/>
        <v>58.290410958904111</v>
      </c>
      <c r="O472" s="23">
        <v>2089.0500000000002</v>
      </c>
      <c r="P472" s="18">
        <f t="shared" si="70"/>
        <v>59.290410958904111</v>
      </c>
      <c r="Q472" s="18">
        <f t="shared" si="74"/>
        <v>-6.1580370432542018E-15</v>
      </c>
      <c r="R472" s="18">
        <f t="shared" si="71"/>
        <v>2089.0500000000002</v>
      </c>
      <c r="S472" s="18">
        <f>H472-R472</f>
        <v>109.94999999999982</v>
      </c>
    </row>
    <row r="473" spans="1:19" ht="15" customHeight="1" x14ac:dyDescent="0.2">
      <c r="A473" s="14">
        <f t="shared" si="72"/>
        <v>437</v>
      </c>
      <c r="B473" s="21" t="s">
        <v>425</v>
      </c>
      <c r="C473" s="15" t="s">
        <v>3</v>
      </c>
      <c r="D473" s="21" t="s">
        <v>56</v>
      </c>
      <c r="E473" s="21"/>
      <c r="F473" s="69" t="s">
        <v>4</v>
      </c>
      <c r="G473" s="9">
        <v>22647</v>
      </c>
      <c r="H473" s="26">
        <v>1970</v>
      </c>
      <c r="I473" s="17">
        <v>0</v>
      </c>
      <c r="J473" s="17">
        <f t="shared" si="76"/>
        <v>1871.5</v>
      </c>
      <c r="K473" s="17">
        <f t="shared" si="68"/>
        <v>98.5</v>
      </c>
      <c r="L473" s="23">
        <f t="shared" si="75"/>
        <v>98.5</v>
      </c>
      <c r="M473" s="23">
        <v>30</v>
      </c>
      <c r="N473" s="18">
        <f t="shared" si="69"/>
        <v>58.290410958904111</v>
      </c>
      <c r="O473" s="23">
        <v>1871.5</v>
      </c>
      <c r="P473" s="18">
        <f t="shared" si="70"/>
        <v>59.290410958904111</v>
      </c>
      <c r="Q473" s="18">
        <f t="shared" si="74"/>
        <v>0</v>
      </c>
      <c r="R473" s="18">
        <f t="shared" si="71"/>
        <v>1871.5</v>
      </c>
      <c r="S473" s="18">
        <f>H473-R473</f>
        <v>98.5</v>
      </c>
    </row>
    <row r="474" spans="1:19" ht="15" customHeight="1" x14ac:dyDescent="0.2">
      <c r="A474" s="14">
        <f t="shared" si="72"/>
        <v>438</v>
      </c>
      <c r="B474" s="21" t="s">
        <v>426</v>
      </c>
      <c r="C474" s="15" t="s">
        <v>3</v>
      </c>
      <c r="D474" s="21" t="s">
        <v>56</v>
      </c>
      <c r="E474" s="21"/>
      <c r="F474" s="69" t="s">
        <v>13</v>
      </c>
      <c r="G474" s="9">
        <v>22647</v>
      </c>
      <c r="H474" s="26">
        <v>759</v>
      </c>
      <c r="I474" s="17">
        <v>0</v>
      </c>
      <c r="J474" s="17">
        <f t="shared" si="76"/>
        <v>721.05</v>
      </c>
      <c r="K474" s="17">
        <f t="shared" si="68"/>
        <v>37.950000000000045</v>
      </c>
      <c r="L474" s="23">
        <f t="shared" si="75"/>
        <v>37.950000000000003</v>
      </c>
      <c r="M474" s="23">
        <v>30</v>
      </c>
      <c r="N474" s="18">
        <f t="shared" si="69"/>
        <v>58.290410958904111</v>
      </c>
      <c r="O474" s="23">
        <v>721.05</v>
      </c>
      <c r="P474" s="18">
        <f t="shared" si="70"/>
        <v>59.290410958904111</v>
      </c>
      <c r="Q474" s="18">
        <f t="shared" si="74"/>
        <v>1.4210854715202005E-15</v>
      </c>
      <c r="R474" s="18">
        <f t="shared" si="71"/>
        <v>721.05</v>
      </c>
      <c r="S474" s="18">
        <f>+IF(N474&gt;P474,0,L474)</f>
        <v>37.950000000000003</v>
      </c>
    </row>
    <row r="475" spans="1:19" ht="15" customHeight="1" x14ac:dyDescent="0.2">
      <c r="A475" s="14">
        <f t="shared" si="72"/>
        <v>439</v>
      </c>
      <c r="B475" s="21" t="s">
        <v>427</v>
      </c>
      <c r="C475" s="15" t="s">
        <v>3</v>
      </c>
      <c r="D475" s="21" t="s">
        <v>56</v>
      </c>
      <c r="E475" s="21"/>
      <c r="F475" s="69" t="s">
        <v>4</v>
      </c>
      <c r="G475" s="9">
        <v>31413</v>
      </c>
      <c r="H475" s="26">
        <v>158796</v>
      </c>
      <c r="I475" s="17">
        <v>0</v>
      </c>
      <c r="J475" s="17">
        <f t="shared" si="76"/>
        <v>150856.20000000001</v>
      </c>
      <c r="K475" s="17">
        <f t="shared" si="68"/>
        <v>7939.7999999999884</v>
      </c>
      <c r="L475" s="23">
        <f t="shared" si="75"/>
        <v>7939.8</v>
      </c>
      <c r="M475" s="23">
        <v>5</v>
      </c>
      <c r="N475" s="18">
        <f t="shared" si="69"/>
        <v>34.273972602739725</v>
      </c>
      <c r="O475" s="23">
        <v>150856.20000000001</v>
      </c>
      <c r="P475" s="18">
        <f t="shared" si="70"/>
        <v>35.273972602739725</v>
      </c>
      <c r="Q475" s="18">
        <f t="shared" si="74"/>
        <v>-2.3646862246096135E-12</v>
      </c>
      <c r="R475" s="18">
        <f t="shared" si="71"/>
        <v>150856.20000000001</v>
      </c>
      <c r="S475" s="18">
        <f>H475-R475</f>
        <v>7939.7999999999884</v>
      </c>
    </row>
    <row r="476" spans="1:19" ht="15" customHeight="1" x14ac:dyDescent="0.2">
      <c r="A476" s="14">
        <f t="shared" si="72"/>
        <v>440</v>
      </c>
      <c r="B476" s="21" t="s">
        <v>428</v>
      </c>
      <c r="C476" s="15" t="s">
        <v>3</v>
      </c>
      <c r="D476" s="21" t="s">
        <v>56</v>
      </c>
      <c r="E476" s="21"/>
      <c r="F476" s="69" t="s">
        <v>4</v>
      </c>
      <c r="G476" s="9">
        <v>22282</v>
      </c>
      <c r="H476" s="26">
        <v>14002</v>
      </c>
      <c r="I476" s="17">
        <v>0</v>
      </c>
      <c r="J476" s="17">
        <f t="shared" si="76"/>
        <v>13301.9</v>
      </c>
      <c r="K476" s="17">
        <f t="shared" si="68"/>
        <v>700.10000000000036</v>
      </c>
      <c r="L476" s="23">
        <f t="shared" si="75"/>
        <v>700.1</v>
      </c>
      <c r="M476" s="23">
        <v>30</v>
      </c>
      <c r="N476" s="18">
        <f t="shared" si="69"/>
        <v>59.290410958904111</v>
      </c>
      <c r="O476" s="23">
        <v>13301.9</v>
      </c>
      <c r="P476" s="18">
        <f t="shared" si="70"/>
        <v>60.290410958904111</v>
      </c>
      <c r="Q476" s="18">
        <f t="shared" si="74"/>
        <v>1.1368683772161604E-14</v>
      </c>
      <c r="R476" s="18">
        <f t="shared" si="71"/>
        <v>13301.9</v>
      </c>
      <c r="S476" s="18">
        <f>H476-R476</f>
        <v>700.10000000000036</v>
      </c>
    </row>
    <row r="477" spans="1:19" ht="15" customHeight="1" x14ac:dyDescent="0.2">
      <c r="A477" s="14">
        <f t="shared" si="72"/>
        <v>441</v>
      </c>
      <c r="B477" s="21" t="s">
        <v>429</v>
      </c>
      <c r="C477" s="15" t="s">
        <v>3</v>
      </c>
      <c r="D477" s="21" t="s">
        <v>56</v>
      </c>
      <c r="E477" s="21"/>
      <c r="F477" s="70" t="s">
        <v>7</v>
      </c>
      <c r="G477" s="9">
        <v>22282</v>
      </c>
      <c r="H477" s="26">
        <v>11089</v>
      </c>
      <c r="I477" s="17">
        <v>0</v>
      </c>
      <c r="J477" s="17">
        <f t="shared" si="76"/>
        <v>10534.55</v>
      </c>
      <c r="K477" s="17">
        <f t="shared" si="68"/>
        <v>554.45000000000073</v>
      </c>
      <c r="L477" s="23">
        <f t="shared" si="75"/>
        <v>554.45000000000005</v>
      </c>
      <c r="M477" s="23">
        <v>30</v>
      </c>
      <c r="N477" s="18">
        <f t="shared" si="69"/>
        <v>59.290410958904111</v>
      </c>
      <c r="O477" s="23">
        <v>10534.55</v>
      </c>
      <c r="P477" s="18">
        <f t="shared" si="70"/>
        <v>60.290410958904111</v>
      </c>
      <c r="Q477" s="18">
        <f t="shared" si="74"/>
        <v>2.2737367544323207E-14</v>
      </c>
      <c r="R477" s="18">
        <f t="shared" si="71"/>
        <v>10534.55</v>
      </c>
      <c r="S477" s="18">
        <f>+IF(N477&gt;P477,0,L477)</f>
        <v>554.45000000000005</v>
      </c>
    </row>
    <row r="478" spans="1:19" ht="15" customHeight="1" x14ac:dyDescent="0.2">
      <c r="A478" s="14">
        <f t="shared" si="72"/>
        <v>442</v>
      </c>
      <c r="B478" s="21" t="s">
        <v>430</v>
      </c>
      <c r="C478" s="15" t="s">
        <v>3</v>
      </c>
      <c r="D478" s="21" t="s">
        <v>56</v>
      </c>
      <c r="E478" s="21"/>
      <c r="F478" s="69" t="s">
        <v>4</v>
      </c>
      <c r="G478" s="9">
        <v>22282</v>
      </c>
      <c r="H478" s="26">
        <v>10255</v>
      </c>
      <c r="I478" s="17">
        <v>0</v>
      </c>
      <c r="J478" s="17">
        <f t="shared" si="76"/>
        <v>9742.25</v>
      </c>
      <c r="K478" s="17">
        <f t="shared" si="68"/>
        <v>512.75</v>
      </c>
      <c r="L478" s="23">
        <f t="shared" si="75"/>
        <v>512.75</v>
      </c>
      <c r="M478" s="23">
        <v>30</v>
      </c>
      <c r="N478" s="18">
        <f t="shared" si="69"/>
        <v>59.290410958904111</v>
      </c>
      <c r="O478" s="23">
        <v>9742.25</v>
      </c>
      <c r="P478" s="18">
        <f t="shared" si="70"/>
        <v>60.290410958904111</v>
      </c>
      <c r="Q478" s="18">
        <f t="shared" si="74"/>
        <v>0</v>
      </c>
      <c r="R478" s="18">
        <f t="shared" si="71"/>
        <v>9742.25</v>
      </c>
      <c r="S478" s="18">
        <f>H478-R478</f>
        <v>512.75</v>
      </c>
    </row>
    <row r="479" spans="1:19" ht="15" customHeight="1" x14ac:dyDescent="0.2">
      <c r="A479" s="14">
        <f t="shared" si="72"/>
        <v>443</v>
      </c>
      <c r="B479" s="21" t="s">
        <v>431</v>
      </c>
      <c r="C479" s="15" t="s">
        <v>3</v>
      </c>
      <c r="D479" s="21" t="s">
        <v>56</v>
      </c>
      <c r="E479" s="21"/>
      <c r="F479" s="69" t="s">
        <v>4</v>
      </c>
      <c r="G479" s="9">
        <v>22282</v>
      </c>
      <c r="H479" s="26">
        <v>8458</v>
      </c>
      <c r="I479" s="17">
        <v>0</v>
      </c>
      <c r="J479" s="17">
        <f t="shared" si="76"/>
        <v>8035.1</v>
      </c>
      <c r="K479" s="17">
        <f t="shared" si="68"/>
        <v>422.89999999999964</v>
      </c>
      <c r="L479" s="23">
        <f t="shared" si="75"/>
        <v>422.90000000000003</v>
      </c>
      <c r="M479" s="23">
        <v>30</v>
      </c>
      <c r="N479" s="18">
        <f t="shared" si="69"/>
        <v>59.290410958904111</v>
      </c>
      <c r="O479" s="23">
        <v>8035.1</v>
      </c>
      <c r="P479" s="18">
        <f t="shared" si="70"/>
        <v>60.290410958904111</v>
      </c>
      <c r="Q479" s="18">
        <f t="shared" si="74"/>
        <v>-1.3263464400855204E-14</v>
      </c>
      <c r="R479" s="18">
        <f t="shared" si="71"/>
        <v>8035.1</v>
      </c>
      <c r="S479" s="18">
        <f>H479-R479</f>
        <v>422.89999999999964</v>
      </c>
    </row>
    <row r="480" spans="1:19" ht="15" customHeight="1" x14ac:dyDescent="0.2">
      <c r="A480" s="14">
        <f t="shared" si="72"/>
        <v>444</v>
      </c>
      <c r="B480" s="21" t="s">
        <v>432</v>
      </c>
      <c r="C480" s="15" t="s">
        <v>3</v>
      </c>
      <c r="D480" s="21" t="s">
        <v>56</v>
      </c>
      <c r="E480" s="21"/>
      <c r="F480" s="69" t="s">
        <v>13</v>
      </c>
      <c r="G480" s="9">
        <v>22282</v>
      </c>
      <c r="H480" s="26">
        <v>4785</v>
      </c>
      <c r="I480" s="17">
        <v>0</v>
      </c>
      <c r="J480" s="17">
        <f t="shared" si="76"/>
        <v>4545.75</v>
      </c>
      <c r="K480" s="17">
        <f t="shared" si="68"/>
        <v>239.25</v>
      </c>
      <c r="L480" s="23">
        <f t="shared" si="75"/>
        <v>239.25</v>
      </c>
      <c r="M480" s="23">
        <v>30</v>
      </c>
      <c r="N480" s="18">
        <f t="shared" si="69"/>
        <v>59.290410958904111</v>
      </c>
      <c r="O480" s="23">
        <v>4545.75</v>
      </c>
      <c r="P480" s="18">
        <f t="shared" si="70"/>
        <v>60.290410958904111</v>
      </c>
      <c r="Q480" s="18">
        <f t="shared" si="74"/>
        <v>0</v>
      </c>
      <c r="R480" s="18">
        <f t="shared" si="71"/>
        <v>4545.75</v>
      </c>
      <c r="S480" s="18">
        <f>H480-R480</f>
        <v>239.25</v>
      </c>
    </row>
    <row r="481" spans="1:19" ht="15" customHeight="1" x14ac:dyDescent="0.2">
      <c r="A481" s="14">
        <f t="shared" si="72"/>
        <v>445</v>
      </c>
      <c r="B481" s="21" t="s">
        <v>433</v>
      </c>
      <c r="C481" s="15" t="s">
        <v>3</v>
      </c>
      <c r="D481" s="21" t="s">
        <v>56</v>
      </c>
      <c r="E481" s="21"/>
      <c r="F481" s="69" t="s">
        <v>4</v>
      </c>
      <c r="G481" s="9">
        <v>22282</v>
      </c>
      <c r="H481" s="26">
        <v>4571</v>
      </c>
      <c r="I481" s="17">
        <v>0</v>
      </c>
      <c r="J481" s="17">
        <f t="shared" si="76"/>
        <v>4342.45</v>
      </c>
      <c r="K481" s="17">
        <f t="shared" si="68"/>
        <v>228.55000000000018</v>
      </c>
      <c r="L481" s="23">
        <f t="shared" si="75"/>
        <v>228.55</v>
      </c>
      <c r="M481" s="23">
        <v>30</v>
      </c>
      <c r="N481" s="18">
        <f t="shared" si="69"/>
        <v>59.290410958904111</v>
      </c>
      <c r="O481" s="23">
        <v>4342.45</v>
      </c>
      <c r="P481" s="18">
        <f t="shared" si="70"/>
        <v>60.290410958904111</v>
      </c>
      <c r="Q481" s="18">
        <f t="shared" si="74"/>
        <v>5.6843418860808018E-15</v>
      </c>
      <c r="R481" s="18">
        <f t="shared" si="71"/>
        <v>4342.45</v>
      </c>
      <c r="S481" s="18">
        <f>+IF(N481&gt;P481,0,L481)</f>
        <v>228.55</v>
      </c>
    </row>
    <row r="482" spans="1:19" ht="15" customHeight="1" x14ac:dyDescent="0.2">
      <c r="A482" s="14">
        <f t="shared" si="72"/>
        <v>446</v>
      </c>
      <c r="B482" s="21" t="s">
        <v>434</v>
      </c>
      <c r="C482" s="15" t="s">
        <v>3</v>
      </c>
      <c r="D482" s="21" t="s">
        <v>56</v>
      </c>
      <c r="E482" s="21"/>
      <c r="F482" s="69" t="s">
        <v>4</v>
      </c>
      <c r="G482" s="9">
        <v>31048</v>
      </c>
      <c r="H482" s="26">
        <v>16577</v>
      </c>
      <c r="I482" s="17">
        <v>0</v>
      </c>
      <c r="J482" s="17">
        <f t="shared" si="76"/>
        <v>15748.15</v>
      </c>
      <c r="K482" s="17">
        <f t="shared" si="68"/>
        <v>828.85000000000036</v>
      </c>
      <c r="L482" s="23">
        <f t="shared" si="75"/>
        <v>828.85</v>
      </c>
      <c r="M482" s="23">
        <v>5</v>
      </c>
      <c r="N482" s="18">
        <f t="shared" si="69"/>
        <v>35.273972602739725</v>
      </c>
      <c r="O482" s="23">
        <v>15748.15</v>
      </c>
      <c r="P482" s="18">
        <f t="shared" si="70"/>
        <v>36.273972602739725</v>
      </c>
      <c r="Q482" s="18">
        <f t="shared" si="74"/>
        <v>6.8212102632969628E-14</v>
      </c>
      <c r="R482" s="18">
        <f t="shared" si="71"/>
        <v>15748.15</v>
      </c>
      <c r="S482" s="18">
        <f>+IF(N482&gt;P482,0,L482)</f>
        <v>828.85</v>
      </c>
    </row>
    <row r="483" spans="1:19" ht="15" customHeight="1" x14ac:dyDescent="0.2">
      <c r="A483" s="14">
        <f t="shared" si="72"/>
        <v>447</v>
      </c>
      <c r="B483" s="21" t="s">
        <v>435</v>
      </c>
      <c r="C483" s="15" t="s">
        <v>3</v>
      </c>
      <c r="D483" s="21" t="s">
        <v>56</v>
      </c>
      <c r="E483" s="21"/>
      <c r="F483" s="69" t="s">
        <v>15</v>
      </c>
      <c r="G483" s="9">
        <v>31048</v>
      </c>
      <c r="H483" s="26">
        <v>11832</v>
      </c>
      <c r="I483" s="17">
        <v>0</v>
      </c>
      <c r="J483" s="17">
        <f t="shared" si="76"/>
        <v>11240.4</v>
      </c>
      <c r="K483" s="17">
        <f t="shared" si="68"/>
        <v>591.60000000000036</v>
      </c>
      <c r="L483" s="23">
        <f t="shared" si="75"/>
        <v>591.6</v>
      </c>
      <c r="M483" s="23">
        <v>5</v>
      </c>
      <c r="N483" s="18">
        <f t="shared" si="69"/>
        <v>35.273972602739725</v>
      </c>
      <c r="O483" s="23">
        <v>11240.4</v>
      </c>
      <c r="P483" s="18">
        <f t="shared" si="70"/>
        <v>36.273972602739725</v>
      </c>
      <c r="Q483" s="18">
        <f t="shared" si="74"/>
        <v>6.8212102632969628E-14</v>
      </c>
      <c r="R483" s="18">
        <f t="shared" si="71"/>
        <v>11240.4</v>
      </c>
      <c r="S483" s="18">
        <f>+IF(N483&gt;P483,0,L483)</f>
        <v>591.6</v>
      </c>
    </row>
    <row r="484" spans="1:19" ht="15" customHeight="1" x14ac:dyDescent="0.2">
      <c r="A484" s="14">
        <f t="shared" si="72"/>
        <v>448</v>
      </c>
      <c r="B484" s="21" t="s">
        <v>436</v>
      </c>
      <c r="C484" s="15" t="s">
        <v>3</v>
      </c>
      <c r="D484" s="21" t="s">
        <v>56</v>
      </c>
      <c r="E484" s="21"/>
      <c r="F484" s="69" t="s">
        <v>4</v>
      </c>
      <c r="G484" s="9">
        <v>21916</v>
      </c>
      <c r="H484" s="26">
        <v>22626</v>
      </c>
      <c r="I484" s="17">
        <v>0</v>
      </c>
      <c r="J484" s="17">
        <f t="shared" si="76"/>
        <v>21494.7</v>
      </c>
      <c r="K484" s="17">
        <f t="shared" si="68"/>
        <v>1131.2999999999993</v>
      </c>
      <c r="L484" s="23">
        <f t="shared" si="75"/>
        <v>1131.3</v>
      </c>
      <c r="M484" s="23">
        <v>30</v>
      </c>
      <c r="N484" s="18">
        <f t="shared" si="69"/>
        <v>60.293150684931504</v>
      </c>
      <c r="O484" s="23">
        <v>21494.7</v>
      </c>
      <c r="P484" s="18">
        <f t="shared" si="70"/>
        <v>61.293150684931504</v>
      </c>
      <c r="Q484" s="18">
        <f t="shared" si="74"/>
        <v>-2.2737367544323207E-14</v>
      </c>
      <c r="R484" s="18">
        <f t="shared" si="71"/>
        <v>21494.7</v>
      </c>
      <c r="S484" s="18">
        <f t="shared" ref="S484:S490" si="79">H484-R484</f>
        <v>1131.2999999999993</v>
      </c>
    </row>
    <row r="485" spans="1:19" ht="15" customHeight="1" x14ac:dyDescent="0.2">
      <c r="A485" s="14">
        <f t="shared" si="72"/>
        <v>449</v>
      </c>
      <c r="B485" s="21" t="s">
        <v>437</v>
      </c>
      <c r="C485" s="15" t="s">
        <v>3</v>
      </c>
      <c r="D485" s="21" t="s">
        <v>56</v>
      </c>
      <c r="E485" s="21"/>
      <c r="F485" s="69" t="s">
        <v>4</v>
      </c>
      <c r="G485" s="9">
        <v>21916</v>
      </c>
      <c r="H485" s="26">
        <v>6276</v>
      </c>
      <c r="I485" s="17">
        <v>0</v>
      </c>
      <c r="J485" s="17">
        <f t="shared" si="76"/>
        <v>5962.2</v>
      </c>
      <c r="K485" s="17">
        <f t="shared" ref="K485:K548" si="80">H485+I485-J485</f>
        <v>313.80000000000018</v>
      </c>
      <c r="L485" s="23">
        <f t="shared" si="75"/>
        <v>313.8</v>
      </c>
      <c r="M485" s="23">
        <v>30</v>
      </c>
      <c r="N485" s="18">
        <f t="shared" ref="N485:N548" si="81">IF(($N$35-G485+1)/365&gt;0,($N$35-G485+1)/365,0)</f>
        <v>60.293150684931504</v>
      </c>
      <c r="O485" s="23">
        <v>5962.2</v>
      </c>
      <c r="P485" s="18">
        <f t="shared" ref="P485:P548" si="82">($P$35-G485+1)/365</f>
        <v>61.293150684931504</v>
      </c>
      <c r="Q485" s="18">
        <f t="shared" si="74"/>
        <v>5.6843418860808018E-15</v>
      </c>
      <c r="R485" s="18">
        <f t="shared" ref="R485:R548" si="83">Q485+O485</f>
        <v>5962.2</v>
      </c>
      <c r="S485" s="18">
        <f t="shared" si="79"/>
        <v>313.80000000000018</v>
      </c>
    </row>
    <row r="486" spans="1:19" ht="15" customHeight="1" x14ac:dyDescent="0.2">
      <c r="A486" s="14">
        <f t="shared" si="72"/>
        <v>450</v>
      </c>
      <c r="B486" s="21" t="s">
        <v>438</v>
      </c>
      <c r="C486" s="15" t="s">
        <v>3</v>
      </c>
      <c r="D486" s="21" t="s">
        <v>56</v>
      </c>
      <c r="E486" s="21"/>
      <c r="F486" s="69" t="s">
        <v>4</v>
      </c>
      <c r="G486" s="9">
        <v>21916</v>
      </c>
      <c r="H486" s="26">
        <v>5548</v>
      </c>
      <c r="I486" s="17">
        <v>0</v>
      </c>
      <c r="J486" s="17">
        <f t="shared" si="76"/>
        <v>5270.6</v>
      </c>
      <c r="K486" s="17">
        <f t="shared" si="80"/>
        <v>277.39999999999964</v>
      </c>
      <c r="L486" s="23">
        <f t="shared" si="75"/>
        <v>277.40000000000003</v>
      </c>
      <c r="M486" s="23">
        <v>30</v>
      </c>
      <c r="N486" s="18">
        <f t="shared" si="81"/>
        <v>60.293150684931504</v>
      </c>
      <c r="O486" s="23">
        <v>5270.6</v>
      </c>
      <c r="P486" s="18">
        <f t="shared" si="82"/>
        <v>61.293150684931504</v>
      </c>
      <c r="Q486" s="18">
        <f t="shared" si="74"/>
        <v>-1.3263464400855204E-14</v>
      </c>
      <c r="R486" s="18">
        <f t="shared" si="83"/>
        <v>5270.6</v>
      </c>
      <c r="S486" s="18">
        <f t="shared" si="79"/>
        <v>277.39999999999964</v>
      </c>
    </row>
    <row r="487" spans="1:19" ht="15" customHeight="1" x14ac:dyDescent="0.2">
      <c r="A487" s="14">
        <f t="shared" ref="A487:A550" si="84">+A486+1</f>
        <v>451</v>
      </c>
      <c r="B487" s="21" t="s">
        <v>429</v>
      </c>
      <c r="C487" s="15" t="s">
        <v>3</v>
      </c>
      <c r="D487" s="21" t="s">
        <v>56</v>
      </c>
      <c r="E487" s="21"/>
      <c r="F487" s="70" t="s">
        <v>7</v>
      </c>
      <c r="G487" s="9">
        <v>21916</v>
      </c>
      <c r="H487" s="26">
        <v>5415</v>
      </c>
      <c r="I487" s="17">
        <v>0</v>
      </c>
      <c r="J487" s="17">
        <f t="shared" si="76"/>
        <v>5144.25</v>
      </c>
      <c r="K487" s="17">
        <f t="shared" si="80"/>
        <v>270.75</v>
      </c>
      <c r="L487" s="23">
        <f t="shared" si="75"/>
        <v>270.75</v>
      </c>
      <c r="M487" s="23">
        <v>30</v>
      </c>
      <c r="N487" s="18">
        <f t="shared" si="81"/>
        <v>60.293150684931504</v>
      </c>
      <c r="O487" s="23">
        <v>5144.25</v>
      </c>
      <c r="P487" s="18">
        <f t="shared" si="82"/>
        <v>61.293150684931504</v>
      </c>
      <c r="Q487" s="18">
        <f t="shared" si="74"/>
        <v>0</v>
      </c>
      <c r="R487" s="18">
        <f t="shared" si="83"/>
        <v>5144.25</v>
      </c>
      <c r="S487" s="18">
        <f t="shared" si="79"/>
        <v>270.75</v>
      </c>
    </row>
    <row r="488" spans="1:19" ht="15" customHeight="1" x14ac:dyDescent="0.2">
      <c r="A488" s="14">
        <f t="shared" si="84"/>
        <v>452</v>
      </c>
      <c r="B488" s="21" t="s">
        <v>439</v>
      </c>
      <c r="C488" s="15" t="s">
        <v>3</v>
      </c>
      <c r="D488" s="21" t="s">
        <v>56</v>
      </c>
      <c r="E488" s="21"/>
      <c r="F488" s="69" t="s">
        <v>4</v>
      </c>
      <c r="G488" s="9">
        <v>21916</v>
      </c>
      <c r="H488" s="26">
        <v>4758</v>
      </c>
      <c r="I488" s="17">
        <v>0</v>
      </c>
      <c r="J488" s="17">
        <f t="shared" si="76"/>
        <v>4520.1000000000004</v>
      </c>
      <c r="K488" s="17">
        <f t="shared" si="80"/>
        <v>237.89999999999964</v>
      </c>
      <c r="L488" s="23">
        <f t="shared" si="75"/>
        <v>237.9</v>
      </c>
      <c r="M488" s="23">
        <v>30</v>
      </c>
      <c r="N488" s="18">
        <f t="shared" si="81"/>
        <v>60.293150684931504</v>
      </c>
      <c r="O488" s="23">
        <v>4520.1000000000004</v>
      </c>
      <c r="P488" s="18">
        <f t="shared" si="82"/>
        <v>61.293150684931504</v>
      </c>
      <c r="Q488" s="18">
        <f t="shared" si="74"/>
        <v>-1.2316074086508404E-14</v>
      </c>
      <c r="R488" s="18">
        <f t="shared" si="83"/>
        <v>4520.1000000000004</v>
      </c>
      <c r="S488" s="18">
        <f t="shared" si="79"/>
        <v>237.89999999999964</v>
      </c>
    </row>
    <row r="489" spans="1:19" ht="15" customHeight="1" x14ac:dyDescent="0.2">
      <c r="A489" s="14">
        <f t="shared" si="84"/>
        <v>453</v>
      </c>
      <c r="B489" s="21" t="s">
        <v>440</v>
      </c>
      <c r="C489" s="15" t="s">
        <v>3</v>
      </c>
      <c r="D489" s="21" t="s">
        <v>56</v>
      </c>
      <c r="E489" s="21"/>
      <c r="F489" s="69" t="s">
        <v>4</v>
      </c>
      <c r="G489" s="9">
        <v>21916</v>
      </c>
      <c r="H489" s="26">
        <v>2623</v>
      </c>
      <c r="I489" s="17">
        <v>0</v>
      </c>
      <c r="J489" s="17">
        <f t="shared" si="76"/>
        <v>2491.85</v>
      </c>
      <c r="K489" s="17">
        <f t="shared" si="80"/>
        <v>131.15000000000009</v>
      </c>
      <c r="L489" s="23">
        <f t="shared" si="75"/>
        <v>131.15</v>
      </c>
      <c r="M489" s="23">
        <v>30</v>
      </c>
      <c r="N489" s="18">
        <f t="shared" si="81"/>
        <v>60.293150684931504</v>
      </c>
      <c r="O489" s="23">
        <v>2491.85</v>
      </c>
      <c r="P489" s="18">
        <f t="shared" si="82"/>
        <v>61.293150684931504</v>
      </c>
      <c r="Q489" s="18">
        <f t="shared" si="74"/>
        <v>2.8421709430404009E-15</v>
      </c>
      <c r="R489" s="18">
        <f t="shared" si="83"/>
        <v>2491.85</v>
      </c>
      <c r="S489" s="18">
        <f t="shared" si="79"/>
        <v>131.15000000000009</v>
      </c>
    </row>
    <row r="490" spans="1:19" ht="15" customHeight="1" x14ac:dyDescent="0.2">
      <c r="A490" s="14">
        <f t="shared" si="84"/>
        <v>454</v>
      </c>
      <c r="B490" s="21" t="s">
        <v>441</v>
      </c>
      <c r="C490" s="15" t="s">
        <v>3</v>
      </c>
      <c r="D490" s="21" t="s">
        <v>56</v>
      </c>
      <c r="E490" s="21"/>
      <c r="F490" s="70" t="s">
        <v>7</v>
      </c>
      <c r="G490" s="9">
        <v>21916</v>
      </c>
      <c r="H490" s="26">
        <v>1587</v>
      </c>
      <c r="I490" s="17">
        <v>0</v>
      </c>
      <c r="J490" s="17">
        <f t="shared" si="76"/>
        <v>1507.65</v>
      </c>
      <c r="K490" s="17">
        <f t="shared" si="80"/>
        <v>79.349999999999909</v>
      </c>
      <c r="L490" s="23">
        <f t="shared" si="75"/>
        <v>79.350000000000009</v>
      </c>
      <c r="M490" s="23">
        <v>30</v>
      </c>
      <c r="N490" s="18">
        <f t="shared" si="81"/>
        <v>60.293150684931504</v>
      </c>
      <c r="O490" s="23">
        <v>1507.65</v>
      </c>
      <c r="P490" s="18">
        <f t="shared" si="82"/>
        <v>61.293150684931504</v>
      </c>
      <c r="Q490" s="18">
        <f t="shared" si="74"/>
        <v>-3.3158661002138009E-15</v>
      </c>
      <c r="R490" s="18">
        <f t="shared" si="83"/>
        <v>1507.65</v>
      </c>
      <c r="S490" s="18">
        <f t="shared" si="79"/>
        <v>79.349999999999909</v>
      </c>
    </row>
    <row r="491" spans="1:19" ht="15" customHeight="1" x14ac:dyDescent="0.2">
      <c r="A491" s="14">
        <f t="shared" si="84"/>
        <v>455</v>
      </c>
      <c r="B491" s="21" t="s">
        <v>442</v>
      </c>
      <c r="C491" s="15" t="s">
        <v>3</v>
      </c>
      <c r="D491" s="21" t="s">
        <v>56</v>
      </c>
      <c r="E491" s="21"/>
      <c r="F491" s="69" t="s">
        <v>4</v>
      </c>
      <c r="G491" s="9">
        <v>21916</v>
      </c>
      <c r="H491" s="26">
        <v>118</v>
      </c>
      <c r="I491" s="17">
        <v>0</v>
      </c>
      <c r="J491" s="17">
        <f t="shared" si="76"/>
        <v>112.1</v>
      </c>
      <c r="K491" s="17">
        <f t="shared" si="80"/>
        <v>5.9000000000000057</v>
      </c>
      <c r="L491" s="23">
        <f t="shared" si="75"/>
        <v>5.9</v>
      </c>
      <c r="M491" s="23">
        <v>30</v>
      </c>
      <c r="N491" s="18">
        <f t="shared" si="81"/>
        <v>60.293150684931504</v>
      </c>
      <c r="O491" s="23">
        <v>112.1</v>
      </c>
      <c r="P491" s="18">
        <f t="shared" si="82"/>
        <v>61.293150684931504</v>
      </c>
      <c r="Q491" s="18">
        <f t="shared" si="74"/>
        <v>1.7763568394002506E-16</v>
      </c>
      <c r="R491" s="18">
        <f t="shared" si="83"/>
        <v>112.1</v>
      </c>
      <c r="S491" s="18">
        <f>+IF(N491&gt;P491,0,L491)</f>
        <v>5.9</v>
      </c>
    </row>
    <row r="492" spans="1:19" ht="15" customHeight="1" x14ac:dyDescent="0.2">
      <c r="A492" s="14">
        <f t="shared" si="84"/>
        <v>456</v>
      </c>
      <c r="B492" s="21" t="s">
        <v>443</v>
      </c>
      <c r="C492" s="15" t="s">
        <v>3</v>
      </c>
      <c r="D492" s="21" t="s">
        <v>56</v>
      </c>
      <c r="E492" s="21"/>
      <c r="F492" s="69" t="s">
        <v>4</v>
      </c>
      <c r="G492" s="9">
        <v>21551</v>
      </c>
      <c r="H492" s="26">
        <v>22048</v>
      </c>
      <c r="I492" s="17">
        <v>0</v>
      </c>
      <c r="J492" s="17">
        <f t="shared" si="76"/>
        <v>20945.599999999999</v>
      </c>
      <c r="K492" s="17">
        <f t="shared" si="80"/>
        <v>1102.4000000000015</v>
      </c>
      <c r="L492" s="23">
        <f t="shared" si="75"/>
        <v>1102.4000000000001</v>
      </c>
      <c r="M492" s="23">
        <v>30</v>
      </c>
      <c r="N492" s="18">
        <f t="shared" si="81"/>
        <v>61.293150684931504</v>
      </c>
      <c r="O492" s="23">
        <v>20945.599999999999</v>
      </c>
      <c r="P492" s="18">
        <f t="shared" si="82"/>
        <v>62.293150684931504</v>
      </c>
      <c r="Q492" s="18">
        <f t="shared" si="74"/>
        <v>4.5474735088646414E-14</v>
      </c>
      <c r="R492" s="18">
        <f t="shared" si="83"/>
        <v>20945.599999999999</v>
      </c>
      <c r="S492" s="18">
        <f>+IF(N492&gt;P492,0,L492)</f>
        <v>1102.4000000000001</v>
      </c>
    </row>
    <row r="493" spans="1:19" ht="15" customHeight="1" x14ac:dyDescent="0.2">
      <c r="A493" s="14">
        <f t="shared" si="84"/>
        <v>457</v>
      </c>
      <c r="B493" s="21" t="s">
        <v>444</v>
      </c>
      <c r="C493" s="15" t="s">
        <v>3</v>
      </c>
      <c r="D493" s="21" t="s">
        <v>56</v>
      </c>
      <c r="E493" s="21"/>
      <c r="F493" s="69" t="s">
        <v>4</v>
      </c>
      <c r="G493" s="9">
        <v>21551</v>
      </c>
      <c r="H493" s="26">
        <v>8126</v>
      </c>
      <c r="I493" s="17">
        <v>0</v>
      </c>
      <c r="J493" s="17">
        <f t="shared" si="76"/>
        <v>7719.7</v>
      </c>
      <c r="K493" s="17">
        <f t="shared" si="80"/>
        <v>406.30000000000018</v>
      </c>
      <c r="L493" s="23">
        <f t="shared" si="75"/>
        <v>406.3</v>
      </c>
      <c r="M493" s="23">
        <v>30</v>
      </c>
      <c r="N493" s="18">
        <f t="shared" si="81"/>
        <v>61.293150684931504</v>
      </c>
      <c r="O493" s="23">
        <v>7719.7</v>
      </c>
      <c r="P493" s="18">
        <f t="shared" si="82"/>
        <v>62.293150684931504</v>
      </c>
      <c r="Q493" s="18">
        <f t="shared" si="74"/>
        <v>5.6843418860808018E-15</v>
      </c>
      <c r="R493" s="18">
        <f t="shared" si="83"/>
        <v>7719.7</v>
      </c>
      <c r="S493" s="18">
        <f>H493-R493</f>
        <v>406.30000000000018</v>
      </c>
    </row>
    <row r="494" spans="1:19" ht="15" customHeight="1" x14ac:dyDescent="0.2">
      <c r="A494" s="14">
        <f t="shared" si="84"/>
        <v>458</v>
      </c>
      <c r="B494" s="21" t="s">
        <v>445</v>
      </c>
      <c r="C494" s="15" t="s">
        <v>3</v>
      </c>
      <c r="D494" s="21" t="s">
        <v>56</v>
      </c>
      <c r="E494" s="21"/>
      <c r="F494" s="69" t="s">
        <v>4</v>
      </c>
      <c r="G494" s="9">
        <v>21551</v>
      </c>
      <c r="H494" s="26">
        <v>5714</v>
      </c>
      <c r="I494" s="17">
        <v>0</v>
      </c>
      <c r="J494" s="17">
        <f t="shared" si="76"/>
        <v>5428.3</v>
      </c>
      <c r="K494" s="17">
        <f t="shared" si="80"/>
        <v>285.69999999999982</v>
      </c>
      <c r="L494" s="23">
        <f t="shared" si="75"/>
        <v>285.7</v>
      </c>
      <c r="M494" s="23">
        <v>30</v>
      </c>
      <c r="N494" s="18">
        <f t="shared" si="81"/>
        <v>61.293150684931504</v>
      </c>
      <c r="O494" s="23">
        <v>5428.3</v>
      </c>
      <c r="P494" s="18">
        <f t="shared" si="82"/>
        <v>62.293150684931504</v>
      </c>
      <c r="Q494" s="18">
        <f t="shared" si="74"/>
        <v>-5.6843418860808018E-15</v>
      </c>
      <c r="R494" s="18">
        <f t="shared" si="83"/>
        <v>5428.3</v>
      </c>
      <c r="S494" s="18">
        <f>H494-R494</f>
        <v>285.69999999999982</v>
      </c>
    </row>
    <row r="495" spans="1:19" ht="15" customHeight="1" x14ac:dyDescent="0.2">
      <c r="A495" s="14">
        <f t="shared" si="84"/>
        <v>459</v>
      </c>
      <c r="B495" s="21" t="s">
        <v>446</v>
      </c>
      <c r="C495" s="15" t="s">
        <v>3</v>
      </c>
      <c r="D495" s="21" t="s">
        <v>56</v>
      </c>
      <c r="E495" s="21"/>
      <c r="F495" s="69" t="s">
        <v>4</v>
      </c>
      <c r="G495" s="9">
        <v>21551</v>
      </c>
      <c r="H495" s="26">
        <v>3706</v>
      </c>
      <c r="I495" s="17">
        <v>0</v>
      </c>
      <c r="J495" s="17">
        <f t="shared" si="76"/>
        <v>3520.7</v>
      </c>
      <c r="K495" s="17">
        <f t="shared" si="80"/>
        <v>185.30000000000018</v>
      </c>
      <c r="L495" s="23">
        <f t="shared" si="75"/>
        <v>185.3</v>
      </c>
      <c r="M495" s="23">
        <v>30</v>
      </c>
      <c r="N495" s="18">
        <f t="shared" si="81"/>
        <v>61.293150684931504</v>
      </c>
      <c r="O495" s="23">
        <v>3520.7</v>
      </c>
      <c r="P495" s="18">
        <f t="shared" si="82"/>
        <v>62.293150684931504</v>
      </c>
      <c r="Q495" s="18">
        <f t="shared" si="74"/>
        <v>5.6843418860808018E-15</v>
      </c>
      <c r="R495" s="18">
        <f t="shared" si="83"/>
        <v>3520.7</v>
      </c>
      <c r="S495" s="18">
        <f>+IF(N495&gt;P495,0,L495)</f>
        <v>185.3</v>
      </c>
    </row>
    <row r="496" spans="1:19" ht="15" customHeight="1" x14ac:dyDescent="0.2">
      <c r="A496" s="14">
        <f t="shared" si="84"/>
        <v>460</v>
      </c>
      <c r="B496" s="21" t="s">
        <v>447</v>
      </c>
      <c r="C496" s="15" t="s">
        <v>3</v>
      </c>
      <c r="D496" s="21" t="s">
        <v>56</v>
      </c>
      <c r="E496" s="21"/>
      <c r="F496" s="69" t="s">
        <v>4</v>
      </c>
      <c r="G496" s="9">
        <v>21551</v>
      </c>
      <c r="H496" s="26">
        <v>2135</v>
      </c>
      <c r="I496" s="17">
        <v>0</v>
      </c>
      <c r="J496" s="17">
        <f t="shared" si="76"/>
        <v>2028.25</v>
      </c>
      <c r="K496" s="17">
        <f t="shared" si="80"/>
        <v>106.75</v>
      </c>
      <c r="L496" s="23">
        <f t="shared" si="75"/>
        <v>106.75</v>
      </c>
      <c r="M496" s="23">
        <v>30</v>
      </c>
      <c r="N496" s="18">
        <f t="shared" si="81"/>
        <v>61.293150684931504</v>
      </c>
      <c r="O496" s="23">
        <v>2028.25</v>
      </c>
      <c r="P496" s="18">
        <f t="shared" si="82"/>
        <v>62.293150684931504</v>
      </c>
      <c r="Q496" s="18">
        <f t="shared" si="74"/>
        <v>0</v>
      </c>
      <c r="R496" s="18">
        <f t="shared" si="83"/>
        <v>2028.25</v>
      </c>
      <c r="S496" s="18">
        <f>H496-R496</f>
        <v>106.75</v>
      </c>
    </row>
    <row r="497" spans="1:19" ht="15" customHeight="1" x14ac:dyDescent="0.2">
      <c r="A497" s="14">
        <f t="shared" si="84"/>
        <v>461</v>
      </c>
      <c r="B497" s="21" t="s">
        <v>448</v>
      </c>
      <c r="C497" s="15" t="s">
        <v>3</v>
      </c>
      <c r="D497" s="21" t="s">
        <v>56</v>
      </c>
      <c r="E497" s="21"/>
      <c r="F497" s="69" t="s">
        <v>4</v>
      </c>
      <c r="G497" s="9">
        <v>21551</v>
      </c>
      <c r="H497" s="26">
        <v>1361</v>
      </c>
      <c r="I497" s="17">
        <v>0</v>
      </c>
      <c r="J497" s="17">
        <f t="shared" si="76"/>
        <v>1292.95</v>
      </c>
      <c r="K497" s="17">
        <f t="shared" si="80"/>
        <v>68.049999999999955</v>
      </c>
      <c r="L497" s="23">
        <f t="shared" si="75"/>
        <v>68.05</v>
      </c>
      <c r="M497" s="23">
        <v>30</v>
      </c>
      <c r="N497" s="18">
        <f t="shared" si="81"/>
        <v>61.293150684931504</v>
      </c>
      <c r="O497" s="23">
        <v>1292.95</v>
      </c>
      <c r="P497" s="18">
        <f t="shared" si="82"/>
        <v>62.293150684931504</v>
      </c>
      <c r="Q497" s="18">
        <f t="shared" si="74"/>
        <v>-1.4210854715202005E-15</v>
      </c>
      <c r="R497" s="18">
        <f t="shared" si="83"/>
        <v>1292.95</v>
      </c>
      <c r="S497" s="18">
        <f>H497-R497</f>
        <v>68.049999999999955</v>
      </c>
    </row>
    <row r="498" spans="1:19" ht="15" customHeight="1" x14ac:dyDescent="0.2">
      <c r="A498" s="14">
        <f t="shared" si="84"/>
        <v>462</v>
      </c>
      <c r="B498" s="21" t="s">
        <v>449</v>
      </c>
      <c r="C498" s="15" t="s">
        <v>3</v>
      </c>
      <c r="D498" s="21" t="s">
        <v>56</v>
      </c>
      <c r="E498" s="21"/>
      <c r="F498" s="69" t="s">
        <v>11</v>
      </c>
      <c r="G498" s="9">
        <v>21551</v>
      </c>
      <c r="H498" s="26">
        <v>1024</v>
      </c>
      <c r="I498" s="17">
        <v>0</v>
      </c>
      <c r="J498" s="17">
        <f t="shared" si="76"/>
        <v>972.8</v>
      </c>
      <c r="K498" s="17">
        <f t="shared" si="80"/>
        <v>51.200000000000045</v>
      </c>
      <c r="L498" s="23">
        <f t="shared" si="75"/>
        <v>51.2</v>
      </c>
      <c r="M498" s="23">
        <v>30</v>
      </c>
      <c r="N498" s="18">
        <f t="shared" si="81"/>
        <v>61.293150684931504</v>
      </c>
      <c r="O498" s="23">
        <v>972.8</v>
      </c>
      <c r="P498" s="18">
        <f t="shared" si="82"/>
        <v>62.293150684931504</v>
      </c>
      <c r="Q498" s="18">
        <f t="shared" si="74"/>
        <v>1.4210854715202005E-15</v>
      </c>
      <c r="R498" s="18">
        <f t="shared" si="83"/>
        <v>972.8</v>
      </c>
      <c r="S498" s="18">
        <f>+IF(N498&gt;P498,0,L498)</f>
        <v>51.2</v>
      </c>
    </row>
    <row r="499" spans="1:19" ht="15" customHeight="1" x14ac:dyDescent="0.2">
      <c r="A499" s="14">
        <f t="shared" si="84"/>
        <v>463</v>
      </c>
      <c r="B499" s="21" t="s">
        <v>450</v>
      </c>
      <c r="C499" s="15" t="s">
        <v>3</v>
      </c>
      <c r="D499" s="21" t="s">
        <v>56</v>
      </c>
      <c r="E499" s="21"/>
      <c r="F499" s="69" t="s">
        <v>4</v>
      </c>
      <c r="G499" s="9">
        <v>21551</v>
      </c>
      <c r="H499" s="26">
        <v>930</v>
      </c>
      <c r="I499" s="17">
        <v>0</v>
      </c>
      <c r="J499" s="17">
        <f t="shared" si="76"/>
        <v>883.5</v>
      </c>
      <c r="K499" s="17">
        <f t="shared" si="80"/>
        <v>46.5</v>
      </c>
      <c r="L499" s="23">
        <f t="shared" si="75"/>
        <v>46.5</v>
      </c>
      <c r="M499" s="23">
        <v>30</v>
      </c>
      <c r="N499" s="18">
        <f t="shared" si="81"/>
        <v>61.293150684931504</v>
      </c>
      <c r="O499" s="23">
        <v>883.5</v>
      </c>
      <c r="P499" s="18">
        <f t="shared" si="82"/>
        <v>62.293150684931504</v>
      </c>
      <c r="Q499" s="18">
        <f t="shared" si="74"/>
        <v>0</v>
      </c>
      <c r="R499" s="18">
        <f t="shared" si="83"/>
        <v>883.5</v>
      </c>
      <c r="S499" s="18">
        <f t="shared" ref="S499:S505" si="85">H499-R499</f>
        <v>46.5</v>
      </c>
    </row>
    <row r="500" spans="1:19" ht="15" customHeight="1" x14ac:dyDescent="0.2">
      <c r="A500" s="14">
        <f t="shared" si="84"/>
        <v>464</v>
      </c>
      <c r="B500" s="21" t="s">
        <v>451</v>
      </c>
      <c r="C500" s="15" t="s">
        <v>3</v>
      </c>
      <c r="D500" s="21" t="s">
        <v>56</v>
      </c>
      <c r="E500" s="21"/>
      <c r="F500" s="69" t="s">
        <v>4</v>
      </c>
      <c r="G500" s="9">
        <v>30317</v>
      </c>
      <c r="H500" s="26">
        <v>474</v>
      </c>
      <c r="I500" s="17">
        <v>0</v>
      </c>
      <c r="J500" s="17">
        <f t="shared" si="76"/>
        <v>450.3</v>
      </c>
      <c r="K500" s="17">
        <f t="shared" si="80"/>
        <v>23.699999999999989</v>
      </c>
      <c r="L500" s="23">
        <f t="shared" si="75"/>
        <v>23.700000000000003</v>
      </c>
      <c r="M500" s="23">
        <v>5</v>
      </c>
      <c r="N500" s="18">
        <f t="shared" si="81"/>
        <v>37.276712328767125</v>
      </c>
      <c r="O500" s="23">
        <v>450.3</v>
      </c>
      <c r="P500" s="18">
        <f t="shared" si="82"/>
        <v>38.276712328767125</v>
      </c>
      <c r="Q500" s="18">
        <f t="shared" si="74"/>
        <v>-2.8421709430404009E-15</v>
      </c>
      <c r="R500" s="18">
        <f t="shared" si="83"/>
        <v>450.3</v>
      </c>
      <c r="S500" s="18">
        <f t="shared" si="85"/>
        <v>23.699999999999989</v>
      </c>
    </row>
    <row r="501" spans="1:19" ht="15" customHeight="1" x14ac:dyDescent="0.2">
      <c r="A501" s="14">
        <f t="shared" si="84"/>
        <v>465</v>
      </c>
      <c r="B501" s="21" t="s">
        <v>452</v>
      </c>
      <c r="C501" s="15" t="s">
        <v>3</v>
      </c>
      <c r="D501" s="21" t="s">
        <v>56</v>
      </c>
      <c r="E501" s="21"/>
      <c r="F501" s="69" t="s">
        <v>4</v>
      </c>
      <c r="G501" s="9">
        <v>21186</v>
      </c>
      <c r="H501" s="26">
        <v>40349</v>
      </c>
      <c r="I501" s="17">
        <v>0</v>
      </c>
      <c r="J501" s="17">
        <f t="shared" si="76"/>
        <v>38331.550000000003</v>
      </c>
      <c r="K501" s="17">
        <f t="shared" si="80"/>
        <v>2017.4499999999971</v>
      </c>
      <c r="L501" s="23">
        <f t="shared" si="75"/>
        <v>2017.45</v>
      </c>
      <c r="M501" s="23">
        <v>30</v>
      </c>
      <c r="N501" s="18">
        <f t="shared" si="81"/>
        <v>62.293150684931504</v>
      </c>
      <c r="O501" s="23">
        <v>38331.550000000003</v>
      </c>
      <c r="P501" s="18">
        <f t="shared" si="82"/>
        <v>63.293150684931504</v>
      </c>
      <c r="Q501" s="18">
        <f t="shared" si="74"/>
        <v>-9.8528592692067229E-14</v>
      </c>
      <c r="R501" s="18">
        <f t="shared" si="83"/>
        <v>38331.550000000003</v>
      </c>
      <c r="S501" s="18">
        <f t="shared" si="85"/>
        <v>2017.4499999999971</v>
      </c>
    </row>
    <row r="502" spans="1:19" ht="15" customHeight="1" x14ac:dyDescent="0.2">
      <c r="A502" s="14">
        <f t="shared" si="84"/>
        <v>466</v>
      </c>
      <c r="B502" s="21" t="s">
        <v>242</v>
      </c>
      <c r="C502" s="15" t="s">
        <v>3</v>
      </c>
      <c r="D502" s="21" t="s">
        <v>56</v>
      </c>
      <c r="E502" s="21"/>
      <c r="F502" s="69" t="s">
        <v>10</v>
      </c>
      <c r="G502" s="9">
        <v>21186</v>
      </c>
      <c r="H502" s="26">
        <v>21745</v>
      </c>
      <c r="I502" s="17">
        <v>0</v>
      </c>
      <c r="J502" s="17">
        <f t="shared" si="76"/>
        <v>20657.75</v>
      </c>
      <c r="K502" s="17">
        <f t="shared" si="80"/>
        <v>1087.25</v>
      </c>
      <c r="L502" s="23">
        <f t="shared" si="75"/>
        <v>1087.25</v>
      </c>
      <c r="M502" s="23">
        <v>30</v>
      </c>
      <c r="N502" s="18">
        <f t="shared" si="81"/>
        <v>62.293150684931504</v>
      </c>
      <c r="O502" s="23">
        <v>20657.75</v>
      </c>
      <c r="P502" s="18">
        <f t="shared" si="82"/>
        <v>63.293150684931504</v>
      </c>
      <c r="Q502" s="18">
        <f t="shared" si="74"/>
        <v>0</v>
      </c>
      <c r="R502" s="18">
        <f t="shared" si="83"/>
        <v>20657.75</v>
      </c>
      <c r="S502" s="18">
        <f t="shared" si="85"/>
        <v>1087.25</v>
      </c>
    </row>
    <row r="503" spans="1:19" ht="15" customHeight="1" x14ac:dyDescent="0.2">
      <c r="A503" s="14">
        <f t="shared" si="84"/>
        <v>467</v>
      </c>
      <c r="B503" s="21" t="s">
        <v>453</v>
      </c>
      <c r="C503" s="15" t="s">
        <v>3</v>
      </c>
      <c r="D503" s="21" t="s">
        <v>56</v>
      </c>
      <c r="E503" s="21"/>
      <c r="F503" s="69" t="s">
        <v>4</v>
      </c>
      <c r="G503" s="9">
        <v>21186</v>
      </c>
      <c r="H503" s="26">
        <v>16987</v>
      </c>
      <c r="I503" s="17">
        <v>0</v>
      </c>
      <c r="J503" s="17">
        <f t="shared" si="76"/>
        <v>16137.65</v>
      </c>
      <c r="K503" s="17">
        <f t="shared" si="80"/>
        <v>849.35000000000036</v>
      </c>
      <c r="L503" s="23">
        <f t="shared" si="75"/>
        <v>849.35</v>
      </c>
      <c r="M503" s="23">
        <v>30</v>
      </c>
      <c r="N503" s="18">
        <f t="shared" si="81"/>
        <v>62.293150684931504</v>
      </c>
      <c r="O503" s="23">
        <v>16137.65</v>
      </c>
      <c r="P503" s="18">
        <f t="shared" si="82"/>
        <v>63.293150684931504</v>
      </c>
      <c r="Q503" s="18">
        <f t="shared" ref="Q503:Q566" si="86">(P503-N503)/M503*(K503-L503)</f>
        <v>1.1368683772161604E-14</v>
      </c>
      <c r="R503" s="18">
        <f t="shared" si="83"/>
        <v>16137.65</v>
      </c>
      <c r="S503" s="18">
        <f t="shared" si="85"/>
        <v>849.35000000000036</v>
      </c>
    </row>
    <row r="504" spans="1:19" ht="15" customHeight="1" x14ac:dyDescent="0.2">
      <c r="A504" s="14">
        <f t="shared" si="84"/>
        <v>468</v>
      </c>
      <c r="B504" s="21" t="s">
        <v>454</v>
      </c>
      <c r="C504" s="15" t="s">
        <v>3</v>
      </c>
      <c r="D504" s="21" t="s">
        <v>56</v>
      </c>
      <c r="E504" s="21"/>
      <c r="F504" s="69" t="s">
        <v>4</v>
      </c>
      <c r="G504" s="9">
        <v>21186</v>
      </c>
      <c r="H504" s="26">
        <v>7659</v>
      </c>
      <c r="I504" s="17">
        <v>0</v>
      </c>
      <c r="J504" s="17">
        <f t="shared" si="76"/>
        <v>7276.05</v>
      </c>
      <c r="K504" s="17">
        <f t="shared" si="80"/>
        <v>382.94999999999982</v>
      </c>
      <c r="L504" s="23">
        <f t="shared" ref="L504:L557" si="87">H504*0.05</f>
        <v>382.95000000000005</v>
      </c>
      <c r="M504" s="23">
        <v>30</v>
      </c>
      <c r="N504" s="18">
        <f t="shared" si="81"/>
        <v>62.293150684931504</v>
      </c>
      <c r="O504" s="23">
        <v>7276.05</v>
      </c>
      <c r="P504" s="18">
        <f t="shared" si="82"/>
        <v>63.293150684931504</v>
      </c>
      <c r="Q504" s="18">
        <f t="shared" si="86"/>
        <v>-7.5791225147744019E-15</v>
      </c>
      <c r="R504" s="18">
        <f t="shared" si="83"/>
        <v>7276.05</v>
      </c>
      <c r="S504" s="18">
        <f t="shared" si="85"/>
        <v>382.94999999999982</v>
      </c>
    </row>
    <row r="505" spans="1:19" ht="15" customHeight="1" x14ac:dyDescent="0.2">
      <c r="A505" s="14">
        <f t="shared" si="84"/>
        <v>469</v>
      </c>
      <c r="B505" s="21" t="s">
        <v>455</v>
      </c>
      <c r="C505" s="15" t="s">
        <v>3</v>
      </c>
      <c r="D505" s="21" t="s">
        <v>56</v>
      </c>
      <c r="E505" s="21"/>
      <c r="F505" s="69" t="s">
        <v>11</v>
      </c>
      <c r="G505" s="9">
        <v>21186</v>
      </c>
      <c r="H505" s="26">
        <v>5146</v>
      </c>
      <c r="I505" s="17">
        <v>0</v>
      </c>
      <c r="J505" s="17">
        <f t="shared" ref="J505:J552" si="88">H505-L505</f>
        <v>4888.7</v>
      </c>
      <c r="K505" s="17">
        <f t="shared" si="80"/>
        <v>257.30000000000018</v>
      </c>
      <c r="L505" s="23">
        <f t="shared" si="87"/>
        <v>257.3</v>
      </c>
      <c r="M505" s="23">
        <v>30</v>
      </c>
      <c r="N505" s="18">
        <f t="shared" si="81"/>
        <v>62.293150684931504</v>
      </c>
      <c r="O505" s="23">
        <v>4888.7</v>
      </c>
      <c r="P505" s="18">
        <f t="shared" si="82"/>
        <v>63.293150684931504</v>
      </c>
      <c r="Q505" s="18">
        <f t="shared" si="86"/>
        <v>5.6843418860808018E-15</v>
      </c>
      <c r="R505" s="18">
        <f t="shared" si="83"/>
        <v>4888.7</v>
      </c>
      <c r="S505" s="18">
        <f t="shared" si="85"/>
        <v>257.30000000000018</v>
      </c>
    </row>
    <row r="506" spans="1:19" ht="15" customHeight="1" x14ac:dyDescent="0.2">
      <c r="A506" s="14">
        <f t="shared" si="84"/>
        <v>470</v>
      </c>
      <c r="B506" s="21" t="s">
        <v>456</v>
      </c>
      <c r="C506" s="15" t="s">
        <v>3</v>
      </c>
      <c r="D506" s="21" t="s">
        <v>56</v>
      </c>
      <c r="E506" s="21"/>
      <c r="F506" s="69" t="s">
        <v>11</v>
      </c>
      <c r="G506" s="9">
        <v>21186</v>
      </c>
      <c r="H506" s="26">
        <v>3796</v>
      </c>
      <c r="I506" s="17">
        <v>0</v>
      </c>
      <c r="J506" s="17">
        <f t="shared" si="88"/>
        <v>3606.2</v>
      </c>
      <c r="K506" s="17">
        <f t="shared" si="80"/>
        <v>189.80000000000018</v>
      </c>
      <c r="L506" s="23">
        <f t="shared" si="87"/>
        <v>189.8</v>
      </c>
      <c r="M506" s="23">
        <v>30</v>
      </c>
      <c r="N506" s="18">
        <f t="shared" si="81"/>
        <v>62.293150684931504</v>
      </c>
      <c r="O506" s="23">
        <v>3606.2</v>
      </c>
      <c r="P506" s="18">
        <f t="shared" si="82"/>
        <v>63.293150684931504</v>
      </c>
      <c r="Q506" s="18">
        <f t="shared" si="86"/>
        <v>5.6843418860808018E-15</v>
      </c>
      <c r="R506" s="18">
        <f t="shared" si="83"/>
        <v>3606.2</v>
      </c>
      <c r="S506" s="18">
        <f>+IF(N506&gt;P506,0,L506)</f>
        <v>189.8</v>
      </c>
    </row>
    <row r="507" spans="1:19" ht="15" customHeight="1" x14ac:dyDescent="0.2">
      <c r="A507" s="14">
        <f t="shared" si="84"/>
        <v>471</v>
      </c>
      <c r="B507" s="21" t="s">
        <v>457</v>
      </c>
      <c r="C507" s="15" t="s">
        <v>3</v>
      </c>
      <c r="D507" s="21" t="s">
        <v>56</v>
      </c>
      <c r="E507" s="21"/>
      <c r="F507" s="69" t="s">
        <v>4</v>
      </c>
      <c r="G507" s="9">
        <v>21186</v>
      </c>
      <c r="H507" s="26">
        <v>3216</v>
      </c>
      <c r="I507" s="17">
        <v>0</v>
      </c>
      <c r="J507" s="17">
        <f t="shared" si="88"/>
        <v>3055.2</v>
      </c>
      <c r="K507" s="17">
        <f t="shared" si="80"/>
        <v>160.80000000000018</v>
      </c>
      <c r="L507" s="23">
        <f t="shared" si="87"/>
        <v>160.80000000000001</v>
      </c>
      <c r="M507" s="23">
        <v>30</v>
      </c>
      <c r="N507" s="18">
        <f t="shared" si="81"/>
        <v>62.293150684931504</v>
      </c>
      <c r="O507" s="23">
        <v>3055.2</v>
      </c>
      <c r="P507" s="18">
        <f t="shared" si="82"/>
        <v>63.293150684931504</v>
      </c>
      <c r="Q507" s="18">
        <f t="shared" si="86"/>
        <v>5.6843418860808018E-15</v>
      </c>
      <c r="R507" s="18">
        <f t="shared" si="83"/>
        <v>3055.2</v>
      </c>
      <c r="S507" s="18">
        <f>+IF(N507&gt;P507,0,L507)</f>
        <v>160.80000000000001</v>
      </c>
    </row>
    <row r="508" spans="1:19" ht="15" customHeight="1" x14ac:dyDescent="0.2">
      <c r="A508" s="14">
        <f t="shared" si="84"/>
        <v>472</v>
      </c>
      <c r="B508" s="21" t="s">
        <v>458</v>
      </c>
      <c r="C508" s="15" t="s">
        <v>3</v>
      </c>
      <c r="D508" s="21" t="s">
        <v>56</v>
      </c>
      <c r="E508" s="21"/>
      <c r="F508" s="69" t="s">
        <v>4</v>
      </c>
      <c r="G508" s="9">
        <v>21186</v>
      </c>
      <c r="H508" s="26">
        <v>1563</v>
      </c>
      <c r="I508" s="17">
        <v>0</v>
      </c>
      <c r="J508" s="17">
        <f t="shared" si="88"/>
        <v>1484.85</v>
      </c>
      <c r="K508" s="17">
        <f t="shared" si="80"/>
        <v>78.150000000000091</v>
      </c>
      <c r="L508" s="23">
        <f t="shared" si="87"/>
        <v>78.150000000000006</v>
      </c>
      <c r="M508" s="23">
        <v>30</v>
      </c>
      <c r="N508" s="18">
        <f t="shared" si="81"/>
        <v>62.293150684931504</v>
      </c>
      <c r="O508" s="23">
        <v>1484.85</v>
      </c>
      <c r="P508" s="18">
        <f t="shared" si="82"/>
        <v>63.293150684931504</v>
      </c>
      <c r="Q508" s="18">
        <f t="shared" si="86"/>
        <v>2.8421709430404009E-15</v>
      </c>
      <c r="R508" s="18">
        <f t="shared" si="83"/>
        <v>1484.85</v>
      </c>
      <c r="S508" s="18">
        <f>+IF(N508&gt;P508,0,L508)</f>
        <v>78.150000000000006</v>
      </c>
    </row>
    <row r="509" spans="1:19" ht="15" customHeight="1" x14ac:dyDescent="0.2">
      <c r="A509" s="14">
        <f t="shared" si="84"/>
        <v>473</v>
      </c>
      <c r="B509" s="21" t="s">
        <v>459</v>
      </c>
      <c r="C509" s="15" t="s">
        <v>3</v>
      </c>
      <c r="D509" s="21" t="s">
        <v>56</v>
      </c>
      <c r="E509" s="21"/>
      <c r="F509" s="70" t="s">
        <v>7</v>
      </c>
      <c r="G509" s="9">
        <v>21186</v>
      </c>
      <c r="H509" s="26">
        <v>105</v>
      </c>
      <c r="I509" s="17">
        <v>0</v>
      </c>
      <c r="J509" s="17">
        <f t="shared" si="88"/>
        <v>99.75</v>
      </c>
      <c r="K509" s="17">
        <f t="shared" si="80"/>
        <v>5.25</v>
      </c>
      <c r="L509" s="23">
        <f t="shared" si="87"/>
        <v>5.25</v>
      </c>
      <c r="M509" s="23">
        <v>30</v>
      </c>
      <c r="N509" s="18">
        <f t="shared" si="81"/>
        <v>62.293150684931504</v>
      </c>
      <c r="O509" s="23">
        <v>99.75</v>
      </c>
      <c r="P509" s="18">
        <f t="shared" si="82"/>
        <v>63.293150684931504</v>
      </c>
      <c r="Q509" s="18">
        <f t="shared" si="86"/>
        <v>0</v>
      </c>
      <c r="R509" s="18">
        <f t="shared" si="83"/>
        <v>99.75</v>
      </c>
      <c r="S509" s="18">
        <f>H509-R509</f>
        <v>5.25</v>
      </c>
    </row>
    <row r="510" spans="1:19" ht="15" customHeight="1" x14ac:dyDescent="0.2">
      <c r="A510" s="14">
        <f t="shared" si="84"/>
        <v>474</v>
      </c>
      <c r="B510" s="21" t="s">
        <v>460</v>
      </c>
      <c r="C510" s="15" t="s">
        <v>3</v>
      </c>
      <c r="D510" s="21" t="s">
        <v>56</v>
      </c>
      <c r="E510" s="21"/>
      <c r="F510" s="69" t="s">
        <v>4</v>
      </c>
      <c r="G510" s="9">
        <v>20821</v>
      </c>
      <c r="H510" s="26">
        <v>18427</v>
      </c>
      <c r="I510" s="17">
        <v>0</v>
      </c>
      <c r="J510" s="17">
        <f t="shared" si="88"/>
        <v>17505.650000000001</v>
      </c>
      <c r="K510" s="17">
        <f t="shared" si="80"/>
        <v>921.34999999999854</v>
      </c>
      <c r="L510" s="23">
        <f t="shared" si="87"/>
        <v>921.35</v>
      </c>
      <c r="M510" s="23">
        <v>30</v>
      </c>
      <c r="N510" s="18">
        <f t="shared" si="81"/>
        <v>63.293150684931504</v>
      </c>
      <c r="O510" s="23">
        <v>17505.650000000001</v>
      </c>
      <c r="P510" s="18">
        <f t="shared" si="82"/>
        <v>64.293150684931504</v>
      </c>
      <c r="Q510" s="18">
        <f t="shared" si="86"/>
        <v>-4.9264296346033615E-14</v>
      </c>
      <c r="R510" s="18">
        <f t="shared" si="83"/>
        <v>17505.650000000001</v>
      </c>
      <c r="S510" s="18">
        <f>H510-R510</f>
        <v>921.34999999999854</v>
      </c>
    </row>
    <row r="511" spans="1:19" ht="15" customHeight="1" x14ac:dyDescent="0.2">
      <c r="A511" s="14">
        <f t="shared" si="84"/>
        <v>475</v>
      </c>
      <c r="B511" s="21" t="s">
        <v>461</v>
      </c>
      <c r="C511" s="15" t="s">
        <v>3</v>
      </c>
      <c r="D511" s="21" t="s">
        <v>56</v>
      </c>
      <c r="E511" s="21"/>
      <c r="F511" s="69" t="s">
        <v>4</v>
      </c>
      <c r="G511" s="9">
        <v>20821</v>
      </c>
      <c r="H511" s="26">
        <v>3774</v>
      </c>
      <c r="I511" s="17">
        <v>0</v>
      </c>
      <c r="J511" s="17">
        <f t="shared" si="88"/>
        <v>3585.3</v>
      </c>
      <c r="K511" s="17">
        <f t="shared" si="80"/>
        <v>188.69999999999982</v>
      </c>
      <c r="L511" s="23">
        <f t="shared" si="87"/>
        <v>188.70000000000002</v>
      </c>
      <c r="M511" s="23">
        <v>30</v>
      </c>
      <c r="N511" s="18">
        <f t="shared" si="81"/>
        <v>63.293150684931504</v>
      </c>
      <c r="O511" s="23">
        <v>3585.3</v>
      </c>
      <c r="P511" s="18">
        <f t="shared" si="82"/>
        <v>64.293150684931504</v>
      </c>
      <c r="Q511" s="18">
        <f t="shared" si="86"/>
        <v>-6.6317322004276018E-15</v>
      </c>
      <c r="R511" s="18">
        <f t="shared" si="83"/>
        <v>3585.3</v>
      </c>
      <c r="S511" s="18">
        <f>H511-R511</f>
        <v>188.69999999999982</v>
      </c>
    </row>
    <row r="512" spans="1:19" ht="15" customHeight="1" x14ac:dyDescent="0.2">
      <c r="A512" s="14">
        <f t="shared" si="84"/>
        <v>476</v>
      </c>
      <c r="B512" s="21" t="s">
        <v>462</v>
      </c>
      <c r="C512" s="15" t="s">
        <v>3</v>
      </c>
      <c r="D512" s="21" t="s">
        <v>56</v>
      </c>
      <c r="E512" s="21"/>
      <c r="F512" s="69" t="s">
        <v>13</v>
      </c>
      <c r="G512" s="9">
        <v>20821</v>
      </c>
      <c r="H512" s="26">
        <v>3440</v>
      </c>
      <c r="I512" s="17">
        <v>0</v>
      </c>
      <c r="J512" s="17">
        <f t="shared" si="88"/>
        <v>3268</v>
      </c>
      <c r="K512" s="17">
        <f t="shared" si="80"/>
        <v>172</v>
      </c>
      <c r="L512" s="23">
        <f t="shared" si="87"/>
        <v>172</v>
      </c>
      <c r="M512" s="23">
        <v>30</v>
      </c>
      <c r="N512" s="18">
        <f t="shared" si="81"/>
        <v>63.293150684931504</v>
      </c>
      <c r="O512" s="23">
        <v>3268</v>
      </c>
      <c r="P512" s="18">
        <f t="shared" si="82"/>
        <v>64.293150684931504</v>
      </c>
      <c r="Q512" s="18">
        <f t="shared" si="86"/>
        <v>0</v>
      </c>
      <c r="R512" s="18">
        <f t="shared" si="83"/>
        <v>3268</v>
      </c>
      <c r="S512" s="18">
        <f>H512-R512</f>
        <v>172</v>
      </c>
    </row>
    <row r="513" spans="1:19" ht="15" customHeight="1" x14ac:dyDescent="0.2">
      <c r="A513" s="14">
        <f t="shared" si="84"/>
        <v>477</v>
      </c>
      <c r="B513" s="21" t="s">
        <v>463</v>
      </c>
      <c r="C513" s="15" t="s">
        <v>3</v>
      </c>
      <c r="D513" s="21" t="s">
        <v>56</v>
      </c>
      <c r="E513" s="21"/>
      <c r="F513" s="69" t="s">
        <v>10</v>
      </c>
      <c r="G513" s="9">
        <v>20821</v>
      </c>
      <c r="H513" s="26">
        <v>3339</v>
      </c>
      <c r="I513" s="17">
        <v>0</v>
      </c>
      <c r="J513" s="17">
        <f t="shared" si="88"/>
        <v>3172.05</v>
      </c>
      <c r="K513" s="17">
        <f t="shared" si="80"/>
        <v>166.94999999999982</v>
      </c>
      <c r="L513" s="23">
        <f t="shared" si="87"/>
        <v>166.95000000000002</v>
      </c>
      <c r="M513" s="23">
        <v>30</v>
      </c>
      <c r="N513" s="18">
        <f t="shared" si="81"/>
        <v>63.293150684931504</v>
      </c>
      <c r="O513" s="23">
        <v>3172.05</v>
      </c>
      <c r="P513" s="18">
        <f t="shared" si="82"/>
        <v>64.293150684931504</v>
      </c>
      <c r="Q513" s="18">
        <f t="shared" si="86"/>
        <v>-6.6317322004276018E-15</v>
      </c>
      <c r="R513" s="18">
        <f t="shared" si="83"/>
        <v>3172.05</v>
      </c>
      <c r="S513" s="18">
        <f>H513-R513</f>
        <v>166.94999999999982</v>
      </c>
    </row>
    <row r="514" spans="1:19" ht="15" customHeight="1" x14ac:dyDescent="0.2">
      <c r="A514" s="14">
        <f t="shared" si="84"/>
        <v>478</v>
      </c>
      <c r="B514" s="21" t="s">
        <v>464</v>
      </c>
      <c r="C514" s="15" t="s">
        <v>3</v>
      </c>
      <c r="D514" s="21" t="s">
        <v>56</v>
      </c>
      <c r="E514" s="21"/>
      <c r="F514" s="69" t="s">
        <v>4</v>
      </c>
      <c r="G514" s="9">
        <v>20821</v>
      </c>
      <c r="H514" s="26">
        <v>1883</v>
      </c>
      <c r="I514" s="17">
        <v>0</v>
      </c>
      <c r="J514" s="17">
        <f t="shared" si="88"/>
        <v>1788.85</v>
      </c>
      <c r="K514" s="17">
        <f t="shared" si="80"/>
        <v>94.150000000000091</v>
      </c>
      <c r="L514" s="23">
        <f t="shared" si="87"/>
        <v>94.15</v>
      </c>
      <c r="M514" s="23">
        <v>30</v>
      </c>
      <c r="N514" s="18">
        <f t="shared" si="81"/>
        <v>63.293150684931504</v>
      </c>
      <c r="O514" s="23">
        <v>1788.85</v>
      </c>
      <c r="P514" s="18">
        <f t="shared" si="82"/>
        <v>64.293150684931504</v>
      </c>
      <c r="Q514" s="18">
        <f t="shared" si="86"/>
        <v>2.8421709430404009E-15</v>
      </c>
      <c r="R514" s="18">
        <f t="shared" si="83"/>
        <v>1788.85</v>
      </c>
      <c r="S514" s="18">
        <f>+IF(N514&gt;P514,0,L514)</f>
        <v>94.15</v>
      </c>
    </row>
    <row r="515" spans="1:19" ht="15" customHeight="1" x14ac:dyDescent="0.2">
      <c r="A515" s="14">
        <f t="shared" si="84"/>
        <v>479</v>
      </c>
      <c r="B515" s="21" t="s">
        <v>452</v>
      </c>
      <c r="C515" s="15" t="s">
        <v>3</v>
      </c>
      <c r="D515" s="21" t="s">
        <v>56</v>
      </c>
      <c r="E515" s="21"/>
      <c r="F515" s="69" t="s">
        <v>4</v>
      </c>
      <c r="G515" s="9">
        <v>20821</v>
      </c>
      <c r="H515" s="26">
        <v>67</v>
      </c>
      <c r="I515" s="17">
        <v>0</v>
      </c>
      <c r="J515" s="17">
        <f t="shared" si="88"/>
        <v>63.65</v>
      </c>
      <c r="K515" s="17">
        <f t="shared" si="80"/>
        <v>3.3500000000000014</v>
      </c>
      <c r="L515" s="23">
        <f t="shared" si="87"/>
        <v>3.35</v>
      </c>
      <c r="M515" s="23">
        <v>30</v>
      </c>
      <c r="N515" s="18">
        <f t="shared" si="81"/>
        <v>63.293150684931504</v>
      </c>
      <c r="O515" s="23">
        <v>63.65</v>
      </c>
      <c r="P515" s="18">
        <f t="shared" si="82"/>
        <v>64.293150684931504</v>
      </c>
      <c r="Q515" s="18">
        <f t="shared" si="86"/>
        <v>4.4408920985006264E-17</v>
      </c>
      <c r="R515" s="18">
        <f t="shared" si="83"/>
        <v>63.65</v>
      </c>
      <c r="S515" s="18">
        <f>H515-R515</f>
        <v>3.3500000000000014</v>
      </c>
    </row>
    <row r="516" spans="1:19" ht="15" customHeight="1" x14ac:dyDescent="0.2">
      <c r="A516" s="14">
        <f t="shared" si="84"/>
        <v>480</v>
      </c>
      <c r="B516" s="21" t="s">
        <v>465</v>
      </c>
      <c r="C516" s="15" t="s">
        <v>3</v>
      </c>
      <c r="D516" s="21" t="s">
        <v>56</v>
      </c>
      <c r="E516" s="21"/>
      <c r="F516" s="69" t="s">
        <v>14</v>
      </c>
      <c r="G516" s="9">
        <v>20455</v>
      </c>
      <c r="H516" s="26">
        <v>23813</v>
      </c>
      <c r="I516" s="17">
        <v>0</v>
      </c>
      <c r="J516" s="17">
        <f t="shared" si="88"/>
        <v>22622.35</v>
      </c>
      <c r="K516" s="17">
        <f t="shared" si="80"/>
        <v>1190.6500000000015</v>
      </c>
      <c r="L516" s="23">
        <f t="shared" si="87"/>
        <v>1190.6500000000001</v>
      </c>
      <c r="M516" s="23">
        <v>30</v>
      </c>
      <c r="N516" s="18">
        <f t="shared" si="81"/>
        <v>64.295890410958904</v>
      </c>
      <c r="O516" s="23">
        <v>22622.35</v>
      </c>
      <c r="P516" s="18">
        <f t="shared" si="82"/>
        <v>65.295890410958904</v>
      </c>
      <c r="Q516" s="18">
        <f t="shared" si="86"/>
        <v>4.5474735088646414E-14</v>
      </c>
      <c r="R516" s="18">
        <f t="shared" si="83"/>
        <v>22622.35</v>
      </c>
      <c r="S516" s="18">
        <f>+IF(N516&gt;P516,0,L516)</f>
        <v>1190.6500000000001</v>
      </c>
    </row>
    <row r="517" spans="1:19" ht="15" customHeight="1" x14ac:dyDescent="0.2">
      <c r="A517" s="14">
        <f t="shared" si="84"/>
        <v>481</v>
      </c>
      <c r="B517" s="21" t="s">
        <v>466</v>
      </c>
      <c r="C517" s="15" t="s">
        <v>3</v>
      </c>
      <c r="D517" s="21" t="s">
        <v>56</v>
      </c>
      <c r="E517" s="21"/>
      <c r="F517" s="69" t="s">
        <v>11</v>
      </c>
      <c r="G517" s="9">
        <v>20455</v>
      </c>
      <c r="H517" s="26">
        <v>6909</v>
      </c>
      <c r="I517" s="17">
        <v>0</v>
      </c>
      <c r="J517" s="17">
        <f t="shared" si="88"/>
        <v>6563.55</v>
      </c>
      <c r="K517" s="17">
        <f t="shared" si="80"/>
        <v>345.44999999999982</v>
      </c>
      <c r="L517" s="23">
        <f t="shared" si="87"/>
        <v>345.45000000000005</v>
      </c>
      <c r="M517" s="23">
        <v>30</v>
      </c>
      <c r="N517" s="18">
        <f t="shared" si="81"/>
        <v>64.295890410958904</v>
      </c>
      <c r="O517" s="23">
        <v>6563.55</v>
      </c>
      <c r="P517" s="18">
        <f t="shared" si="82"/>
        <v>65.295890410958904</v>
      </c>
      <c r="Q517" s="18">
        <f t="shared" si="86"/>
        <v>-7.5791225147744019E-15</v>
      </c>
      <c r="R517" s="18">
        <f t="shared" si="83"/>
        <v>6563.55</v>
      </c>
      <c r="S517" s="18">
        <f>H517-R517</f>
        <v>345.44999999999982</v>
      </c>
    </row>
    <row r="518" spans="1:19" ht="15" customHeight="1" x14ac:dyDescent="0.2">
      <c r="A518" s="14">
        <f t="shared" si="84"/>
        <v>482</v>
      </c>
      <c r="B518" s="21" t="s">
        <v>467</v>
      </c>
      <c r="C518" s="15" t="s">
        <v>3</v>
      </c>
      <c r="D518" s="21" t="s">
        <v>56</v>
      </c>
      <c r="E518" s="21"/>
      <c r="F518" s="69" t="s">
        <v>4</v>
      </c>
      <c r="G518" s="9">
        <v>20455</v>
      </c>
      <c r="H518" s="26">
        <v>5262</v>
      </c>
      <c r="I518" s="17">
        <v>0</v>
      </c>
      <c r="J518" s="17">
        <f t="shared" si="88"/>
        <v>4998.8999999999996</v>
      </c>
      <c r="K518" s="17">
        <f t="shared" si="80"/>
        <v>263.10000000000036</v>
      </c>
      <c r="L518" s="23">
        <f t="shared" si="87"/>
        <v>263.10000000000002</v>
      </c>
      <c r="M518" s="23">
        <v>30</v>
      </c>
      <c r="N518" s="18">
        <f t="shared" si="81"/>
        <v>64.295890410958904</v>
      </c>
      <c r="O518" s="23">
        <v>4998.8999999999996</v>
      </c>
      <c r="P518" s="18">
        <f t="shared" si="82"/>
        <v>65.295890410958904</v>
      </c>
      <c r="Q518" s="18">
        <f t="shared" si="86"/>
        <v>1.1368683772161604E-14</v>
      </c>
      <c r="R518" s="18">
        <f t="shared" si="83"/>
        <v>4998.8999999999996</v>
      </c>
      <c r="S518" s="18">
        <f>+IF(N518&gt;P518,0,L518)</f>
        <v>263.10000000000002</v>
      </c>
    </row>
    <row r="519" spans="1:19" ht="15" customHeight="1" x14ac:dyDescent="0.2">
      <c r="A519" s="14">
        <f t="shared" si="84"/>
        <v>483</v>
      </c>
      <c r="B519" s="21" t="s">
        <v>468</v>
      </c>
      <c r="C519" s="15" t="s">
        <v>3</v>
      </c>
      <c r="D519" s="21" t="s">
        <v>56</v>
      </c>
      <c r="E519" s="21"/>
      <c r="F519" s="69" t="s">
        <v>4</v>
      </c>
      <c r="G519" s="9">
        <v>20455</v>
      </c>
      <c r="H519" s="26">
        <v>4764</v>
      </c>
      <c r="I519" s="17">
        <v>0</v>
      </c>
      <c r="J519" s="17">
        <f t="shared" si="88"/>
        <v>4525.8</v>
      </c>
      <c r="K519" s="17">
        <f t="shared" si="80"/>
        <v>238.19999999999982</v>
      </c>
      <c r="L519" s="23">
        <f t="shared" si="87"/>
        <v>238.20000000000002</v>
      </c>
      <c r="M519" s="23">
        <v>30</v>
      </c>
      <c r="N519" s="18">
        <f t="shared" si="81"/>
        <v>64.295890410958904</v>
      </c>
      <c r="O519" s="23">
        <v>4525.8</v>
      </c>
      <c r="P519" s="18">
        <f t="shared" si="82"/>
        <v>65.295890410958904</v>
      </c>
      <c r="Q519" s="18">
        <f t="shared" si="86"/>
        <v>-6.6317322004276018E-15</v>
      </c>
      <c r="R519" s="18">
        <f t="shared" si="83"/>
        <v>4525.8</v>
      </c>
      <c r="S519" s="18">
        <f>H519-R519</f>
        <v>238.19999999999982</v>
      </c>
    </row>
    <row r="520" spans="1:19" ht="15" customHeight="1" x14ac:dyDescent="0.2">
      <c r="A520" s="14">
        <f t="shared" si="84"/>
        <v>484</v>
      </c>
      <c r="B520" s="21" t="s">
        <v>469</v>
      </c>
      <c r="C520" s="15" t="s">
        <v>3</v>
      </c>
      <c r="D520" s="21" t="s">
        <v>56</v>
      </c>
      <c r="E520" s="21"/>
      <c r="F520" s="69" t="s">
        <v>11</v>
      </c>
      <c r="G520" s="9">
        <v>20455</v>
      </c>
      <c r="H520" s="26">
        <v>2535</v>
      </c>
      <c r="I520" s="17">
        <v>0</v>
      </c>
      <c r="J520" s="17">
        <f t="shared" si="88"/>
        <v>2408.25</v>
      </c>
      <c r="K520" s="17">
        <f t="shared" si="80"/>
        <v>126.75</v>
      </c>
      <c r="L520" s="23">
        <f t="shared" si="87"/>
        <v>126.75</v>
      </c>
      <c r="M520" s="23">
        <v>30</v>
      </c>
      <c r="N520" s="18">
        <f t="shared" si="81"/>
        <v>64.295890410958904</v>
      </c>
      <c r="O520" s="23">
        <v>2408.25</v>
      </c>
      <c r="P520" s="18">
        <f t="shared" si="82"/>
        <v>65.295890410958904</v>
      </c>
      <c r="Q520" s="18">
        <f t="shared" si="86"/>
        <v>0</v>
      </c>
      <c r="R520" s="18">
        <f t="shared" si="83"/>
        <v>2408.25</v>
      </c>
      <c r="S520" s="18">
        <f>H520-R520</f>
        <v>126.75</v>
      </c>
    </row>
    <row r="521" spans="1:19" ht="15" customHeight="1" x14ac:dyDescent="0.2">
      <c r="A521" s="14">
        <f t="shared" si="84"/>
        <v>485</v>
      </c>
      <c r="B521" s="21" t="s">
        <v>470</v>
      </c>
      <c r="C521" s="15" t="s">
        <v>3</v>
      </c>
      <c r="D521" s="21" t="s">
        <v>56</v>
      </c>
      <c r="E521" s="21"/>
      <c r="F521" s="69" t="s">
        <v>4</v>
      </c>
      <c r="G521" s="9">
        <v>20455</v>
      </c>
      <c r="H521" s="26">
        <v>1507</v>
      </c>
      <c r="I521" s="17">
        <v>0</v>
      </c>
      <c r="J521" s="17">
        <f t="shared" si="88"/>
        <v>1431.65</v>
      </c>
      <c r="K521" s="17">
        <f t="shared" si="80"/>
        <v>75.349999999999909</v>
      </c>
      <c r="L521" s="23">
        <f t="shared" si="87"/>
        <v>75.350000000000009</v>
      </c>
      <c r="M521" s="23">
        <v>30</v>
      </c>
      <c r="N521" s="18">
        <f t="shared" si="81"/>
        <v>64.295890410958904</v>
      </c>
      <c r="O521" s="23">
        <v>1431.65</v>
      </c>
      <c r="P521" s="18">
        <f t="shared" si="82"/>
        <v>65.295890410958904</v>
      </c>
      <c r="Q521" s="18">
        <f t="shared" si="86"/>
        <v>-3.3158661002138009E-15</v>
      </c>
      <c r="R521" s="18">
        <f t="shared" si="83"/>
        <v>1431.65</v>
      </c>
      <c r="S521" s="18">
        <f>H521-R521</f>
        <v>75.349999999999909</v>
      </c>
    </row>
    <row r="522" spans="1:19" ht="15" customHeight="1" x14ac:dyDescent="0.2">
      <c r="A522" s="14">
        <f t="shared" si="84"/>
        <v>486</v>
      </c>
      <c r="B522" s="21" t="s">
        <v>471</v>
      </c>
      <c r="C522" s="15" t="s">
        <v>3</v>
      </c>
      <c r="D522" s="21" t="s">
        <v>56</v>
      </c>
      <c r="E522" s="21"/>
      <c r="F522" s="69" t="s">
        <v>8</v>
      </c>
      <c r="G522" s="9">
        <v>20455</v>
      </c>
      <c r="H522" s="26">
        <v>1078</v>
      </c>
      <c r="I522" s="17">
        <v>0</v>
      </c>
      <c r="J522" s="17">
        <f t="shared" si="88"/>
        <v>1024.0999999999999</v>
      </c>
      <c r="K522" s="17">
        <f t="shared" si="80"/>
        <v>53.900000000000091</v>
      </c>
      <c r="L522" s="23">
        <f t="shared" si="87"/>
        <v>53.900000000000006</v>
      </c>
      <c r="M522" s="23">
        <v>30</v>
      </c>
      <c r="N522" s="18">
        <f t="shared" si="81"/>
        <v>64.295890410958904</v>
      </c>
      <c r="O522" s="23">
        <v>1024.0999999999999</v>
      </c>
      <c r="P522" s="18">
        <f t="shared" si="82"/>
        <v>65.295890410958904</v>
      </c>
      <c r="Q522" s="18">
        <f t="shared" si="86"/>
        <v>2.8421709430404009E-15</v>
      </c>
      <c r="R522" s="18">
        <f t="shared" si="83"/>
        <v>1024.0999999999999</v>
      </c>
      <c r="S522" s="18">
        <f>+IF(N522&gt;P522,0,L522)</f>
        <v>53.900000000000006</v>
      </c>
    </row>
    <row r="523" spans="1:19" ht="15" customHeight="1" x14ac:dyDescent="0.2">
      <c r="A523" s="14">
        <f t="shared" si="84"/>
        <v>487</v>
      </c>
      <c r="B523" s="21" t="s">
        <v>452</v>
      </c>
      <c r="C523" s="15" t="s">
        <v>3</v>
      </c>
      <c r="D523" s="21" t="s">
        <v>56</v>
      </c>
      <c r="E523" s="21"/>
      <c r="F523" s="69" t="s">
        <v>4</v>
      </c>
      <c r="G523" s="9">
        <v>20455</v>
      </c>
      <c r="H523" s="26">
        <v>986</v>
      </c>
      <c r="I523" s="17">
        <v>0</v>
      </c>
      <c r="J523" s="17">
        <f t="shared" si="88"/>
        <v>936.7</v>
      </c>
      <c r="K523" s="17">
        <f t="shared" si="80"/>
        <v>49.299999999999955</v>
      </c>
      <c r="L523" s="23">
        <f t="shared" si="87"/>
        <v>49.300000000000004</v>
      </c>
      <c r="M523" s="23">
        <v>30</v>
      </c>
      <c r="N523" s="18">
        <f t="shared" si="81"/>
        <v>64.295890410958904</v>
      </c>
      <c r="O523" s="23">
        <v>936.7</v>
      </c>
      <c r="P523" s="18">
        <f t="shared" si="82"/>
        <v>65.295890410958904</v>
      </c>
      <c r="Q523" s="18">
        <f t="shared" si="86"/>
        <v>-1.6579330501069005E-15</v>
      </c>
      <c r="R523" s="18">
        <f t="shared" si="83"/>
        <v>936.7</v>
      </c>
      <c r="S523" s="18">
        <f>H523-R523</f>
        <v>49.299999999999955</v>
      </c>
    </row>
    <row r="524" spans="1:19" ht="15" customHeight="1" x14ac:dyDescent="0.2">
      <c r="A524" s="14">
        <f t="shared" si="84"/>
        <v>488</v>
      </c>
      <c r="B524" s="21" t="s">
        <v>472</v>
      </c>
      <c r="C524" s="15" t="s">
        <v>3</v>
      </c>
      <c r="D524" s="21" t="s">
        <v>56</v>
      </c>
      <c r="E524" s="21"/>
      <c r="F524" s="69" t="s">
        <v>4</v>
      </c>
      <c r="G524" s="9">
        <v>20455</v>
      </c>
      <c r="H524" s="26">
        <v>904</v>
      </c>
      <c r="I524" s="17">
        <v>0</v>
      </c>
      <c r="J524" s="17">
        <f t="shared" si="88"/>
        <v>858.8</v>
      </c>
      <c r="K524" s="17">
        <f t="shared" si="80"/>
        <v>45.200000000000045</v>
      </c>
      <c r="L524" s="23">
        <f t="shared" si="87"/>
        <v>45.2</v>
      </c>
      <c r="M524" s="23">
        <v>30</v>
      </c>
      <c r="N524" s="18">
        <f t="shared" si="81"/>
        <v>64.295890410958904</v>
      </c>
      <c r="O524" s="23">
        <v>858.8</v>
      </c>
      <c r="P524" s="18">
        <f t="shared" si="82"/>
        <v>65.295890410958904</v>
      </c>
      <c r="Q524" s="18">
        <f t="shared" si="86"/>
        <v>1.4210854715202005E-15</v>
      </c>
      <c r="R524" s="18">
        <f t="shared" si="83"/>
        <v>858.8</v>
      </c>
      <c r="S524" s="18">
        <f>+IF(N524&gt;P524,0,L524)</f>
        <v>45.2</v>
      </c>
    </row>
    <row r="525" spans="1:19" ht="15" customHeight="1" x14ac:dyDescent="0.2">
      <c r="A525" s="14">
        <f t="shared" si="84"/>
        <v>489</v>
      </c>
      <c r="B525" s="21" t="s">
        <v>473</v>
      </c>
      <c r="C525" s="15" t="s">
        <v>3</v>
      </c>
      <c r="D525" s="21" t="s">
        <v>56</v>
      </c>
      <c r="E525" s="21"/>
      <c r="F525" s="69" t="s">
        <v>4</v>
      </c>
      <c r="G525" s="9">
        <v>29221</v>
      </c>
      <c r="H525" s="26">
        <v>86671</v>
      </c>
      <c r="I525" s="17">
        <v>0</v>
      </c>
      <c r="J525" s="17">
        <f t="shared" si="88"/>
        <v>82337.45</v>
      </c>
      <c r="K525" s="17">
        <f t="shared" si="80"/>
        <v>4333.5500000000029</v>
      </c>
      <c r="L525" s="23">
        <f t="shared" si="87"/>
        <v>4333.55</v>
      </c>
      <c r="M525" s="23">
        <v>5</v>
      </c>
      <c r="N525" s="18">
        <f t="shared" si="81"/>
        <v>40.279452054794518</v>
      </c>
      <c r="O525" s="23">
        <v>82337.45</v>
      </c>
      <c r="P525" s="18">
        <f t="shared" si="82"/>
        <v>41.279452054794518</v>
      </c>
      <c r="Q525" s="18">
        <f t="shared" si="86"/>
        <v>5.4569682106375702E-13</v>
      </c>
      <c r="R525" s="18">
        <f t="shared" si="83"/>
        <v>82337.45</v>
      </c>
      <c r="S525" s="18">
        <f>+IF(N525&gt;P525,0,L525)</f>
        <v>4333.55</v>
      </c>
    </row>
    <row r="526" spans="1:19" ht="15" customHeight="1" x14ac:dyDescent="0.2">
      <c r="A526" s="14">
        <f t="shared" si="84"/>
        <v>490</v>
      </c>
      <c r="B526" s="21" t="s">
        <v>474</v>
      </c>
      <c r="C526" s="15" t="s">
        <v>3</v>
      </c>
      <c r="D526" s="21" t="s">
        <v>56</v>
      </c>
      <c r="E526" s="21"/>
      <c r="F526" s="69" t="s">
        <v>4</v>
      </c>
      <c r="G526" s="9">
        <v>20090</v>
      </c>
      <c r="H526" s="26">
        <v>18487</v>
      </c>
      <c r="I526" s="17">
        <v>0</v>
      </c>
      <c r="J526" s="17">
        <f t="shared" si="88"/>
        <v>17562.650000000001</v>
      </c>
      <c r="K526" s="17">
        <f t="shared" si="80"/>
        <v>924.34999999999854</v>
      </c>
      <c r="L526" s="23">
        <f t="shared" si="87"/>
        <v>924.35</v>
      </c>
      <c r="M526" s="23">
        <v>30</v>
      </c>
      <c r="N526" s="18">
        <f t="shared" si="81"/>
        <v>65.295890410958904</v>
      </c>
      <c r="O526" s="23">
        <v>17562.650000000001</v>
      </c>
      <c r="P526" s="18">
        <f t="shared" si="82"/>
        <v>66.295890410958904</v>
      </c>
      <c r="Q526" s="18">
        <f t="shared" si="86"/>
        <v>-4.9264296346033615E-14</v>
      </c>
      <c r="R526" s="18">
        <f t="shared" si="83"/>
        <v>17562.650000000001</v>
      </c>
      <c r="S526" s="18">
        <f t="shared" ref="S526:S532" si="89">H526-R526</f>
        <v>924.34999999999854</v>
      </c>
    </row>
    <row r="527" spans="1:19" ht="15" customHeight="1" x14ac:dyDescent="0.2">
      <c r="A527" s="14">
        <f t="shared" si="84"/>
        <v>491</v>
      </c>
      <c r="B527" s="21" t="s">
        <v>475</v>
      </c>
      <c r="C527" s="15" t="s">
        <v>3</v>
      </c>
      <c r="D527" s="21" t="s">
        <v>56</v>
      </c>
      <c r="E527" s="21"/>
      <c r="F527" s="69" t="s">
        <v>4</v>
      </c>
      <c r="G527" s="9">
        <v>20090</v>
      </c>
      <c r="H527" s="26">
        <v>6336</v>
      </c>
      <c r="I527" s="17">
        <v>0</v>
      </c>
      <c r="J527" s="17">
        <f t="shared" si="88"/>
        <v>6019.2</v>
      </c>
      <c r="K527" s="17">
        <f t="shared" si="80"/>
        <v>316.80000000000018</v>
      </c>
      <c r="L527" s="23">
        <f t="shared" si="87"/>
        <v>316.8</v>
      </c>
      <c r="M527" s="23">
        <v>30</v>
      </c>
      <c r="N527" s="18">
        <f t="shared" si="81"/>
        <v>65.295890410958904</v>
      </c>
      <c r="O527" s="23">
        <v>6019.2</v>
      </c>
      <c r="P527" s="18">
        <f t="shared" si="82"/>
        <v>66.295890410958904</v>
      </c>
      <c r="Q527" s="18">
        <f t="shared" si="86"/>
        <v>5.6843418860808018E-15</v>
      </c>
      <c r="R527" s="18">
        <f t="shared" si="83"/>
        <v>6019.2</v>
      </c>
      <c r="S527" s="18">
        <f t="shared" si="89"/>
        <v>316.80000000000018</v>
      </c>
    </row>
    <row r="528" spans="1:19" ht="15" customHeight="1" x14ac:dyDescent="0.2">
      <c r="A528" s="14">
        <f t="shared" si="84"/>
        <v>492</v>
      </c>
      <c r="B528" s="21" t="s">
        <v>476</v>
      </c>
      <c r="C528" s="15" t="s">
        <v>3</v>
      </c>
      <c r="D528" s="21" t="s">
        <v>56</v>
      </c>
      <c r="E528" s="21"/>
      <c r="F528" s="69" t="s">
        <v>4</v>
      </c>
      <c r="G528" s="9">
        <v>20090</v>
      </c>
      <c r="H528" s="26">
        <v>5325</v>
      </c>
      <c r="I528" s="17">
        <v>0</v>
      </c>
      <c r="J528" s="17">
        <f t="shared" si="88"/>
        <v>5058.75</v>
      </c>
      <c r="K528" s="17">
        <f t="shared" si="80"/>
        <v>266.25</v>
      </c>
      <c r="L528" s="23">
        <f t="shared" si="87"/>
        <v>266.25</v>
      </c>
      <c r="M528" s="23">
        <v>30</v>
      </c>
      <c r="N528" s="18">
        <f t="shared" si="81"/>
        <v>65.295890410958904</v>
      </c>
      <c r="O528" s="23">
        <v>5058.75</v>
      </c>
      <c r="P528" s="18">
        <f t="shared" si="82"/>
        <v>66.295890410958904</v>
      </c>
      <c r="Q528" s="18">
        <f t="shared" si="86"/>
        <v>0</v>
      </c>
      <c r="R528" s="18">
        <f t="shared" si="83"/>
        <v>5058.75</v>
      </c>
      <c r="S528" s="18">
        <f t="shared" si="89"/>
        <v>266.25</v>
      </c>
    </row>
    <row r="529" spans="1:19" ht="15" customHeight="1" x14ac:dyDescent="0.2">
      <c r="A529" s="14">
        <f t="shared" si="84"/>
        <v>493</v>
      </c>
      <c r="B529" s="21" t="s">
        <v>477</v>
      </c>
      <c r="C529" s="15" t="s">
        <v>3</v>
      </c>
      <c r="D529" s="21" t="s">
        <v>56</v>
      </c>
      <c r="E529" s="21"/>
      <c r="F529" s="69" t="s">
        <v>4</v>
      </c>
      <c r="G529" s="9">
        <v>20090</v>
      </c>
      <c r="H529" s="26">
        <v>3514</v>
      </c>
      <c r="I529" s="17">
        <v>0</v>
      </c>
      <c r="J529" s="17">
        <f t="shared" si="88"/>
        <v>3338.3</v>
      </c>
      <c r="K529" s="17">
        <f t="shared" si="80"/>
        <v>175.69999999999982</v>
      </c>
      <c r="L529" s="23">
        <f t="shared" si="87"/>
        <v>175.70000000000002</v>
      </c>
      <c r="M529" s="23">
        <v>30</v>
      </c>
      <c r="N529" s="18">
        <f t="shared" si="81"/>
        <v>65.295890410958904</v>
      </c>
      <c r="O529" s="23">
        <v>3338.3</v>
      </c>
      <c r="P529" s="18">
        <f t="shared" si="82"/>
        <v>66.295890410958904</v>
      </c>
      <c r="Q529" s="18">
        <f t="shared" si="86"/>
        <v>-6.6317322004276018E-15</v>
      </c>
      <c r="R529" s="18">
        <f t="shared" si="83"/>
        <v>3338.3</v>
      </c>
      <c r="S529" s="18">
        <f t="shared" si="89"/>
        <v>175.69999999999982</v>
      </c>
    </row>
    <row r="530" spans="1:19" ht="15" customHeight="1" x14ac:dyDescent="0.2">
      <c r="A530" s="14">
        <f t="shared" si="84"/>
        <v>494</v>
      </c>
      <c r="B530" s="21" t="s">
        <v>478</v>
      </c>
      <c r="C530" s="15" t="s">
        <v>3</v>
      </c>
      <c r="D530" s="21" t="s">
        <v>56</v>
      </c>
      <c r="E530" s="21"/>
      <c r="F530" s="69" t="s">
        <v>7</v>
      </c>
      <c r="G530" s="9">
        <v>20090</v>
      </c>
      <c r="H530" s="26">
        <v>3192</v>
      </c>
      <c r="I530" s="17">
        <v>0</v>
      </c>
      <c r="J530" s="17">
        <f t="shared" si="88"/>
        <v>3032.4</v>
      </c>
      <c r="K530" s="17">
        <f t="shared" si="80"/>
        <v>159.59999999999991</v>
      </c>
      <c r="L530" s="23">
        <f t="shared" si="87"/>
        <v>159.60000000000002</v>
      </c>
      <c r="M530" s="23">
        <v>30</v>
      </c>
      <c r="N530" s="18">
        <f t="shared" si="81"/>
        <v>65.295890410958904</v>
      </c>
      <c r="O530" s="23">
        <v>3032.4</v>
      </c>
      <c r="P530" s="18">
        <f t="shared" si="82"/>
        <v>66.295890410958904</v>
      </c>
      <c r="Q530" s="18">
        <f t="shared" si="86"/>
        <v>-3.7895612573872009E-15</v>
      </c>
      <c r="R530" s="18">
        <f t="shared" si="83"/>
        <v>3032.4</v>
      </c>
      <c r="S530" s="18">
        <f t="shared" si="89"/>
        <v>159.59999999999991</v>
      </c>
    </row>
    <row r="531" spans="1:19" ht="15" customHeight="1" x14ac:dyDescent="0.2">
      <c r="A531" s="14">
        <f t="shared" si="84"/>
        <v>495</v>
      </c>
      <c r="B531" s="21" t="s">
        <v>470</v>
      </c>
      <c r="C531" s="15" t="s">
        <v>3</v>
      </c>
      <c r="D531" s="21" t="s">
        <v>56</v>
      </c>
      <c r="E531" s="21"/>
      <c r="F531" s="69" t="s">
        <v>4</v>
      </c>
      <c r="G531" s="9">
        <v>20090</v>
      </c>
      <c r="H531" s="26">
        <v>2370</v>
      </c>
      <c r="I531" s="17">
        <v>0</v>
      </c>
      <c r="J531" s="17">
        <f t="shared" si="88"/>
        <v>2251.5</v>
      </c>
      <c r="K531" s="17">
        <f t="shared" si="80"/>
        <v>118.5</v>
      </c>
      <c r="L531" s="23">
        <f t="shared" si="87"/>
        <v>118.5</v>
      </c>
      <c r="M531" s="23">
        <v>30</v>
      </c>
      <c r="N531" s="18">
        <f t="shared" si="81"/>
        <v>65.295890410958904</v>
      </c>
      <c r="O531" s="23">
        <v>2251.5</v>
      </c>
      <c r="P531" s="18">
        <f t="shared" si="82"/>
        <v>66.295890410958904</v>
      </c>
      <c r="Q531" s="18">
        <f t="shared" si="86"/>
        <v>0</v>
      </c>
      <c r="R531" s="18">
        <f t="shared" si="83"/>
        <v>2251.5</v>
      </c>
      <c r="S531" s="18">
        <f t="shared" si="89"/>
        <v>118.5</v>
      </c>
    </row>
    <row r="532" spans="1:19" ht="15" customHeight="1" x14ac:dyDescent="0.2">
      <c r="A532" s="14">
        <f t="shared" si="84"/>
        <v>496</v>
      </c>
      <c r="B532" s="21" t="s">
        <v>479</v>
      </c>
      <c r="C532" s="15" t="s">
        <v>3</v>
      </c>
      <c r="D532" s="21" t="s">
        <v>56</v>
      </c>
      <c r="E532" s="21"/>
      <c r="F532" s="69" t="s">
        <v>4</v>
      </c>
      <c r="G532" s="9">
        <v>19815</v>
      </c>
      <c r="H532" s="26">
        <v>7600</v>
      </c>
      <c r="I532" s="17">
        <v>0</v>
      </c>
      <c r="J532" s="17">
        <f t="shared" si="88"/>
        <v>7220</v>
      </c>
      <c r="K532" s="17">
        <f t="shared" si="80"/>
        <v>380</v>
      </c>
      <c r="L532" s="23">
        <f t="shared" si="87"/>
        <v>380</v>
      </c>
      <c r="M532" s="23">
        <v>30</v>
      </c>
      <c r="N532" s="18">
        <f t="shared" si="81"/>
        <v>66.049315068493144</v>
      </c>
      <c r="O532" s="23">
        <v>7220</v>
      </c>
      <c r="P532" s="18">
        <f t="shared" si="82"/>
        <v>67.049315068493144</v>
      </c>
      <c r="Q532" s="18">
        <f t="shared" si="86"/>
        <v>0</v>
      </c>
      <c r="R532" s="18">
        <f t="shared" si="83"/>
        <v>7220</v>
      </c>
      <c r="S532" s="18">
        <f t="shared" si="89"/>
        <v>380</v>
      </c>
    </row>
    <row r="533" spans="1:19" ht="15" customHeight="1" x14ac:dyDescent="0.2">
      <c r="A533" s="14">
        <f t="shared" si="84"/>
        <v>497</v>
      </c>
      <c r="B533" s="21" t="s">
        <v>480</v>
      </c>
      <c r="C533" s="15" t="s">
        <v>3</v>
      </c>
      <c r="D533" s="21" t="s">
        <v>56</v>
      </c>
      <c r="E533" s="21"/>
      <c r="F533" s="69" t="s">
        <v>4</v>
      </c>
      <c r="G533" s="9">
        <v>19815</v>
      </c>
      <c r="H533" s="26">
        <v>794</v>
      </c>
      <c r="I533" s="17">
        <v>0</v>
      </c>
      <c r="J533" s="17">
        <f t="shared" si="88"/>
        <v>754.3</v>
      </c>
      <c r="K533" s="17">
        <f t="shared" si="80"/>
        <v>39.700000000000045</v>
      </c>
      <c r="L533" s="23">
        <f t="shared" si="87"/>
        <v>39.700000000000003</v>
      </c>
      <c r="M533" s="23">
        <v>30</v>
      </c>
      <c r="N533" s="18">
        <f t="shared" si="81"/>
        <v>66.049315068493144</v>
      </c>
      <c r="O533" s="23">
        <v>754.3</v>
      </c>
      <c r="P533" s="18">
        <f t="shared" si="82"/>
        <v>67.049315068493144</v>
      </c>
      <c r="Q533" s="18">
        <f t="shared" si="86"/>
        <v>1.4210854715202005E-15</v>
      </c>
      <c r="R533" s="18">
        <f t="shared" si="83"/>
        <v>754.3</v>
      </c>
      <c r="S533" s="18">
        <f>+IF(N533&gt;P533,0,L533)</f>
        <v>39.700000000000003</v>
      </c>
    </row>
    <row r="534" spans="1:19" ht="15" customHeight="1" x14ac:dyDescent="0.2">
      <c r="A534" s="14">
        <f t="shared" si="84"/>
        <v>498</v>
      </c>
      <c r="B534" s="21" t="s">
        <v>481</v>
      </c>
      <c r="C534" s="15" t="s">
        <v>3</v>
      </c>
      <c r="D534" s="21" t="s">
        <v>56</v>
      </c>
      <c r="E534" s="21"/>
      <c r="F534" s="69" t="s">
        <v>4</v>
      </c>
      <c r="G534" s="9">
        <v>19815</v>
      </c>
      <c r="H534" s="26">
        <v>780</v>
      </c>
      <c r="I534" s="17">
        <v>0</v>
      </c>
      <c r="J534" s="17">
        <f t="shared" si="88"/>
        <v>741</v>
      </c>
      <c r="K534" s="17">
        <f t="shared" si="80"/>
        <v>39</v>
      </c>
      <c r="L534" s="23">
        <f t="shared" si="87"/>
        <v>39</v>
      </c>
      <c r="M534" s="23">
        <v>30</v>
      </c>
      <c r="N534" s="18">
        <f t="shared" si="81"/>
        <v>66.049315068493144</v>
      </c>
      <c r="O534" s="23">
        <v>741</v>
      </c>
      <c r="P534" s="18">
        <f t="shared" si="82"/>
        <v>67.049315068493144</v>
      </c>
      <c r="Q534" s="18">
        <f t="shared" si="86"/>
        <v>0</v>
      </c>
      <c r="R534" s="18">
        <f t="shared" si="83"/>
        <v>741</v>
      </c>
      <c r="S534" s="18">
        <f t="shared" ref="S534:S539" si="90">H534-R534</f>
        <v>39</v>
      </c>
    </row>
    <row r="535" spans="1:19" ht="15" customHeight="1" x14ac:dyDescent="0.2">
      <c r="A535" s="14">
        <f t="shared" si="84"/>
        <v>499</v>
      </c>
      <c r="B535" s="21" t="s">
        <v>482</v>
      </c>
      <c r="C535" s="15" t="s">
        <v>3</v>
      </c>
      <c r="D535" s="21" t="s">
        <v>56</v>
      </c>
      <c r="E535" s="21"/>
      <c r="F535" s="70" t="s">
        <v>7</v>
      </c>
      <c r="G535" s="9">
        <v>19725</v>
      </c>
      <c r="H535" s="26">
        <v>2882</v>
      </c>
      <c r="I535" s="17">
        <v>0</v>
      </c>
      <c r="J535" s="17">
        <f t="shared" si="88"/>
        <v>2737.9</v>
      </c>
      <c r="K535" s="17">
        <f t="shared" si="80"/>
        <v>144.09999999999991</v>
      </c>
      <c r="L535" s="23">
        <f t="shared" si="87"/>
        <v>144.1</v>
      </c>
      <c r="M535" s="23">
        <v>30</v>
      </c>
      <c r="N535" s="18">
        <f t="shared" si="81"/>
        <v>66.295890410958904</v>
      </c>
      <c r="O535" s="23">
        <v>2737.9</v>
      </c>
      <c r="P535" s="18">
        <f t="shared" si="82"/>
        <v>67.295890410958904</v>
      </c>
      <c r="Q535" s="18">
        <f t="shared" si="86"/>
        <v>-2.8421709430404009E-15</v>
      </c>
      <c r="R535" s="18">
        <f t="shared" si="83"/>
        <v>2737.9</v>
      </c>
      <c r="S535" s="18">
        <f t="shared" si="90"/>
        <v>144.09999999999991</v>
      </c>
    </row>
    <row r="536" spans="1:19" ht="15" customHeight="1" x14ac:dyDescent="0.2">
      <c r="A536" s="14">
        <f t="shared" si="84"/>
        <v>500</v>
      </c>
      <c r="B536" s="21" t="s">
        <v>483</v>
      </c>
      <c r="C536" s="15" t="s">
        <v>3</v>
      </c>
      <c r="D536" s="21" t="s">
        <v>56</v>
      </c>
      <c r="E536" s="21"/>
      <c r="F536" s="69" t="s">
        <v>4</v>
      </c>
      <c r="G536" s="9">
        <v>19725</v>
      </c>
      <c r="H536" s="26">
        <v>1400</v>
      </c>
      <c r="I536" s="17">
        <v>0</v>
      </c>
      <c r="J536" s="17">
        <f t="shared" si="88"/>
        <v>1330</v>
      </c>
      <c r="K536" s="17">
        <f t="shared" si="80"/>
        <v>70</v>
      </c>
      <c r="L536" s="23">
        <f t="shared" si="87"/>
        <v>70</v>
      </c>
      <c r="M536" s="23">
        <v>30</v>
      </c>
      <c r="N536" s="18">
        <f t="shared" si="81"/>
        <v>66.295890410958904</v>
      </c>
      <c r="O536" s="23">
        <v>1330</v>
      </c>
      <c r="P536" s="18">
        <f t="shared" si="82"/>
        <v>67.295890410958904</v>
      </c>
      <c r="Q536" s="18">
        <f t="shared" si="86"/>
        <v>0</v>
      </c>
      <c r="R536" s="18">
        <f t="shared" si="83"/>
        <v>1330</v>
      </c>
      <c r="S536" s="18">
        <f t="shared" si="90"/>
        <v>70</v>
      </c>
    </row>
    <row r="537" spans="1:19" ht="15" customHeight="1" x14ac:dyDescent="0.2">
      <c r="A537" s="14">
        <f t="shared" si="84"/>
        <v>501</v>
      </c>
      <c r="B537" s="21" t="s">
        <v>484</v>
      </c>
      <c r="C537" s="15" t="s">
        <v>3</v>
      </c>
      <c r="D537" s="21" t="s">
        <v>56</v>
      </c>
      <c r="E537" s="21"/>
      <c r="F537" s="69" t="s">
        <v>4</v>
      </c>
      <c r="G537" s="9">
        <v>28491</v>
      </c>
      <c r="H537" s="26">
        <v>45539</v>
      </c>
      <c r="I537" s="17">
        <v>0</v>
      </c>
      <c r="J537" s="17">
        <f t="shared" si="88"/>
        <v>43262.05</v>
      </c>
      <c r="K537" s="17">
        <f t="shared" si="80"/>
        <v>2276.9499999999971</v>
      </c>
      <c r="L537" s="23">
        <f t="shared" si="87"/>
        <v>2276.9500000000003</v>
      </c>
      <c r="M537" s="23">
        <v>5</v>
      </c>
      <c r="N537" s="18">
        <f t="shared" si="81"/>
        <v>42.279452054794518</v>
      </c>
      <c r="O537" s="23">
        <v>43262.05</v>
      </c>
      <c r="P537" s="18">
        <f t="shared" si="82"/>
        <v>43.279452054794518</v>
      </c>
      <c r="Q537" s="18">
        <f t="shared" si="86"/>
        <v>-6.3664629124104983E-13</v>
      </c>
      <c r="R537" s="18">
        <f t="shared" si="83"/>
        <v>43262.05</v>
      </c>
      <c r="S537" s="18">
        <f t="shared" si="90"/>
        <v>2276.9499999999971</v>
      </c>
    </row>
    <row r="538" spans="1:19" ht="15" customHeight="1" x14ac:dyDescent="0.2">
      <c r="A538" s="14">
        <f t="shared" si="84"/>
        <v>502</v>
      </c>
      <c r="B538" s="21" t="s">
        <v>485</v>
      </c>
      <c r="C538" s="15" t="s">
        <v>3</v>
      </c>
      <c r="D538" s="21" t="s">
        <v>56</v>
      </c>
      <c r="E538" s="21"/>
      <c r="F538" s="69" t="s">
        <v>8</v>
      </c>
      <c r="G538" s="9">
        <v>19360</v>
      </c>
      <c r="H538" s="26">
        <v>90761</v>
      </c>
      <c r="I538" s="17">
        <v>0</v>
      </c>
      <c r="J538" s="17">
        <f t="shared" si="88"/>
        <v>86222.95</v>
      </c>
      <c r="K538" s="17">
        <f t="shared" si="80"/>
        <v>4538.0500000000029</v>
      </c>
      <c r="L538" s="23">
        <f t="shared" si="87"/>
        <v>4538.05</v>
      </c>
      <c r="M538" s="23">
        <v>30</v>
      </c>
      <c r="N538" s="18">
        <f t="shared" si="81"/>
        <v>67.295890410958904</v>
      </c>
      <c r="O538" s="23">
        <v>86222.95</v>
      </c>
      <c r="P538" s="18">
        <f t="shared" si="82"/>
        <v>68.295890410958904</v>
      </c>
      <c r="Q538" s="18">
        <f t="shared" si="86"/>
        <v>9.0949470177292829E-14</v>
      </c>
      <c r="R538" s="18">
        <f t="shared" si="83"/>
        <v>86222.95</v>
      </c>
      <c r="S538" s="18">
        <f t="shared" si="90"/>
        <v>4538.0500000000029</v>
      </c>
    </row>
    <row r="539" spans="1:19" ht="15" customHeight="1" x14ac:dyDescent="0.2">
      <c r="A539" s="14">
        <f t="shared" si="84"/>
        <v>503</v>
      </c>
      <c r="B539" s="21" t="s">
        <v>486</v>
      </c>
      <c r="C539" s="15" t="s">
        <v>3</v>
      </c>
      <c r="D539" s="21" t="s">
        <v>56</v>
      </c>
      <c r="E539" s="21"/>
      <c r="F539" s="69" t="s">
        <v>4</v>
      </c>
      <c r="G539" s="9">
        <v>19360</v>
      </c>
      <c r="H539" s="26">
        <v>68494.3</v>
      </c>
      <c r="I539" s="17">
        <v>0</v>
      </c>
      <c r="J539" s="17">
        <f t="shared" si="88"/>
        <v>65069.585000000006</v>
      </c>
      <c r="K539" s="17">
        <f t="shared" si="80"/>
        <v>3424.7149999999965</v>
      </c>
      <c r="L539" s="23">
        <f t="shared" si="87"/>
        <v>3424.7150000000001</v>
      </c>
      <c r="M539" s="23">
        <v>30</v>
      </c>
      <c r="N539" s="18">
        <f t="shared" si="81"/>
        <v>67.295890410958904</v>
      </c>
      <c r="O539" s="23">
        <v>65069.585000000006</v>
      </c>
      <c r="P539" s="18">
        <f t="shared" si="82"/>
        <v>68.295890410958904</v>
      </c>
      <c r="Q539" s="18">
        <f t="shared" si="86"/>
        <v>-1.2126596023639043E-13</v>
      </c>
      <c r="R539" s="18">
        <f t="shared" si="83"/>
        <v>65069.585000000006</v>
      </c>
      <c r="S539" s="18">
        <f t="shared" si="90"/>
        <v>3424.7149999999965</v>
      </c>
    </row>
    <row r="540" spans="1:19" ht="15" customHeight="1" x14ac:dyDescent="0.2">
      <c r="A540" s="14">
        <f t="shared" si="84"/>
        <v>504</v>
      </c>
      <c r="B540" s="21" t="s">
        <v>487</v>
      </c>
      <c r="C540" s="15" t="s">
        <v>3</v>
      </c>
      <c r="D540" s="21" t="s">
        <v>56</v>
      </c>
      <c r="E540" s="21"/>
      <c r="F540" s="69" t="s">
        <v>4</v>
      </c>
      <c r="G540" s="9">
        <v>19360</v>
      </c>
      <c r="H540" s="26">
        <v>7607</v>
      </c>
      <c r="I540" s="17">
        <v>0</v>
      </c>
      <c r="J540" s="17">
        <f t="shared" si="88"/>
        <v>7226.65</v>
      </c>
      <c r="K540" s="17">
        <f t="shared" si="80"/>
        <v>380.35000000000036</v>
      </c>
      <c r="L540" s="23">
        <f t="shared" si="87"/>
        <v>380.35</v>
      </c>
      <c r="M540" s="23">
        <v>30</v>
      </c>
      <c r="N540" s="18">
        <f t="shared" si="81"/>
        <v>67.295890410958904</v>
      </c>
      <c r="O540" s="23">
        <v>7226.65</v>
      </c>
      <c r="P540" s="18">
        <f t="shared" si="82"/>
        <v>68.295890410958904</v>
      </c>
      <c r="Q540" s="18">
        <f t="shared" si="86"/>
        <v>1.1368683772161604E-14</v>
      </c>
      <c r="R540" s="18">
        <f t="shared" si="83"/>
        <v>7226.65</v>
      </c>
      <c r="S540" s="18">
        <f>+IF(N540&gt;P540,0,L540)</f>
        <v>380.35</v>
      </c>
    </row>
    <row r="541" spans="1:19" ht="15" customHeight="1" x14ac:dyDescent="0.2">
      <c r="A541" s="14">
        <f t="shared" si="84"/>
        <v>505</v>
      </c>
      <c r="B541" s="21" t="s">
        <v>488</v>
      </c>
      <c r="C541" s="15" t="s">
        <v>3</v>
      </c>
      <c r="D541" s="21" t="s">
        <v>56</v>
      </c>
      <c r="E541" s="21"/>
      <c r="F541" s="69" t="s">
        <v>4</v>
      </c>
      <c r="G541" s="9">
        <v>19360</v>
      </c>
      <c r="H541" s="26">
        <v>1050</v>
      </c>
      <c r="I541" s="17">
        <v>0</v>
      </c>
      <c r="J541" s="17">
        <f t="shared" si="88"/>
        <v>997.5</v>
      </c>
      <c r="K541" s="17">
        <f t="shared" si="80"/>
        <v>52.5</v>
      </c>
      <c r="L541" s="23">
        <f t="shared" si="87"/>
        <v>52.5</v>
      </c>
      <c r="M541" s="23">
        <v>30</v>
      </c>
      <c r="N541" s="18">
        <f t="shared" si="81"/>
        <v>67.295890410958904</v>
      </c>
      <c r="O541" s="23">
        <v>997.5</v>
      </c>
      <c r="P541" s="18">
        <f t="shared" si="82"/>
        <v>68.295890410958904</v>
      </c>
      <c r="Q541" s="18">
        <f t="shared" si="86"/>
        <v>0</v>
      </c>
      <c r="R541" s="18">
        <f t="shared" si="83"/>
        <v>997.5</v>
      </c>
      <c r="S541" s="18">
        <f t="shared" ref="S541:S546" si="91">H541-R541</f>
        <v>52.5</v>
      </c>
    </row>
    <row r="542" spans="1:19" ht="15" customHeight="1" x14ac:dyDescent="0.2">
      <c r="A542" s="14">
        <f t="shared" si="84"/>
        <v>506</v>
      </c>
      <c r="B542" s="21" t="s">
        <v>489</v>
      </c>
      <c r="C542" s="15" t="s">
        <v>3</v>
      </c>
      <c r="D542" s="21" t="s">
        <v>56</v>
      </c>
      <c r="E542" s="21"/>
      <c r="F542" s="69" t="s">
        <v>4</v>
      </c>
      <c r="G542" s="9">
        <v>28126</v>
      </c>
      <c r="H542" s="26">
        <v>89124</v>
      </c>
      <c r="I542" s="17">
        <v>0</v>
      </c>
      <c r="J542" s="17">
        <f t="shared" si="88"/>
        <v>84667.8</v>
      </c>
      <c r="K542" s="17">
        <f t="shared" si="80"/>
        <v>4456.1999999999971</v>
      </c>
      <c r="L542" s="23">
        <f t="shared" si="87"/>
        <v>4456.2</v>
      </c>
      <c r="M542" s="23">
        <v>5</v>
      </c>
      <c r="N542" s="18">
        <f t="shared" si="81"/>
        <v>43.279452054794518</v>
      </c>
      <c r="O542" s="23">
        <v>84667.8</v>
      </c>
      <c r="P542" s="18">
        <f t="shared" si="82"/>
        <v>44.279452054794518</v>
      </c>
      <c r="Q542" s="18">
        <f t="shared" si="86"/>
        <v>-5.4569682106375702E-13</v>
      </c>
      <c r="R542" s="18">
        <f t="shared" si="83"/>
        <v>84667.8</v>
      </c>
      <c r="S542" s="18">
        <f t="shared" si="91"/>
        <v>4456.1999999999971</v>
      </c>
    </row>
    <row r="543" spans="1:19" ht="15" customHeight="1" x14ac:dyDescent="0.2">
      <c r="A543" s="14">
        <f t="shared" si="84"/>
        <v>507</v>
      </c>
      <c r="B543" s="21" t="s">
        <v>490</v>
      </c>
      <c r="C543" s="15" t="s">
        <v>3</v>
      </c>
      <c r="D543" s="21" t="s">
        <v>56</v>
      </c>
      <c r="E543" s="21"/>
      <c r="F543" s="69" t="s">
        <v>4</v>
      </c>
      <c r="G543" s="9">
        <v>28126</v>
      </c>
      <c r="H543" s="26">
        <v>8571.0400000000009</v>
      </c>
      <c r="I543" s="17">
        <v>0</v>
      </c>
      <c r="J543" s="17">
        <f t="shared" si="88"/>
        <v>8142.4880000000012</v>
      </c>
      <c r="K543" s="17">
        <f t="shared" si="80"/>
        <v>428.55199999999968</v>
      </c>
      <c r="L543" s="23">
        <f t="shared" si="87"/>
        <v>428.55200000000008</v>
      </c>
      <c r="M543" s="23">
        <v>5</v>
      </c>
      <c r="N543" s="18">
        <f t="shared" si="81"/>
        <v>43.279452054794518</v>
      </c>
      <c r="O543" s="23">
        <v>8142.4880000000012</v>
      </c>
      <c r="P543" s="18">
        <f t="shared" si="82"/>
        <v>44.279452054794518</v>
      </c>
      <c r="Q543" s="18">
        <f t="shared" si="86"/>
        <v>-7.9580786405131228E-14</v>
      </c>
      <c r="R543" s="18">
        <f t="shared" si="83"/>
        <v>8142.4880000000012</v>
      </c>
      <c r="S543" s="18">
        <f t="shared" si="91"/>
        <v>428.55199999999968</v>
      </c>
    </row>
    <row r="544" spans="1:19" ht="15" customHeight="1" x14ac:dyDescent="0.2">
      <c r="A544" s="14">
        <f t="shared" si="84"/>
        <v>508</v>
      </c>
      <c r="B544" s="21" t="s">
        <v>491</v>
      </c>
      <c r="C544" s="15" t="s">
        <v>3</v>
      </c>
      <c r="D544" s="21" t="s">
        <v>56</v>
      </c>
      <c r="E544" s="21"/>
      <c r="F544" s="69" t="s">
        <v>4</v>
      </c>
      <c r="G544" s="9">
        <v>27760</v>
      </c>
      <c r="H544" s="26">
        <v>51784</v>
      </c>
      <c r="I544" s="17">
        <v>0</v>
      </c>
      <c r="J544" s="17">
        <f t="shared" si="88"/>
        <v>49194.8</v>
      </c>
      <c r="K544" s="17">
        <f t="shared" si="80"/>
        <v>2589.1999999999971</v>
      </c>
      <c r="L544" s="23">
        <f t="shared" si="87"/>
        <v>2589.2000000000003</v>
      </c>
      <c r="M544" s="23">
        <v>5</v>
      </c>
      <c r="N544" s="18">
        <f t="shared" si="81"/>
        <v>44.282191780821918</v>
      </c>
      <c r="O544" s="23">
        <v>49194.8</v>
      </c>
      <c r="P544" s="18">
        <f t="shared" si="82"/>
        <v>45.282191780821918</v>
      </c>
      <c r="Q544" s="18">
        <f t="shared" si="86"/>
        <v>-6.3664629124104983E-13</v>
      </c>
      <c r="R544" s="18">
        <f t="shared" si="83"/>
        <v>49194.8</v>
      </c>
      <c r="S544" s="18">
        <f t="shared" si="91"/>
        <v>2589.1999999999971</v>
      </c>
    </row>
    <row r="545" spans="1:19" ht="15" customHeight="1" x14ac:dyDescent="0.2">
      <c r="A545" s="14">
        <f t="shared" si="84"/>
        <v>509</v>
      </c>
      <c r="B545" s="21" t="s">
        <v>492</v>
      </c>
      <c r="C545" s="15" t="s">
        <v>3</v>
      </c>
      <c r="D545" s="21" t="s">
        <v>56</v>
      </c>
      <c r="E545" s="21"/>
      <c r="F545" s="69" t="s">
        <v>4</v>
      </c>
      <c r="G545" s="9">
        <v>27395</v>
      </c>
      <c r="H545" s="26">
        <v>54932</v>
      </c>
      <c r="I545" s="17">
        <v>0</v>
      </c>
      <c r="J545" s="17">
        <f t="shared" si="88"/>
        <v>52185.4</v>
      </c>
      <c r="K545" s="17">
        <f t="shared" si="80"/>
        <v>2746.5999999999985</v>
      </c>
      <c r="L545" s="23">
        <f t="shared" si="87"/>
        <v>2746.6000000000004</v>
      </c>
      <c r="M545" s="23">
        <v>5</v>
      </c>
      <c r="N545" s="18">
        <f t="shared" si="81"/>
        <v>45.282191780821918</v>
      </c>
      <c r="O545" s="23">
        <v>52185.4</v>
      </c>
      <c r="P545" s="18">
        <f t="shared" si="82"/>
        <v>46.282191780821918</v>
      </c>
      <c r="Q545" s="18">
        <f t="shared" si="86"/>
        <v>-3.6379788070917132E-13</v>
      </c>
      <c r="R545" s="18">
        <f t="shared" si="83"/>
        <v>52185.4</v>
      </c>
      <c r="S545" s="18">
        <f t="shared" si="91"/>
        <v>2746.5999999999985</v>
      </c>
    </row>
    <row r="546" spans="1:19" ht="15" customHeight="1" x14ac:dyDescent="0.2">
      <c r="A546" s="14">
        <f t="shared" si="84"/>
        <v>510</v>
      </c>
      <c r="B546" s="21" t="s">
        <v>493</v>
      </c>
      <c r="C546" s="15" t="s">
        <v>3</v>
      </c>
      <c r="D546" s="21" t="s">
        <v>56</v>
      </c>
      <c r="E546" s="21"/>
      <c r="F546" s="69" t="s">
        <v>7</v>
      </c>
      <c r="G546" s="9">
        <v>26665</v>
      </c>
      <c r="H546" s="26">
        <v>1427</v>
      </c>
      <c r="I546" s="17">
        <v>0</v>
      </c>
      <c r="J546" s="17">
        <f t="shared" si="88"/>
        <v>1355.65</v>
      </c>
      <c r="K546" s="17">
        <f t="shared" si="80"/>
        <v>71.349999999999909</v>
      </c>
      <c r="L546" s="23">
        <f t="shared" si="87"/>
        <v>71.350000000000009</v>
      </c>
      <c r="M546" s="23">
        <v>5</v>
      </c>
      <c r="N546" s="18">
        <f t="shared" si="81"/>
        <v>47.282191780821918</v>
      </c>
      <c r="O546" s="23">
        <v>1355.65</v>
      </c>
      <c r="P546" s="18">
        <f t="shared" si="82"/>
        <v>48.282191780821918</v>
      </c>
      <c r="Q546" s="18">
        <f t="shared" si="86"/>
        <v>-1.9895196601282807E-14</v>
      </c>
      <c r="R546" s="18">
        <f t="shared" si="83"/>
        <v>1355.65</v>
      </c>
      <c r="S546" s="18">
        <f t="shared" si="91"/>
        <v>71.349999999999909</v>
      </c>
    </row>
    <row r="547" spans="1:19" ht="15" customHeight="1" x14ac:dyDescent="0.2">
      <c r="A547" s="14">
        <f t="shared" si="84"/>
        <v>511</v>
      </c>
      <c r="B547" s="21" t="s">
        <v>494</v>
      </c>
      <c r="C547" s="15" t="s">
        <v>3</v>
      </c>
      <c r="D547" s="21" t="s">
        <v>56</v>
      </c>
      <c r="E547" s="21"/>
      <c r="F547" s="69" t="s">
        <v>4</v>
      </c>
      <c r="G547" s="9">
        <v>25934</v>
      </c>
      <c r="H547" s="26">
        <v>2228</v>
      </c>
      <c r="I547" s="17">
        <v>0</v>
      </c>
      <c r="J547" s="17">
        <f t="shared" si="88"/>
        <v>2116.6</v>
      </c>
      <c r="K547" s="17">
        <f t="shared" si="80"/>
        <v>111.40000000000009</v>
      </c>
      <c r="L547" s="23">
        <f t="shared" si="87"/>
        <v>111.4</v>
      </c>
      <c r="M547" s="23">
        <v>5</v>
      </c>
      <c r="N547" s="18">
        <f t="shared" si="81"/>
        <v>49.284931506849318</v>
      </c>
      <c r="O547" s="23">
        <v>2116.6</v>
      </c>
      <c r="P547" s="18">
        <f t="shared" si="82"/>
        <v>50.284931506849318</v>
      </c>
      <c r="Q547" s="18">
        <f t="shared" si="86"/>
        <v>1.7053025658242407E-14</v>
      </c>
      <c r="R547" s="18">
        <f t="shared" si="83"/>
        <v>2116.6</v>
      </c>
      <c r="S547" s="18">
        <f>+IF(N547&gt;P547,0,L547)</f>
        <v>111.4</v>
      </c>
    </row>
    <row r="548" spans="1:19" ht="15" customHeight="1" x14ac:dyDescent="0.2">
      <c r="A548" s="14">
        <f t="shared" si="84"/>
        <v>512</v>
      </c>
      <c r="B548" s="21" t="s">
        <v>495</v>
      </c>
      <c r="C548" s="15" t="s">
        <v>3</v>
      </c>
      <c r="D548" s="21" t="s">
        <v>56</v>
      </c>
      <c r="E548" s="21"/>
      <c r="F548" s="69" t="s">
        <v>7</v>
      </c>
      <c r="G548" s="9">
        <v>25569</v>
      </c>
      <c r="H548" s="26">
        <v>1383</v>
      </c>
      <c r="I548" s="17">
        <v>0</v>
      </c>
      <c r="J548" s="17">
        <f t="shared" si="88"/>
        <v>1313.85</v>
      </c>
      <c r="K548" s="17">
        <f t="shared" si="80"/>
        <v>69.150000000000091</v>
      </c>
      <c r="L548" s="23">
        <f t="shared" si="87"/>
        <v>69.150000000000006</v>
      </c>
      <c r="M548" s="23">
        <v>5</v>
      </c>
      <c r="N548" s="18">
        <f t="shared" si="81"/>
        <v>50.284931506849318</v>
      </c>
      <c r="O548" s="23">
        <v>1313.85</v>
      </c>
      <c r="P548" s="18">
        <f t="shared" si="82"/>
        <v>51.284931506849318</v>
      </c>
      <c r="Q548" s="18">
        <f t="shared" si="86"/>
        <v>1.7053025658242407E-14</v>
      </c>
      <c r="R548" s="18">
        <f t="shared" si="83"/>
        <v>1313.85</v>
      </c>
      <c r="S548" s="18">
        <f>+IF(N548&gt;P548,0,L548)</f>
        <v>69.150000000000006</v>
      </c>
    </row>
    <row r="549" spans="1:19" ht="15" customHeight="1" x14ac:dyDescent="0.2">
      <c r="A549" s="14">
        <f t="shared" si="84"/>
        <v>513</v>
      </c>
      <c r="B549" s="21" t="s">
        <v>496</v>
      </c>
      <c r="C549" s="15" t="s">
        <v>3</v>
      </c>
      <c r="D549" s="21" t="s">
        <v>56</v>
      </c>
      <c r="E549" s="21"/>
      <c r="F549" s="69" t="s">
        <v>7</v>
      </c>
      <c r="G549" s="9">
        <v>25204</v>
      </c>
      <c r="H549" s="26">
        <v>22499</v>
      </c>
      <c r="I549" s="17">
        <v>0</v>
      </c>
      <c r="J549" s="17">
        <f t="shared" si="88"/>
        <v>21374.05</v>
      </c>
      <c r="K549" s="17">
        <f t="shared" ref="K549:K552" si="92">H549+I549-J549</f>
        <v>1124.9500000000007</v>
      </c>
      <c r="L549" s="23">
        <f t="shared" si="87"/>
        <v>1124.95</v>
      </c>
      <c r="M549" s="23">
        <v>5</v>
      </c>
      <c r="N549" s="18">
        <f t="shared" ref="N549:N612" si="93">IF(($N$35-G549+1)/365&gt;0,($N$35-G549+1)/365,0)</f>
        <v>51.284931506849318</v>
      </c>
      <c r="O549" s="23">
        <v>21374.05</v>
      </c>
      <c r="P549" s="18">
        <f t="shared" ref="P549:P612" si="94">($P$35-G549+1)/365</f>
        <v>52.284931506849318</v>
      </c>
      <c r="Q549" s="18">
        <f t="shared" si="86"/>
        <v>1.3642420526593926E-13</v>
      </c>
      <c r="R549" s="18">
        <f t="shared" ref="R549:R612" si="95">Q549+O549</f>
        <v>21374.05</v>
      </c>
      <c r="S549" s="18">
        <f>+IF(N549&gt;P549,0,L549)</f>
        <v>1124.95</v>
      </c>
    </row>
    <row r="550" spans="1:19" ht="15" customHeight="1" x14ac:dyDescent="0.2">
      <c r="A550" s="14">
        <f t="shared" si="84"/>
        <v>514</v>
      </c>
      <c r="B550" s="21" t="s">
        <v>497</v>
      </c>
      <c r="C550" s="15" t="s">
        <v>3</v>
      </c>
      <c r="D550" s="21" t="s">
        <v>56</v>
      </c>
      <c r="E550" s="21"/>
      <c r="F550" s="69" t="s">
        <v>7</v>
      </c>
      <c r="G550" s="9">
        <v>24838</v>
      </c>
      <c r="H550" s="26">
        <v>11995</v>
      </c>
      <c r="I550" s="17">
        <v>0</v>
      </c>
      <c r="J550" s="17">
        <f t="shared" si="88"/>
        <v>11395.25</v>
      </c>
      <c r="K550" s="17">
        <f t="shared" si="92"/>
        <v>599.75</v>
      </c>
      <c r="L550" s="23">
        <f t="shared" si="87"/>
        <v>599.75</v>
      </c>
      <c r="M550" s="23">
        <v>5</v>
      </c>
      <c r="N550" s="18">
        <f t="shared" si="93"/>
        <v>52.287671232876711</v>
      </c>
      <c r="O550" s="23">
        <v>11395.25</v>
      </c>
      <c r="P550" s="18">
        <f t="shared" si="94"/>
        <v>53.287671232876711</v>
      </c>
      <c r="Q550" s="18">
        <f t="shared" si="86"/>
        <v>0</v>
      </c>
      <c r="R550" s="18">
        <f t="shared" si="95"/>
        <v>11395.25</v>
      </c>
      <c r="S550" s="18">
        <f>H550-R550</f>
        <v>599.75</v>
      </c>
    </row>
    <row r="551" spans="1:19" ht="15" customHeight="1" x14ac:dyDescent="0.2">
      <c r="A551" s="14">
        <f t="shared" ref="A551:A614" si="96">+A550+1</f>
        <v>515</v>
      </c>
      <c r="B551" s="21" t="s">
        <v>498</v>
      </c>
      <c r="C551" s="15" t="s">
        <v>3</v>
      </c>
      <c r="D551" s="21" t="s">
        <v>56</v>
      </c>
      <c r="E551" s="21"/>
      <c r="F551" s="69" t="s">
        <v>4</v>
      </c>
      <c r="G551" s="9">
        <v>24108</v>
      </c>
      <c r="H551" s="26">
        <v>2283</v>
      </c>
      <c r="I551" s="17">
        <v>0</v>
      </c>
      <c r="J551" s="17">
        <f t="shared" si="88"/>
        <v>2168.85</v>
      </c>
      <c r="K551" s="17">
        <f t="shared" si="92"/>
        <v>114.15000000000009</v>
      </c>
      <c r="L551" s="23">
        <f t="shared" si="87"/>
        <v>114.15</v>
      </c>
      <c r="M551" s="23">
        <v>5</v>
      </c>
      <c r="N551" s="18">
        <f t="shared" si="93"/>
        <v>54.287671232876711</v>
      </c>
      <c r="O551" s="23">
        <v>2168.85</v>
      </c>
      <c r="P551" s="18">
        <f t="shared" si="94"/>
        <v>55.287671232876711</v>
      </c>
      <c r="Q551" s="18">
        <f t="shared" si="86"/>
        <v>1.7053025658242407E-14</v>
      </c>
      <c r="R551" s="18">
        <f t="shared" si="95"/>
        <v>2168.85</v>
      </c>
      <c r="S551" s="18">
        <f t="shared" ref="S551:S614" si="97">+IF(N551&gt;P551,0,L551)</f>
        <v>114.15</v>
      </c>
    </row>
    <row r="552" spans="1:19" ht="15" customHeight="1" x14ac:dyDescent="0.2">
      <c r="A552" s="14">
        <f t="shared" si="96"/>
        <v>516</v>
      </c>
      <c r="B552" s="21" t="s">
        <v>498</v>
      </c>
      <c r="C552" s="15" t="s">
        <v>3</v>
      </c>
      <c r="D552" s="21" t="s">
        <v>56</v>
      </c>
      <c r="E552" s="21"/>
      <c r="F552" s="69" t="s">
        <v>4</v>
      </c>
      <c r="G552" s="9">
        <v>23743</v>
      </c>
      <c r="H552" s="29">
        <v>1913</v>
      </c>
      <c r="I552" s="17">
        <v>0</v>
      </c>
      <c r="J552" s="17">
        <f t="shared" si="88"/>
        <v>1817.35</v>
      </c>
      <c r="K552" s="17">
        <f t="shared" si="92"/>
        <v>95.650000000000091</v>
      </c>
      <c r="L552" s="23">
        <f t="shared" si="87"/>
        <v>95.65</v>
      </c>
      <c r="M552" s="23">
        <v>5</v>
      </c>
      <c r="N552" s="18">
        <f t="shared" si="93"/>
        <v>55.287671232876711</v>
      </c>
      <c r="O552" s="23">
        <v>1817.35</v>
      </c>
      <c r="P552" s="18">
        <f t="shared" si="94"/>
        <v>56.287671232876711</v>
      </c>
      <c r="Q552" s="18">
        <f t="shared" si="86"/>
        <v>1.7053025658242407E-14</v>
      </c>
      <c r="R552" s="18">
        <f t="shared" si="95"/>
        <v>1817.35</v>
      </c>
      <c r="S552" s="18">
        <f t="shared" si="97"/>
        <v>95.65</v>
      </c>
    </row>
    <row r="553" spans="1:19" ht="15" customHeight="1" x14ac:dyDescent="0.2">
      <c r="A553" s="14">
        <f t="shared" si="96"/>
        <v>517</v>
      </c>
      <c r="B553" s="31" t="s">
        <v>499</v>
      </c>
      <c r="C553" s="15" t="s">
        <v>3</v>
      </c>
      <c r="D553" s="31" t="s">
        <v>500</v>
      </c>
      <c r="E553" s="31"/>
      <c r="F553" s="70" t="s">
        <v>7</v>
      </c>
      <c r="G553" s="32">
        <v>42353</v>
      </c>
      <c r="H553" s="29">
        <v>390890.89</v>
      </c>
      <c r="I553" s="17">
        <v>0</v>
      </c>
      <c r="J553" s="17">
        <v>22179.04200520548</v>
      </c>
      <c r="K553" s="17">
        <f t="shared" ref="K553:K612" si="98">H553+I553-J553</f>
        <v>368711.84799479455</v>
      </c>
      <c r="L553" s="23">
        <f t="shared" si="87"/>
        <v>19544.5445</v>
      </c>
      <c r="M553" s="33">
        <v>5</v>
      </c>
      <c r="N553" s="18">
        <f t="shared" si="93"/>
        <v>4.3013698630136989</v>
      </c>
      <c r="O553" s="23">
        <v>531386.30000000005</v>
      </c>
      <c r="P553" s="18">
        <f t="shared" si="94"/>
        <v>5.3013698630136989</v>
      </c>
      <c r="Q553" s="18">
        <f t="shared" si="86"/>
        <v>69833.460698958908</v>
      </c>
      <c r="R553" s="18">
        <f t="shared" si="95"/>
        <v>601219.760698959</v>
      </c>
      <c r="S553" s="18">
        <f t="shared" si="97"/>
        <v>19544.5445</v>
      </c>
    </row>
    <row r="554" spans="1:19" ht="15" customHeight="1" x14ac:dyDescent="0.2">
      <c r="A554" s="14">
        <f t="shared" si="96"/>
        <v>518</v>
      </c>
      <c r="B554" s="31" t="s">
        <v>501</v>
      </c>
      <c r="C554" s="15" t="s">
        <v>3</v>
      </c>
      <c r="D554" s="31" t="s">
        <v>500</v>
      </c>
      <c r="E554" s="31"/>
      <c r="F554" s="70" t="s">
        <v>7</v>
      </c>
      <c r="G554" s="32">
        <v>42353</v>
      </c>
      <c r="H554" s="29">
        <v>9299.11</v>
      </c>
      <c r="I554" s="17">
        <v>0</v>
      </c>
      <c r="J554" s="17">
        <v>527.6289536986302</v>
      </c>
      <c r="K554" s="17">
        <f t="shared" si="98"/>
        <v>8771.481046301371</v>
      </c>
      <c r="L554" s="23">
        <f t="shared" si="87"/>
        <v>464.95550000000003</v>
      </c>
      <c r="M554" s="33">
        <v>5</v>
      </c>
      <c r="N554" s="18">
        <f t="shared" si="93"/>
        <v>4.3013698630136989</v>
      </c>
      <c r="O554" s="23">
        <v>720547.45</v>
      </c>
      <c r="P554" s="18">
        <f t="shared" si="94"/>
        <v>5.3013698630136989</v>
      </c>
      <c r="Q554" s="18">
        <f t="shared" si="86"/>
        <v>1661.3051092602743</v>
      </c>
      <c r="R554" s="18">
        <f t="shared" si="95"/>
        <v>722208.75510926021</v>
      </c>
      <c r="S554" s="18">
        <f t="shared" si="97"/>
        <v>464.95550000000003</v>
      </c>
    </row>
    <row r="555" spans="1:19" ht="15" customHeight="1" x14ac:dyDescent="0.2">
      <c r="A555" s="14">
        <f t="shared" si="96"/>
        <v>519</v>
      </c>
      <c r="B555" s="31" t="s">
        <v>502</v>
      </c>
      <c r="C555" s="15" t="s">
        <v>3</v>
      </c>
      <c r="D555" s="31" t="s">
        <v>500</v>
      </c>
      <c r="E555" s="31"/>
      <c r="F555" s="72" t="s">
        <v>11</v>
      </c>
      <c r="G555" s="32">
        <v>42353</v>
      </c>
      <c r="H555" s="29">
        <v>44363</v>
      </c>
      <c r="I555" s="17">
        <v>0</v>
      </c>
      <c r="J555" s="17">
        <v>2517.1444657534244</v>
      </c>
      <c r="K555" s="17">
        <f t="shared" si="98"/>
        <v>41845.855534246577</v>
      </c>
      <c r="L555" s="23">
        <f t="shared" si="87"/>
        <v>2218.15</v>
      </c>
      <c r="M555" s="33">
        <v>5</v>
      </c>
      <c r="N555" s="18">
        <f t="shared" si="93"/>
        <v>4.3013698630136989</v>
      </c>
      <c r="O555" s="23">
        <v>207122.8</v>
      </c>
      <c r="P555" s="18">
        <f t="shared" si="94"/>
        <v>5.3013698630136989</v>
      </c>
      <c r="Q555" s="18">
        <f t="shared" si="86"/>
        <v>7925.5411068493158</v>
      </c>
      <c r="R555" s="18">
        <f t="shared" si="95"/>
        <v>215048.34110684932</v>
      </c>
      <c r="S555" s="18">
        <f t="shared" si="97"/>
        <v>2218.15</v>
      </c>
    </row>
    <row r="556" spans="1:19" ht="15" customHeight="1" x14ac:dyDescent="0.2">
      <c r="A556" s="14">
        <f t="shared" si="96"/>
        <v>520</v>
      </c>
      <c r="B556" s="31" t="s">
        <v>503</v>
      </c>
      <c r="C556" s="15" t="s">
        <v>3</v>
      </c>
      <c r="D556" s="31" t="s">
        <v>500</v>
      </c>
      <c r="E556" s="31"/>
      <c r="F556" s="70" t="s">
        <v>7</v>
      </c>
      <c r="G556" s="32">
        <v>42353</v>
      </c>
      <c r="H556" s="29">
        <v>2354150</v>
      </c>
      <c r="I556" s="17">
        <v>0</v>
      </c>
      <c r="J556" s="17">
        <f>133573.826027397+1000000</f>
        <v>1133573.8260273971</v>
      </c>
      <c r="K556" s="17">
        <f t="shared" si="98"/>
        <v>1220576.1739726029</v>
      </c>
      <c r="L556" s="23">
        <f t="shared" si="87"/>
        <v>117707.5</v>
      </c>
      <c r="M556" s="33">
        <v>5</v>
      </c>
      <c r="N556" s="18">
        <f t="shared" si="93"/>
        <v>4.3013698630136989</v>
      </c>
      <c r="O556" s="23">
        <v>23787.05</v>
      </c>
      <c r="P556" s="18">
        <f t="shared" si="94"/>
        <v>5.3013698630136989</v>
      </c>
      <c r="Q556" s="18">
        <f t="shared" si="86"/>
        <v>220573.7347945206</v>
      </c>
      <c r="R556" s="18">
        <f t="shared" si="95"/>
        <v>244360.78479452059</v>
      </c>
      <c r="S556" s="18">
        <f t="shared" si="97"/>
        <v>117707.5</v>
      </c>
    </row>
    <row r="557" spans="1:19" ht="15" customHeight="1" x14ac:dyDescent="0.2">
      <c r="A557" s="14">
        <f t="shared" si="96"/>
        <v>521</v>
      </c>
      <c r="B557" s="31" t="s">
        <v>504</v>
      </c>
      <c r="C557" s="15" t="s">
        <v>3</v>
      </c>
      <c r="D557" s="31" t="s">
        <v>500</v>
      </c>
      <c r="E557" s="31"/>
      <c r="F557" s="72" t="s">
        <v>11</v>
      </c>
      <c r="G557" s="32">
        <v>42444</v>
      </c>
      <c r="H557" s="29">
        <v>387600</v>
      </c>
      <c r="I557" s="17">
        <v>0</v>
      </c>
      <c r="J557" s="17">
        <v>1815.8794520547945</v>
      </c>
      <c r="K557" s="17">
        <f t="shared" si="98"/>
        <v>385784.1205479452</v>
      </c>
      <c r="L557" s="23">
        <f t="shared" si="87"/>
        <v>19380</v>
      </c>
      <c r="M557" s="33">
        <v>10</v>
      </c>
      <c r="N557" s="18">
        <f t="shared" si="93"/>
        <v>4.0520547945205481</v>
      </c>
      <c r="O557" s="23">
        <v>96.9</v>
      </c>
      <c r="P557" s="18">
        <f t="shared" si="94"/>
        <v>5.0520547945205481</v>
      </c>
      <c r="Q557" s="18">
        <f t="shared" si="86"/>
        <v>36640.41205479452</v>
      </c>
      <c r="R557" s="18">
        <f t="shared" si="95"/>
        <v>36737.312054794522</v>
      </c>
      <c r="S557" s="18">
        <f t="shared" si="97"/>
        <v>19380</v>
      </c>
    </row>
    <row r="558" spans="1:19" ht="15" customHeight="1" x14ac:dyDescent="0.2">
      <c r="A558" s="14">
        <f t="shared" si="96"/>
        <v>522</v>
      </c>
      <c r="B558" s="31" t="s">
        <v>505</v>
      </c>
      <c r="C558" s="15" t="s">
        <v>3</v>
      </c>
      <c r="D558" s="31" t="s">
        <v>500</v>
      </c>
      <c r="E558" s="31"/>
      <c r="F558" s="72" t="s">
        <v>11</v>
      </c>
      <c r="G558" s="32">
        <v>42870</v>
      </c>
      <c r="H558" s="29">
        <v>409000</v>
      </c>
      <c r="I558" s="17">
        <v>0</v>
      </c>
      <c r="J558" s="17">
        <v>0</v>
      </c>
      <c r="K558" s="17">
        <f t="shared" si="98"/>
        <v>409000</v>
      </c>
      <c r="L558" s="23">
        <f>K558*0.05</f>
        <v>20450</v>
      </c>
      <c r="M558" s="33">
        <v>5</v>
      </c>
      <c r="N558" s="18">
        <f t="shared" si="93"/>
        <v>2.8849315068493149</v>
      </c>
      <c r="O558" s="23">
        <v>193.8</v>
      </c>
      <c r="P558" s="18">
        <f t="shared" si="94"/>
        <v>3.8849315068493149</v>
      </c>
      <c r="Q558" s="18">
        <f t="shared" si="86"/>
        <v>77710</v>
      </c>
      <c r="R558" s="18">
        <f t="shared" si="95"/>
        <v>77903.8</v>
      </c>
      <c r="S558" s="18">
        <f t="shared" si="97"/>
        <v>20450</v>
      </c>
    </row>
    <row r="559" spans="1:19" ht="15" customHeight="1" x14ac:dyDescent="0.2">
      <c r="A559" s="14">
        <f t="shared" si="96"/>
        <v>523</v>
      </c>
      <c r="B559" s="31" t="s">
        <v>506</v>
      </c>
      <c r="C559" s="15" t="s">
        <v>3</v>
      </c>
      <c r="D559" s="31" t="s">
        <v>500</v>
      </c>
      <c r="E559" s="31"/>
      <c r="F559" s="73" t="s">
        <v>15</v>
      </c>
      <c r="G559" s="32">
        <v>42993</v>
      </c>
      <c r="H559" s="29">
        <v>377884.1</v>
      </c>
      <c r="I559" s="17">
        <v>0</v>
      </c>
      <c r="J559" s="17">
        <v>0</v>
      </c>
      <c r="K559" s="17">
        <f t="shared" si="98"/>
        <v>377884.1</v>
      </c>
      <c r="L559" s="23">
        <f t="shared" ref="L559:L568" si="99">K559*0.05</f>
        <v>18894.204999999998</v>
      </c>
      <c r="M559" s="33">
        <v>25</v>
      </c>
      <c r="N559" s="18">
        <f t="shared" si="93"/>
        <v>2.547945205479452</v>
      </c>
      <c r="O559" s="23">
        <v>5171.8</v>
      </c>
      <c r="P559" s="18">
        <f t="shared" si="94"/>
        <v>3.547945205479452</v>
      </c>
      <c r="Q559" s="18">
        <f t="shared" si="86"/>
        <v>14359.595799999999</v>
      </c>
      <c r="R559" s="18">
        <f t="shared" si="95"/>
        <v>19531.395799999998</v>
      </c>
      <c r="S559" s="18">
        <f t="shared" si="97"/>
        <v>18894.204999999998</v>
      </c>
    </row>
    <row r="560" spans="1:19" ht="15" customHeight="1" x14ac:dyDescent="0.2">
      <c r="A560" s="14">
        <f t="shared" si="96"/>
        <v>524</v>
      </c>
      <c r="B560" s="31" t="s">
        <v>507</v>
      </c>
      <c r="C560" s="15" t="s">
        <v>3</v>
      </c>
      <c r="D560" s="31" t="s">
        <v>500</v>
      </c>
      <c r="E560" s="31"/>
      <c r="F560" s="70" t="s">
        <v>7</v>
      </c>
      <c r="G560" s="32">
        <v>42962</v>
      </c>
      <c r="H560" s="29">
        <v>484875</v>
      </c>
      <c r="I560" s="17">
        <v>0</v>
      </c>
      <c r="J560" s="17">
        <v>0</v>
      </c>
      <c r="K560" s="17">
        <f t="shared" si="98"/>
        <v>484875</v>
      </c>
      <c r="L560" s="23">
        <f t="shared" si="99"/>
        <v>24243.75</v>
      </c>
      <c r="M560" s="33">
        <v>15</v>
      </c>
      <c r="N560" s="18">
        <f t="shared" si="93"/>
        <v>2.6328767123287671</v>
      </c>
      <c r="O560" s="23">
        <v>5734.2</v>
      </c>
      <c r="P560" s="18">
        <f t="shared" si="94"/>
        <v>3.6328767123287671</v>
      </c>
      <c r="Q560" s="18">
        <f t="shared" si="86"/>
        <v>30708.75</v>
      </c>
      <c r="R560" s="18">
        <f t="shared" si="95"/>
        <v>36442.949999999997</v>
      </c>
      <c r="S560" s="18">
        <f t="shared" si="97"/>
        <v>24243.75</v>
      </c>
    </row>
    <row r="561" spans="1:19" ht="15" customHeight="1" x14ac:dyDescent="0.2">
      <c r="A561" s="14">
        <f t="shared" si="96"/>
        <v>525</v>
      </c>
      <c r="B561" s="31" t="s">
        <v>508</v>
      </c>
      <c r="C561" s="15" t="s">
        <v>3</v>
      </c>
      <c r="D561" s="31" t="s">
        <v>500</v>
      </c>
      <c r="E561" s="31"/>
      <c r="F561" s="70" t="s">
        <v>7</v>
      </c>
      <c r="G561" s="32">
        <v>43023</v>
      </c>
      <c r="H561" s="29">
        <v>743000</v>
      </c>
      <c r="I561" s="17">
        <v>0</v>
      </c>
      <c r="J561" s="17">
        <v>0</v>
      </c>
      <c r="K561" s="17">
        <f t="shared" si="98"/>
        <v>743000</v>
      </c>
      <c r="L561" s="23">
        <f t="shared" si="99"/>
        <v>37150</v>
      </c>
      <c r="M561" s="33">
        <v>15</v>
      </c>
      <c r="N561" s="18">
        <f t="shared" si="93"/>
        <v>2.4657534246575343</v>
      </c>
      <c r="O561" s="23">
        <v>6422</v>
      </c>
      <c r="P561" s="18">
        <f t="shared" si="94"/>
        <v>3.4657534246575343</v>
      </c>
      <c r="Q561" s="18">
        <f t="shared" si="86"/>
        <v>47056.666666666664</v>
      </c>
      <c r="R561" s="18">
        <f t="shared" si="95"/>
        <v>53478.666666666664</v>
      </c>
      <c r="S561" s="18">
        <f t="shared" si="97"/>
        <v>37150</v>
      </c>
    </row>
    <row r="562" spans="1:19" ht="15" customHeight="1" x14ac:dyDescent="0.2">
      <c r="A562" s="14">
        <f t="shared" si="96"/>
        <v>526</v>
      </c>
      <c r="B562" s="31" t="s">
        <v>509</v>
      </c>
      <c r="C562" s="15" t="s">
        <v>3</v>
      </c>
      <c r="D562" s="31" t="s">
        <v>500</v>
      </c>
      <c r="E562" s="31"/>
      <c r="F562" s="73" t="s">
        <v>15</v>
      </c>
      <c r="G562" s="32">
        <v>43524</v>
      </c>
      <c r="H562" s="29">
        <v>116790</v>
      </c>
      <c r="I562" s="17">
        <v>0</v>
      </c>
      <c r="J562" s="17">
        <v>0</v>
      </c>
      <c r="K562" s="17">
        <f t="shared" si="98"/>
        <v>116790</v>
      </c>
      <c r="L562" s="23">
        <f t="shared" si="99"/>
        <v>5839.5</v>
      </c>
      <c r="M562" s="33">
        <v>25</v>
      </c>
      <c r="N562" s="18">
        <f t="shared" si="93"/>
        <v>1.0931506849315069</v>
      </c>
      <c r="O562" s="23">
        <v>137772.79999999999</v>
      </c>
      <c r="P562" s="18">
        <f t="shared" si="94"/>
        <v>2.0931506849315067</v>
      </c>
      <c r="Q562" s="18">
        <f t="shared" si="86"/>
        <v>4438.0199999999995</v>
      </c>
      <c r="R562" s="18">
        <f t="shared" si="95"/>
        <v>142210.81999999998</v>
      </c>
      <c r="S562" s="18">
        <f t="shared" si="97"/>
        <v>5839.5</v>
      </c>
    </row>
    <row r="563" spans="1:19" ht="15" customHeight="1" x14ac:dyDescent="0.2">
      <c r="A563" s="14">
        <f t="shared" si="96"/>
        <v>527</v>
      </c>
      <c r="B563" s="24" t="s">
        <v>510</v>
      </c>
      <c r="C563" s="15" t="s">
        <v>3</v>
      </c>
      <c r="D563" s="31" t="s">
        <v>500</v>
      </c>
      <c r="E563" s="31"/>
      <c r="F563" s="70" t="s">
        <v>15</v>
      </c>
      <c r="G563" s="25">
        <v>43799</v>
      </c>
      <c r="H563" s="27">
        <v>9879404.5500000007</v>
      </c>
      <c r="I563" s="17">
        <v>0</v>
      </c>
      <c r="J563" s="17">
        <v>0</v>
      </c>
      <c r="K563" s="17">
        <f t="shared" si="98"/>
        <v>9879404.5500000007</v>
      </c>
      <c r="L563" s="23">
        <f t="shared" si="99"/>
        <v>493970.22750000004</v>
      </c>
      <c r="M563" s="33">
        <v>25</v>
      </c>
      <c r="N563" s="18">
        <f t="shared" si="93"/>
        <v>0.33972602739726027</v>
      </c>
      <c r="O563" s="23">
        <v>7334</v>
      </c>
      <c r="P563" s="18">
        <f t="shared" si="94"/>
        <v>1.3397260273972602</v>
      </c>
      <c r="Q563" s="18">
        <f t="shared" si="86"/>
        <v>375417.37290000007</v>
      </c>
      <c r="R563" s="18">
        <f t="shared" si="95"/>
        <v>382751.37290000007</v>
      </c>
      <c r="S563" s="18">
        <f t="shared" si="97"/>
        <v>493970.22750000004</v>
      </c>
    </row>
    <row r="564" spans="1:19" ht="15" customHeight="1" x14ac:dyDescent="0.2">
      <c r="A564" s="14">
        <f t="shared" si="96"/>
        <v>528</v>
      </c>
      <c r="B564" s="24" t="s">
        <v>511</v>
      </c>
      <c r="C564" s="15" t="s">
        <v>3</v>
      </c>
      <c r="D564" s="31" t="s">
        <v>500</v>
      </c>
      <c r="E564" s="31"/>
      <c r="F564" s="72" t="s">
        <v>11</v>
      </c>
      <c r="G564" s="25">
        <v>43921</v>
      </c>
      <c r="H564" s="27">
        <v>2429525.65</v>
      </c>
      <c r="I564" s="17">
        <v>0</v>
      </c>
      <c r="J564" s="17">
        <v>0</v>
      </c>
      <c r="K564" s="17">
        <f t="shared" si="98"/>
        <v>2429525.65</v>
      </c>
      <c r="L564" s="23">
        <f t="shared" si="99"/>
        <v>121476.2825</v>
      </c>
      <c r="M564" s="33">
        <v>25</v>
      </c>
      <c r="N564" s="18">
        <f t="shared" si="93"/>
        <v>5.4794520547945206E-3</v>
      </c>
      <c r="O564" s="23">
        <v>71763.95</v>
      </c>
      <c r="P564" s="18">
        <f t="shared" si="94"/>
        <v>1.0054794520547945</v>
      </c>
      <c r="Q564" s="18">
        <f t="shared" si="86"/>
        <v>92321.974699999992</v>
      </c>
      <c r="R564" s="18">
        <f t="shared" si="95"/>
        <v>164085.92469999997</v>
      </c>
      <c r="S564" s="18">
        <f t="shared" si="97"/>
        <v>121476.2825</v>
      </c>
    </row>
    <row r="565" spans="1:19" ht="15" customHeight="1" x14ac:dyDescent="0.2">
      <c r="A565" s="14">
        <f t="shared" si="96"/>
        <v>529</v>
      </c>
      <c r="B565" s="24" t="s">
        <v>512</v>
      </c>
      <c r="C565" s="15" t="s">
        <v>3</v>
      </c>
      <c r="D565" s="31" t="s">
        <v>500</v>
      </c>
      <c r="E565" s="31"/>
      <c r="F565" s="70" t="s">
        <v>12</v>
      </c>
      <c r="G565" s="25">
        <v>44275</v>
      </c>
      <c r="H565" s="26">
        <v>0</v>
      </c>
      <c r="I565" s="27">
        <v>25081079.699999999</v>
      </c>
      <c r="J565" s="17">
        <v>0</v>
      </c>
      <c r="K565" s="17">
        <f t="shared" si="98"/>
        <v>25081079.699999999</v>
      </c>
      <c r="L565" s="23">
        <f t="shared" si="99"/>
        <v>1254053.9850000001</v>
      </c>
      <c r="M565" s="34">
        <v>25</v>
      </c>
      <c r="N565" s="18">
        <f>IF(($N$35-G565+1)/365&gt;0,($N$35-G565+1)/365,0)</f>
        <v>0</v>
      </c>
      <c r="O565" s="23">
        <v>56170.65</v>
      </c>
      <c r="P565" s="18">
        <f t="shared" si="94"/>
        <v>3.5616438356164383E-2</v>
      </c>
      <c r="Q565" s="18">
        <f t="shared" si="86"/>
        <v>33945.351703561646</v>
      </c>
      <c r="R565" s="18">
        <f t="shared" si="95"/>
        <v>90116.001703561647</v>
      </c>
      <c r="S565" s="18">
        <f t="shared" si="97"/>
        <v>1254053.9850000001</v>
      </c>
    </row>
    <row r="566" spans="1:19" ht="15" customHeight="1" x14ac:dyDescent="0.2">
      <c r="A566" s="14">
        <f t="shared" si="96"/>
        <v>530</v>
      </c>
      <c r="B566" s="24" t="s">
        <v>513</v>
      </c>
      <c r="C566" s="15" t="s">
        <v>3</v>
      </c>
      <c r="D566" s="31" t="s">
        <v>500</v>
      </c>
      <c r="E566" s="31"/>
      <c r="F566" s="70" t="s">
        <v>8</v>
      </c>
      <c r="G566" s="25">
        <v>44270</v>
      </c>
      <c r="H566" s="26">
        <v>0</v>
      </c>
      <c r="I566" s="27">
        <v>7165295.7400000002</v>
      </c>
      <c r="J566" s="17">
        <v>0</v>
      </c>
      <c r="K566" s="17">
        <f t="shared" si="98"/>
        <v>7165295.7400000002</v>
      </c>
      <c r="L566" s="23">
        <f t="shared" si="99"/>
        <v>358264.78700000001</v>
      </c>
      <c r="M566" s="34">
        <v>25</v>
      </c>
      <c r="N566" s="18">
        <f t="shared" si="93"/>
        <v>0</v>
      </c>
      <c r="O566" s="23">
        <v>55284.3</v>
      </c>
      <c r="P566" s="18">
        <f t="shared" si="94"/>
        <v>4.9315068493150684E-2</v>
      </c>
      <c r="Q566" s="18">
        <f t="shared" si="86"/>
        <v>13427.56790728767</v>
      </c>
      <c r="R566" s="18">
        <f t="shared" si="95"/>
        <v>68711.867907287669</v>
      </c>
      <c r="S566" s="18">
        <f t="shared" si="97"/>
        <v>358264.78700000001</v>
      </c>
    </row>
    <row r="567" spans="1:19" ht="15" customHeight="1" x14ac:dyDescent="0.2">
      <c r="A567" s="14">
        <f t="shared" si="96"/>
        <v>531</v>
      </c>
      <c r="B567" s="24" t="s">
        <v>514</v>
      </c>
      <c r="C567" s="15" t="s">
        <v>3</v>
      </c>
      <c r="D567" s="31" t="s">
        <v>500</v>
      </c>
      <c r="E567" s="31"/>
      <c r="F567" s="70" t="s">
        <v>16</v>
      </c>
      <c r="G567" s="25">
        <v>44270</v>
      </c>
      <c r="H567" s="26">
        <v>0</v>
      </c>
      <c r="I567" s="27">
        <v>5760940.7599999998</v>
      </c>
      <c r="J567" s="17">
        <v>0</v>
      </c>
      <c r="K567" s="17">
        <f t="shared" si="98"/>
        <v>5760940.7599999998</v>
      </c>
      <c r="L567" s="23">
        <f t="shared" si="99"/>
        <v>288047.038</v>
      </c>
      <c r="M567" s="34">
        <v>25</v>
      </c>
      <c r="N567" s="18">
        <f t="shared" si="93"/>
        <v>0</v>
      </c>
      <c r="O567" s="23">
        <v>3426.65</v>
      </c>
      <c r="P567" s="18">
        <f t="shared" si="94"/>
        <v>4.9315068493150684E-2</v>
      </c>
      <c r="Q567" s="18">
        <f t="shared" ref="Q567:Q630" si="100">(P567-N567)/M567*(K567-L567)</f>
        <v>10795.845150246576</v>
      </c>
      <c r="R567" s="18">
        <f t="shared" si="95"/>
        <v>14222.495150246576</v>
      </c>
      <c r="S567" s="18">
        <f t="shared" si="97"/>
        <v>288047.038</v>
      </c>
    </row>
    <row r="568" spans="1:19" ht="15" customHeight="1" x14ac:dyDescent="0.2">
      <c r="A568" s="14">
        <f t="shared" si="96"/>
        <v>532</v>
      </c>
      <c r="B568" s="24" t="s">
        <v>515</v>
      </c>
      <c r="C568" s="15" t="s">
        <v>3</v>
      </c>
      <c r="D568" s="31" t="s">
        <v>500</v>
      </c>
      <c r="E568" s="31"/>
      <c r="F568" s="70" t="s">
        <v>7</v>
      </c>
      <c r="G568" s="25">
        <v>44270</v>
      </c>
      <c r="H568" s="26">
        <v>0</v>
      </c>
      <c r="I568" s="27">
        <v>498931</v>
      </c>
      <c r="J568" s="17">
        <v>0</v>
      </c>
      <c r="K568" s="17">
        <f t="shared" si="98"/>
        <v>498931</v>
      </c>
      <c r="L568" s="23">
        <f t="shared" si="99"/>
        <v>24946.550000000003</v>
      </c>
      <c r="M568" s="34">
        <v>25</v>
      </c>
      <c r="N568" s="18">
        <f t="shared" si="93"/>
        <v>0</v>
      </c>
      <c r="O568" s="23">
        <v>10175.450000000001</v>
      </c>
      <c r="P568" s="18">
        <f t="shared" si="94"/>
        <v>4.9315068493150684E-2</v>
      </c>
      <c r="Q568" s="18">
        <f t="shared" si="100"/>
        <v>934.9830246575342</v>
      </c>
      <c r="R568" s="18">
        <f t="shared" si="95"/>
        <v>11110.433024657535</v>
      </c>
      <c r="S568" s="18">
        <f t="shared" si="97"/>
        <v>24946.550000000003</v>
      </c>
    </row>
    <row r="569" spans="1:19" ht="15" customHeight="1" x14ac:dyDescent="0.2">
      <c r="A569" s="14">
        <f t="shared" si="96"/>
        <v>533</v>
      </c>
      <c r="B569" s="31" t="s">
        <v>516</v>
      </c>
      <c r="C569" s="15" t="s">
        <v>3</v>
      </c>
      <c r="D569" s="31" t="s">
        <v>500</v>
      </c>
      <c r="E569" s="31"/>
      <c r="F569" s="73" t="s">
        <v>8</v>
      </c>
      <c r="G569" s="32">
        <v>41633</v>
      </c>
      <c r="H569" s="29">
        <v>63636077</v>
      </c>
      <c r="I569" s="17">
        <v>0</v>
      </c>
      <c r="J569" s="17">
        <f>5492229.3086411+1000000+10000000+10000000+6279162</f>
        <v>32771391.308641098</v>
      </c>
      <c r="K569" s="17">
        <f>H569+I569-J569</f>
        <v>30864685.691358902</v>
      </c>
      <c r="L569" s="23">
        <f t="shared" ref="L569:L631" si="101">H569*0.05</f>
        <v>3181803.85</v>
      </c>
      <c r="M569" s="33">
        <v>25</v>
      </c>
      <c r="N569" s="18">
        <f t="shared" si="93"/>
        <v>6.2739726027397262</v>
      </c>
      <c r="O569" s="23">
        <v>44957.8</v>
      </c>
      <c r="P569" s="18">
        <f t="shared" si="94"/>
        <v>7.2739726027397262</v>
      </c>
      <c r="Q569" s="18">
        <f t="shared" si="100"/>
        <v>1107315.2736543561</v>
      </c>
      <c r="R569" s="18">
        <f t="shared" si="95"/>
        <v>1152273.0736543562</v>
      </c>
      <c r="S569" s="18">
        <f>+IF(N569&gt;P569,0,L569)+10429340+10429340</f>
        <v>24040483.850000001</v>
      </c>
    </row>
    <row r="570" spans="1:19" ht="15" customHeight="1" x14ac:dyDescent="0.2">
      <c r="A570" s="14">
        <f t="shared" si="96"/>
        <v>534</v>
      </c>
      <c r="B570" s="31" t="s">
        <v>517</v>
      </c>
      <c r="C570" s="15" t="s">
        <v>3</v>
      </c>
      <c r="D570" s="31" t="s">
        <v>500</v>
      </c>
      <c r="E570" s="31"/>
      <c r="F570" s="73" t="s">
        <v>8</v>
      </c>
      <c r="G570" s="32">
        <v>35751</v>
      </c>
      <c r="H570" s="29">
        <v>195424550</v>
      </c>
      <c r="I570" s="17">
        <v>0</v>
      </c>
      <c r="J570" s="17">
        <f>136539117.512055+1000000+10000000+20000000</f>
        <v>167539117.51205501</v>
      </c>
      <c r="K570" s="17">
        <f t="shared" si="98"/>
        <v>27885432.48794499</v>
      </c>
      <c r="L570" s="23">
        <f t="shared" si="101"/>
        <v>9771227.5</v>
      </c>
      <c r="M570" s="33">
        <v>25</v>
      </c>
      <c r="N570" s="18">
        <f t="shared" si="93"/>
        <v>22.389041095890413</v>
      </c>
      <c r="O570" s="23">
        <v>12486.8285</v>
      </c>
      <c r="P570" s="18">
        <f t="shared" si="94"/>
        <v>23.389041095890413</v>
      </c>
      <c r="Q570" s="18">
        <f t="shared" si="100"/>
        <v>724568.19951779966</v>
      </c>
      <c r="R570" s="18">
        <f t="shared" si="95"/>
        <v>737055.0280177996</v>
      </c>
      <c r="S570" s="18">
        <f>+IF(N570&gt;P570,0,L570)+10429340</f>
        <v>20200567.5</v>
      </c>
    </row>
    <row r="571" spans="1:19" ht="15" customHeight="1" x14ac:dyDescent="0.2">
      <c r="A571" s="14">
        <f t="shared" si="96"/>
        <v>535</v>
      </c>
      <c r="B571" s="31" t="s">
        <v>518</v>
      </c>
      <c r="C571" s="15" t="s">
        <v>3</v>
      </c>
      <c r="D571" s="31" t="s">
        <v>500</v>
      </c>
      <c r="E571" s="31"/>
      <c r="F571" s="73" t="s">
        <v>8</v>
      </c>
      <c r="G571" s="32">
        <v>39033</v>
      </c>
      <c r="H571" s="29">
        <v>48235788.069999993</v>
      </c>
      <c r="I571" s="17">
        <v>0</v>
      </c>
      <c r="J571" s="17">
        <f>17219779.8824579+10000000</f>
        <v>27219779.882457901</v>
      </c>
      <c r="K571" s="17">
        <f t="shared" si="98"/>
        <v>21016008.187542092</v>
      </c>
      <c r="L571" s="23">
        <f t="shared" si="101"/>
        <v>2411789.4034999995</v>
      </c>
      <c r="M571" s="33">
        <v>25</v>
      </c>
      <c r="N571" s="18">
        <f t="shared" si="93"/>
        <v>13.397260273972602</v>
      </c>
      <c r="O571" s="23">
        <v>207653.85</v>
      </c>
      <c r="P571" s="18">
        <f t="shared" si="94"/>
        <v>14.397260273972602</v>
      </c>
      <c r="Q571" s="18">
        <f t="shared" si="100"/>
        <v>744168.75136168383</v>
      </c>
      <c r="R571" s="18">
        <f t="shared" si="95"/>
        <v>951822.6013616838</v>
      </c>
      <c r="S571" s="18">
        <f>+IF(N571&gt;P571,0,L571)+10429340</f>
        <v>12841129.4035</v>
      </c>
    </row>
    <row r="572" spans="1:19" ht="15" customHeight="1" x14ac:dyDescent="0.2">
      <c r="A572" s="14">
        <f t="shared" si="96"/>
        <v>536</v>
      </c>
      <c r="B572" s="31" t="s">
        <v>519</v>
      </c>
      <c r="C572" s="15" t="s">
        <v>3</v>
      </c>
      <c r="D572" s="31" t="s">
        <v>500</v>
      </c>
      <c r="E572" s="31"/>
      <c r="F572" s="73" t="s">
        <v>10</v>
      </c>
      <c r="G572" s="32">
        <v>35751</v>
      </c>
      <c r="H572" s="29">
        <v>72732252</v>
      </c>
      <c r="I572" s="17">
        <v>0</v>
      </c>
      <c r="J572" s="17">
        <f>50816529.9740712+10000000</f>
        <v>60816529.974071197</v>
      </c>
      <c r="K572" s="17">
        <f t="shared" si="98"/>
        <v>11915722.025928803</v>
      </c>
      <c r="L572" s="23">
        <f t="shared" si="101"/>
        <v>3636612.6</v>
      </c>
      <c r="M572" s="33">
        <v>25</v>
      </c>
      <c r="N572" s="18">
        <f t="shared" si="93"/>
        <v>22.389041095890413</v>
      </c>
      <c r="O572" s="23">
        <v>21342.7</v>
      </c>
      <c r="P572" s="18">
        <f t="shared" si="94"/>
        <v>23.389041095890413</v>
      </c>
      <c r="Q572" s="18">
        <f t="shared" si="100"/>
        <v>331164.37703715212</v>
      </c>
      <c r="R572" s="18">
        <f t="shared" si="95"/>
        <v>352507.07703715214</v>
      </c>
      <c r="S572" s="18">
        <f t="shared" si="97"/>
        <v>3636612.6</v>
      </c>
    </row>
    <row r="573" spans="1:19" ht="15" customHeight="1" x14ac:dyDescent="0.2">
      <c r="A573" s="14">
        <f t="shared" si="96"/>
        <v>537</v>
      </c>
      <c r="B573" s="31" t="s">
        <v>520</v>
      </c>
      <c r="C573" s="15" t="s">
        <v>3</v>
      </c>
      <c r="D573" s="31" t="s">
        <v>500</v>
      </c>
      <c r="E573" s="31"/>
      <c r="F573" s="70" t="s">
        <v>7</v>
      </c>
      <c r="G573" s="32">
        <v>36509</v>
      </c>
      <c r="H573" s="29">
        <v>559354</v>
      </c>
      <c r="I573" s="17">
        <v>0</v>
      </c>
      <c r="J573" s="17">
        <f>H573-L573</f>
        <v>531386.30000000005</v>
      </c>
      <c r="K573" s="17">
        <f t="shared" si="98"/>
        <v>27967.699999999953</v>
      </c>
      <c r="L573" s="23">
        <f t="shared" si="101"/>
        <v>27967.7</v>
      </c>
      <c r="M573" s="33">
        <v>15</v>
      </c>
      <c r="N573" s="18">
        <f t="shared" si="93"/>
        <v>20.312328767123287</v>
      </c>
      <c r="O573" s="23">
        <v>46067.4</v>
      </c>
      <c r="P573" s="18">
        <f t="shared" si="94"/>
        <v>21.312328767123287</v>
      </c>
      <c r="Q573" s="18">
        <f t="shared" si="100"/>
        <v>-3.1529149661461513E-12</v>
      </c>
      <c r="R573" s="18">
        <f t="shared" si="95"/>
        <v>46067.4</v>
      </c>
      <c r="S573" s="18">
        <f t="shared" si="97"/>
        <v>27967.7</v>
      </c>
    </row>
    <row r="574" spans="1:19" ht="15" customHeight="1" x14ac:dyDescent="0.2">
      <c r="A574" s="14">
        <f t="shared" si="96"/>
        <v>538</v>
      </c>
      <c r="B574" s="31" t="s">
        <v>521</v>
      </c>
      <c r="C574" s="15" t="s">
        <v>3</v>
      </c>
      <c r="D574" s="31" t="s">
        <v>500</v>
      </c>
      <c r="E574" s="31"/>
      <c r="F574" s="70" t="s">
        <v>7</v>
      </c>
      <c r="G574" s="32">
        <v>36856</v>
      </c>
      <c r="H574" s="29">
        <v>758471</v>
      </c>
      <c r="I574" s="17">
        <v>0</v>
      </c>
      <c r="J574" s="17">
        <f>H574-L574</f>
        <v>720547.45</v>
      </c>
      <c r="K574" s="17">
        <f t="shared" si="98"/>
        <v>37923.550000000047</v>
      </c>
      <c r="L574" s="23">
        <f t="shared" si="101"/>
        <v>37923.550000000003</v>
      </c>
      <c r="M574" s="33">
        <v>15</v>
      </c>
      <c r="N574" s="18">
        <f t="shared" si="93"/>
        <v>19.361643835616437</v>
      </c>
      <c r="O574" s="23">
        <v>255396.1</v>
      </c>
      <c r="P574" s="18">
        <f t="shared" si="94"/>
        <v>20.361643835616437</v>
      </c>
      <c r="Q574" s="18">
        <f t="shared" si="100"/>
        <v>2.9103830456733705E-12</v>
      </c>
      <c r="R574" s="18">
        <f t="shared" si="95"/>
        <v>255396.1</v>
      </c>
      <c r="S574" s="18">
        <f t="shared" si="97"/>
        <v>37923.550000000003</v>
      </c>
    </row>
    <row r="575" spans="1:19" ht="15" customHeight="1" x14ac:dyDescent="0.2">
      <c r="A575" s="14">
        <f t="shared" si="96"/>
        <v>539</v>
      </c>
      <c r="B575" s="31" t="s">
        <v>522</v>
      </c>
      <c r="C575" s="15" t="s">
        <v>3</v>
      </c>
      <c r="D575" s="31" t="s">
        <v>500</v>
      </c>
      <c r="E575" s="31"/>
      <c r="F575" s="73" t="s">
        <v>11</v>
      </c>
      <c r="G575" s="32">
        <v>39042</v>
      </c>
      <c r="H575" s="29">
        <v>20914310.669999998</v>
      </c>
      <c r="I575" s="17">
        <v>0</v>
      </c>
      <c r="J575" s="17">
        <f>7446640.58814575+2500000</f>
        <v>9946640.5881457496</v>
      </c>
      <c r="K575" s="17">
        <f t="shared" si="98"/>
        <v>10967670.081854248</v>
      </c>
      <c r="L575" s="23">
        <f t="shared" si="101"/>
        <v>1045715.5334999999</v>
      </c>
      <c r="M575" s="33">
        <v>25</v>
      </c>
      <c r="N575" s="18">
        <f t="shared" si="93"/>
        <v>13.372602739726027</v>
      </c>
      <c r="O575" s="23">
        <v>15063.2</v>
      </c>
      <c r="P575" s="18">
        <f t="shared" si="94"/>
        <v>14.372602739726027</v>
      </c>
      <c r="Q575" s="18">
        <f t="shared" si="100"/>
        <v>396878.18193416996</v>
      </c>
      <c r="R575" s="18">
        <f t="shared" si="95"/>
        <v>411941.38193416997</v>
      </c>
      <c r="S575" s="18">
        <f t="shared" si="97"/>
        <v>1045715.5334999999</v>
      </c>
    </row>
    <row r="576" spans="1:19" ht="15" customHeight="1" x14ac:dyDescent="0.2">
      <c r="A576" s="14">
        <f t="shared" si="96"/>
        <v>540</v>
      </c>
      <c r="B576" s="31" t="s">
        <v>523</v>
      </c>
      <c r="C576" s="15" t="s">
        <v>3</v>
      </c>
      <c r="D576" s="31" t="s">
        <v>500</v>
      </c>
      <c r="E576" s="31"/>
      <c r="F576" s="73" t="s">
        <v>11</v>
      </c>
      <c r="G576" s="32">
        <v>39033</v>
      </c>
      <c r="H576" s="29">
        <v>18552179.670000002</v>
      </c>
      <c r="I576" s="17">
        <v>0</v>
      </c>
      <c r="J576" s="17">
        <f>6622975.65852148+2500000</f>
        <v>9122975.6585214809</v>
      </c>
      <c r="K576" s="17">
        <f t="shared" si="98"/>
        <v>9429204.0114785209</v>
      </c>
      <c r="L576" s="23">
        <f t="shared" si="101"/>
        <v>927608.98350000009</v>
      </c>
      <c r="M576" s="33">
        <v>25</v>
      </c>
      <c r="N576" s="18">
        <f t="shared" si="93"/>
        <v>13.397260273972602</v>
      </c>
      <c r="O576" s="23">
        <v>221927.6</v>
      </c>
      <c r="P576" s="18">
        <f t="shared" si="94"/>
        <v>14.397260273972602</v>
      </c>
      <c r="Q576" s="18">
        <f t="shared" si="100"/>
        <v>340063.80111914081</v>
      </c>
      <c r="R576" s="18">
        <f t="shared" si="95"/>
        <v>561991.40111914079</v>
      </c>
      <c r="S576" s="18">
        <f t="shared" si="97"/>
        <v>927608.98350000009</v>
      </c>
    </row>
    <row r="577" spans="1:19" ht="15" customHeight="1" x14ac:dyDescent="0.2">
      <c r="A577" s="14">
        <f t="shared" si="96"/>
        <v>541</v>
      </c>
      <c r="B577" s="31" t="s">
        <v>524</v>
      </c>
      <c r="C577" s="15" t="s">
        <v>3</v>
      </c>
      <c r="D577" s="31" t="s">
        <v>500</v>
      </c>
      <c r="E577" s="31"/>
      <c r="F577" s="73" t="s">
        <v>11</v>
      </c>
      <c r="G577" s="32">
        <v>39033</v>
      </c>
      <c r="H577" s="29">
        <v>11118401.189999999</v>
      </c>
      <c r="I577" s="17">
        <v>0</v>
      </c>
      <c r="J577" s="17">
        <f>3969177.84071063+5000000</f>
        <v>8969177.8407106306</v>
      </c>
      <c r="K577" s="17">
        <f t="shared" si="98"/>
        <v>2149223.3492893688</v>
      </c>
      <c r="L577" s="23">
        <f t="shared" si="101"/>
        <v>555920.05949999997</v>
      </c>
      <c r="M577" s="33">
        <v>25</v>
      </c>
      <c r="N577" s="18">
        <f t="shared" si="93"/>
        <v>13.397260273972602</v>
      </c>
      <c r="O577" s="23">
        <v>61384.25</v>
      </c>
      <c r="P577" s="18">
        <f t="shared" si="94"/>
        <v>14.397260273972602</v>
      </c>
      <c r="Q577" s="18">
        <f t="shared" si="100"/>
        <v>63732.131591574755</v>
      </c>
      <c r="R577" s="18">
        <f t="shared" si="95"/>
        <v>125116.38159157475</v>
      </c>
      <c r="S577" s="18">
        <f t="shared" si="97"/>
        <v>555920.05949999997</v>
      </c>
    </row>
    <row r="578" spans="1:19" ht="15" customHeight="1" x14ac:dyDescent="0.2">
      <c r="A578" s="14">
        <f t="shared" si="96"/>
        <v>542</v>
      </c>
      <c r="B578" s="31" t="s">
        <v>525</v>
      </c>
      <c r="C578" s="15" t="s">
        <v>3</v>
      </c>
      <c r="D578" s="31" t="s">
        <v>500</v>
      </c>
      <c r="E578" s="31"/>
      <c r="F578" s="70" t="s">
        <v>7</v>
      </c>
      <c r="G578" s="32">
        <v>36856</v>
      </c>
      <c r="H578" s="29">
        <v>218024</v>
      </c>
      <c r="I578" s="17">
        <v>0</v>
      </c>
      <c r="J578" s="17">
        <f t="shared" ref="J578:J579" si="102">H578-L578</f>
        <v>207122.8</v>
      </c>
      <c r="K578" s="17">
        <f t="shared" si="98"/>
        <v>10901.200000000012</v>
      </c>
      <c r="L578" s="23">
        <f t="shared" si="101"/>
        <v>10901.2</v>
      </c>
      <c r="M578" s="33">
        <v>15</v>
      </c>
      <c r="N578" s="18">
        <f t="shared" si="93"/>
        <v>19.361643835616437</v>
      </c>
      <c r="O578" s="23">
        <v>92450.2</v>
      </c>
      <c r="P578" s="18">
        <f t="shared" si="94"/>
        <v>20.361643835616437</v>
      </c>
      <c r="Q578" s="18">
        <f t="shared" si="100"/>
        <v>7.2759576141834263E-13</v>
      </c>
      <c r="R578" s="18">
        <f t="shared" si="95"/>
        <v>92450.2</v>
      </c>
      <c r="S578" s="18">
        <f t="shared" si="97"/>
        <v>10901.2</v>
      </c>
    </row>
    <row r="579" spans="1:19" ht="15" customHeight="1" x14ac:dyDescent="0.2">
      <c r="A579" s="14">
        <f t="shared" si="96"/>
        <v>543</v>
      </c>
      <c r="B579" s="31" t="s">
        <v>520</v>
      </c>
      <c r="C579" s="15" t="s">
        <v>3</v>
      </c>
      <c r="D579" s="31" t="s">
        <v>500</v>
      </c>
      <c r="E579" s="31"/>
      <c r="F579" s="70" t="s">
        <v>7</v>
      </c>
      <c r="G579" s="32">
        <v>34515</v>
      </c>
      <c r="H579" s="29">
        <v>25039</v>
      </c>
      <c r="I579" s="17">
        <v>0</v>
      </c>
      <c r="J579" s="17">
        <f t="shared" si="102"/>
        <v>23787.05</v>
      </c>
      <c r="K579" s="17">
        <f t="shared" si="98"/>
        <v>1251.9500000000007</v>
      </c>
      <c r="L579" s="23">
        <f t="shared" si="101"/>
        <v>1251.95</v>
      </c>
      <c r="M579" s="33">
        <v>15</v>
      </c>
      <c r="N579" s="18">
        <f t="shared" si="93"/>
        <v>25.775342465753425</v>
      </c>
      <c r="O579" s="23">
        <v>10660.9</v>
      </c>
      <c r="P579" s="18">
        <f t="shared" si="94"/>
        <v>26.775342465753425</v>
      </c>
      <c r="Q579" s="18">
        <f t="shared" si="100"/>
        <v>4.5474735088646414E-14</v>
      </c>
      <c r="R579" s="18">
        <f t="shared" si="95"/>
        <v>10660.9</v>
      </c>
      <c r="S579" s="18">
        <f t="shared" si="97"/>
        <v>1251.95</v>
      </c>
    </row>
    <row r="580" spans="1:19" ht="15" customHeight="1" x14ac:dyDescent="0.2">
      <c r="A580" s="14">
        <f t="shared" si="96"/>
        <v>544</v>
      </c>
      <c r="B580" s="31" t="s">
        <v>526</v>
      </c>
      <c r="C580" s="15" t="s">
        <v>3</v>
      </c>
      <c r="D580" s="31" t="s">
        <v>500</v>
      </c>
      <c r="E580" s="31"/>
      <c r="F580" s="73" t="s">
        <v>11</v>
      </c>
      <c r="G580" s="32">
        <v>38297</v>
      </c>
      <c r="H580" s="29">
        <v>8992410.9900000002</v>
      </c>
      <c r="I580" s="17">
        <v>0</v>
      </c>
      <c r="J580" s="17">
        <f>3899257.22571863+500000</f>
        <v>4399257.2257186305</v>
      </c>
      <c r="K580" s="17">
        <f t="shared" si="98"/>
        <v>4593153.7642813697</v>
      </c>
      <c r="L580" s="23">
        <f t="shared" si="101"/>
        <v>449620.54950000002</v>
      </c>
      <c r="M580" s="33">
        <v>25</v>
      </c>
      <c r="N580" s="18">
        <f t="shared" si="93"/>
        <v>15.413698630136986</v>
      </c>
      <c r="O580" s="23">
        <v>17340.349999999999</v>
      </c>
      <c r="P580" s="18">
        <f t="shared" si="94"/>
        <v>16.413698630136988</v>
      </c>
      <c r="Q580" s="18">
        <f t="shared" si="100"/>
        <v>165741.32859125506</v>
      </c>
      <c r="R580" s="18">
        <f t="shared" si="95"/>
        <v>183081.67859125507</v>
      </c>
      <c r="S580" s="18">
        <f t="shared" si="97"/>
        <v>449620.54950000002</v>
      </c>
    </row>
    <row r="581" spans="1:19" ht="15" customHeight="1" x14ac:dyDescent="0.2">
      <c r="A581" s="14">
        <f t="shared" si="96"/>
        <v>545</v>
      </c>
      <c r="B581" s="31" t="s">
        <v>527</v>
      </c>
      <c r="C581" s="15" t="s">
        <v>3</v>
      </c>
      <c r="D581" s="31" t="s">
        <v>500</v>
      </c>
      <c r="E581" s="31"/>
      <c r="F581" s="73" t="s">
        <v>8</v>
      </c>
      <c r="G581" s="32">
        <v>39033</v>
      </c>
      <c r="H581" s="29">
        <v>7794978.8399999999</v>
      </c>
      <c r="I581" s="17">
        <v>0</v>
      </c>
      <c r="J581" s="17">
        <f>2782743.37756077+500000</f>
        <v>3282743.3775607701</v>
      </c>
      <c r="K581" s="17">
        <f t="shared" si="98"/>
        <v>4512235.4624392297</v>
      </c>
      <c r="L581" s="23">
        <f t="shared" si="101"/>
        <v>389748.94200000004</v>
      </c>
      <c r="M581" s="33">
        <v>25</v>
      </c>
      <c r="N581" s="18">
        <f t="shared" si="93"/>
        <v>13.397260273972602</v>
      </c>
      <c r="O581" s="23">
        <v>15774.75</v>
      </c>
      <c r="P581" s="18">
        <f t="shared" si="94"/>
        <v>14.397260273972602</v>
      </c>
      <c r="Q581" s="18">
        <f t="shared" si="100"/>
        <v>164899.4608175692</v>
      </c>
      <c r="R581" s="18">
        <f t="shared" si="95"/>
        <v>180674.2108175692</v>
      </c>
      <c r="S581" s="18">
        <f t="shared" si="97"/>
        <v>389748.94200000004</v>
      </c>
    </row>
    <row r="582" spans="1:19" ht="15" customHeight="1" x14ac:dyDescent="0.2">
      <c r="A582" s="14">
        <f t="shared" si="96"/>
        <v>546</v>
      </c>
      <c r="B582" s="31" t="s">
        <v>528</v>
      </c>
      <c r="C582" s="15" t="s">
        <v>3</v>
      </c>
      <c r="D582" s="31" t="s">
        <v>500</v>
      </c>
      <c r="E582" s="31"/>
      <c r="F582" s="73" t="s">
        <v>12</v>
      </c>
      <c r="G582" s="32">
        <v>35751</v>
      </c>
      <c r="H582" s="29">
        <v>26932164.32</v>
      </c>
      <c r="I582" s="17">
        <v>0</v>
      </c>
      <c r="J582" s="17">
        <f>18816949.8097473+2500000</f>
        <v>21316949.809747301</v>
      </c>
      <c r="K582" s="17">
        <f t="shared" si="98"/>
        <v>5615214.5102526993</v>
      </c>
      <c r="L582" s="23">
        <f t="shared" si="101"/>
        <v>1346608.216</v>
      </c>
      <c r="M582" s="33">
        <v>25</v>
      </c>
      <c r="N582" s="18">
        <f t="shared" si="93"/>
        <v>22.389041095890413</v>
      </c>
      <c r="O582" s="23">
        <v>147383.95000000001</v>
      </c>
      <c r="P582" s="18">
        <f t="shared" si="94"/>
        <v>23.389041095890413</v>
      </c>
      <c r="Q582" s="18">
        <f t="shared" si="100"/>
        <v>170744.25177010798</v>
      </c>
      <c r="R582" s="18">
        <f t="shared" si="95"/>
        <v>318128.20177010796</v>
      </c>
      <c r="S582" s="18">
        <f t="shared" si="97"/>
        <v>1346608.216</v>
      </c>
    </row>
    <row r="583" spans="1:19" ht="15" customHeight="1" x14ac:dyDescent="0.2">
      <c r="A583" s="14">
        <f t="shared" si="96"/>
        <v>547</v>
      </c>
      <c r="B583" s="31" t="s">
        <v>529</v>
      </c>
      <c r="C583" s="15" t="s">
        <v>3</v>
      </c>
      <c r="D583" s="31" t="s">
        <v>500</v>
      </c>
      <c r="E583" s="31"/>
      <c r="F583" s="73" t="s">
        <v>15</v>
      </c>
      <c r="G583" s="32">
        <v>40543</v>
      </c>
      <c r="H583" s="29">
        <v>4707463</v>
      </c>
      <c r="I583" s="17">
        <v>0</v>
      </c>
      <c r="J583" s="17">
        <v>940486.62160547927</v>
      </c>
      <c r="K583" s="17">
        <f t="shared" si="98"/>
        <v>3766976.3783945208</v>
      </c>
      <c r="L583" s="23">
        <f t="shared" si="101"/>
        <v>235373.15000000002</v>
      </c>
      <c r="M583" s="33">
        <v>25</v>
      </c>
      <c r="N583" s="18">
        <f t="shared" si="93"/>
        <v>9.2602739726027394</v>
      </c>
      <c r="O583" s="23">
        <v>15156.3</v>
      </c>
      <c r="P583" s="18">
        <f t="shared" si="94"/>
        <v>10.260273972602739</v>
      </c>
      <c r="Q583" s="18">
        <f t="shared" si="100"/>
        <v>141264.12913578085</v>
      </c>
      <c r="R583" s="18">
        <f t="shared" si="95"/>
        <v>156420.42913578084</v>
      </c>
      <c r="S583" s="18">
        <f t="shared" si="97"/>
        <v>235373.15000000002</v>
      </c>
    </row>
    <row r="584" spans="1:19" ht="15" customHeight="1" x14ac:dyDescent="0.2">
      <c r="A584" s="14">
        <f t="shared" si="96"/>
        <v>548</v>
      </c>
      <c r="B584" s="31" t="s">
        <v>530</v>
      </c>
      <c r="C584" s="15" t="s">
        <v>3</v>
      </c>
      <c r="D584" s="31" t="s">
        <v>500</v>
      </c>
      <c r="E584" s="31"/>
      <c r="F584" s="73" t="s">
        <v>11</v>
      </c>
      <c r="G584" s="32">
        <v>39071</v>
      </c>
      <c r="H584" s="29">
        <v>5208477.62</v>
      </c>
      <c r="I584" s="17">
        <v>0</v>
      </c>
      <c r="J584" s="17">
        <f>1838778.10728208+1000000</f>
        <v>2838778.1072820798</v>
      </c>
      <c r="K584" s="17">
        <f t="shared" si="98"/>
        <v>2369699.5127179204</v>
      </c>
      <c r="L584" s="23">
        <f t="shared" si="101"/>
        <v>260423.88100000002</v>
      </c>
      <c r="M584" s="33">
        <v>25</v>
      </c>
      <c r="N584" s="18">
        <f t="shared" si="93"/>
        <v>13.293150684931506</v>
      </c>
      <c r="O584" s="23">
        <v>137066.95000000001</v>
      </c>
      <c r="P584" s="18">
        <f t="shared" si="94"/>
        <v>14.293150684931506</v>
      </c>
      <c r="Q584" s="18">
        <f t="shared" si="100"/>
        <v>84371.02526871681</v>
      </c>
      <c r="R584" s="18">
        <f t="shared" si="95"/>
        <v>221437.97526871681</v>
      </c>
      <c r="S584" s="18">
        <f t="shared" si="97"/>
        <v>260423.88100000002</v>
      </c>
    </row>
    <row r="585" spans="1:19" ht="15" customHeight="1" x14ac:dyDescent="0.2">
      <c r="A585" s="14">
        <f t="shared" si="96"/>
        <v>549</v>
      </c>
      <c r="B585" s="31" t="s">
        <v>531</v>
      </c>
      <c r="C585" s="15" t="s">
        <v>3</v>
      </c>
      <c r="D585" s="31" t="s">
        <v>500</v>
      </c>
      <c r="E585" s="31"/>
      <c r="F585" s="73" t="s">
        <v>7</v>
      </c>
      <c r="G585" s="32">
        <v>41532</v>
      </c>
      <c r="H585" s="29">
        <v>2293819.96</v>
      </c>
      <c r="I585" s="17">
        <v>0</v>
      </c>
      <c r="J585" s="17">
        <f>370153.412723288+1000000</f>
        <v>1370153.4127232879</v>
      </c>
      <c r="K585" s="17">
        <f t="shared" si="98"/>
        <v>923666.54727671202</v>
      </c>
      <c r="L585" s="23">
        <f t="shared" si="101"/>
        <v>114690.99800000001</v>
      </c>
      <c r="M585" s="33">
        <v>15</v>
      </c>
      <c r="N585" s="18">
        <f t="shared" si="93"/>
        <v>6.5506849315068489</v>
      </c>
      <c r="O585" s="23">
        <v>5871.95</v>
      </c>
      <c r="P585" s="18">
        <f t="shared" si="94"/>
        <v>7.5506849315068489</v>
      </c>
      <c r="Q585" s="18">
        <f t="shared" si="100"/>
        <v>53931.703285114134</v>
      </c>
      <c r="R585" s="18">
        <f t="shared" si="95"/>
        <v>59803.653285114131</v>
      </c>
      <c r="S585" s="18">
        <f t="shared" si="97"/>
        <v>114690.99800000001</v>
      </c>
    </row>
    <row r="586" spans="1:19" ht="15" customHeight="1" x14ac:dyDescent="0.2">
      <c r="A586" s="14">
        <f t="shared" si="96"/>
        <v>550</v>
      </c>
      <c r="B586" s="31" t="s">
        <v>532</v>
      </c>
      <c r="C586" s="15" t="s">
        <v>3</v>
      </c>
      <c r="D586" s="31" t="s">
        <v>500</v>
      </c>
      <c r="E586" s="31"/>
      <c r="F586" s="73" t="s">
        <v>8</v>
      </c>
      <c r="G586" s="32">
        <v>39779</v>
      </c>
      <c r="H586" s="29">
        <v>4212593.1399999997</v>
      </c>
      <c r="I586" s="17">
        <v>0</v>
      </c>
      <c r="J586" s="17">
        <f>1176686.90683715+500000</f>
        <v>1676686.90683715</v>
      </c>
      <c r="K586" s="17">
        <f t="shared" si="98"/>
        <v>2535906.2331628497</v>
      </c>
      <c r="L586" s="23">
        <f t="shared" si="101"/>
        <v>210629.65700000001</v>
      </c>
      <c r="M586" s="33">
        <v>25</v>
      </c>
      <c r="N586" s="18">
        <f t="shared" si="93"/>
        <v>11.353424657534246</v>
      </c>
      <c r="O586" s="23">
        <v>13967.85</v>
      </c>
      <c r="P586" s="18">
        <f t="shared" si="94"/>
        <v>12.353424657534246</v>
      </c>
      <c r="Q586" s="18">
        <f t="shared" si="100"/>
        <v>93011.063046513984</v>
      </c>
      <c r="R586" s="18">
        <f t="shared" si="95"/>
        <v>106978.91304651399</v>
      </c>
      <c r="S586" s="18">
        <f t="shared" si="97"/>
        <v>210629.65700000001</v>
      </c>
    </row>
    <row r="587" spans="1:19" ht="15" customHeight="1" x14ac:dyDescent="0.2">
      <c r="A587" s="14">
        <f t="shared" si="96"/>
        <v>551</v>
      </c>
      <c r="B587" s="31" t="s">
        <v>533</v>
      </c>
      <c r="C587" s="15" t="s">
        <v>3</v>
      </c>
      <c r="D587" s="31" t="s">
        <v>500</v>
      </c>
      <c r="E587" s="31"/>
      <c r="F587" s="73" t="s">
        <v>11</v>
      </c>
      <c r="G587" s="32">
        <v>39033</v>
      </c>
      <c r="H587" s="29">
        <v>3925689.44</v>
      </c>
      <c r="I587" s="17">
        <v>0</v>
      </c>
      <c r="J587" s="17">
        <v>1401438.8641393972</v>
      </c>
      <c r="K587" s="17">
        <f t="shared" si="98"/>
        <v>2524250.5758606028</v>
      </c>
      <c r="L587" s="23">
        <f t="shared" si="101"/>
        <v>196284.47200000001</v>
      </c>
      <c r="M587" s="33">
        <v>25</v>
      </c>
      <c r="N587" s="18">
        <f t="shared" si="93"/>
        <v>13.397260273972602</v>
      </c>
      <c r="O587" s="23">
        <v>4699.6499999999996</v>
      </c>
      <c r="P587" s="18">
        <f t="shared" si="94"/>
        <v>14.397260273972602</v>
      </c>
      <c r="Q587" s="18">
        <f t="shared" si="100"/>
        <v>93118.64415442411</v>
      </c>
      <c r="R587" s="18">
        <f t="shared" si="95"/>
        <v>97818.294154424104</v>
      </c>
      <c r="S587" s="18">
        <f t="shared" si="97"/>
        <v>196284.47200000001</v>
      </c>
    </row>
    <row r="588" spans="1:19" ht="15" customHeight="1" x14ac:dyDescent="0.2">
      <c r="A588" s="14">
        <f t="shared" si="96"/>
        <v>552</v>
      </c>
      <c r="B588" s="31" t="s">
        <v>534</v>
      </c>
      <c r="C588" s="15" t="s">
        <v>3</v>
      </c>
      <c r="D588" s="31" t="s">
        <v>500</v>
      </c>
      <c r="E588" s="31"/>
      <c r="F588" s="73" t="s">
        <v>11</v>
      </c>
      <c r="G588" s="32">
        <v>35799</v>
      </c>
      <c r="H588" s="29">
        <v>11735162</v>
      </c>
      <c r="I588" s="17">
        <v>0</v>
      </c>
      <c r="J588" s="17">
        <f>8140472.89706302+500000</f>
        <v>8640472.8970630206</v>
      </c>
      <c r="K588" s="17">
        <f t="shared" si="98"/>
        <v>3094689.1029369794</v>
      </c>
      <c r="L588" s="23">
        <f t="shared" si="101"/>
        <v>586758.1</v>
      </c>
      <c r="M588" s="33">
        <v>25</v>
      </c>
      <c r="N588" s="18">
        <f t="shared" si="93"/>
        <v>22.257534246575343</v>
      </c>
      <c r="O588" s="23">
        <v>90536.9</v>
      </c>
      <c r="P588" s="18">
        <f t="shared" si="94"/>
        <v>23.257534246575343</v>
      </c>
      <c r="Q588" s="18">
        <f t="shared" si="100"/>
        <v>100317.24011747917</v>
      </c>
      <c r="R588" s="18">
        <f t="shared" si="95"/>
        <v>190854.14011747917</v>
      </c>
      <c r="S588" s="18">
        <f t="shared" si="97"/>
        <v>586758.1</v>
      </c>
    </row>
    <row r="589" spans="1:19" ht="15" customHeight="1" x14ac:dyDescent="0.2">
      <c r="A589" s="14">
        <f t="shared" si="96"/>
        <v>553</v>
      </c>
      <c r="B589" s="31" t="s">
        <v>535</v>
      </c>
      <c r="C589" s="15" t="s">
        <v>3</v>
      </c>
      <c r="D589" s="31" t="s">
        <v>500</v>
      </c>
      <c r="E589" s="31"/>
      <c r="F589" s="70" t="s">
        <v>7</v>
      </c>
      <c r="G589" s="32">
        <v>24838</v>
      </c>
      <c r="H589" s="29">
        <v>102</v>
      </c>
      <c r="I589" s="17">
        <v>0</v>
      </c>
      <c r="J589" s="17">
        <f>H589-L589</f>
        <v>96.9</v>
      </c>
      <c r="K589" s="17">
        <f t="shared" si="98"/>
        <v>5.0999999999999943</v>
      </c>
      <c r="L589" s="23">
        <f t="shared" si="101"/>
        <v>5.1000000000000005</v>
      </c>
      <c r="M589" s="33">
        <v>15</v>
      </c>
      <c r="N589" s="18">
        <f t="shared" si="93"/>
        <v>52.287671232876711</v>
      </c>
      <c r="O589" s="23">
        <v>63183.55</v>
      </c>
      <c r="P589" s="18">
        <f t="shared" si="94"/>
        <v>53.287671232876711</v>
      </c>
      <c r="Q589" s="18">
        <f t="shared" si="100"/>
        <v>-4.1448326252672511E-16</v>
      </c>
      <c r="R589" s="18">
        <f t="shared" si="95"/>
        <v>63183.55</v>
      </c>
      <c r="S589" s="18">
        <f t="shared" si="97"/>
        <v>5.1000000000000005</v>
      </c>
    </row>
    <row r="590" spans="1:19" ht="15" customHeight="1" x14ac:dyDescent="0.2">
      <c r="A590" s="14">
        <f t="shared" si="96"/>
        <v>554</v>
      </c>
      <c r="B590" s="31" t="s">
        <v>536</v>
      </c>
      <c r="C590" s="15" t="s">
        <v>3</v>
      </c>
      <c r="D590" s="31" t="s">
        <v>500</v>
      </c>
      <c r="E590" s="31"/>
      <c r="F590" s="73" t="s">
        <v>11</v>
      </c>
      <c r="G590" s="32">
        <v>40509</v>
      </c>
      <c r="H590" s="29">
        <v>3441680</v>
      </c>
      <c r="I590" s="17">
        <v>0</v>
      </c>
      <c r="J590" s="17">
        <v>699783.12197260279</v>
      </c>
      <c r="K590" s="17">
        <f t="shared" si="98"/>
        <v>2741896.8780273972</v>
      </c>
      <c r="L590" s="23">
        <f t="shared" si="101"/>
        <v>172084</v>
      </c>
      <c r="M590" s="33">
        <v>25</v>
      </c>
      <c r="N590" s="18">
        <f t="shared" si="93"/>
        <v>9.3534246575342461</v>
      </c>
      <c r="O590" s="23">
        <v>466327.45</v>
      </c>
      <c r="P590" s="18">
        <f t="shared" si="94"/>
        <v>10.353424657534246</v>
      </c>
      <c r="Q590" s="18">
        <f t="shared" si="100"/>
        <v>102792.51512109589</v>
      </c>
      <c r="R590" s="18">
        <f t="shared" si="95"/>
        <v>569119.96512109588</v>
      </c>
      <c r="S590" s="18">
        <f t="shared" si="97"/>
        <v>172084</v>
      </c>
    </row>
    <row r="591" spans="1:19" ht="15" customHeight="1" x14ac:dyDescent="0.2">
      <c r="A591" s="14">
        <f t="shared" si="96"/>
        <v>555</v>
      </c>
      <c r="B591" s="31" t="s">
        <v>537</v>
      </c>
      <c r="C591" s="15" t="s">
        <v>3</v>
      </c>
      <c r="D591" s="31" t="s">
        <v>500</v>
      </c>
      <c r="E591" s="31"/>
      <c r="F591" s="73" t="s">
        <v>11</v>
      </c>
      <c r="G591" s="32">
        <v>39033</v>
      </c>
      <c r="H591" s="29">
        <v>3644284.14</v>
      </c>
      <c r="I591" s="17">
        <v>0</v>
      </c>
      <c r="J591" s="17">
        <v>1300979.4849596713</v>
      </c>
      <c r="K591" s="17">
        <f t="shared" si="98"/>
        <v>2343304.6550403289</v>
      </c>
      <c r="L591" s="23">
        <f t="shared" si="101"/>
        <v>182214.20700000002</v>
      </c>
      <c r="M591" s="33">
        <v>25</v>
      </c>
      <c r="N591" s="18">
        <f t="shared" si="93"/>
        <v>13.397260273972602</v>
      </c>
      <c r="O591" s="23">
        <v>189423.35</v>
      </c>
      <c r="P591" s="18">
        <f t="shared" si="94"/>
        <v>14.397260273972602</v>
      </c>
      <c r="Q591" s="18">
        <f t="shared" si="100"/>
        <v>86443.617921613157</v>
      </c>
      <c r="R591" s="18">
        <f t="shared" si="95"/>
        <v>275866.96792161313</v>
      </c>
      <c r="S591" s="18">
        <f t="shared" si="97"/>
        <v>182214.20700000002</v>
      </c>
    </row>
    <row r="592" spans="1:19" ht="15" customHeight="1" x14ac:dyDescent="0.2">
      <c r="A592" s="14">
        <f t="shared" si="96"/>
        <v>556</v>
      </c>
      <c r="B592" s="31" t="s">
        <v>538</v>
      </c>
      <c r="C592" s="15" t="s">
        <v>3</v>
      </c>
      <c r="D592" s="31" t="s">
        <v>500</v>
      </c>
      <c r="E592" s="31"/>
      <c r="F592" s="73" t="s">
        <v>11</v>
      </c>
      <c r="G592" s="32">
        <v>35833</v>
      </c>
      <c r="H592" s="29">
        <v>9560107</v>
      </c>
      <c r="I592" s="17">
        <v>0</v>
      </c>
      <c r="J592" s="17">
        <f>6597835.81784657+500000</f>
        <v>7097835.8178465702</v>
      </c>
      <c r="K592" s="17">
        <f t="shared" si="98"/>
        <v>2462271.1821534298</v>
      </c>
      <c r="L592" s="23">
        <f t="shared" si="101"/>
        <v>478005.35000000003</v>
      </c>
      <c r="M592" s="33">
        <v>25</v>
      </c>
      <c r="N592" s="18">
        <f t="shared" si="93"/>
        <v>22.164383561643834</v>
      </c>
      <c r="O592" s="23">
        <v>11286.95</v>
      </c>
      <c r="P592" s="18">
        <f t="shared" si="94"/>
        <v>23.164383561643834</v>
      </c>
      <c r="Q592" s="18">
        <f t="shared" si="100"/>
        <v>79370.633286137192</v>
      </c>
      <c r="R592" s="18">
        <f t="shared" si="95"/>
        <v>90657.583286137189</v>
      </c>
      <c r="S592" s="18">
        <f t="shared" si="97"/>
        <v>478005.35000000003</v>
      </c>
    </row>
    <row r="593" spans="1:19" ht="15" customHeight="1" x14ac:dyDescent="0.2">
      <c r="A593" s="14">
        <f t="shared" si="96"/>
        <v>557</v>
      </c>
      <c r="B593" s="31" t="s">
        <v>532</v>
      </c>
      <c r="C593" s="15" t="s">
        <v>3</v>
      </c>
      <c r="D593" s="31" t="s">
        <v>500</v>
      </c>
      <c r="E593" s="31"/>
      <c r="F593" s="73" t="s">
        <v>11</v>
      </c>
      <c r="G593" s="32">
        <v>38297</v>
      </c>
      <c r="H593" s="29">
        <v>3489028.02</v>
      </c>
      <c r="I593" s="17">
        <v>0</v>
      </c>
      <c r="J593" s="17">
        <v>1512899.9033572604</v>
      </c>
      <c r="K593" s="17">
        <f t="shared" si="98"/>
        <v>1976128.1166427396</v>
      </c>
      <c r="L593" s="23">
        <f t="shared" si="101"/>
        <v>174451.40100000001</v>
      </c>
      <c r="M593" s="33">
        <v>25</v>
      </c>
      <c r="N593" s="18">
        <f t="shared" si="93"/>
        <v>15.413698630136986</v>
      </c>
      <c r="O593" s="23">
        <v>103259.3</v>
      </c>
      <c r="P593" s="18">
        <f t="shared" si="94"/>
        <v>16.413698630136988</v>
      </c>
      <c r="Q593" s="18">
        <f t="shared" si="100"/>
        <v>72067.068625709711</v>
      </c>
      <c r="R593" s="18">
        <f t="shared" si="95"/>
        <v>175326.36862570973</v>
      </c>
      <c r="S593" s="18">
        <f t="shared" si="97"/>
        <v>174451.40100000001</v>
      </c>
    </row>
    <row r="594" spans="1:19" ht="15" customHeight="1" x14ac:dyDescent="0.2">
      <c r="A594" s="14">
        <f t="shared" si="96"/>
        <v>558</v>
      </c>
      <c r="B594" s="31" t="s">
        <v>539</v>
      </c>
      <c r="C594" s="15" t="s">
        <v>3</v>
      </c>
      <c r="D594" s="31" t="s">
        <v>500</v>
      </c>
      <c r="E594" s="31"/>
      <c r="F594" s="73" t="s">
        <v>4</v>
      </c>
      <c r="G594" s="32">
        <v>35751</v>
      </c>
      <c r="H594" s="29">
        <v>10206607</v>
      </c>
      <c r="I594" s="17">
        <v>0</v>
      </c>
      <c r="J594" s="17">
        <f>7131146.58609863+500000</f>
        <v>7631146.58609863</v>
      </c>
      <c r="K594" s="17">
        <f t="shared" si="98"/>
        <v>2575460.41390137</v>
      </c>
      <c r="L594" s="23">
        <f t="shared" si="101"/>
        <v>510330.35000000003</v>
      </c>
      <c r="M594" s="33">
        <v>25</v>
      </c>
      <c r="N594" s="18">
        <f t="shared" si="93"/>
        <v>22.389041095890413</v>
      </c>
      <c r="O594" s="23">
        <v>19448.400000000001</v>
      </c>
      <c r="P594" s="18">
        <f t="shared" si="94"/>
        <v>23.389041095890413</v>
      </c>
      <c r="Q594" s="18">
        <f t="shared" si="100"/>
        <v>82605.202556054792</v>
      </c>
      <c r="R594" s="18">
        <f t="shared" si="95"/>
        <v>102053.6025560548</v>
      </c>
      <c r="S594" s="18">
        <f t="shared" si="97"/>
        <v>510330.35000000003</v>
      </c>
    </row>
    <row r="595" spans="1:19" ht="15" customHeight="1" x14ac:dyDescent="0.2">
      <c r="A595" s="14">
        <f t="shared" si="96"/>
        <v>559</v>
      </c>
      <c r="B595" s="31" t="s">
        <v>540</v>
      </c>
      <c r="C595" s="15" t="s">
        <v>3</v>
      </c>
      <c r="D595" s="31" t="s">
        <v>500</v>
      </c>
      <c r="E595" s="31"/>
      <c r="F595" s="73" t="s">
        <v>11</v>
      </c>
      <c r="G595" s="32">
        <v>35751</v>
      </c>
      <c r="H595" s="29">
        <v>9088045</v>
      </c>
      <c r="I595" s="17">
        <v>0</v>
      </c>
      <c r="J595" s="17">
        <f>6349630.30084931+500000</f>
        <v>6849630.3008493101</v>
      </c>
      <c r="K595" s="17">
        <f t="shared" si="98"/>
        <v>2238414.6991506899</v>
      </c>
      <c r="L595" s="23">
        <f t="shared" si="101"/>
        <v>454402.25</v>
      </c>
      <c r="M595" s="33">
        <v>25</v>
      </c>
      <c r="N595" s="18">
        <f t="shared" si="93"/>
        <v>22.389041095890413</v>
      </c>
      <c r="O595" s="23">
        <v>1911133.05</v>
      </c>
      <c r="P595" s="18">
        <f t="shared" si="94"/>
        <v>23.389041095890413</v>
      </c>
      <c r="Q595" s="18">
        <f t="shared" si="100"/>
        <v>71360.4979660276</v>
      </c>
      <c r="R595" s="18">
        <f t="shared" si="95"/>
        <v>1982493.5479660276</v>
      </c>
      <c r="S595" s="18">
        <f t="shared" si="97"/>
        <v>454402.25</v>
      </c>
    </row>
    <row r="596" spans="1:19" ht="15" customHeight="1" x14ac:dyDescent="0.2">
      <c r="A596" s="14">
        <f t="shared" si="96"/>
        <v>560</v>
      </c>
      <c r="B596" s="31" t="s">
        <v>541</v>
      </c>
      <c r="C596" s="15" t="s">
        <v>3</v>
      </c>
      <c r="D596" s="31" t="s">
        <v>500</v>
      </c>
      <c r="E596" s="31"/>
      <c r="F596" s="73" t="s">
        <v>8</v>
      </c>
      <c r="G596" s="32">
        <v>41685</v>
      </c>
      <c r="H596" s="29">
        <v>1411387</v>
      </c>
      <c r="I596" s="17">
        <v>0</v>
      </c>
      <c r="J596" s="17">
        <v>190285.90210958899</v>
      </c>
      <c r="K596" s="17">
        <f t="shared" si="98"/>
        <v>1221101.097890411</v>
      </c>
      <c r="L596" s="23">
        <f t="shared" si="101"/>
        <v>70569.350000000006</v>
      </c>
      <c r="M596" s="33">
        <v>15</v>
      </c>
      <c r="N596" s="18">
        <f t="shared" si="93"/>
        <v>6.1315068493150688</v>
      </c>
      <c r="O596" s="23">
        <v>1433232.7</v>
      </c>
      <c r="P596" s="18">
        <f t="shared" si="94"/>
        <v>7.1315068493150688</v>
      </c>
      <c r="Q596" s="18">
        <f t="shared" si="100"/>
        <v>76702.116526027399</v>
      </c>
      <c r="R596" s="18">
        <f t="shared" si="95"/>
        <v>1509934.8165260274</v>
      </c>
      <c r="S596" s="18">
        <f t="shared" si="97"/>
        <v>70569.350000000006</v>
      </c>
    </row>
    <row r="597" spans="1:19" ht="15" customHeight="1" x14ac:dyDescent="0.2">
      <c r="A597" s="14">
        <f t="shared" si="96"/>
        <v>561</v>
      </c>
      <c r="B597" s="31" t="s">
        <v>516</v>
      </c>
      <c r="C597" s="15" t="s">
        <v>3</v>
      </c>
      <c r="D597" s="31" t="s">
        <v>500</v>
      </c>
      <c r="E597" s="31"/>
      <c r="F597" s="73" t="s">
        <v>8</v>
      </c>
      <c r="G597" s="32">
        <v>41723</v>
      </c>
      <c r="H597" s="29">
        <v>2282895</v>
      </c>
      <c r="I597" s="17">
        <v>0</v>
      </c>
      <c r="J597" s="17">
        <v>175639.06134246575</v>
      </c>
      <c r="K597" s="17">
        <f t="shared" si="98"/>
        <v>2107255.9386575343</v>
      </c>
      <c r="L597" s="23">
        <f t="shared" si="101"/>
        <v>114144.75</v>
      </c>
      <c r="M597" s="33">
        <v>25</v>
      </c>
      <c r="N597" s="18">
        <f t="shared" si="93"/>
        <v>6.0273972602739727</v>
      </c>
      <c r="O597" s="23">
        <v>813388.1</v>
      </c>
      <c r="P597" s="18">
        <f t="shared" si="94"/>
        <v>7.0273972602739727</v>
      </c>
      <c r="Q597" s="18">
        <f t="shared" si="100"/>
        <v>79724.44754630138</v>
      </c>
      <c r="R597" s="18">
        <f t="shared" si="95"/>
        <v>893112.54754630139</v>
      </c>
      <c r="S597" s="18">
        <f t="shared" si="97"/>
        <v>114144.75</v>
      </c>
    </row>
    <row r="598" spans="1:19" ht="15" customHeight="1" x14ac:dyDescent="0.2">
      <c r="A598" s="14">
        <f t="shared" si="96"/>
        <v>562</v>
      </c>
      <c r="B598" s="31" t="s">
        <v>542</v>
      </c>
      <c r="C598" s="15" t="s">
        <v>3</v>
      </c>
      <c r="D598" s="31" t="s">
        <v>500</v>
      </c>
      <c r="E598" s="31"/>
      <c r="F598" s="73" t="s">
        <v>11</v>
      </c>
      <c r="G598" s="32">
        <v>39779</v>
      </c>
      <c r="H598" s="29">
        <v>2501755.5699999998</v>
      </c>
      <c r="I598" s="17">
        <v>0</v>
      </c>
      <c r="J598" s="17">
        <v>698805.44488706847</v>
      </c>
      <c r="K598" s="17">
        <f t="shared" si="98"/>
        <v>1802950.1251129312</v>
      </c>
      <c r="L598" s="23">
        <f t="shared" si="101"/>
        <v>125087.7785</v>
      </c>
      <c r="M598" s="33">
        <v>25</v>
      </c>
      <c r="N598" s="18">
        <f t="shared" si="93"/>
        <v>11.353424657534246</v>
      </c>
      <c r="O598" s="23">
        <v>760</v>
      </c>
      <c r="P598" s="18">
        <f t="shared" si="94"/>
        <v>12.353424657534246</v>
      </c>
      <c r="Q598" s="18">
        <f t="shared" si="100"/>
        <v>67114.493864517251</v>
      </c>
      <c r="R598" s="18">
        <f t="shared" si="95"/>
        <v>67874.493864517251</v>
      </c>
      <c r="S598" s="18">
        <f t="shared" si="97"/>
        <v>125087.7785</v>
      </c>
    </row>
    <row r="599" spans="1:19" ht="15" customHeight="1" x14ac:dyDescent="0.2">
      <c r="A599" s="14">
        <f t="shared" si="96"/>
        <v>563</v>
      </c>
      <c r="B599" s="31" t="s">
        <v>543</v>
      </c>
      <c r="C599" s="15" t="s">
        <v>3</v>
      </c>
      <c r="D599" s="31" t="s">
        <v>500</v>
      </c>
      <c r="E599" s="31"/>
      <c r="F599" s="73" t="s">
        <v>8</v>
      </c>
      <c r="G599" s="32">
        <v>39134</v>
      </c>
      <c r="H599" s="29">
        <v>2444950.39</v>
      </c>
      <c r="I599" s="17">
        <v>0</v>
      </c>
      <c r="J599" s="17">
        <v>847118.37293413701</v>
      </c>
      <c r="K599" s="17">
        <f t="shared" si="98"/>
        <v>1597832.0170658631</v>
      </c>
      <c r="L599" s="23">
        <f t="shared" si="101"/>
        <v>122247.51950000001</v>
      </c>
      <c r="M599" s="33">
        <v>25</v>
      </c>
      <c r="N599" s="18">
        <f t="shared" si="93"/>
        <v>13.12054794520548</v>
      </c>
      <c r="O599" s="23">
        <v>559266.9</v>
      </c>
      <c r="P599" s="18">
        <f t="shared" si="94"/>
        <v>14.12054794520548</v>
      </c>
      <c r="Q599" s="18">
        <f t="shared" si="100"/>
        <v>59023.37990263453</v>
      </c>
      <c r="R599" s="18">
        <f t="shared" si="95"/>
        <v>618290.27990263456</v>
      </c>
      <c r="S599" s="18">
        <f t="shared" si="97"/>
        <v>122247.51950000001</v>
      </c>
    </row>
    <row r="600" spans="1:19" ht="15" customHeight="1" x14ac:dyDescent="0.2">
      <c r="A600" s="14">
        <f t="shared" si="96"/>
        <v>564</v>
      </c>
      <c r="B600" s="31" t="s">
        <v>544</v>
      </c>
      <c r="C600" s="15" t="s">
        <v>3</v>
      </c>
      <c r="D600" s="31" t="s">
        <v>500</v>
      </c>
      <c r="E600" s="31"/>
      <c r="F600" s="73" t="s">
        <v>11</v>
      </c>
      <c r="G600" s="32">
        <v>35751</v>
      </c>
      <c r="H600" s="29">
        <v>7868514</v>
      </c>
      <c r="I600" s="17">
        <v>0</v>
      </c>
      <c r="J600" s="17">
        <f>5497569.05000548+1000000</f>
        <v>6497569.0500054797</v>
      </c>
      <c r="K600" s="17">
        <f t="shared" si="98"/>
        <v>1370944.9499945203</v>
      </c>
      <c r="L600" s="23">
        <f t="shared" si="101"/>
        <v>393425.7</v>
      </c>
      <c r="M600" s="33">
        <v>25</v>
      </c>
      <c r="N600" s="18">
        <f t="shared" si="93"/>
        <v>22.389041095890413</v>
      </c>
      <c r="O600" s="23">
        <v>40956.400000000001</v>
      </c>
      <c r="P600" s="18">
        <f t="shared" si="94"/>
        <v>23.389041095890413</v>
      </c>
      <c r="Q600" s="18">
        <f t="shared" si="100"/>
        <v>39100.769999780816</v>
      </c>
      <c r="R600" s="18">
        <f t="shared" si="95"/>
        <v>80057.169999780817</v>
      </c>
      <c r="S600" s="18">
        <f t="shared" si="97"/>
        <v>393425.7</v>
      </c>
    </row>
    <row r="601" spans="1:19" ht="15" customHeight="1" x14ac:dyDescent="0.2">
      <c r="A601" s="14">
        <f t="shared" si="96"/>
        <v>565</v>
      </c>
      <c r="B601" s="31" t="s">
        <v>545</v>
      </c>
      <c r="C601" s="15" t="s">
        <v>3</v>
      </c>
      <c r="D601" s="31" t="s">
        <v>500</v>
      </c>
      <c r="E601" s="31"/>
      <c r="F601" s="73" t="s">
        <v>11</v>
      </c>
      <c r="G601" s="32">
        <v>39071</v>
      </c>
      <c r="H601" s="29">
        <v>2401095.5099999998</v>
      </c>
      <c r="I601" s="17">
        <v>0</v>
      </c>
      <c r="J601" s="17">
        <v>847672.23350021918</v>
      </c>
      <c r="K601" s="17">
        <f t="shared" si="98"/>
        <v>1553423.2764997806</v>
      </c>
      <c r="L601" s="23">
        <f t="shared" si="101"/>
        <v>120054.77549999999</v>
      </c>
      <c r="M601" s="33">
        <v>25</v>
      </c>
      <c r="N601" s="18">
        <f t="shared" si="93"/>
        <v>13.293150684931506</v>
      </c>
      <c r="O601" s="23">
        <v>57586.15</v>
      </c>
      <c r="P601" s="18">
        <f t="shared" si="94"/>
        <v>14.293150684931506</v>
      </c>
      <c r="Q601" s="18">
        <f t="shared" si="100"/>
        <v>57334.740039991222</v>
      </c>
      <c r="R601" s="18">
        <f t="shared" si="95"/>
        <v>114920.89003999122</v>
      </c>
      <c r="S601" s="18">
        <f t="shared" si="97"/>
        <v>120054.77549999999</v>
      </c>
    </row>
    <row r="602" spans="1:19" ht="15" customHeight="1" x14ac:dyDescent="0.2">
      <c r="A602" s="14">
        <f t="shared" si="96"/>
        <v>566</v>
      </c>
      <c r="B602" s="31" t="s">
        <v>546</v>
      </c>
      <c r="C602" s="15" t="s">
        <v>3</v>
      </c>
      <c r="D602" s="31" t="s">
        <v>500</v>
      </c>
      <c r="E602" s="31"/>
      <c r="F602" s="73" t="s">
        <v>11</v>
      </c>
      <c r="G602" s="32">
        <v>35820</v>
      </c>
      <c r="H602" s="29">
        <f>7008254+5239567</f>
        <v>12247821</v>
      </c>
      <c r="I602" s="17">
        <v>0</v>
      </c>
      <c r="J602" s="17">
        <f>4846178.83995616+500000</f>
        <v>5346178.8399561597</v>
      </c>
      <c r="K602" s="17">
        <f t="shared" si="98"/>
        <v>6901642.1600438403</v>
      </c>
      <c r="L602" s="23">
        <f t="shared" si="101"/>
        <v>612391.05000000005</v>
      </c>
      <c r="M602" s="33">
        <v>25</v>
      </c>
      <c r="N602" s="18">
        <f t="shared" si="93"/>
        <v>22.2</v>
      </c>
      <c r="O602" s="23">
        <v>703007.6</v>
      </c>
      <c r="P602" s="18">
        <f t="shared" si="94"/>
        <v>23.2</v>
      </c>
      <c r="Q602" s="18">
        <f t="shared" si="100"/>
        <v>251570.04440175364</v>
      </c>
      <c r="R602" s="18">
        <f t="shared" si="95"/>
        <v>954577.64440175355</v>
      </c>
      <c r="S602" s="18">
        <f t="shared" si="97"/>
        <v>612391.05000000005</v>
      </c>
    </row>
    <row r="603" spans="1:19" ht="15" customHeight="1" x14ac:dyDescent="0.2">
      <c r="A603" s="14">
        <f t="shared" si="96"/>
        <v>567</v>
      </c>
      <c r="B603" s="31" t="s">
        <v>547</v>
      </c>
      <c r="C603" s="15" t="s">
        <v>3</v>
      </c>
      <c r="D603" s="31" t="s">
        <v>500</v>
      </c>
      <c r="E603" s="31"/>
      <c r="F603" s="73" t="s">
        <v>8</v>
      </c>
      <c r="G603" s="32">
        <v>24838</v>
      </c>
      <c r="H603" s="29">
        <v>204</v>
      </c>
      <c r="I603" s="17">
        <v>0</v>
      </c>
      <c r="J603" s="17">
        <f>H603-L603</f>
        <v>193.8</v>
      </c>
      <c r="K603" s="17">
        <f t="shared" si="98"/>
        <v>10.199999999999989</v>
      </c>
      <c r="L603" s="23">
        <f t="shared" si="101"/>
        <v>10.200000000000001</v>
      </c>
      <c r="M603" s="33">
        <v>15</v>
      </c>
      <c r="N603" s="18">
        <f t="shared" si="93"/>
        <v>52.287671232876711</v>
      </c>
      <c r="O603" s="23">
        <v>182733.45</v>
      </c>
      <c r="P603" s="18">
        <f t="shared" si="94"/>
        <v>53.287671232876711</v>
      </c>
      <c r="Q603" s="18">
        <f t="shared" si="100"/>
        <v>-8.2896652505345023E-16</v>
      </c>
      <c r="R603" s="18">
        <f t="shared" si="95"/>
        <v>182733.45</v>
      </c>
      <c r="S603" s="18">
        <f t="shared" si="97"/>
        <v>10.200000000000001</v>
      </c>
    </row>
    <row r="604" spans="1:19" ht="15" customHeight="1" x14ac:dyDescent="0.2">
      <c r="A604" s="14">
        <f t="shared" si="96"/>
        <v>568</v>
      </c>
      <c r="B604" s="31" t="s">
        <v>548</v>
      </c>
      <c r="C604" s="15" t="s">
        <v>3</v>
      </c>
      <c r="D604" s="31" t="s">
        <v>500</v>
      </c>
      <c r="E604" s="31"/>
      <c r="F604" s="70" t="s">
        <v>7</v>
      </c>
      <c r="G604" s="32">
        <v>25204</v>
      </c>
      <c r="H604" s="29">
        <v>5444</v>
      </c>
      <c r="I604" s="17">
        <v>0</v>
      </c>
      <c r="J604" s="17">
        <f>H604-L604</f>
        <v>5171.8</v>
      </c>
      <c r="K604" s="17">
        <f t="shared" si="98"/>
        <v>272.19999999999982</v>
      </c>
      <c r="L604" s="23">
        <f t="shared" si="101"/>
        <v>272.2</v>
      </c>
      <c r="M604" s="33">
        <v>15</v>
      </c>
      <c r="N604" s="18">
        <f t="shared" si="93"/>
        <v>51.284931506849318</v>
      </c>
      <c r="O604" s="23">
        <v>1633895.5</v>
      </c>
      <c r="P604" s="18">
        <f t="shared" si="94"/>
        <v>52.284931506849318</v>
      </c>
      <c r="Q604" s="18">
        <f t="shared" si="100"/>
        <v>-1.1368683772161604E-14</v>
      </c>
      <c r="R604" s="18">
        <f t="shared" si="95"/>
        <v>1633895.5</v>
      </c>
      <c r="S604" s="18">
        <f t="shared" si="97"/>
        <v>272.2</v>
      </c>
    </row>
    <row r="605" spans="1:19" ht="15" customHeight="1" x14ac:dyDescent="0.2">
      <c r="A605" s="14">
        <f t="shared" si="96"/>
        <v>569</v>
      </c>
      <c r="B605" s="31" t="s">
        <v>549</v>
      </c>
      <c r="C605" s="15" t="s">
        <v>3</v>
      </c>
      <c r="D605" s="31" t="s">
        <v>500</v>
      </c>
      <c r="E605" s="31"/>
      <c r="F605" s="73" t="s">
        <v>4</v>
      </c>
      <c r="G605" s="32">
        <v>37257</v>
      </c>
      <c r="H605" s="29">
        <v>3122263</v>
      </c>
      <c r="I605" s="17">
        <v>0</v>
      </c>
      <c r="J605" s="17">
        <v>1691924.3801917809</v>
      </c>
      <c r="K605" s="17">
        <f t="shared" si="98"/>
        <v>1430338.6198082191</v>
      </c>
      <c r="L605" s="23">
        <f t="shared" si="101"/>
        <v>156113.15</v>
      </c>
      <c r="M605" s="33">
        <v>25</v>
      </c>
      <c r="N605" s="18">
        <f t="shared" si="93"/>
        <v>18.263013698630136</v>
      </c>
      <c r="O605" s="23">
        <v>6450.5</v>
      </c>
      <c r="P605" s="18">
        <f t="shared" si="94"/>
        <v>19.263013698630136</v>
      </c>
      <c r="Q605" s="18">
        <f t="shared" si="100"/>
        <v>50969.018792328774</v>
      </c>
      <c r="R605" s="18">
        <f t="shared" si="95"/>
        <v>57419.518792328774</v>
      </c>
      <c r="S605" s="18">
        <f t="shared" si="97"/>
        <v>156113.15</v>
      </c>
    </row>
    <row r="606" spans="1:19" ht="15" customHeight="1" x14ac:dyDescent="0.2">
      <c r="A606" s="14">
        <f t="shared" si="96"/>
        <v>570</v>
      </c>
      <c r="B606" s="31" t="s">
        <v>550</v>
      </c>
      <c r="C606" s="15" t="s">
        <v>3</v>
      </c>
      <c r="D606" s="31" t="s">
        <v>500</v>
      </c>
      <c r="E606" s="31"/>
      <c r="F606" s="73" t="s">
        <v>11</v>
      </c>
      <c r="G606" s="32">
        <v>39124</v>
      </c>
      <c r="H606" s="29">
        <v>2215648.48</v>
      </c>
      <c r="I606" s="17">
        <v>0</v>
      </c>
      <c r="J606" s="17">
        <v>769977.30355375353</v>
      </c>
      <c r="K606" s="17">
        <f t="shared" si="98"/>
        <v>1445671.1764462464</v>
      </c>
      <c r="L606" s="23">
        <f t="shared" si="101"/>
        <v>110782.424</v>
      </c>
      <c r="M606" s="33">
        <v>25</v>
      </c>
      <c r="N606" s="18">
        <f t="shared" si="93"/>
        <v>13.147945205479452</v>
      </c>
      <c r="O606" s="23">
        <v>64644.65</v>
      </c>
      <c r="P606" s="18">
        <f t="shared" si="94"/>
        <v>14.147945205479452</v>
      </c>
      <c r="Q606" s="18">
        <f t="shared" si="100"/>
        <v>53395.550097849853</v>
      </c>
      <c r="R606" s="18">
        <f t="shared" si="95"/>
        <v>118040.20009784985</v>
      </c>
      <c r="S606" s="18">
        <f t="shared" si="97"/>
        <v>110782.424</v>
      </c>
    </row>
    <row r="607" spans="1:19" ht="15" customHeight="1" x14ac:dyDescent="0.2">
      <c r="A607" s="14">
        <f t="shared" si="96"/>
        <v>571</v>
      </c>
      <c r="B607" s="31" t="s">
        <v>532</v>
      </c>
      <c r="C607" s="15" t="s">
        <v>3</v>
      </c>
      <c r="D607" s="31" t="s">
        <v>500</v>
      </c>
      <c r="E607" s="31"/>
      <c r="F607" s="73" t="s">
        <v>11</v>
      </c>
      <c r="G607" s="32">
        <v>40244</v>
      </c>
      <c r="H607" s="29">
        <v>1976986.14</v>
      </c>
      <c r="I607" s="17">
        <v>0</v>
      </c>
      <c r="J607" s="17">
        <v>456515.88992810954</v>
      </c>
      <c r="K607" s="17">
        <f t="shared" si="98"/>
        <v>1520470.2500718904</v>
      </c>
      <c r="L607" s="23">
        <f t="shared" si="101"/>
        <v>98849.307000000001</v>
      </c>
      <c r="M607" s="33">
        <v>25</v>
      </c>
      <c r="N607" s="18">
        <f t="shared" si="93"/>
        <v>10.079452054794521</v>
      </c>
      <c r="O607" s="23">
        <v>882442.65</v>
      </c>
      <c r="P607" s="18">
        <f t="shared" si="94"/>
        <v>11.079452054794521</v>
      </c>
      <c r="Q607" s="18">
        <f t="shared" si="100"/>
        <v>56864.837722875614</v>
      </c>
      <c r="R607" s="18">
        <f t="shared" si="95"/>
        <v>939307.48772287567</v>
      </c>
      <c r="S607" s="18">
        <f t="shared" si="97"/>
        <v>98849.307000000001</v>
      </c>
    </row>
    <row r="608" spans="1:19" ht="15" customHeight="1" x14ac:dyDescent="0.2">
      <c r="A608" s="14">
        <f t="shared" si="96"/>
        <v>572</v>
      </c>
      <c r="B608" s="31" t="s">
        <v>551</v>
      </c>
      <c r="C608" s="15" t="s">
        <v>3</v>
      </c>
      <c r="D608" s="31" t="s">
        <v>500</v>
      </c>
      <c r="E608" s="31"/>
      <c r="F608" s="73" t="s">
        <v>11</v>
      </c>
      <c r="G608" s="32">
        <v>39033</v>
      </c>
      <c r="H608" s="29">
        <v>2016283.19</v>
      </c>
      <c r="I608" s="17">
        <v>0</v>
      </c>
      <c r="J608" s="17">
        <v>719796.52663939726</v>
      </c>
      <c r="K608" s="17">
        <f t="shared" si="98"/>
        <v>1296486.6633606027</v>
      </c>
      <c r="L608" s="23">
        <f t="shared" si="101"/>
        <v>100814.15950000001</v>
      </c>
      <c r="M608" s="33">
        <v>25</v>
      </c>
      <c r="N608" s="18">
        <f t="shared" si="93"/>
        <v>13.397260273972602</v>
      </c>
      <c r="O608" s="23">
        <v>2894.65</v>
      </c>
      <c r="P608" s="18">
        <f t="shared" si="94"/>
        <v>14.397260273972602</v>
      </c>
      <c r="Q608" s="18">
        <f t="shared" si="100"/>
        <v>47826.900154424104</v>
      </c>
      <c r="R608" s="18">
        <f t="shared" si="95"/>
        <v>50721.550154424105</v>
      </c>
      <c r="S608" s="18">
        <f t="shared" si="97"/>
        <v>100814.15950000001</v>
      </c>
    </row>
    <row r="609" spans="1:19" ht="15" customHeight="1" x14ac:dyDescent="0.2">
      <c r="A609" s="14">
        <f t="shared" si="96"/>
        <v>573</v>
      </c>
      <c r="B609" s="31" t="s">
        <v>552</v>
      </c>
      <c r="C609" s="15" t="s">
        <v>3</v>
      </c>
      <c r="D609" s="31" t="s">
        <v>500</v>
      </c>
      <c r="E609" s="31"/>
      <c r="F609" s="73" t="s">
        <v>8</v>
      </c>
      <c r="G609" s="32">
        <v>39113</v>
      </c>
      <c r="H609" s="29">
        <v>1848903.98</v>
      </c>
      <c r="I609" s="17">
        <v>0</v>
      </c>
      <c r="J609" s="17">
        <v>644644.43370619172</v>
      </c>
      <c r="K609" s="17">
        <f t="shared" si="98"/>
        <v>1204259.5462938081</v>
      </c>
      <c r="L609" s="23">
        <f t="shared" si="101"/>
        <v>92445.199000000008</v>
      </c>
      <c r="M609" s="33">
        <v>25</v>
      </c>
      <c r="N609" s="18">
        <f t="shared" si="93"/>
        <v>13.178082191780822</v>
      </c>
      <c r="O609" s="23">
        <v>1403914.75</v>
      </c>
      <c r="P609" s="18">
        <f t="shared" si="94"/>
        <v>14.178082191780822</v>
      </c>
      <c r="Q609" s="18">
        <f t="shared" si="100"/>
        <v>44472.573891752327</v>
      </c>
      <c r="R609" s="18">
        <f t="shared" si="95"/>
        <v>1448387.3238917524</v>
      </c>
      <c r="S609" s="18">
        <f t="shared" si="97"/>
        <v>92445.199000000008</v>
      </c>
    </row>
    <row r="610" spans="1:19" ht="15" customHeight="1" x14ac:dyDescent="0.2">
      <c r="A610" s="14">
        <f t="shared" si="96"/>
        <v>574</v>
      </c>
      <c r="B610" s="31" t="s">
        <v>553</v>
      </c>
      <c r="C610" s="15" t="s">
        <v>3</v>
      </c>
      <c r="D610" s="31" t="s">
        <v>500</v>
      </c>
      <c r="E610" s="31"/>
      <c r="F610" s="73" t="s">
        <v>8</v>
      </c>
      <c r="G610" s="32">
        <v>39415</v>
      </c>
      <c r="H610" s="29">
        <v>1793244.25</v>
      </c>
      <c r="I610" s="17">
        <v>0</v>
      </c>
      <c r="J610" s="17">
        <v>568856.38008356153</v>
      </c>
      <c r="K610" s="17">
        <f t="shared" si="98"/>
        <v>1224387.8699164386</v>
      </c>
      <c r="L610" s="23">
        <f t="shared" si="101"/>
        <v>89662.212500000009</v>
      </c>
      <c r="M610" s="33">
        <v>25</v>
      </c>
      <c r="N610" s="18">
        <f t="shared" si="93"/>
        <v>12.35068493150685</v>
      </c>
      <c r="O610" s="23">
        <v>901668.75</v>
      </c>
      <c r="P610" s="18">
        <f t="shared" si="94"/>
        <v>13.35068493150685</v>
      </c>
      <c r="Q610" s="18">
        <f t="shared" si="100"/>
        <v>45389.026296657546</v>
      </c>
      <c r="R610" s="18">
        <f t="shared" si="95"/>
        <v>947057.77629665751</v>
      </c>
      <c r="S610" s="18">
        <f t="shared" si="97"/>
        <v>89662.212500000009</v>
      </c>
    </row>
    <row r="611" spans="1:19" ht="15" customHeight="1" x14ac:dyDescent="0.2">
      <c r="A611" s="14">
        <f t="shared" si="96"/>
        <v>575</v>
      </c>
      <c r="B611" s="31" t="s">
        <v>554</v>
      </c>
      <c r="C611" s="15" t="s">
        <v>3</v>
      </c>
      <c r="D611" s="31" t="s">
        <v>500</v>
      </c>
      <c r="E611" s="31"/>
      <c r="F611" s="73" t="s">
        <v>11</v>
      </c>
      <c r="G611" s="32">
        <v>37210</v>
      </c>
      <c r="H611" s="29">
        <v>2506787</v>
      </c>
      <c r="I611" s="17">
        <v>0</v>
      </c>
      <c r="J611" s="17">
        <v>1370669.9241424657</v>
      </c>
      <c r="K611" s="17">
        <f t="shared" si="98"/>
        <v>1136117.0758575343</v>
      </c>
      <c r="L611" s="23">
        <f t="shared" si="101"/>
        <v>125339.35</v>
      </c>
      <c r="M611" s="33">
        <v>25</v>
      </c>
      <c r="N611" s="18">
        <f t="shared" si="93"/>
        <v>18.391780821917809</v>
      </c>
      <c r="O611" s="23">
        <v>34177.199999999997</v>
      </c>
      <c r="P611" s="18">
        <f t="shared" si="94"/>
        <v>19.391780821917809</v>
      </c>
      <c r="Q611" s="18">
        <f t="shared" si="100"/>
        <v>40431.109034301371</v>
      </c>
      <c r="R611" s="18">
        <f t="shared" si="95"/>
        <v>74608.309034301376</v>
      </c>
      <c r="S611" s="18">
        <f t="shared" si="97"/>
        <v>125339.35</v>
      </c>
    </row>
    <row r="612" spans="1:19" ht="15" customHeight="1" x14ac:dyDescent="0.2">
      <c r="A612" s="14">
        <f t="shared" si="96"/>
        <v>576</v>
      </c>
      <c r="B612" s="31" t="s">
        <v>555</v>
      </c>
      <c r="C612" s="15" t="s">
        <v>3</v>
      </c>
      <c r="D612" s="31" t="s">
        <v>500</v>
      </c>
      <c r="E612" s="31"/>
      <c r="F612" s="73" t="s">
        <v>11</v>
      </c>
      <c r="G612" s="32">
        <v>40863</v>
      </c>
      <c r="H612" s="29">
        <v>1486715.89</v>
      </c>
      <c r="I612" s="17">
        <v>0</v>
      </c>
      <c r="J612" s="17">
        <v>247495.4271456986</v>
      </c>
      <c r="K612" s="17">
        <f t="shared" si="98"/>
        <v>1239220.4628543013</v>
      </c>
      <c r="L612" s="23">
        <f t="shared" si="101"/>
        <v>74335.794500000004</v>
      </c>
      <c r="M612" s="33">
        <v>25</v>
      </c>
      <c r="N612" s="18">
        <f t="shared" si="93"/>
        <v>8.3835616438356162</v>
      </c>
      <c r="O612" s="23">
        <v>10288.5</v>
      </c>
      <c r="P612" s="18">
        <f t="shared" si="94"/>
        <v>9.3835616438356162</v>
      </c>
      <c r="Q612" s="18">
        <f t="shared" si="100"/>
        <v>46595.386734172054</v>
      </c>
      <c r="R612" s="18">
        <f t="shared" si="95"/>
        <v>56883.886734172054</v>
      </c>
      <c r="S612" s="18">
        <f t="shared" si="97"/>
        <v>74335.794500000004</v>
      </c>
    </row>
    <row r="613" spans="1:19" ht="15" customHeight="1" x14ac:dyDescent="0.2">
      <c r="A613" s="14">
        <f t="shared" si="96"/>
        <v>577</v>
      </c>
      <c r="B613" s="31" t="s">
        <v>556</v>
      </c>
      <c r="C613" s="15" t="s">
        <v>3</v>
      </c>
      <c r="D613" s="31" t="s">
        <v>500</v>
      </c>
      <c r="E613" s="31"/>
      <c r="F613" s="70" t="s">
        <v>7</v>
      </c>
      <c r="G613" s="32">
        <v>23743</v>
      </c>
      <c r="H613" s="29">
        <v>6036</v>
      </c>
      <c r="I613" s="17">
        <v>0</v>
      </c>
      <c r="J613" s="17">
        <f>H613-L613</f>
        <v>5734.2</v>
      </c>
      <c r="K613" s="17">
        <f t="shared" ref="K613:K676" si="103">H613+I613-J613</f>
        <v>301.80000000000018</v>
      </c>
      <c r="L613" s="23">
        <f t="shared" si="101"/>
        <v>301.8</v>
      </c>
      <c r="M613" s="33">
        <v>15</v>
      </c>
      <c r="N613" s="18">
        <f t="shared" ref="N613:N676" si="104">IF(($N$35-G613+1)/365&gt;0,($N$35-G613+1)/365,0)</f>
        <v>55.287671232876711</v>
      </c>
      <c r="O613" s="23">
        <v>413713.6</v>
      </c>
      <c r="P613" s="18">
        <f t="shared" ref="P613:P676" si="105">($P$35-G613+1)/365</f>
        <v>56.287671232876711</v>
      </c>
      <c r="Q613" s="18">
        <f t="shared" si="100"/>
        <v>1.1368683772161604E-14</v>
      </c>
      <c r="R613" s="18">
        <f t="shared" ref="R613:R676" si="106">Q613+O613</f>
        <v>413713.6</v>
      </c>
      <c r="S613" s="18">
        <f t="shared" si="97"/>
        <v>301.8</v>
      </c>
    </row>
    <row r="614" spans="1:19" ht="15" customHeight="1" x14ac:dyDescent="0.2">
      <c r="A614" s="14">
        <f t="shared" si="96"/>
        <v>578</v>
      </c>
      <c r="B614" s="31" t="s">
        <v>557</v>
      </c>
      <c r="C614" s="15" t="s">
        <v>3</v>
      </c>
      <c r="D614" s="31" t="s">
        <v>500</v>
      </c>
      <c r="E614" s="31"/>
      <c r="F614" s="73" t="s">
        <v>11</v>
      </c>
      <c r="G614" s="32">
        <v>39033</v>
      </c>
      <c r="H614" s="29">
        <v>1677046.22</v>
      </c>
      <c r="I614" s="17">
        <v>0</v>
      </c>
      <c r="J614" s="17">
        <v>598691.71659846581</v>
      </c>
      <c r="K614" s="17">
        <f t="shared" si="103"/>
        <v>1078354.5034015342</v>
      </c>
      <c r="L614" s="23">
        <f t="shared" si="101"/>
        <v>83852.311000000002</v>
      </c>
      <c r="M614" s="33">
        <v>25</v>
      </c>
      <c r="N614" s="18">
        <f t="shared" si="104"/>
        <v>13.397260273972602</v>
      </c>
      <c r="O614" s="23">
        <v>69442.149999999994</v>
      </c>
      <c r="P614" s="18">
        <f t="shared" si="105"/>
        <v>14.397260273972602</v>
      </c>
      <c r="Q614" s="18">
        <f t="shared" si="100"/>
        <v>39780.087696061368</v>
      </c>
      <c r="R614" s="18">
        <f t="shared" si="106"/>
        <v>109222.23769606136</v>
      </c>
      <c r="S614" s="18">
        <f t="shared" si="97"/>
        <v>83852.311000000002</v>
      </c>
    </row>
    <row r="615" spans="1:19" ht="15" customHeight="1" x14ac:dyDescent="0.2">
      <c r="A615" s="14">
        <f t="shared" ref="A615:A678" si="107">+A614+1</f>
        <v>579</v>
      </c>
      <c r="B615" s="31" t="s">
        <v>558</v>
      </c>
      <c r="C615" s="15" t="s">
        <v>3</v>
      </c>
      <c r="D615" s="31" t="s">
        <v>500</v>
      </c>
      <c r="E615" s="31"/>
      <c r="F615" s="73" t="s">
        <v>11</v>
      </c>
      <c r="G615" s="32">
        <v>38297</v>
      </c>
      <c r="H615" s="29">
        <v>1801872.22</v>
      </c>
      <c r="I615" s="17">
        <v>0</v>
      </c>
      <c r="J615" s="17">
        <v>781321.41440931498</v>
      </c>
      <c r="K615" s="17">
        <f t="shared" si="103"/>
        <v>1020550.805590685</v>
      </c>
      <c r="L615" s="23">
        <f t="shared" si="101"/>
        <v>90093.611000000004</v>
      </c>
      <c r="M615" s="33">
        <v>25</v>
      </c>
      <c r="N615" s="18">
        <f t="shared" si="104"/>
        <v>15.413698630136986</v>
      </c>
      <c r="O615" s="23">
        <v>18352.099999999999</v>
      </c>
      <c r="P615" s="18">
        <f t="shared" si="105"/>
        <v>16.413698630136988</v>
      </c>
      <c r="Q615" s="18">
        <f t="shared" si="100"/>
        <v>37218.287783627464</v>
      </c>
      <c r="R615" s="18">
        <f t="shared" si="106"/>
        <v>55570.387783627462</v>
      </c>
      <c r="S615" s="18">
        <f t="shared" ref="S615:S678" si="108">+IF(N615&gt;P615,0,L615)</f>
        <v>90093.611000000004</v>
      </c>
    </row>
    <row r="616" spans="1:19" ht="15" customHeight="1" x14ac:dyDescent="0.2">
      <c r="A616" s="14">
        <f t="shared" si="107"/>
        <v>580</v>
      </c>
      <c r="B616" s="31" t="s">
        <v>559</v>
      </c>
      <c r="C616" s="15" t="s">
        <v>3</v>
      </c>
      <c r="D616" s="31" t="s">
        <v>500</v>
      </c>
      <c r="E616" s="31"/>
      <c r="F616" s="73" t="s">
        <v>11</v>
      </c>
      <c r="G616" s="32">
        <v>35751</v>
      </c>
      <c r="H616" s="29">
        <v>5278667</v>
      </c>
      <c r="I616" s="17">
        <v>0</v>
      </c>
      <c r="J616" s="17">
        <f>3688096.16713973+500000</f>
        <v>4188096.16713973</v>
      </c>
      <c r="K616" s="17">
        <f t="shared" si="103"/>
        <v>1090570.83286027</v>
      </c>
      <c r="L616" s="23">
        <f t="shared" si="101"/>
        <v>263933.35000000003</v>
      </c>
      <c r="M616" s="33">
        <v>25</v>
      </c>
      <c r="N616" s="18">
        <f t="shared" si="104"/>
        <v>22.389041095890413</v>
      </c>
      <c r="O616" s="23">
        <v>69160</v>
      </c>
      <c r="P616" s="18">
        <f t="shared" si="105"/>
        <v>23.389041095890413</v>
      </c>
      <c r="Q616" s="18">
        <f t="shared" si="100"/>
        <v>33065.499314410801</v>
      </c>
      <c r="R616" s="18">
        <f t="shared" si="106"/>
        <v>102225.4993144108</v>
      </c>
      <c r="S616" s="18">
        <f t="shared" si="108"/>
        <v>263933.35000000003</v>
      </c>
    </row>
    <row r="617" spans="1:19" ht="15" customHeight="1" x14ac:dyDescent="0.2">
      <c r="A617" s="14">
        <f t="shared" si="107"/>
        <v>581</v>
      </c>
      <c r="B617" s="31" t="s">
        <v>560</v>
      </c>
      <c r="C617" s="15" t="s">
        <v>3</v>
      </c>
      <c r="D617" s="31" t="s">
        <v>500</v>
      </c>
      <c r="E617" s="31"/>
      <c r="F617" s="73" t="s">
        <v>13</v>
      </c>
      <c r="G617" s="32">
        <v>39033</v>
      </c>
      <c r="H617" s="29">
        <v>1636160.24</v>
      </c>
      <c r="I617" s="17">
        <v>0</v>
      </c>
      <c r="J617" s="17">
        <v>584095.75778761646</v>
      </c>
      <c r="K617" s="17">
        <f t="shared" si="103"/>
        <v>1052064.4822123835</v>
      </c>
      <c r="L617" s="23">
        <f t="shared" si="101"/>
        <v>81808.012000000002</v>
      </c>
      <c r="M617" s="33">
        <v>25</v>
      </c>
      <c r="N617" s="18">
        <f t="shared" si="104"/>
        <v>13.397260273972602</v>
      </c>
      <c r="O617" s="23">
        <v>24776</v>
      </c>
      <c r="P617" s="18">
        <f t="shared" si="105"/>
        <v>14.397260273972602</v>
      </c>
      <c r="Q617" s="18">
        <f t="shared" si="100"/>
        <v>38810.258808495346</v>
      </c>
      <c r="R617" s="18">
        <f t="shared" si="106"/>
        <v>63586.258808495346</v>
      </c>
      <c r="S617" s="18">
        <f t="shared" si="108"/>
        <v>81808.012000000002</v>
      </c>
    </row>
    <row r="618" spans="1:19" ht="15" customHeight="1" x14ac:dyDescent="0.2">
      <c r="A618" s="14">
        <f t="shared" si="107"/>
        <v>582</v>
      </c>
      <c r="B618" s="31" t="s">
        <v>561</v>
      </c>
      <c r="C618" s="15" t="s">
        <v>3</v>
      </c>
      <c r="D618" s="31" t="s">
        <v>500</v>
      </c>
      <c r="E618" s="31"/>
      <c r="F618" s="73" t="s">
        <v>8</v>
      </c>
      <c r="G618" s="32">
        <v>36856</v>
      </c>
      <c r="H618" s="29">
        <v>2141200.0099999998</v>
      </c>
      <c r="I618" s="17">
        <v>0</v>
      </c>
      <c r="J618" s="17">
        <v>1249686.4540555615</v>
      </c>
      <c r="K618" s="17">
        <f t="shared" si="103"/>
        <v>891513.55594443833</v>
      </c>
      <c r="L618" s="23">
        <f t="shared" si="101"/>
        <v>107060.00049999999</v>
      </c>
      <c r="M618" s="33">
        <v>25</v>
      </c>
      <c r="N618" s="18">
        <f t="shared" si="104"/>
        <v>19.361643835616437</v>
      </c>
      <c r="O618" s="23">
        <v>2849.05</v>
      </c>
      <c r="P618" s="18">
        <f t="shared" si="105"/>
        <v>20.361643835616437</v>
      </c>
      <c r="Q618" s="18">
        <f t="shared" si="100"/>
        <v>31378.142217777535</v>
      </c>
      <c r="R618" s="18">
        <f t="shared" si="106"/>
        <v>34227.192217777534</v>
      </c>
      <c r="S618" s="18">
        <f t="shared" si="108"/>
        <v>107060.00049999999</v>
      </c>
    </row>
    <row r="619" spans="1:19" ht="15" customHeight="1" x14ac:dyDescent="0.2">
      <c r="A619" s="14">
        <f t="shared" si="107"/>
        <v>583</v>
      </c>
      <c r="B619" s="31" t="s">
        <v>562</v>
      </c>
      <c r="C619" s="15" t="s">
        <v>3</v>
      </c>
      <c r="D619" s="31" t="s">
        <v>500</v>
      </c>
      <c r="E619" s="31"/>
      <c r="F619" s="73" t="s">
        <v>4</v>
      </c>
      <c r="G619" s="32">
        <v>38722</v>
      </c>
      <c r="H619" s="29">
        <v>1390790.49</v>
      </c>
      <c r="I619" s="17">
        <v>0</v>
      </c>
      <c r="J619" s="17">
        <v>541531.90257205477</v>
      </c>
      <c r="K619" s="17">
        <f t="shared" si="103"/>
        <v>849258.58742794523</v>
      </c>
      <c r="L619" s="23">
        <f t="shared" si="101"/>
        <v>69539.5245</v>
      </c>
      <c r="M619" s="33">
        <v>25</v>
      </c>
      <c r="N619" s="18">
        <f t="shared" si="104"/>
        <v>14.24931506849315</v>
      </c>
      <c r="O619" s="23">
        <v>17190.25</v>
      </c>
      <c r="P619" s="18">
        <f t="shared" si="105"/>
        <v>15.24931506849315</v>
      </c>
      <c r="Q619" s="18">
        <f t="shared" si="100"/>
        <v>31188.762517117812</v>
      </c>
      <c r="R619" s="18">
        <f t="shared" si="106"/>
        <v>48379.012517117808</v>
      </c>
      <c r="S619" s="18">
        <f t="shared" si="108"/>
        <v>69539.5245</v>
      </c>
    </row>
    <row r="620" spans="1:19" ht="15" customHeight="1" x14ac:dyDescent="0.2">
      <c r="A620" s="14">
        <f t="shared" si="107"/>
        <v>584</v>
      </c>
      <c r="B620" s="31" t="s">
        <v>563</v>
      </c>
      <c r="C620" s="15" t="s">
        <v>3</v>
      </c>
      <c r="D620" s="31" t="s">
        <v>500</v>
      </c>
      <c r="E620" s="31"/>
      <c r="F620" s="73" t="s">
        <v>11</v>
      </c>
      <c r="G620" s="32">
        <v>36856</v>
      </c>
      <c r="H620" s="29">
        <v>1917806</v>
      </c>
      <c r="I620" s="17">
        <v>0</v>
      </c>
      <c r="J620" s="17">
        <v>1119305.1412821917</v>
      </c>
      <c r="K620" s="17">
        <f t="shared" si="103"/>
        <v>798500.85871780827</v>
      </c>
      <c r="L620" s="23">
        <f t="shared" si="101"/>
        <v>95890.3</v>
      </c>
      <c r="M620" s="33">
        <v>25</v>
      </c>
      <c r="N620" s="18">
        <f t="shared" si="104"/>
        <v>19.361643835616437</v>
      </c>
      <c r="O620" s="23">
        <v>65729.55</v>
      </c>
      <c r="P620" s="18">
        <f t="shared" si="105"/>
        <v>20.361643835616437</v>
      </c>
      <c r="Q620" s="18">
        <f t="shared" si="100"/>
        <v>28104.422348712331</v>
      </c>
      <c r="R620" s="18">
        <f t="shared" si="106"/>
        <v>93833.972348712326</v>
      </c>
      <c r="S620" s="18">
        <f t="shared" si="108"/>
        <v>95890.3</v>
      </c>
    </row>
    <row r="621" spans="1:19" ht="15" customHeight="1" x14ac:dyDescent="0.2">
      <c r="A621" s="14">
        <f t="shared" si="107"/>
        <v>585</v>
      </c>
      <c r="B621" s="31" t="s">
        <v>564</v>
      </c>
      <c r="C621" s="15" t="s">
        <v>3</v>
      </c>
      <c r="D621" s="31" t="s">
        <v>500</v>
      </c>
      <c r="E621" s="31"/>
      <c r="F621" s="73" t="s">
        <v>9</v>
      </c>
      <c r="G621" s="32">
        <v>36129</v>
      </c>
      <c r="H621" s="29">
        <v>2678309</v>
      </c>
      <c r="I621" s="17">
        <v>0</v>
      </c>
      <c r="J621" s="17">
        <v>1765878.8331123285</v>
      </c>
      <c r="K621" s="17">
        <f t="shared" si="103"/>
        <v>912430.16688767145</v>
      </c>
      <c r="L621" s="23">
        <f t="shared" si="101"/>
        <v>133915.45000000001</v>
      </c>
      <c r="M621" s="33">
        <v>25</v>
      </c>
      <c r="N621" s="18">
        <f t="shared" si="104"/>
        <v>21.353424657534248</v>
      </c>
      <c r="O621" s="23">
        <f>8435961.05-3000000</f>
        <v>5435961.0500000007</v>
      </c>
      <c r="P621" s="18">
        <f t="shared" si="105"/>
        <v>22.353424657534248</v>
      </c>
      <c r="Q621" s="18">
        <f t="shared" si="100"/>
        <v>31140.58867550686</v>
      </c>
      <c r="R621" s="18">
        <f t="shared" si="106"/>
        <v>5467101.6386755072</v>
      </c>
      <c r="S621" s="18">
        <f t="shared" si="108"/>
        <v>133915.45000000001</v>
      </c>
    </row>
    <row r="622" spans="1:19" ht="15" customHeight="1" x14ac:dyDescent="0.2">
      <c r="A622" s="14">
        <f t="shared" si="107"/>
        <v>586</v>
      </c>
      <c r="B622" s="31" t="s">
        <v>565</v>
      </c>
      <c r="C622" s="15" t="s">
        <v>3</v>
      </c>
      <c r="D622" s="31" t="s">
        <v>500</v>
      </c>
      <c r="E622" s="31"/>
      <c r="F622" s="73" t="s">
        <v>8</v>
      </c>
      <c r="G622" s="32">
        <v>41618</v>
      </c>
      <c r="H622" s="29">
        <v>1508892.98</v>
      </c>
      <c r="I622" s="17">
        <v>0</v>
      </c>
      <c r="J622" s="17">
        <v>132584.15247824657</v>
      </c>
      <c r="K622" s="17">
        <f t="shared" si="103"/>
        <v>1376308.8275217535</v>
      </c>
      <c r="L622" s="23">
        <f t="shared" si="101"/>
        <v>75444.649000000005</v>
      </c>
      <c r="M622" s="33">
        <v>25</v>
      </c>
      <c r="N622" s="18">
        <f t="shared" si="104"/>
        <v>6.3150684931506849</v>
      </c>
      <c r="O622" s="23">
        <v>1067913.05</v>
      </c>
      <c r="P622" s="18">
        <f t="shared" si="105"/>
        <v>7.3150684931506849</v>
      </c>
      <c r="Q622" s="18">
        <f t="shared" si="100"/>
        <v>52034.567140870146</v>
      </c>
      <c r="R622" s="18">
        <f t="shared" si="106"/>
        <v>1119947.6171408701</v>
      </c>
      <c r="S622" s="18">
        <f t="shared" si="108"/>
        <v>75444.649000000005</v>
      </c>
    </row>
    <row r="623" spans="1:19" ht="15" customHeight="1" x14ac:dyDescent="0.2">
      <c r="A623" s="14">
        <f t="shared" si="107"/>
        <v>587</v>
      </c>
      <c r="B623" s="31" t="s">
        <v>566</v>
      </c>
      <c r="C623" s="15" t="s">
        <v>3</v>
      </c>
      <c r="D623" s="31" t="s">
        <v>500</v>
      </c>
      <c r="E623" s="31"/>
      <c r="F623" s="73" t="s">
        <v>11</v>
      </c>
      <c r="G623" s="32">
        <v>35504</v>
      </c>
      <c r="H623" s="29">
        <v>5966365</v>
      </c>
      <c r="I623" s="17">
        <v>0</v>
      </c>
      <c r="J623" s="17">
        <f>4322002.11358904+500000</f>
        <v>4822002.11358904</v>
      </c>
      <c r="K623" s="17">
        <f t="shared" si="103"/>
        <v>1144362.88641096</v>
      </c>
      <c r="L623" s="23">
        <f t="shared" si="101"/>
        <v>298318.25</v>
      </c>
      <c r="M623" s="33">
        <v>25</v>
      </c>
      <c r="N623" s="18">
        <f t="shared" si="104"/>
        <v>23.065753424657533</v>
      </c>
      <c r="O623" s="23">
        <v>216505</v>
      </c>
      <c r="P623" s="18">
        <f t="shared" si="105"/>
        <v>24.065753424657533</v>
      </c>
      <c r="Q623" s="18">
        <f t="shared" si="100"/>
        <v>33841.785456438403</v>
      </c>
      <c r="R623" s="18">
        <f t="shared" si="106"/>
        <v>250346.7854564384</v>
      </c>
      <c r="S623" s="18">
        <f t="shared" si="108"/>
        <v>298318.25</v>
      </c>
    </row>
    <row r="624" spans="1:19" ht="15" customHeight="1" x14ac:dyDescent="0.2">
      <c r="A624" s="14">
        <f t="shared" si="107"/>
        <v>588</v>
      </c>
      <c r="B624" s="31" t="s">
        <v>567</v>
      </c>
      <c r="C624" s="15" t="s">
        <v>3</v>
      </c>
      <c r="D624" s="31" t="s">
        <v>500</v>
      </c>
      <c r="E624" s="31"/>
      <c r="F624" s="73" t="s">
        <v>11</v>
      </c>
      <c r="G624" s="32">
        <v>36885</v>
      </c>
      <c r="H624" s="29">
        <v>1765662</v>
      </c>
      <c r="I624" s="17">
        <v>0</v>
      </c>
      <c r="J624" s="17">
        <v>1025177.2192109589</v>
      </c>
      <c r="K624" s="17">
        <f t="shared" si="103"/>
        <v>740484.78078904108</v>
      </c>
      <c r="L624" s="23">
        <f t="shared" si="101"/>
        <v>88283.1</v>
      </c>
      <c r="M624" s="33">
        <v>25</v>
      </c>
      <c r="N624" s="18">
        <f t="shared" si="104"/>
        <v>19.282191780821918</v>
      </c>
      <c r="O624" s="23">
        <v>1566.55</v>
      </c>
      <c r="P624" s="18">
        <f t="shared" si="105"/>
        <v>20.282191780821918</v>
      </c>
      <c r="Q624" s="18">
        <f t="shared" si="100"/>
        <v>26088.067231561643</v>
      </c>
      <c r="R624" s="18">
        <f t="shared" si="106"/>
        <v>27654.617231561642</v>
      </c>
      <c r="S624" s="18">
        <f t="shared" si="108"/>
        <v>88283.1</v>
      </c>
    </row>
    <row r="625" spans="1:19" ht="15" customHeight="1" x14ac:dyDescent="0.2">
      <c r="A625" s="14">
        <f t="shared" si="107"/>
        <v>589</v>
      </c>
      <c r="B625" s="31" t="s">
        <v>568</v>
      </c>
      <c r="C625" s="15" t="s">
        <v>3</v>
      </c>
      <c r="D625" s="31" t="s">
        <v>500</v>
      </c>
      <c r="E625" s="31"/>
      <c r="F625" s="73" t="s">
        <v>11</v>
      </c>
      <c r="G625" s="32">
        <v>38383</v>
      </c>
      <c r="H625" s="29">
        <v>1198468.1000000001</v>
      </c>
      <c r="I625" s="17">
        <v>0</v>
      </c>
      <c r="J625" s="17">
        <v>508945.07516767125</v>
      </c>
      <c r="K625" s="17">
        <f t="shared" si="103"/>
        <v>689523.02483232878</v>
      </c>
      <c r="L625" s="23">
        <f t="shared" si="101"/>
        <v>59923.405000000006</v>
      </c>
      <c r="M625" s="33">
        <v>25</v>
      </c>
      <c r="N625" s="18">
        <f t="shared" si="104"/>
        <v>15.178082191780822</v>
      </c>
      <c r="O625" s="23">
        <v>57177.65</v>
      </c>
      <c r="P625" s="18">
        <f t="shared" si="105"/>
        <v>16.17808219178082</v>
      </c>
      <c r="Q625" s="18">
        <f t="shared" si="100"/>
        <v>25183.984793293108</v>
      </c>
      <c r="R625" s="18">
        <f t="shared" si="106"/>
        <v>82361.634793293109</v>
      </c>
      <c r="S625" s="18">
        <f t="shared" si="108"/>
        <v>59923.405000000006</v>
      </c>
    </row>
    <row r="626" spans="1:19" ht="15" customHeight="1" x14ac:dyDescent="0.2">
      <c r="A626" s="14">
        <f t="shared" si="107"/>
        <v>590</v>
      </c>
      <c r="B626" s="31" t="s">
        <v>569</v>
      </c>
      <c r="C626" s="15" t="s">
        <v>3</v>
      </c>
      <c r="D626" s="31" t="s">
        <v>500</v>
      </c>
      <c r="E626" s="31"/>
      <c r="F626" s="70" t="s">
        <v>7</v>
      </c>
      <c r="G626" s="32">
        <v>24473</v>
      </c>
      <c r="H626" s="29">
        <v>6760</v>
      </c>
      <c r="I626" s="17">
        <v>0</v>
      </c>
      <c r="J626" s="17">
        <f>H626-L626</f>
        <v>6422</v>
      </c>
      <c r="K626" s="17">
        <f t="shared" si="103"/>
        <v>338</v>
      </c>
      <c r="L626" s="23">
        <f t="shared" si="101"/>
        <v>338</v>
      </c>
      <c r="M626" s="33">
        <v>15</v>
      </c>
      <c r="N626" s="18">
        <f t="shared" si="104"/>
        <v>53.287671232876711</v>
      </c>
      <c r="O626" s="23">
        <v>2614.4</v>
      </c>
      <c r="P626" s="18">
        <f t="shared" si="105"/>
        <v>54.287671232876711</v>
      </c>
      <c r="Q626" s="18">
        <f t="shared" si="100"/>
        <v>0</v>
      </c>
      <c r="R626" s="18">
        <f t="shared" si="106"/>
        <v>2614.4</v>
      </c>
      <c r="S626" s="18">
        <f t="shared" si="108"/>
        <v>338</v>
      </c>
    </row>
    <row r="627" spans="1:19" ht="15" customHeight="1" x14ac:dyDescent="0.2">
      <c r="A627" s="14">
        <f t="shared" si="107"/>
        <v>591</v>
      </c>
      <c r="B627" s="31" t="s">
        <v>570</v>
      </c>
      <c r="C627" s="15" t="s">
        <v>3</v>
      </c>
      <c r="D627" s="31" t="s">
        <v>500</v>
      </c>
      <c r="E627" s="31"/>
      <c r="F627" s="73" t="s">
        <v>11</v>
      </c>
      <c r="G627" s="32">
        <v>38297</v>
      </c>
      <c r="H627" s="29">
        <v>1033041.85</v>
      </c>
      <c r="I627" s="17">
        <v>0</v>
      </c>
      <c r="J627" s="17">
        <v>447943.92766986298</v>
      </c>
      <c r="K627" s="17">
        <f t="shared" si="103"/>
        <v>585097.92233013699</v>
      </c>
      <c r="L627" s="23">
        <f t="shared" si="101"/>
        <v>51652.092499999999</v>
      </c>
      <c r="M627" s="33">
        <v>25</v>
      </c>
      <c r="N627" s="18">
        <f t="shared" si="104"/>
        <v>15.413698630136986</v>
      </c>
      <c r="O627" s="23">
        <v>163512.1</v>
      </c>
      <c r="P627" s="18">
        <f t="shared" si="105"/>
        <v>16.413698630136988</v>
      </c>
      <c r="Q627" s="18">
        <f t="shared" si="100"/>
        <v>21337.833193205515</v>
      </c>
      <c r="R627" s="18">
        <f t="shared" si="106"/>
        <v>184849.93319320551</v>
      </c>
      <c r="S627" s="18">
        <f t="shared" si="108"/>
        <v>51652.092499999999</v>
      </c>
    </row>
    <row r="628" spans="1:19" ht="15" customHeight="1" x14ac:dyDescent="0.2">
      <c r="A628" s="14">
        <f t="shared" si="107"/>
        <v>592</v>
      </c>
      <c r="B628" s="31" t="s">
        <v>571</v>
      </c>
      <c r="C628" s="15" t="s">
        <v>3</v>
      </c>
      <c r="D628" s="31" t="s">
        <v>500</v>
      </c>
      <c r="E628" s="31"/>
      <c r="F628" s="73" t="s">
        <v>15</v>
      </c>
      <c r="G628" s="32">
        <v>35751</v>
      </c>
      <c r="H628" s="29">
        <v>2937164</v>
      </c>
      <c r="I628" s="17">
        <v>0</v>
      </c>
      <c r="J628" s="17">
        <v>2052136.1341150682</v>
      </c>
      <c r="K628" s="17">
        <f t="shared" si="103"/>
        <v>885027.86588493176</v>
      </c>
      <c r="L628" s="23">
        <f t="shared" si="101"/>
        <v>146858.20000000001</v>
      </c>
      <c r="M628" s="33">
        <v>25</v>
      </c>
      <c r="N628" s="18">
        <f t="shared" si="104"/>
        <v>22.389041095890413</v>
      </c>
      <c r="O628" s="23">
        <v>2616376.9500000002</v>
      </c>
      <c r="P628" s="18">
        <f t="shared" si="105"/>
        <v>23.389041095890413</v>
      </c>
      <c r="Q628" s="18">
        <f t="shared" si="100"/>
        <v>29526.786635397271</v>
      </c>
      <c r="R628" s="18">
        <f t="shared" si="106"/>
        <v>2645903.7366353977</v>
      </c>
      <c r="S628" s="18">
        <f t="shared" si="108"/>
        <v>146858.20000000001</v>
      </c>
    </row>
    <row r="629" spans="1:19" ht="15" customHeight="1" x14ac:dyDescent="0.2">
      <c r="A629" s="14">
        <f t="shared" si="107"/>
        <v>593</v>
      </c>
      <c r="B629" s="31" t="s">
        <v>572</v>
      </c>
      <c r="C629" s="15" t="s">
        <v>3</v>
      </c>
      <c r="D629" s="31" t="s">
        <v>500</v>
      </c>
      <c r="E629" s="31"/>
      <c r="F629" s="73" t="s">
        <v>11</v>
      </c>
      <c r="G629" s="32">
        <v>36856</v>
      </c>
      <c r="H629" s="29">
        <v>1360413</v>
      </c>
      <c r="I629" s="17">
        <v>0</v>
      </c>
      <c r="J629" s="17">
        <v>793989.20702465752</v>
      </c>
      <c r="K629" s="17">
        <f t="shared" si="103"/>
        <v>566423.79297534248</v>
      </c>
      <c r="L629" s="23">
        <f t="shared" si="101"/>
        <v>68020.650000000009</v>
      </c>
      <c r="M629" s="33">
        <v>25</v>
      </c>
      <c r="N629" s="18">
        <f t="shared" si="104"/>
        <v>19.361643835616437</v>
      </c>
      <c r="O629" s="23">
        <v>1684863</v>
      </c>
      <c r="P629" s="18">
        <f t="shared" si="105"/>
        <v>20.361643835616437</v>
      </c>
      <c r="Q629" s="18">
        <f t="shared" si="100"/>
        <v>19936.1257190137</v>
      </c>
      <c r="R629" s="18">
        <f t="shared" si="106"/>
        <v>1704799.1257190136</v>
      </c>
      <c r="S629" s="18">
        <f t="shared" si="108"/>
        <v>68020.650000000009</v>
      </c>
    </row>
    <row r="630" spans="1:19" ht="15" customHeight="1" x14ac:dyDescent="0.2">
      <c r="A630" s="14">
        <f t="shared" si="107"/>
        <v>594</v>
      </c>
      <c r="B630" s="31" t="s">
        <v>573</v>
      </c>
      <c r="C630" s="15" t="s">
        <v>3</v>
      </c>
      <c r="D630" s="31" t="s">
        <v>500</v>
      </c>
      <c r="E630" s="31"/>
      <c r="F630" s="73" t="s">
        <v>11</v>
      </c>
      <c r="G630" s="32">
        <v>37210</v>
      </c>
      <c r="H630" s="29">
        <v>1209979</v>
      </c>
      <c r="I630" s="17">
        <v>0</v>
      </c>
      <c r="J630" s="17">
        <v>661596.62713424664</v>
      </c>
      <c r="K630" s="17">
        <f t="shared" si="103"/>
        <v>548382.37286575336</v>
      </c>
      <c r="L630" s="23">
        <f t="shared" si="101"/>
        <v>60498.950000000004</v>
      </c>
      <c r="M630" s="33">
        <v>25</v>
      </c>
      <c r="N630" s="18">
        <f t="shared" si="104"/>
        <v>18.391780821917809</v>
      </c>
      <c r="O630" s="23">
        <v>435601.6</v>
      </c>
      <c r="P630" s="18">
        <f t="shared" si="105"/>
        <v>19.391780821917809</v>
      </c>
      <c r="Q630" s="18">
        <f t="shared" si="100"/>
        <v>19515.336914630134</v>
      </c>
      <c r="R630" s="18">
        <f t="shared" si="106"/>
        <v>455116.93691463012</v>
      </c>
      <c r="S630" s="18">
        <f t="shared" si="108"/>
        <v>60498.950000000004</v>
      </c>
    </row>
    <row r="631" spans="1:19" ht="15" customHeight="1" x14ac:dyDescent="0.2">
      <c r="A631" s="14">
        <f t="shared" si="107"/>
        <v>595</v>
      </c>
      <c r="B631" s="31" t="s">
        <v>574</v>
      </c>
      <c r="C631" s="15" t="s">
        <v>3</v>
      </c>
      <c r="D631" s="31" t="s">
        <v>500</v>
      </c>
      <c r="E631" s="31"/>
      <c r="F631" s="73" t="s">
        <v>11</v>
      </c>
      <c r="G631" s="32">
        <v>37587</v>
      </c>
      <c r="H631" s="29">
        <v>1089205</v>
      </c>
      <c r="I631" s="17">
        <v>0</v>
      </c>
      <c r="J631" s="17">
        <v>552808.83904109593</v>
      </c>
      <c r="K631" s="17">
        <f t="shared" si="103"/>
        <v>536396.16095890407</v>
      </c>
      <c r="L631" s="23">
        <f t="shared" si="101"/>
        <v>54460.25</v>
      </c>
      <c r="M631" s="33">
        <v>25</v>
      </c>
      <c r="N631" s="18">
        <f t="shared" si="104"/>
        <v>17.358904109589041</v>
      </c>
      <c r="O631" s="23">
        <v>60987.15</v>
      </c>
      <c r="P631" s="18">
        <f t="shared" si="105"/>
        <v>18.358904109589041</v>
      </c>
      <c r="Q631" s="18">
        <f t="shared" ref="Q631:Q694" si="109">(P631-N631)/M631*(K631-L631)</f>
        <v>19277.436438356162</v>
      </c>
      <c r="R631" s="18">
        <f t="shared" si="106"/>
        <v>80264.586438356171</v>
      </c>
      <c r="S631" s="18">
        <f t="shared" si="108"/>
        <v>54460.25</v>
      </c>
    </row>
    <row r="632" spans="1:19" ht="15" customHeight="1" x14ac:dyDescent="0.2">
      <c r="A632" s="14">
        <f t="shared" si="107"/>
        <v>596</v>
      </c>
      <c r="B632" s="31" t="s">
        <v>575</v>
      </c>
      <c r="C632" s="15" t="s">
        <v>3</v>
      </c>
      <c r="D632" s="31" t="s">
        <v>500</v>
      </c>
      <c r="E632" s="31"/>
      <c r="F632" s="73" t="s">
        <v>8</v>
      </c>
      <c r="G632" s="32">
        <v>35751</v>
      </c>
      <c r="H632" s="29">
        <v>2646679</v>
      </c>
      <c r="I632" s="17">
        <v>0</v>
      </c>
      <c r="J632" s="17">
        <v>1849180.2334849313</v>
      </c>
      <c r="K632" s="17">
        <f t="shared" si="103"/>
        <v>797498.76651506871</v>
      </c>
      <c r="L632" s="23">
        <f t="shared" ref="L632:L695" si="110">H632*0.05</f>
        <v>132333.95000000001</v>
      </c>
      <c r="M632" s="33">
        <v>25</v>
      </c>
      <c r="N632" s="18">
        <f t="shared" si="104"/>
        <v>22.389041095890413</v>
      </c>
      <c r="O632" s="23">
        <v>4142.95</v>
      </c>
      <c r="P632" s="18">
        <f t="shared" si="105"/>
        <v>23.389041095890413</v>
      </c>
      <c r="Q632" s="18">
        <f t="shared" si="109"/>
        <v>26606.59266060275</v>
      </c>
      <c r="R632" s="18">
        <f t="shared" si="106"/>
        <v>30749.54266060275</v>
      </c>
      <c r="S632" s="18">
        <f t="shared" si="108"/>
        <v>132333.95000000001</v>
      </c>
    </row>
    <row r="633" spans="1:19" ht="15" customHeight="1" x14ac:dyDescent="0.2">
      <c r="A633" s="14">
        <f t="shared" si="107"/>
        <v>597</v>
      </c>
      <c r="B633" s="31" t="s">
        <v>576</v>
      </c>
      <c r="C633" s="15" t="s">
        <v>3</v>
      </c>
      <c r="D633" s="31" t="s">
        <v>500</v>
      </c>
      <c r="E633" s="31"/>
      <c r="F633" s="73" t="s">
        <v>4</v>
      </c>
      <c r="G633" s="32">
        <v>38720</v>
      </c>
      <c r="H633" s="29">
        <v>842116.4</v>
      </c>
      <c r="I633" s="17">
        <v>0</v>
      </c>
      <c r="J633" s="17">
        <v>328070.09209424665</v>
      </c>
      <c r="K633" s="17">
        <f t="shared" si="103"/>
        <v>514046.30790575338</v>
      </c>
      <c r="L633" s="23">
        <f t="shared" si="110"/>
        <v>42105.820000000007</v>
      </c>
      <c r="M633" s="33">
        <v>25</v>
      </c>
      <c r="N633" s="18">
        <f t="shared" si="104"/>
        <v>14.254794520547945</v>
      </c>
      <c r="O633" s="23">
        <v>723915.2</v>
      </c>
      <c r="P633" s="18">
        <f t="shared" si="105"/>
        <v>15.254794520547945</v>
      </c>
      <c r="Q633" s="18">
        <f t="shared" si="109"/>
        <v>18877.619516230134</v>
      </c>
      <c r="R633" s="18">
        <f t="shared" si="106"/>
        <v>742792.81951623014</v>
      </c>
      <c r="S633" s="18">
        <f t="shared" si="108"/>
        <v>42105.820000000007</v>
      </c>
    </row>
    <row r="634" spans="1:19" ht="15" customHeight="1" x14ac:dyDescent="0.2">
      <c r="A634" s="14">
        <f t="shared" si="107"/>
        <v>598</v>
      </c>
      <c r="B634" s="31" t="s">
        <v>577</v>
      </c>
      <c r="C634" s="15" t="s">
        <v>3</v>
      </c>
      <c r="D634" s="31" t="s">
        <v>500</v>
      </c>
      <c r="E634" s="31"/>
      <c r="F634" s="73" t="s">
        <v>11</v>
      </c>
      <c r="G634" s="32">
        <v>36129</v>
      </c>
      <c r="H634" s="29">
        <v>1764396</v>
      </c>
      <c r="I634" s="17">
        <v>0</v>
      </c>
      <c r="J634" s="17">
        <v>1163312.2054356162</v>
      </c>
      <c r="K634" s="17">
        <f t="shared" si="103"/>
        <v>601083.7945643838</v>
      </c>
      <c r="L634" s="23">
        <f t="shared" si="110"/>
        <v>88219.8</v>
      </c>
      <c r="M634" s="33">
        <v>25</v>
      </c>
      <c r="N634" s="18">
        <f t="shared" si="104"/>
        <v>21.353424657534248</v>
      </c>
      <c r="O634" s="23">
        <v>32286.7</v>
      </c>
      <c r="P634" s="18">
        <f t="shared" si="105"/>
        <v>22.353424657534248</v>
      </c>
      <c r="Q634" s="18">
        <f t="shared" si="109"/>
        <v>20514.559782575354</v>
      </c>
      <c r="R634" s="18">
        <f t="shared" si="106"/>
        <v>52801.259782575355</v>
      </c>
      <c r="S634" s="18">
        <f t="shared" si="108"/>
        <v>88219.8</v>
      </c>
    </row>
    <row r="635" spans="1:19" ht="15" customHeight="1" x14ac:dyDescent="0.2">
      <c r="A635" s="14">
        <f t="shared" si="107"/>
        <v>599</v>
      </c>
      <c r="B635" s="31" t="s">
        <v>578</v>
      </c>
      <c r="C635" s="15" t="s">
        <v>3</v>
      </c>
      <c r="D635" s="31" t="s">
        <v>500</v>
      </c>
      <c r="E635" s="31"/>
      <c r="F635" s="73" t="s">
        <v>13</v>
      </c>
      <c r="G635" s="32">
        <v>36129</v>
      </c>
      <c r="H635" s="29">
        <v>1759073</v>
      </c>
      <c r="I635" s="17">
        <v>0</v>
      </c>
      <c r="J635" s="17">
        <v>1159802.6129917807</v>
      </c>
      <c r="K635" s="17">
        <f t="shared" si="103"/>
        <v>599270.38700821926</v>
      </c>
      <c r="L635" s="23">
        <f t="shared" si="110"/>
        <v>87953.650000000009</v>
      </c>
      <c r="M635" s="33">
        <v>25</v>
      </c>
      <c r="N635" s="18">
        <f t="shared" si="104"/>
        <v>21.353424657534248</v>
      </c>
      <c r="O635" s="23">
        <v>206393.2</v>
      </c>
      <c r="P635" s="18">
        <f t="shared" si="105"/>
        <v>22.353424657534248</v>
      </c>
      <c r="Q635" s="18">
        <f t="shared" si="109"/>
        <v>20452.669480328768</v>
      </c>
      <c r="R635" s="18">
        <f t="shared" si="106"/>
        <v>226845.86948032878</v>
      </c>
      <c r="S635" s="18">
        <f t="shared" si="108"/>
        <v>87953.650000000009</v>
      </c>
    </row>
    <row r="636" spans="1:19" ht="15" customHeight="1" x14ac:dyDescent="0.2">
      <c r="A636" s="14">
        <f t="shared" si="107"/>
        <v>600</v>
      </c>
      <c r="B636" s="31" t="s">
        <v>579</v>
      </c>
      <c r="C636" s="15" t="s">
        <v>3</v>
      </c>
      <c r="D636" s="31" t="s">
        <v>500</v>
      </c>
      <c r="E636" s="31"/>
      <c r="F636" s="73" t="s">
        <v>11</v>
      </c>
      <c r="G636" s="32">
        <v>38657</v>
      </c>
      <c r="H636" s="29">
        <v>812495.98</v>
      </c>
      <c r="I636" s="17">
        <v>0</v>
      </c>
      <c r="J636" s="17">
        <v>321859.70889917808</v>
      </c>
      <c r="K636" s="17">
        <f t="shared" si="103"/>
        <v>490636.2711008219</v>
      </c>
      <c r="L636" s="23">
        <f t="shared" si="110"/>
        <v>40624.798999999999</v>
      </c>
      <c r="M636" s="33">
        <v>25</v>
      </c>
      <c r="N636" s="18">
        <f t="shared" si="104"/>
        <v>14.427397260273972</v>
      </c>
      <c r="O636" s="23">
        <v>388699.15</v>
      </c>
      <c r="P636" s="18">
        <f t="shared" si="105"/>
        <v>15.427397260273972</v>
      </c>
      <c r="Q636" s="18">
        <f t="shared" si="109"/>
        <v>18000.458884032876</v>
      </c>
      <c r="R636" s="18">
        <f t="shared" si="106"/>
        <v>406699.60888403287</v>
      </c>
      <c r="S636" s="18">
        <f t="shared" si="108"/>
        <v>40624.798999999999</v>
      </c>
    </row>
    <row r="637" spans="1:19" ht="15" customHeight="1" x14ac:dyDescent="0.2">
      <c r="A637" s="14">
        <f t="shared" si="107"/>
        <v>601</v>
      </c>
      <c r="B637" s="31" t="s">
        <v>580</v>
      </c>
      <c r="C637" s="15" t="s">
        <v>3</v>
      </c>
      <c r="D637" s="31" t="s">
        <v>500</v>
      </c>
      <c r="E637" s="31"/>
      <c r="F637" s="73" t="s">
        <v>14</v>
      </c>
      <c r="G637" s="32">
        <v>37986</v>
      </c>
      <c r="H637" s="29">
        <v>886570.9</v>
      </c>
      <c r="I637" s="17">
        <v>0</v>
      </c>
      <c r="J637" s="17">
        <v>413137.18147726025</v>
      </c>
      <c r="K637" s="17">
        <f t="shared" si="103"/>
        <v>473433.71852273977</v>
      </c>
      <c r="L637" s="23">
        <f t="shared" si="110"/>
        <v>44328.545000000006</v>
      </c>
      <c r="M637" s="33">
        <v>25</v>
      </c>
      <c r="N637" s="18">
        <f t="shared" si="104"/>
        <v>16.265753424657536</v>
      </c>
      <c r="O637" s="23">
        <v>1491175.1</v>
      </c>
      <c r="P637" s="18">
        <f t="shared" si="105"/>
        <v>17.265753424657536</v>
      </c>
      <c r="Q637" s="18">
        <f t="shared" si="109"/>
        <v>17164.206940909593</v>
      </c>
      <c r="R637" s="18">
        <f t="shared" si="106"/>
        <v>1508339.3069409097</v>
      </c>
      <c r="S637" s="18">
        <f t="shared" si="108"/>
        <v>44328.545000000006</v>
      </c>
    </row>
    <row r="638" spans="1:19" ht="15" customHeight="1" x14ac:dyDescent="0.2">
      <c r="A638" s="14">
        <f t="shared" si="107"/>
        <v>602</v>
      </c>
      <c r="B638" s="31" t="s">
        <v>581</v>
      </c>
      <c r="C638" s="15" t="s">
        <v>3</v>
      </c>
      <c r="D638" s="31" t="s">
        <v>500</v>
      </c>
      <c r="E638" s="31"/>
      <c r="F638" s="73" t="s">
        <v>11</v>
      </c>
      <c r="G638" s="32">
        <v>39431</v>
      </c>
      <c r="H638" s="29">
        <v>145024</v>
      </c>
      <c r="I638" s="17">
        <v>0</v>
      </c>
      <c r="J638" s="17">
        <f>H638-L638</f>
        <v>137772.79999999999</v>
      </c>
      <c r="K638" s="17">
        <f t="shared" si="103"/>
        <v>7251.2000000000116</v>
      </c>
      <c r="L638" s="23">
        <f t="shared" si="110"/>
        <v>7251.2000000000007</v>
      </c>
      <c r="M638" s="33">
        <v>10</v>
      </c>
      <c r="N638" s="18">
        <f t="shared" si="104"/>
        <v>12.306849315068494</v>
      </c>
      <c r="O638" s="23">
        <v>1022866.9</v>
      </c>
      <c r="P638" s="18">
        <f t="shared" si="105"/>
        <v>13.306849315068494</v>
      </c>
      <c r="Q638" s="18">
        <f t="shared" si="109"/>
        <v>1.091393642127514E-12</v>
      </c>
      <c r="R638" s="18">
        <f t="shared" si="106"/>
        <v>1022866.9</v>
      </c>
      <c r="S638" s="18">
        <f t="shared" si="108"/>
        <v>7251.2000000000007</v>
      </c>
    </row>
    <row r="639" spans="1:19" ht="15" customHeight="1" x14ac:dyDescent="0.2">
      <c r="A639" s="14">
        <f t="shared" si="107"/>
        <v>603</v>
      </c>
      <c r="B639" s="31" t="s">
        <v>582</v>
      </c>
      <c r="C639" s="15" t="s">
        <v>3</v>
      </c>
      <c r="D639" s="31" t="s">
        <v>500</v>
      </c>
      <c r="E639" s="31"/>
      <c r="F639" s="73" t="s">
        <v>13</v>
      </c>
      <c r="G639" s="32">
        <v>38663</v>
      </c>
      <c r="H639" s="29">
        <v>776859.73</v>
      </c>
      <c r="I639" s="17">
        <v>0</v>
      </c>
      <c r="J639" s="17">
        <v>307257.60093769862</v>
      </c>
      <c r="K639" s="17">
        <f t="shared" si="103"/>
        <v>469602.12906230136</v>
      </c>
      <c r="L639" s="23">
        <f t="shared" si="110"/>
        <v>38842.986499999999</v>
      </c>
      <c r="M639" s="33">
        <v>25</v>
      </c>
      <c r="N639" s="18">
        <f t="shared" si="104"/>
        <v>14.41095890410959</v>
      </c>
      <c r="O639" s="23">
        <v>73401.75</v>
      </c>
      <c r="P639" s="18">
        <f t="shared" si="105"/>
        <v>15.41095890410959</v>
      </c>
      <c r="Q639" s="18">
        <f t="shared" si="109"/>
        <v>17230.365702492054</v>
      </c>
      <c r="R639" s="18">
        <f t="shared" si="106"/>
        <v>90632.115702492054</v>
      </c>
      <c r="S639" s="18">
        <f t="shared" si="108"/>
        <v>38842.986499999999</v>
      </c>
    </row>
    <row r="640" spans="1:19" ht="15" customHeight="1" x14ac:dyDescent="0.2">
      <c r="A640" s="14">
        <f t="shared" si="107"/>
        <v>604</v>
      </c>
      <c r="B640" s="31" t="s">
        <v>583</v>
      </c>
      <c r="C640" s="15" t="s">
        <v>3</v>
      </c>
      <c r="D640" s="31" t="s">
        <v>500</v>
      </c>
      <c r="E640" s="31"/>
      <c r="F640" s="73" t="s">
        <v>17</v>
      </c>
      <c r="G640" s="32">
        <v>36495</v>
      </c>
      <c r="H640" s="29">
        <v>1281198</v>
      </c>
      <c r="I640" s="17">
        <v>0</v>
      </c>
      <c r="J640" s="17">
        <v>795908.27865205484</v>
      </c>
      <c r="K640" s="17">
        <f t="shared" si="103"/>
        <v>485289.72134794516</v>
      </c>
      <c r="L640" s="23">
        <f t="shared" si="110"/>
        <v>64059.9</v>
      </c>
      <c r="M640" s="33">
        <v>25</v>
      </c>
      <c r="N640" s="18">
        <f t="shared" si="104"/>
        <v>20.350684931506848</v>
      </c>
      <c r="O640" s="23">
        <v>697363.65</v>
      </c>
      <c r="P640" s="18">
        <f t="shared" si="105"/>
        <v>21.350684931506848</v>
      </c>
      <c r="Q640" s="18">
        <f t="shared" si="109"/>
        <v>16849.192853917804</v>
      </c>
      <c r="R640" s="18">
        <f t="shared" si="106"/>
        <v>714212.84285391786</v>
      </c>
      <c r="S640" s="18">
        <f t="shared" si="108"/>
        <v>64059.9</v>
      </c>
    </row>
    <row r="641" spans="1:19" ht="15" customHeight="1" x14ac:dyDescent="0.2">
      <c r="A641" s="14">
        <f t="shared" si="107"/>
        <v>605</v>
      </c>
      <c r="B641" s="31" t="s">
        <v>584</v>
      </c>
      <c r="C641" s="15" t="s">
        <v>3</v>
      </c>
      <c r="D641" s="31" t="s">
        <v>500</v>
      </c>
      <c r="E641" s="31"/>
      <c r="F641" s="73" t="s">
        <v>11</v>
      </c>
      <c r="G641" s="32">
        <v>41618</v>
      </c>
      <c r="H641" s="29">
        <v>620945.67000000004</v>
      </c>
      <c r="I641" s="17">
        <v>0</v>
      </c>
      <c r="J641" s="17">
        <v>54561.560351342465</v>
      </c>
      <c r="K641" s="17">
        <f t="shared" si="103"/>
        <v>566384.10964865761</v>
      </c>
      <c r="L641" s="23">
        <f t="shared" si="110"/>
        <v>31047.283500000005</v>
      </c>
      <c r="M641" s="33">
        <v>25</v>
      </c>
      <c r="N641" s="18">
        <f t="shared" si="104"/>
        <v>6.3150684931506849</v>
      </c>
      <c r="O641" s="23">
        <v>17858.099999999999</v>
      </c>
      <c r="P641" s="18">
        <f t="shared" si="105"/>
        <v>7.3150684931506849</v>
      </c>
      <c r="Q641" s="18">
        <f t="shared" si="109"/>
        <v>21413.473045946303</v>
      </c>
      <c r="R641" s="18">
        <f t="shared" si="106"/>
        <v>39271.573045946301</v>
      </c>
      <c r="S641" s="18">
        <f t="shared" si="108"/>
        <v>31047.283500000005</v>
      </c>
    </row>
    <row r="642" spans="1:19" ht="15" customHeight="1" x14ac:dyDescent="0.2">
      <c r="A642" s="14">
        <f t="shared" si="107"/>
        <v>606</v>
      </c>
      <c r="B642" s="31" t="s">
        <v>585</v>
      </c>
      <c r="C642" s="15" t="s">
        <v>3</v>
      </c>
      <c r="D642" s="31" t="s">
        <v>500</v>
      </c>
      <c r="E642" s="31"/>
      <c r="F642" s="70" t="s">
        <v>7</v>
      </c>
      <c r="G642" s="32">
        <v>41348</v>
      </c>
      <c r="H642" s="29">
        <v>604082.24</v>
      </c>
      <c r="I642" s="17">
        <v>0</v>
      </c>
      <c r="J642" s="17">
        <v>70060.299681315068</v>
      </c>
      <c r="K642" s="17">
        <f t="shared" si="103"/>
        <v>534021.94031868491</v>
      </c>
      <c r="L642" s="23">
        <f t="shared" si="110"/>
        <v>30204.112000000001</v>
      </c>
      <c r="M642" s="33">
        <v>25</v>
      </c>
      <c r="N642" s="18">
        <f t="shared" si="104"/>
        <v>7.0547945205479454</v>
      </c>
      <c r="O642" s="23">
        <v>4820.3</v>
      </c>
      <c r="P642" s="18">
        <f t="shared" si="105"/>
        <v>8.0547945205479454</v>
      </c>
      <c r="Q642" s="18">
        <f t="shared" si="109"/>
        <v>20152.713132747394</v>
      </c>
      <c r="R642" s="18">
        <f t="shared" si="106"/>
        <v>24973.013132747394</v>
      </c>
      <c r="S642" s="18">
        <f t="shared" si="108"/>
        <v>30204.112000000001</v>
      </c>
    </row>
    <row r="643" spans="1:19" ht="15" customHeight="1" x14ac:dyDescent="0.2">
      <c r="A643" s="14">
        <f t="shared" si="107"/>
        <v>607</v>
      </c>
      <c r="B643" s="31" t="s">
        <v>586</v>
      </c>
      <c r="C643" s="15" t="s">
        <v>3</v>
      </c>
      <c r="D643" s="31" t="s">
        <v>500</v>
      </c>
      <c r="E643" s="31"/>
      <c r="F643" s="73" t="s">
        <v>11</v>
      </c>
      <c r="G643" s="32">
        <v>41618</v>
      </c>
      <c r="H643" s="29">
        <v>613323.85</v>
      </c>
      <c r="I643" s="17">
        <v>0</v>
      </c>
      <c r="J643" s="17">
        <v>53891.842512876712</v>
      </c>
      <c r="K643" s="17">
        <f t="shared" si="103"/>
        <v>559432.00748712325</v>
      </c>
      <c r="L643" s="23">
        <f t="shared" si="110"/>
        <v>30666.192500000001</v>
      </c>
      <c r="M643" s="33">
        <v>25</v>
      </c>
      <c r="N643" s="18">
        <f t="shared" si="104"/>
        <v>6.3150684931506849</v>
      </c>
      <c r="O643" s="23">
        <v>381539.95</v>
      </c>
      <c r="P643" s="18">
        <f t="shared" si="105"/>
        <v>7.3150684931506849</v>
      </c>
      <c r="Q643" s="18">
        <f t="shared" si="109"/>
        <v>21150.632599484929</v>
      </c>
      <c r="R643" s="18">
        <f t="shared" si="106"/>
        <v>402690.58259948494</v>
      </c>
      <c r="S643" s="18">
        <f t="shared" si="108"/>
        <v>30666.192500000001</v>
      </c>
    </row>
    <row r="644" spans="1:19" ht="15" customHeight="1" x14ac:dyDescent="0.2">
      <c r="A644" s="14">
        <f t="shared" si="107"/>
        <v>608</v>
      </c>
      <c r="B644" s="31" t="s">
        <v>587</v>
      </c>
      <c r="C644" s="15" t="s">
        <v>3</v>
      </c>
      <c r="D644" s="31" t="s">
        <v>500</v>
      </c>
      <c r="E644" s="31"/>
      <c r="F644" s="73" t="s">
        <v>4</v>
      </c>
      <c r="G644" s="32">
        <v>36009</v>
      </c>
      <c r="H644" s="29">
        <v>1650219</v>
      </c>
      <c r="I644" s="17">
        <v>0</v>
      </c>
      <c r="J644" s="17">
        <v>1108648.7722356163</v>
      </c>
      <c r="K644" s="17">
        <f t="shared" si="103"/>
        <v>541570.22776438366</v>
      </c>
      <c r="L644" s="23">
        <f t="shared" si="110"/>
        <v>82510.950000000012</v>
      </c>
      <c r="M644" s="33">
        <v>25</v>
      </c>
      <c r="N644" s="18">
        <f t="shared" si="104"/>
        <v>21.682191780821917</v>
      </c>
      <c r="O644" s="23">
        <v>118846.9</v>
      </c>
      <c r="P644" s="18">
        <f t="shared" si="105"/>
        <v>22.682191780821917</v>
      </c>
      <c r="Q644" s="18">
        <f t="shared" si="109"/>
        <v>18362.371110575346</v>
      </c>
      <c r="R644" s="18">
        <f t="shared" si="106"/>
        <v>137209.27111057536</v>
      </c>
      <c r="S644" s="18">
        <f t="shared" si="108"/>
        <v>82510.950000000012</v>
      </c>
    </row>
    <row r="645" spans="1:19" ht="15" customHeight="1" x14ac:dyDescent="0.2">
      <c r="A645" s="14">
        <f t="shared" si="107"/>
        <v>609</v>
      </c>
      <c r="B645" s="31" t="s">
        <v>588</v>
      </c>
      <c r="C645" s="15" t="s">
        <v>3</v>
      </c>
      <c r="D645" s="31" t="s">
        <v>500</v>
      </c>
      <c r="E645" s="31"/>
      <c r="F645" s="73" t="s">
        <v>4</v>
      </c>
      <c r="G645" s="32">
        <v>41228</v>
      </c>
      <c r="H645" s="29">
        <v>543908.28</v>
      </c>
      <c r="I645" s="17">
        <v>0</v>
      </c>
      <c r="J645" s="17">
        <v>69876.567303452059</v>
      </c>
      <c r="K645" s="17">
        <f t="shared" si="103"/>
        <v>474031.71269654797</v>
      </c>
      <c r="L645" s="23">
        <f t="shared" si="110"/>
        <v>27195.414000000004</v>
      </c>
      <c r="M645" s="33">
        <v>25</v>
      </c>
      <c r="N645" s="18">
        <f t="shared" si="104"/>
        <v>7.3835616438356162</v>
      </c>
      <c r="O645" s="23">
        <v>7622.8</v>
      </c>
      <c r="P645" s="18">
        <f t="shared" si="105"/>
        <v>8.3835616438356162</v>
      </c>
      <c r="Q645" s="18">
        <f t="shared" si="109"/>
        <v>17873.451947861919</v>
      </c>
      <c r="R645" s="18">
        <f t="shared" si="106"/>
        <v>25496.251947861918</v>
      </c>
      <c r="S645" s="18">
        <f t="shared" si="108"/>
        <v>27195.414000000004</v>
      </c>
    </row>
    <row r="646" spans="1:19" ht="15" customHeight="1" x14ac:dyDescent="0.2">
      <c r="A646" s="14">
        <f t="shared" si="107"/>
        <v>610</v>
      </c>
      <c r="B646" s="31" t="s">
        <v>589</v>
      </c>
      <c r="C646" s="15" t="s">
        <v>3</v>
      </c>
      <c r="D646" s="31" t="s">
        <v>500</v>
      </c>
      <c r="E646" s="31"/>
      <c r="F646" s="73" t="s">
        <v>11</v>
      </c>
      <c r="G646" s="32">
        <v>35751</v>
      </c>
      <c r="H646" s="29">
        <v>1870423</v>
      </c>
      <c r="I646" s="17">
        <v>0</v>
      </c>
      <c r="J646" s="17">
        <v>1306826.116750685</v>
      </c>
      <c r="K646" s="17">
        <f t="shared" si="103"/>
        <v>563596.88324931497</v>
      </c>
      <c r="L646" s="23">
        <f t="shared" si="110"/>
        <v>93521.150000000009</v>
      </c>
      <c r="M646" s="33">
        <v>25</v>
      </c>
      <c r="N646" s="18">
        <f t="shared" si="104"/>
        <v>22.389041095890413</v>
      </c>
      <c r="O646" s="23">
        <v>111696.25</v>
      </c>
      <c r="P646" s="18">
        <f t="shared" si="105"/>
        <v>23.389041095890413</v>
      </c>
      <c r="Q646" s="18">
        <f t="shared" si="109"/>
        <v>18803.0293299726</v>
      </c>
      <c r="R646" s="18">
        <f t="shared" si="106"/>
        <v>130499.2793299726</v>
      </c>
      <c r="S646" s="18">
        <f t="shared" si="108"/>
        <v>93521.150000000009</v>
      </c>
    </row>
    <row r="647" spans="1:19" ht="15" customHeight="1" x14ac:dyDescent="0.2">
      <c r="A647" s="14">
        <f t="shared" si="107"/>
        <v>611</v>
      </c>
      <c r="B647" s="31" t="s">
        <v>590</v>
      </c>
      <c r="C647" s="15" t="s">
        <v>3</v>
      </c>
      <c r="D647" s="31" t="s">
        <v>500</v>
      </c>
      <c r="E647" s="31"/>
      <c r="F647" s="73" t="s">
        <v>11</v>
      </c>
      <c r="G647" s="32">
        <v>38701</v>
      </c>
      <c r="H647" s="29">
        <v>589968.1</v>
      </c>
      <c r="I647" s="17">
        <v>0</v>
      </c>
      <c r="J647" s="17">
        <v>231005.64634465749</v>
      </c>
      <c r="K647" s="17">
        <f t="shared" si="103"/>
        <v>358962.45365534246</v>
      </c>
      <c r="L647" s="23">
        <f t="shared" si="110"/>
        <v>29498.404999999999</v>
      </c>
      <c r="M647" s="33">
        <v>25</v>
      </c>
      <c r="N647" s="18">
        <f t="shared" si="104"/>
        <v>14.306849315068494</v>
      </c>
      <c r="O647" s="23">
        <v>40720.800000000003</v>
      </c>
      <c r="P647" s="18">
        <f t="shared" si="105"/>
        <v>15.306849315068494</v>
      </c>
      <c r="Q647" s="18">
        <f t="shared" si="109"/>
        <v>13178.561946213697</v>
      </c>
      <c r="R647" s="18">
        <f t="shared" si="106"/>
        <v>53899.361946213699</v>
      </c>
      <c r="S647" s="18">
        <f t="shared" si="108"/>
        <v>29498.404999999999</v>
      </c>
    </row>
    <row r="648" spans="1:19" ht="15" customHeight="1" x14ac:dyDescent="0.2">
      <c r="A648" s="14">
        <f t="shared" si="107"/>
        <v>612</v>
      </c>
      <c r="B648" s="31" t="s">
        <v>591</v>
      </c>
      <c r="C648" s="15" t="s">
        <v>3</v>
      </c>
      <c r="D648" s="31" t="s">
        <v>500</v>
      </c>
      <c r="E648" s="31"/>
      <c r="F648" s="73" t="s">
        <v>4</v>
      </c>
      <c r="G648" s="32">
        <v>27030</v>
      </c>
      <c r="H648" s="29">
        <v>7720</v>
      </c>
      <c r="I648" s="17">
        <v>0</v>
      </c>
      <c r="J648" s="17">
        <f>H648-L648</f>
        <v>7334</v>
      </c>
      <c r="K648" s="17">
        <f t="shared" si="103"/>
        <v>386</v>
      </c>
      <c r="L648" s="23">
        <f t="shared" si="110"/>
        <v>386</v>
      </c>
      <c r="M648" s="33">
        <v>15</v>
      </c>
      <c r="N648" s="18">
        <f t="shared" si="104"/>
        <v>46.282191780821918</v>
      </c>
      <c r="O648" s="23">
        <v>43058.75</v>
      </c>
      <c r="P648" s="18">
        <f t="shared" si="105"/>
        <v>47.282191780821918</v>
      </c>
      <c r="Q648" s="18">
        <f t="shared" si="109"/>
        <v>0</v>
      </c>
      <c r="R648" s="18">
        <f t="shared" si="106"/>
        <v>43058.75</v>
      </c>
      <c r="S648" s="18">
        <f t="shared" si="108"/>
        <v>386</v>
      </c>
    </row>
    <row r="649" spans="1:19" ht="15" customHeight="1" x14ac:dyDescent="0.2">
      <c r="A649" s="14">
        <f t="shared" si="107"/>
        <v>613</v>
      </c>
      <c r="B649" s="31" t="s">
        <v>592</v>
      </c>
      <c r="C649" s="15" t="s">
        <v>3</v>
      </c>
      <c r="D649" s="31" t="s">
        <v>500</v>
      </c>
      <c r="E649" s="31"/>
      <c r="F649" s="73" t="s">
        <v>13</v>
      </c>
      <c r="G649" s="32">
        <v>35751</v>
      </c>
      <c r="H649" s="29">
        <v>1748735</v>
      </c>
      <c r="I649" s="17">
        <v>0</v>
      </c>
      <c r="J649" s="17">
        <v>1221805.2115890409</v>
      </c>
      <c r="K649" s="17">
        <f t="shared" si="103"/>
        <v>526929.78841095907</v>
      </c>
      <c r="L649" s="23">
        <f t="shared" si="110"/>
        <v>87436.75</v>
      </c>
      <c r="M649" s="33">
        <v>25</v>
      </c>
      <c r="N649" s="18">
        <f t="shared" si="104"/>
        <v>22.389041095890413</v>
      </c>
      <c r="O649" s="23">
        <v>11985.2</v>
      </c>
      <c r="P649" s="18">
        <f t="shared" si="105"/>
        <v>23.389041095890413</v>
      </c>
      <c r="Q649" s="18">
        <f t="shared" si="109"/>
        <v>17579.721536438363</v>
      </c>
      <c r="R649" s="18">
        <f t="shared" si="106"/>
        <v>29564.921536438364</v>
      </c>
      <c r="S649" s="18">
        <f t="shared" si="108"/>
        <v>87436.75</v>
      </c>
    </row>
    <row r="650" spans="1:19" ht="15" customHeight="1" x14ac:dyDescent="0.2">
      <c r="A650" s="14">
        <f t="shared" si="107"/>
        <v>614</v>
      </c>
      <c r="B650" s="31" t="s">
        <v>593</v>
      </c>
      <c r="C650" s="15" t="s">
        <v>3</v>
      </c>
      <c r="D650" s="31" t="s">
        <v>500</v>
      </c>
      <c r="E650" s="31"/>
      <c r="F650" s="73" t="s">
        <v>11</v>
      </c>
      <c r="G650" s="32">
        <v>39033</v>
      </c>
      <c r="H650" s="29">
        <v>503133.1</v>
      </c>
      <c r="I650" s="17">
        <v>0</v>
      </c>
      <c r="J650" s="17">
        <v>179614.38135945203</v>
      </c>
      <c r="K650" s="17">
        <f t="shared" si="103"/>
        <v>323518.71864054794</v>
      </c>
      <c r="L650" s="23">
        <f t="shared" si="110"/>
        <v>25156.654999999999</v>
      </c>
      <c r="M650" s="33">
        <v>25</v>
      </c>
      <c r="N650" s="18">
        <f t="shared" si="104"/>
        <v>13.397260273972602</v>
      </c>
      <c r="O650" s="23">
        <v>68757.2</v>
      </c>
      <c r="P650" s="18">
        <f t="shared" si="105"/>
        <v>14.397260273972602</v>
      </c>
      <c r="Q650" s="18">
        <f t="shared" si="109"/>
        <v>11934.482545621917</v>
      </c>
      <c r="R650" s="18">
        <f t="shared" si="106"/>
        <v>80691.682545621909</v>
      </c>
      <c r="S650" s="18">
        <f t="shared" si="108"/>
        <v>25156.654999999999</v>
      </c>
    </row>
    <row r="651" spans="1:19" ht="15" customHeight="1" x14ac:dyDescent="0.2">
      <c r="A651" s="14">
        <f t="shared" si="107"/>
        <v>615</v>
      </c>
      <c r="B651" s="31" t="s">
        <v>594</v>
      </c>
      <c r="C651" s="15" t="s">
        <v>3</v>
      </c>
      <c r="D651" s="31" t="s">
        <v>500</v>
      </c>
      <c r="E651" s="31"/>
      <c r="F651" s="73" t="s">
        <v>11</v>
      </c>
      <c r="G651" s="32">
        <v>35397</v>
      </c>
      <c r="H651" s="29">
        <v>3457779</v>
      </c>
      <c r="I651" s="17">
        <v>0</v>
      </c>
      <c r="J651" s="17">
        <v>2543314.8715890408</v>
      </c>
      <c r="K651" s="17">
        <f t="shared" si="103"/>
        <v>914464.12841095915</v>
      </c>
      <c r="L651" s="23">
        <f t="shared" si="110"/>
        <v>172888.95</v>
      </c>
      <c r="M651" s="33">
        <v>25</v>
      </c>
      <c r="N651" s="18">
        <f t="shared" si="104"/>
        <v>23.358904109589041</v>
      </c>
      <c r="O651" s="23">
        <v>653263.69999999995</v>
      </c>
      <c r="P651" s="18">
        <f t="shared" si="105"/>
        <v>24.358904109589041</v>
      </c>
      <c r="Q651" s="18">
        <f t="shared" si="109"/>
        <v>29663.007136438369</v>
      </c>
      <c r="R651" s="18">
        <f t="shared" si="106"/>
        <v>682926.70713643834</v>
      </c>
      <c r="S651" s="18">
        <f t="shared" si="108"/>
        <v>172888.95</v>
      </c>
    </row>
    <row r="652" spans="1:19" ht="15" customHeight="1" x14ac:dyDescent="0.2">
      <c r="A652" s="14">
        <f t="shared" si="107"/>
        <v>616</v>
      </c>
      <c r="B652" s="31" t="s">
        <v>595</v>
      </c>
      <c r="C652" s="15" t="s">
        <v>3</v>
      </c>
      <c r="D652" s="31" t="s">
        <v>500</v>
      </c>
      <c r="E652" s="31"/>
      <c r="F652" s="73" t="s">
        <v>11</v>
      </c>
      <c r="G652" s="32">
        <v>41348</v>
      </c>
      <c r="H652" s="29">
        <v>410204</v>
      </c>
      <c r="I652" s="17">
        <v>0</v>
      </c>
      <c r="J652" s="17">
        <v>47574.673227397267</v>
      </c>
      <c r="K652" s="17">
        <f t="shared" si="103"/>
        <v>362629.32677260274</v>
      </c>
      <c r="L652" s="23">
        <f t="shared" si="110"/>
        <v>20510.2</v>
      </c>
      <c r="M652" s="33">
        <v>25</v>
      </c>
      <c r="N652" s="18">
        <f t="shared" si="104"/>
        <v>7.0547945205479454</v>
      </c>
      <c r="O652" s="23">
        <v>19539.599999999999</v>
      </c>
      <c r="P652" s="18">
        <f t="shared" si="105"/>
        <v>8.0547945205479454</v>
      </c>
      <c r="Q652" s="18">
        <f t="shared" si="109"/>
        <v>13684.76507090411</v>
      </c>
      <c r="R652" s="18">
        <f t="shared" si="106"/>
        <v>33224.36507090411</v>
      </c>
      <c r="S652" s="18">
        <f t="shared" si="108"/>
        <v>20510.2</v>
      </c>
    </row>
    <row r="653" spans="1:19" ht="15" customHeight="1" x14ac:dyDescent="0.2">
      <c r="A653" s="14">
        <f t="shared" si="107"/>
        <v>617</v>
      </c>
      <c r="B653" s="31" t="s">
        <v>596</v>
      </c>
      <c r="C653" s="15" t="s">
        <v>3</v>
      </c>
      <c r="D653" s="31" t="s">
        <v>500</v>
      </c>
      <c r="E653" s="31"/>
      <c r="F653" s="73" t="s">
        <v>11</v>
      </c>
      <c r="G653" s="32">
        <v>35751</v>
      </c>
      <c r="H653" s="29">
        <v>1509564</v>
      </c>
      <c r="I653" s="17">
        <v>0</v>
      </c>
      <c r="J653" s="17">
        <v>1054701.3483616437</v>
      </c>
      <c r="K653" s="17">
        <f t="shared" si="103"/>
        <v>454862.65163835627</v>
      </c>
      <c r="L653" s="23">
        <f t="shared" si="110"/>
        <v>75478.2</v>
      </c>
      <c r="M653" s="33">
        <v>25</v>
      </c>
      <c r="N653" s="18">
        <f t="shared" si="104"/>
        <v>22.389041095890413</v>
      </c>
      <c r="O653" s="23">
        <v>74335.600000000006</v>
      </c>
      <c r="P653" s="18">
        <f t="shared" si="105"/>
        <v>23.389041095890413</v>
      </c>
      <c r="Q653" s="18">
        <f t="shared" si="109"/>
        <v>15175.378065534251</v>
      </c>
      <c r="R653" s="18">
        <f t="shared" si="106"/>
        <v>89510.978065534262</v>
      </c>
      <c r="S653" s="18">
        <f t="shared" si="108"/>
        <v>75478.2</v>
      </c>
    </row>
    <row r="654" spans="1:19" ht="15" customHeight="1" x14ac:dyDescent="0.2">
      <c r="A654" s="14">
        <f t="shared" si="107"/>
        <v>618</v>
      </c>
      <c r="B654" s="31" t="s">
        <v>592</v>
      </c>
      <c r="C654" s="15" t="s">
        <v>3</v>
      </c>
      <c r="D654" s="31" t="s">
        <v>500</v>
      </c>
      <c r="E654" s="31"/>
      <c r="F654" s="73" t="s">
        <v>13</v>
      </c>
      <c r="G654" s="32">
        <v>35751</v>
      </c>
      <c r="H654" s="29">
        <v>1491757</v>
      </c>
      <c r="I654" s="17">
        <v>0</v>
      </c>
      <c r="J654" s="17">
        <v>1042259.963358904</v>
      </c>
      <c r="K654" s="17">
        <f t="shared" si="103"/>
        <v>449497.036641096</v>
      </c>
      <c r="L654" s="23">
        <f t="shared" si="110"/>
        <v>74587.850000000006</v>
      </c>
      <c r="M654" s="33">
        <v>25</v>
      </c>
      <c r="N654" s="18">
        <f t="shared" si="104"/>
        <v>22.389041095890413</v>
      </c>
      <c r="O654" s="23">
        <v>23898.2</v>
      </c>
      <c r="P654" s="18">
        <f t="shared" si="105"/>
        <v>23.389041095890413</v>
      </c>
      <c r="Q654" s="18">
        <f t="shared" si="109"/>
        <v>14996.367465643842</v>
      </c>
      <c r="R654" s="18">
        <f t="shared" si="106"/>
        <v>38894.567465643842</v>
      </c>
      <c r="S654" s="18">
        <f t="shared" si="108"/>
        <v>74587.850000000006</v>
      </c>
    </row>
    <row r="655" spans="1:19" ht="15" customHeight="1" x14ac:dyDescent="0.2">
      <c r="A655" s="14">
        <f t="shared" si="107"/>
        <v>619</v>
      </c>
      <c r="B655" s="31" t="s">
        <v>597</v>
      </c>
      <c r="C655" s="15" t="s">
        <v>3</v>
      </c>
      <c r="D655" s="31" t="s">
        <v>500</v>
      </c>
      <c r="E655" s="31"/>
      <c r="F655" s="73" t="s">
        <v>11</v>
      </c>
      <c r="G655" s="32">
        <v>35751</v>
      </c>
      <c r="H655" s="29">
        <v>1462563</v>
      </c>
      <c r="I655" s="17">
        <v>0</v>
      </c>
      <c r="J655" s="17">
        <v>1021862.7154356164</v>
      </c>
      <c r="K655" s="17">
        <f t="shared" si="103"/>
        <v>440700.28456438356</v>
      </c>
      <c r="L655" s="23">
        <f t="shared" si="110"/>
        <v>73128.150000000009</v>
      </c>
      <c r="M655" s="33">
        <v>25</v>
      </c>
      <c r="N655" s="18">
        <f t="shared" si="104"/>
        <v>22.389041095890413</v>
      </c>
      <c r="O655" s="23">
        <v>2370410.5499999998</v>
      </c>
      <c r="P655" s="18">
        <f t="shared" si="105"/>
        <v>23.389041095890413</v>
      </c>
      <c r="Q655" s="18">
        <f t="shared" si="109"/>
        <v>14702.885382575341</v>
      </c>
      <c r="R655" s="18">
        <f t="shared" si="106"/>
        <v>2385113.4353825753</v>
      </c>
      <c r="S655" s="18">
        <f t="shared" si="108"/>
        <v>73128.150000000009</v>
      </c>
    </row>
    <row r="656" spans="1:19" ht="15" customHeight="1" x14ac:dyDescent="0.2">
      <c r="A656" s="14">
        <f t="shared" si="107"/>
        <v>620</v>
      </c>
      <c r="B656" s="31" t="s">
        <v>598</v>
      </c>
      <c r="C656" s="15" t="s">
        <v>3</v>
      </c>
      <c r="D656" s="31" t="s">
        <v>500</v>
      </c>
      <c r="E656" s="31"/>
      <c r="F656" s="73" t="s">
        <v>11</v>
      </c>
      <c r="G656" s="32">
        <v>36160</v>
      </c>
      <c r="H656" s="29">
        <v>971587</v>
      </c>
      <c r="I656" s="17">
        <v>0</v>
      </c>
      <c r="J656" s="17">
        <v>637456.89975890424</v>
      </c>
      <c r="K656" s="17">
        <f t="shared" si="103"/>
        <v>334130.10024109576</v>
      </c>
      <c r="L656" s="23">
        <f t="shared" si="110"/>
        <v>48579.350000000006</v>
      </c>
      <c r="M656" s="33">
        <v>25</v>
      </c>
      <c r="N656" s="18">
        <f t="shared" si="104"/>
        <v>21.268493150684932</v>
      </c>
      <c r="O656" s="23">
        <v>1319238.3999999999</v>
      </c>
      <c r="P656" s="18">
        <f t="shared" si="105"/>
        <v>22.268493150684932</v>
      </c>
      <c r="Q656" s="18">
        <f t="shared" si="109"/>
        <v>11422.030009643831</v>
      </c>
      <c r="R656" s="18">
        <f t="shared" si="106"/>
        <v>1330660.4300096438</v>
      </c>
      <c r="S656" s="18">
        <f t="shared" si="108"/>
        <v>48579.350000000006</v>
      </c>
    </row>
    <row r="657" spans="1:19" ht="15" customHeight="1" x14ac:dyDescent="0.2">
      <c r="A657" s="14">
        <f t="shared" si="107"/>
        <v>621</v>
      </c>
      <c r="B657" s="31" t="s">
        <v>599</v>
      </c>
      <c r="C657" s="15" t="s">
        <v>3</v>
      </c>
      <c r="D657" s="31" t="s">
        <v>500</v>
      </c>
      <c r="E657" s="31"/>
      <c r="F657" s="73" t="s">
        <v>17</v>
      </c>
      <c r="G657" s="32">
        <v>40509</v>
      </c>
      <c r="H657" s="29">
        <v>401306.35</v>
      </c>
      <c r="I657" s="17">
        <v>0</v>
      </c>
      <c r="J657" s="17">
        <v>81596.025914794518</v>
      </c>
      <c r="K657" s="17">
        <f t="shared" si="103"/>
        <v>319710.32408520544</v>
      </c>
      <c r="L657" s="23">
        <f t="shared" si="110"/>
        <v>20065.317500000001</v>
      </c>
      <c r="M657" s="33">
        <v>25</v>
      </c>
      <c r="N657" s="18">
        <f t="shared" si="104"/>
        <v>9.3534246575342461</v>
      </c>
      <c r="O657" s="23">
        <v>1446.85</v>
      </c>
      <c r="P657" s="18">
        <f t="shared" si="105"/>
        <v>10.353424657534246</v>
      </c>
      <c r="Q657" s="18">
        <f t="shared" si="109"/>
        <v>11985.800263408219</v>
      </c>
      <c r="R657" s="18">
        <f t="shared" si="106"/>
        <v>13432.650263408219</v>
      </c>
      <c r="S657" s="18">
        <f t="shared" si="108"/>
        <v>20065.317500000001</v>
      </c>
    </row>
    <row r="658" spans="1:19" ht="15" customHeight="1" x14ac:dyDescent="0.2">
      <c r="A658" s="14">
        <f t="shared" si="107"/>
        <v>622</v>
      </c>
      <c r="B658" s="31" t="s">
        <v>600</v>
      </c>
      <c r="C658" s="15" t="s">
        <v>3</v>
      </c>
      <c r="D658" s="31" t="s">
        <v>500</v>
      </c>
      <c r="E658" s="31"/>
      <c r="F658" s="73" t="s">
        <v>11</v>
      </c>
      <c r="G658" s="32">
        <v>35504</v>
      </c>
      <c r="H658" s="29">
        <v>2202724</v>
      </c>
      <c r="I658" s="17">
        <v>0</v>
      </c>
      <c r="J658" s="17">
        <v>1595641.1958794522</v>
      </c>
      <c r="K658" s="17">
        <f t="shared" si="103"/>
        <v>607082.80412054784</v>
      </c>
      <c r="L658" s="23">
        <f t="shared" si="110"/>
        <v>110136.20000000001</v>
      </c>
      <c r="M658" s="33">
        <v>25</v>
      </c>
      <c r="N658" s="18">
        <f t="shared" si="104"/>
        <v>23.065753424657533</v>
      </c>
      <c r="O658" s="23">
        <v>965.2</v>
      </c>
      <c r="P658" s="18">
        <f t="shared" si="105"/>
        <v>24.065753424657533</v>
      </c>
      <c r="Q658" s="18">
        <f t="shared" si="109"/>
        <v>19877.864164821913</v>
      </c>
      <c r="R658" s="18">
        <f t="shared" si="106"/>
        <v>20843.064164821913</v>
      </c>
      <c r="S658" s="18">
        <f t="shared" si="108"/>
        <v>110136.20000000001</v>
      </c>
    </row>
    <row r="659" spans="1:19" ht="15" customHeight="1" x14ac:dyDescent="0.2">
      <c r="A659" s="14">
        <f t="shared" si="107"/>
        <v>623</v>
      </c>
      <c r="B659" s="31" t="s">
        <v>601</v>
      </c>
      <c r="C659" s="15" t="s">
        <v>3</v>
      </c>
      <c r="D659" s="31" t="s">
        <v>500</v>
      </c>
      <c r="E659" s="31"/>
      <c r="F659" s="73" t="s">
        <v>13</v>
      </c>
      <c r="G659" s="32">
        <v>37986</v>
      </c>
      <c r="H659" s="29">
        <v>495661.8</v>
      </c>
      <c r="I659" s="17">
        <v>0</v>
      </c>
      <c r="J659" s="17">
        <v>230975.68284493149</v>
      </c>
      <c r="K659" s="17">
        <f t="shared" si="103"/>
        <v>264686.1171550685</v>
      </c>
      <c r="L659" s="23">
        <f t="shared" si="110"/>
        <v>24783.09</v>
      </c>
      <c r="M659" s="33">
        <v>25</v>
      </c>
      <c r="N659" s="18">
        <f t="shared" si="104"/>
        <v>16.265753424657536</v>
      </c>
      <c r="O659" s="23">
        <v>12309.15</v>
      </c>
      <c r="P659" s="18">
        <f t="shared" si="105"/>
        <v>17.265753424657536</v>
      </c>
      <c r="Q659" s="18">
        <f t="shared" si="109"/>
        <v>9596.1210862027401</v>
      </c>
      <c r="R659" s="18">
        <f t="shared" si="106"/>
        <v>21905.271086202738</v>
      </c>
      <c r="S659" s="18">
        <f t="shared" si="108"/>
        <v>24783.09</v>
      </c>
    </row>
    <row r="660" spans="1:19" ht="15" customHeight="1" x14ac:dyDescent="0.2">
      <c r="A660" s="14">
        <f t="shared" si="107"/>
        <v>624</v>
      </c>
      <c r="B660" s="31" t="s">
        <v>602</v>
      </c>
      <c r="C660" s="15" t="s">
        <v>3</v>
      </c>
      <c r="D660" s="31" t="s">
        <v>500</v>
      </c>
      <c r="E660" s="31"/>
      <c r="F660" s="73" t="s">
        <v>17</v>
      </c>
      <c r="G660" s="32">
        <v>37955</v>
      </c>
      <c r="H660" s="29">
        <v>491991.89</v>
      </c>
      <c r="I660" s="17">
        <v>0</v>
      </c>
      <c r="J660" s="17">
        <v>230853.37817189039</v>
      </c>
      <c r="K660" s="17">
        <f t="shared" si="103"/>
        <v>261138.51182810962</v>
      </c>
      <c r="L660" s="23">
        <f t="shared" si="110"/>
        <v>24599.594500000003</v>
      </c>
      <c r="M660" s="33">
        <v>25</v>
      </c>
      <c r="N660" s="18">
        <f t="shared" si="104"/>
        <v>16.350684931506848</v>
      </c>
      <c r="O660" s="23">
        <v>77369.899999999994</v>
      </c>
      <c r="P660" s="18">
        <f t="shared" si="105"/>
        <v>17.350684931506848</v>
      </c>
      <c r="Q660" s="18">
        <f t="shared" si="109"/>
        <v>9461.5566931243848</v>
      </c>
      <c r="R660" s="18">
        <f t="shared" si="106"/>
        <v>86831.456693124375</v>
      </c>
      <c r="S660" s="18">
        <f t="shared" si="108"/>
        <v>24599.594500000003</v>
      </c>
    </row>
    <row r="661" spans="1:19" ht="15" customHeight="1" x14ac:dyDescent="0.2">
      <c r="A661" s="14">
        <f t="shared" si="107"/>
        <v>625</v>
      </c>
      <c r="B661" s="31" t="s">
        <v>603</v>
      </c>
      <c r="C661" s="15" t="s">
        <v>3</v>
      </c>
      <c r="D661" s="31" t="s">
        <v>500</v>
      </c>
      <c r="E661" s="31"/>
      <c r="F661" s="73" t="s">
        <v>4</v>
      </c>
      <c r="G661" s="32">
        <v>37693</v>
      </c>
      <c r="H661" s="29">
        <v>75541</v>
      </c>
      <c r="I661" s="17">
        <v>0</v>
      </c>
      <c r="J661" s="17">
        <f>H661-L661</f>
        <v>71763.95</v>
      </c>
      <c r="K661" s="17">
        <f t="shared" si="103"/>
        <v>3777.0500000000029</v>
      </c>
      <c r="L661" s="23">
        <f t="shared" si="110"/>
        <v>3777.05</v>
      </c>
      <c r="M661" s="33">
        <v>15</v>
      </c>
      <c r="N661" s="18">
        <f t="shared" si="104"/>
        <v>17.068493150684933</v>
      </c>
      <c r="O661" s="23">
        <v>5864.35</v>
      </c>
      <c r="P661" s="18">
        <f t="shared" si="105"/>
        <v>18.068493150684933</v>
      </c>
      <c r="Q661" s="18">
        <f t="shared" si="109"/>
        <v>1.8189894035458566E-13</v>
      </c>
      <c r="R661" s="18">
        <f t="shared" si="106"/>
        <v>5864.35</v>
      </c>
      <c r="S661" s="18">
        <f t="shared" si="108"/>
        <v>3777.05</v>
      </c>
    </row>
    <row r="662" spans="1:19" ht="15" customHeight="1" x14ac:dyDescent="0.2">
      <c r="A662" s="14">
        <f t="shared" si="107"/>
        <v>626</v>
      </c>
      <c r="B662" s="31" t="s">
        <v>604</v>
      </c>
      <c r="C662" s="15" t="s">
        <v>3</v>
      </c>
      <c r="D662" s="31" t="s">
        <v>500</v>
      </c>
      <c r="E662" s="31"/>
      <c r="F662" s="73" t="s">
        <v>4</v>
      </c>
      <c r="G662" s="32">
        <v>37693</v>
      </c>
      <c r="H662" s="29">
        <v>59127</v>
      </c>
      <c r="I662" s="17">
        <v>0</v>
      </c>
      <c r="J662" s="17">
        <f>H662-L662</f>
        <v>56170.65</v>
      </c>
      <c r="K662" s="17">
        <f t="shared" si="103"/>
        <v>2956.3499999999985</v>
      </c>
      <c r="L662" s="23">
        <f t="shared" si="110"/>
        <v>2956.3500000000004</v>
      </c>
      <c r="M662" s="33">
        <v>15</v>
      </c>
      <c r="N662" s="18">
        <f t="shared" si="104"/>
        <v>17.068493150684933</v>
      </c>
      <c r="O662" s="23">
        <v>77369.899999999994</v>
      </c>
      <c r="P662" s="18">
        <f t="shared" si="105"/>
        <v>18.068493150684933</v>
      </c>
      <c r="Q662" s="18">
        <f t="shared" si="109"/>
        <v>-1.2126596023639043E-13</v>
      </c>
      <c r="R662" s="18">
        <f t="shared" si="106"/>
        <v>77369.899999999994</v>
      </c>
      <c r="S662" s="18">
        <f t="shared" si="108"/>
        <v>2956.3500000000004</v>
      </c>
    </row>
    <row r="663" spans="1:19" ht="15" customHeight="1" x14ac:dyDescent="0.2">
      <c r="A663" s="14">
        <f t="shared" si="107"/>
        <v>627</v>
      </c>
      <c r="B663" s="31" t="s">
        <v>605</v>
      </c>
      <c r="C663" s="15" t="s">
        <v>3</v>
      </c>
      <c r="D663" s="31" t="s">
        <v>500</v>
      </c>
      <c r="E663" s="31"/>
      <c r="F663" s="73" t="s">
        <v>8</v>
      </c>
      <c r="G663" s="32">
        <v>40509</v>
      </c>
      <c r="H663" s="29">
        <v>1364604.3</v>
      </c>
      <c r="I663" s="17">
        <v>0</v>
      </c>
      <c r="J663" s="17">
        <v>277459.57128821919</v>
      </c>
      <c r="K663" s="17">
        <f t="shared" si="103"/>
        <v>1087144.7287117809</v>
      </c>
      <c r="L663" s="23">
        <f t="shared" si="110"/>
        <v>68230.215000000011</v>
      </c>
      <c r="M663" s="33">
        <v>25</v>
      </c>
      <c r="N663" s="18">
        <f t="shared" si="104"/>
        <v>9.3534246575342461</v>
      </c>
      <c r="O663" s="23">
        <v>209636.5</v>
      </c>
      <c r="P663" s="18">
        <f t="shared" si="105"/>
        <v>10.353424657534246</v>
      </c>
      <c r="Q663" s="18">
        <f t="shared" si="109"/>
        <v>40756.58054847124</v>
      </c>
      <c r="R663" s="18">
        <f t="shared" si="106"/>
        <v>250393.08054847125</v>
      </c>
      <c r="S663" s="18">
        <f t="shared" si="108"/>
        <v>68230.215000000011</v>
      </c>
    </row>
    <row r="664" spans="1:19" ht="15" customHeight="1" x14ac:dyDescent="0.2">
      <c r="A664" s="14">
        <f t="shared" si="107"/>
        <v>628</v>
      </c>
      <c r="B664" s="31" t="s">
        <v>606</v>
      </c>
      <c r="C664" s="15" t="s">
        <v>3</v>
      </c>
      <c r="D664" s="31" t="s">
        <v>500</v>
      </c>
      <c r="E664" s="31"/>
      <c r="F664" s="73" t="s">
        <v>11</v>
      </c>
      <c r="G664" s="32">
        <v>37210</v>
      </c>
      <c r="H664" s="29">
        <v>553905</v>
      </c>
      <c r="I664" s="17">
        <v>0</v>
      </c>
      <c r="J664" s="17">
        <v>302866.14871232875</v>
      </c>
      <c r="K664" s="17">
        <f t="shared" si="103"/>
        <v>251038.85128767125</v>
      </c>
      <c r="L664" s="23">
        <f t="shared" si="110"/>
        <v>27695.25</v>
      </c>
      <c r="M664" s="33">
        <v>25</v>
      </c>
      <c r="N664" s="18">
        <f t="shared" si="104"/>
        <v>18.391780821917809</v>
      </c>
      <c r="O664" s="23">
        <v>914753.1</v>
      </c>
      <c r="P664" s="18">
        <f t="shared" si="105"/>
        <v>19.391780821917809</v>
      </c>
      <c r="Q664" s="18">
        <f t="shared" si="109"/>
        <v>8933.7440515068502</v>
      </c>
      <c r="R664" s="18">
        <f t="shared" si="106"/>
        <v>923686.84405150684</v>
      </c>
      <c r="S664" s="18">
        <f t="shared" si="108"/>
        <v>27695.25</v>
      </c>
    </row>
    <row r="665" spans="1:19" ht="15" customHeight="1" x14ac:dyDescent="0.2">
      <c r="A665" s="14">
        <f t="shared" si="107"/>
        <v>629</v>
      </c>
      <c r="B665" s="31" t="s">
        <v>607</v>
      </c>
      <c r="C665" s="15" t="s">
        <v>3</v>
      </c>
      <c r="D665" s="31" t="s">
        <v>500</v>
      </c>
      <c r="E665" s="31"/>
      <c r="F665" s="73" t="s">
        <v>11</v>
      </c>
      <c r="G665" s="32">
        <v>38663</v>
      </c>
      <c r="H665" s="29">
        <v>424925.65</v>
      </c>
      <c r="I665" s="17">
        <v>0</v>
      </c>
      <c r="J665" s="17">
        <v>168063.33338438359</v>
      </c>
      <c r="K665" s="17">
        <f t="shared" si="103"/>
        <v>256862.31661561644</v>
      </c>
      <c r="L665" s="23">
        <f t="shared" si="110"/>
        <v>21246.282500000001</v>
      </c>
      <c r="M665" s="33">
        <v>25</v>
      </c>
      <c r="N665" s="18">
        <f t="shared" si="104"/>
        <v>14.41095890410959</v>
      </c>
      <c r="O665" s="23">
        <v>878265.5</v>
      </c>
      <c r="P665" s="18">
        <f t="shared" si="105"/>
        <v>15.41095890410959</v>
      </c>
      <c r="Q665" s="18">
        <f t="shared" si="109"/>
        <v>9424.6413646246583</v>
      </c>
      <c r="R665" s="18">
        <f t="shared" si="106"/>
        <v>887690.14136462461</v>
      </c>
      <c r="S665" s="18">
        <f t="shared" si="108"/>
        <v>21246.282500000001</v>
      </c>
    </row>
    <row r="666" spans="1:19" ht="15" customHeight="1" x14ac:dyDescent="0.2">
      <c r="A666" s="14">
        <f t="shared" si="107"/>
        <v>630</v>
      </c>
      <c r="B666" s="31" t="s">
        <v>599</v>
      </c>
      <c r="C666" s="15" t="s">
        <v>3</v>
      </c>
      <c r="D666" s="31" t="s">
        <v>500</v>
      </c>
      <c r="E666" s="31"/>
      <c r="F666" s="73" t="s">
        <v>17</v>
      </c>
      <c r="G666" s="32">
        <v>41618</v>
      </c>
      <c r="H666" s="29">
        <v>339279.63</v>
      </c>
      <c r="I666" s="17">
        <v>0</v>
      </c>
      <c r="J666" s="17">
        <v>29811.989844821914</v>
      </c>
      <c r="K666" s="17">
        <f t="shared" si="103"/>
        <v>309467.64015517809</v>
      </c>
      <c r="L666" s="23">
        <f t="shared" si="110"/>
        <v>16963.981500000002</v>
      </c>
      <c r="M666" s="33">
        <v>25</v>
      </c>
      <c r="N666" s="18">
        <f t="shared" si="104"/>
        <v>6.3150684931506849</v>
      </c>
      <c r="O666" s="23">
        <v>376170.55</v>
      </c>
      <c r="P666" s="18">
        <f t="shared" si="105"/>
        <v>7.3150684931506849</v>
      </c>
      <c r="Q666" s="18">
        <f t="shared" si="109"/>
        <v>11700.146346207124</v>
      </c>
      <c r="R666" s="18">
        <f t="shared" si="106"/>
        <v>387870.69634620711</v>
      </c>
      <c r="S666" s="18">
        <f t="shared" si="108"/>
        <v>16963.981500000002</v>
      </c>
    </row>
    <row r="667" spans="1:19" ht="15" customHeight="1" x14ac:dyDescent="0.2">
      <c r="A667" s="14">
        <f t="shared" si="107"/>
        <v>631</v>
      </c>
      <c r="B667" s="31" t="s">
        <v>604</v>
      </c>
      <c r="C667" s="15" t="s">
        <v>3</v>
      </c>
      <c r="D667" s="31" t="s">
        <v>500</v>
      </c>
      <c r="E667" s="31"/>
      <c r="F667" s="73" t="s">
        <v>4</v>
      </c>
      <c r="G667" s="32">
        <v>37784</v>
      </c>
      <c r="H667" s="29">
        <v>58194</v>
      </c>
      <c r="I667" s="17">
        <v>0</v>
      </c>
      <c r="J667" s="17">
        <f t="shared" ref="J667:J668" si="111">H667-L667</f>
        <v>55284.3</v>
      </c>
      <c r="K667" s="17">
        <f t="shared" si="103"/>
        <v>2909.6999999999971</v>
      </c>
      <c r="L667" s="23">
        <f t="shared" si="110"/>
        <v>2909.7000000000003</v>
      </c>
      <c r="M667" s="33">
        <v>15</v>
      </c>
      <c r="N667" s="18">
        <f t="shared" si="104"/>
        <v>16.81917808219178</v>
      </c>
      <c r="O667" s="23">
        <v>246829</v>
      </c>
      <c r="P667" s="18">
        <f t="shared" si="105"/>
        <v>17.81917808219178</v>
      </c>
      <c r="Q667" s="18">
        <f t="shared" si="109"/>
        <v>-2.1221543041368326E-13</v>
      </c>
      <c r="R667" s="18">
        <f t="shared" si="106"/>
        <v>246829</v>
      </c>
      <c r="S667" s="18">
        <f t="shared" si="108"/>
        <v>2909.7000000000003</v>
      </c>
    </row>
    <row r="668" spans="1:19" ht="15" customHeight="1" x14ac:dyDescent="0.2">
      <c r="A668" s="14">
        <f t="shared" si="107"/>
        <v>632</v>
      </c>
      <c r="B668" s="31" t="s">
        <v>608</v>
      </c>
      <c r="C668" s="15" t="s">
        <v>3</v>
      </c>
      <c r="D668" s="31" t="s">
        <v>500</v>
      </c>
      <c r="E668" s="31"/>
      <c r="F668" s="73" t="s">
        <v>4</v>
      </c>
      <c r="G668" s="32">
        <v>37925</v>
      </c>
      <c r="H668" s="29">
        <v>3607</v>
      </c>
      <c r="I668" s="17">
        <v>0</v>
      </c>
      <c r="J668" s="17">
        <f t="shared" si="111"/>
        <v>3426.65</v>
      </c>
      <c r="K668" s="17">
        <f t="shared" si="103"/>
        <v>180.34999999999991</v>
      </c>
      <c r="L668" s="23">
        <f t="shared" si="110"/>
        <v>180.35000000000002</v>
      </c>
      <c r="M668" s="33">
        <v>15</v>
      </c>
      <c r="N668" s="18">
        <f t="shared" si="104"/>
        <v>16.432876712328767</v>
      </c>
      <c r="O668" s="23">
        <v>217575.65</v>
      </c>
      <c r="P668" s="18">
        <f t="shared" si="105"/>
        <v>17.432876712328767</v>
      </c>
      <c r="Q668" s="18">
        <f t="shared" si="109"/>
        <v>-7.5791225147744019E-15</v>
      </c>
      <c r="R668" s="18">
        <f t="shared" si="106"/>
        <v>217575.65</v>
      </c>
      <c r="S668" s="18">
        <f t="shared" si="108"/>
        <v>180.35000000000002</v>
      </c>
    </row>
    <row r="669" spans="1:19" ht="15" customHeight="1" x14ac:dyDescent="0.2">
      <c r="A669" s="14">
        <f t="shared" si="107"/>
        <v>633</v>
      </c>
      <c r="B669" s="31" t="s">
        <v>609</v>
      </c>
      <c r="C669" s="15" t="s">
        <v>3</v>
      </c>
      <c r="D669" s="31" t="s">
        <v>500</v>
      </c>
      <c r="E669" s="31"/>
      <c r="F669" s="73" t="s">
        <v>11</v>
      </c>
      <c r="G669" s="32">
        <v>35476</v>
      </c>
      <c r="H669" s="29">
        <v>2099901</v>
      </c>
      <c r="I669" s="17">
        <v>0</v>
      </c>
      <c r="J669" s="17">
        <v>1527278.1333369862</v>
      </c>
      <c r="K669" s="17">
        <f t="shared" si="103"/>
        <v>572622.86666301382</v>
      </c>
      <c r="L669" s="23">
        <f t="shared" si="110"/>
        <v>104995.05</v>
      </c>
      <c r="M669" s="33">
        <v>25</v>
      </c>
      <c r="N669" s="18">
        <f t="shared" si="104"/>
        <v>23.142465753424659</v>
      </c>
      <c r="O669" s="23">
        <v>1152268.3</v>
      </c>
      <c r="P669" s="18">
        <f t="shared" si="105"/>
        <v>24.142465753424659</v>
      </c>
      <c r="Q669" s="18">
        <f t="shared" si="109"/>
        <v>18705.112666520552</v>
      </c>
      <c r="R669" s="18">
        <f t="shared" si="106"/>
        <v>1170973.4126665206</v>
      </c>
      <c r="S669" s="18">
        <f t="shared" si="108"/>
        <v>104995.05</v>
      </c>
    </row>
    <row r="670" spans="1:19" ht="15" customHeight="1" x14ac:dyDescent="0.2">
      <c r="A670" s="14">
        <f t="shared" si="107"/>
        <v>634</v>
      </c>
      <c r="B670" s="31" t="s">
        <v>610</v>
      </c>
      <c r="C670" s="15" t="s">
        <v>3</v>
      </c>
      <c r="D670" s="31" t="s">
        <v>500</v>
      </c>
      <c r="E670" s="31"/>
      <c r="F670" s="73" t="s">
        <v>13</v>
      </c>
      <c r="G670" s="32">
        <v>38707</v>
      </c>
      <c r="H670" s="29">
        <v>364087</v>
      </c>
      <c r="I670" s="17">
        <v>0</v>
      </c>
      <c r="J670" s="17">
        <v>142333.07953424659</v>
      </c>
      <c r="K670" s="17">
        <f t="shared" si="103"/>
        <v>221753.92046575341</v>
      </c>
      <c r="L670" s="23">
        <f t="shared" si="110"/>
        <v>18204.350000000002</v>
      </c>
      <c r="M670" s="33">
        <v>25</v>
      </c>
      <c r="N670" s="18">
        <f t="shared" si="104"/>
        <v>14.29041095890411</v>
      </c>
      <c r="O670" s="23">
        <v>471989.45</v>
      </c>
      <c r="P670" s="18">
        <f t="shared" si="105"/>
        <v>15.29041095890411</v>
      </c>
      <c r="Q670" s="18">
        <f t="shared" si="109"/>
        <v>8141.9828186301365</v>
      </c>
      <c r="R670" s="18">
        <f t="shared" si="106"/>
        <v>480131.43281863013</v>
      </c>
      <c r="S670" s="18">
        <f t="shared" si="108"/>
        <v>18204.350000000002</v>
      </c>
    </row>
    <row r="671" spans="1:19" ht="15" customHeight="1" x14ac:dyDescent="0.2">
      <c r="A671" s="14">
        <f t="shared" si="107"/>
        <v>635</v>
      </c>
      <c r="B671" s="31" t="s">
        <v>611</v>
      </c>
      <c r="C671" s="15" t="s">
        <v>3</v>
      </c>
      <c r="D671" s="31" t="s">
        <v>500</v>
      </c>
      <c r="E671" s="31"/>
      <c r="F671" s="73" t="s">
        <v>13</v>
      </c>
      <c r="G671" s="32">
        <v>38297</v>
      </c>
      <c r="H671" s="29">
        <v>378097.09</v>
      </c>
      <c r="I671" s="17">
        <v>0</v>
      </c>
      <c r="J671" s="17">
        <v>163949.11351863015</v>
      </c>
      <c r="K671" s="17">
        <f t="shared" si="103"/>
        <v>214147.97648136987</v>
      </c>
      <c r="L671" s="23">
        <f t="shared" si="110"/>
        <v>18904.854500000001</v>
      </c>
      <c r="M671" s="33">
        <v>25</v>
      </c>
      <c r="N671" s="18">
        <f t="shared" si="104"/>
        <v>15.413698630136986</v>
      </c>
      <c r="O671" s="23">
        <v>84721</v>
      </c>
      <c r="P671" s="18">
        <f t="shared" si="105"/>
        <v>16.413698630136988</v>
      </c>
      <c r="Q671" s="18">
        <f t="shared" si="109"/>
        <v>7809.724879254808</v>
      </c>
      <c r="R671" s="18">
        <f t="shared" si="106"/>
        <v>92530.724879254805</v>
      </c>
      <c r="S671" s="18">
        <f t="shared" si="108"/>
        <v>18904.854500000001</v>
      </c>
    </row>
    <row r="672" spans="1:19" ht="15" customHeight="1" x14ac:dyDescent="0.2">
      <c r="A672" s="14">
        <f t="shared" si="107"/>
        <v>636</v>
      </c>
      <c r="B672" s="31" t="s">
        <v>612</v>
      </c>
      <c r="C672" s="15" t="s">
        <v>3</v>
      </c>
      <c r="D672" s="31" t="s">
        <v>500</v>
      </c>
      <c r="E672" s="31"/>
      <c r="F672" s="70" t="s">
        <v>7</v>
      </c>
      <c r="G672" s="32">
        <v>37587</v>
      </c>
      <c r="H672" s="29">
        <v>401425</v>
      </c>
      <c r="I672" s="17">
        <v>0</v>
      </c>
      <c r="J672" s="17">
        <v>203736.93493150684</v>
      </c>
      <c r="K672" s="17">
        <f t="shared" si="103"/>
        <v>197688.06506849316</v>
      </c>
      <c r="L672" s="23">
        <f t="shared" si="110"/>
        <v>20071.25</v>
      </c>
      <c r="M672" s="33">
        <v>25</v>
      </c>
      <c r="N672" s="18">
        <f t="shared" si="104"/>
        <v>17.358904109589041</v>
      </c>
      <c r="O672" s="23">
        <v>346665.45</v>
      </c>
      <c r="P672" s="18">
        <f t="shared" si="105"/>
        <v>18.358904109589041</v>
      </c>
      <c r="Q672" s="18">
        <f t="shared" si="109"/>
        <v>7104.6726027397262</v>
      </c>
      <c r="R672" s="18">
        <f t="shared" si="106"/>
        <v>353770.12260273972</v>
      </c>
      <c r="S672" s="18">
        <f t="shared" si="108"/>
        <v>20071.25</v>
      </c>
    </row>
    <row r="673" spans="1:19" ht="15" customHeight="1" x14ac:dyDescent="0.2">
      <c r="A673" s="14">
        <f t="shared" si="107"/>
        <v>637</v>
      </c>
      <c r="B673" s="31" t="s">
        <v>613</v>
      </c>
      <c r="C673" s="15" t="s">
        <v>3</v>
      </c>
      <c r="D673" s="31" t="s">
        <v>500</v>
      </c>
      <c r="E673" s="31"/>
      <c r="F673" s="73" t="s">
        <v>4</v>
      </c>
      <c r="G673" s="32">
        <v>35751</v>
      </c>
      <c r="H673" s="29">
        <v>1038465</v>
      </c>
      <c r="I673" s="17">
        <v>0</v>
      </c>
      <c r="J673" s="17">
        <v>725554.15717808215</v>
      </c>
      <c r="K673" s="17">
        <f t="shared" si="103"/>
        <v>312910.84282191785</v>
      </c>
      <c r="L673" s="23">
        <f t="shared" si="110"/>
        <v>51923.25</v>
      </c>
      <c r="M673" s="33">
        <v>25</v>
      </c>
      <c r="N673" s="18">
        <f t="shared" si="104"/>
        <v>22.389041095890413</v>
      </c>
      <c r="O673" s="23">
        <v>855526.3</v>
      </c>
      <c r="P673" s="18">
        <f t="shared" si="105"/>
        <v>23.389041095890413</v>
      </c>
      <c r="Q673" s="18">
        <f t="shared" si="109"/>
        <v>10439.503712876714</v>
      </c>
      <c r="R673" s="18">
        <f t="shared" si="106"/>
        <v>865965.80371287675</v>
      </c>
      <c r="S673" s="18">
        <f t="shared" si="108"/>
        <v>51923.25</v>
      </c>
    </row>
    <row r="674" spans="1:19" ht="15" customHeight="1" x14ac:dyDescent="0.2">
      <c r="A674" s="14">
        <f t="shared" si="107"/>
        <v>638</v>
      </c>
      <c r="B674" s="31" t="s">
        <v>614</v>
      </c>
      <c r="C674" s="15" t="s">
        <v>3</v>
      </c>
      <c r="D674" s="31" t="s">
        <v>500</v>
      </c>
      <c r="E674" s="31"/>
      <c r="F674" s="73" t="s">
        <v>11</v>
      </c>
      <c r="G674" s="32">
        <v>39033</v>
      </c>
      <c r="H674" s="29">
        <v>301526.13</v>
      </c>
      <c r="I674" s="17">
        <v>0</v>
      </c>
      <c r="J674" s="17">
        <v>107642.3501130411</v>
      </c>
      <c r="K674" s="17">
        <f t="shared" si="103"/>
        <v>193883.77988695889</v>
      </c>
      <c r="L674" s="23">
        <f t="shared" si="110"/>
        <v>15076.306500000001</v>
      </c>
      <c r="M674" s="33">
        <v>25</v>
      </c>
      <c r="N674" s="18">
        <f t="shared" si="104"/>
        <v>13.397260273972602</v>
      </c>
      <c r="O674" s="23">
        <v>4738.6000000000004</v>
      </c>
      <c r="P674" s="18">
        <f t="shared" si="105"/>
        <v>14.397260273972602</v>
      </c>
      <c r="Q674" s="18">
        <f t="shared" si="109"/>
        <v>7152.2989354783558</v>
      </c>
      <c r="R674" s="18">
        <f t="shared" si="106"/>
        <v>11890.898935478355</v>
      </c>
      <c r="S674" s="18">
        <f t="shared" si="108"/>
        <v>15076.306500000001</v>
      </c>
    </row>
    <row r="675" spans="1:19" ht="15" customHeight="1" x14ac:dyDescent="0.2">
      <c r="A675" s="14">
        <f t="shared" si="107"/>
        <v>639</v>
      </c>
      <c r="B675" s="31" t="s">
        <v>615</v>
      </c>
      <c r="C675" s="15" t="s">
        <v>3</v>
      </c>
      <c r="D675" s="31" t="s">
        <v>500</v>
      </c>
      <c r="E675" s="31"/>
      <c r="F675" s="73" t="s">
        <v>11</v>
      </c>
      <c r="G675" s="32">
        <v>38663</v>
      </c>
      <c r="H675" s="29">
        <v>308460.27</v>
      </c>
      <c r="I675" s="17">
        <v>0</v>
      </c>
      <c r="J675" s="17">
        <v>121999.83971983563</v>
      </c>
      <c r="K675" s="17">
        <f t="shared" si="103"/>
        <v>186460.43028016441</v>
      </c>
      <c r="L675" s="23">
        <f t="shared" si="110"/>
        <v>15423.013500000001</v>
      </c>
      <c r="M675" s="33">
        <v>25</v>
      </c>
      <c r="N675" s="18">
        <f t="shared" si="104"/>
        <v>14.41095890410959</v>
      </c>
      <c r="O675" s="23">
        <v>21522.25</v>
      </c>
      <c r="P675" s="18">
        <f t="shared" si="105"/>
        <v>15.41095890410959</v>
      </c>
      <c r="Q675" s="18">
        <f t="shared" si="109"/>
        <v>6841.4966712065761</v>
      </c>
      <c r="R675" s="18">
        <f t="shared" si="106"/>
        <v>28363.746671206576</v>
      </c>
      <c r="S675" s="18">
        <f t="shared" si="108"/>
        <v>15423.013500000001</v>
      </c>
    </row>
    <row r="676" spans="1:19" ht="15" customHeight="1" x14ac:dyDescent="0.2">
      <c r="A676" s="14">
        <f t="shared" si="107"/>
        <v>640</v>
      </c>
      <c r="B676" s="31" t="s">
        <v>616</v>
      </c>
      <c r="C676" s="15" t="s">
        <v>3</v>
      </c>
      <c r="D676" s="31" t="s">
        <v>500</v>
      </c>
      <c r="E676" s="31"/>
      <c r="F676" s="73" t="s">
        <v>11</v>
      </c>
      <c r="G676" s="32">
        <v>39415</v>
      </c>
      <c r="H676" s="29">
        <v>275592.46999999997</v>
      </c>
      <c r="I676" s="17">
        <v>0</v>
      </c>
      <c r="J676" s="17">
        <v>87423.971866904089</v>
      </c>
      <c r="K676" s="17">
        <f t="shared" si="103"/>
        <v>188168.49813309588</v>
      </c>
      <c r="L676" s="23">
        <f t="shared" si="110"/>
        <v>13779.6235</v>
      </c>
      <c r="M676" s="33">
        <v>25</v>
      </c>
      <c r="N676" s="18">
        <f t="shared" si="104"/>
        <v>12.35068493150685</v>
      </c>
      <c r="O676" s="23">
        <v>9204.5499999999993</v>
      </c>
      <c r="P676" s="18">
        <f t="shared" si="105"/>
        <v>13.35068493150685</v>
      </c>
      <c r="Q676" s="18">
        <f t="shared" si="109"/>
        <v>6975.5549853238363</v>
      </c>
      <c r="R676" s="18">
        <f t="shared" si="106"/>
        <v>16180.104985323836</v>
      </c>
      <c r="S676" s="18">
        <f t="shared" si="108"/>
        <v>13779.6235</v>
      </c>
    </row>
    <row r="677" spans="1:19" ht="15" customHeight="1" x14ac:dyDescent="0.2">
      <c r="A677" s="14">
        <f t="shared" si="107"/>
        <v>641</v>
      </c>
      <c r="B677" s="31" t="s">
        <v>617</v>
      </c>
      <c r="C677" s="15" t="s">
        <v>3</v>
      </c>
      <c r="D677" s="31" t="s">
        <v>500</v>
      </c>
      <c r="E677" s="31"/>
      <c r="F677" s="73" t="s">
        <v>13</v>
      </c>
      <c r="G677" s="32">
        <v>35504</v>
      </c>
      <c r="H677" s="29">
        <v>1418207</v>
      </c>
      <c r="I677" s="17">
        <v>0</v>
      </c>
      <c r="J677" s="17">
        <v>1027341.3798027396</v>
      </c>
      <c r="K677" s="17">
        <f t="shared" ref="K677:K740" si="112">H677+I677-J677</f>
        <v>390865.6201972604</v>
      </c>
      <c r="L677" s="23">
        <f t="shared" si="110"/>
        <v>70910.350000000006</v>
      </c>
      <c r="M677" s="33">
        <v>25</v>
      </c>
      <c r="N677" s="18">
        <f t="shared" ref="N677:N740" si="113">IF(($N$35-G677+1)/365&gt;0,($N$35-G677+1)/365,0)</f>
        <v>23.065753424657533</v>
      </c>
      <c r="O677" s="23">
        <v>181329.35</v>
      </c>
      <c r="P677" s="18">
        <f t="shared" ref="P677:P740" si="114">($P$35-G677+1)/365</f>
        <v>24.065753424657533</v>
      </c>
      <c r="Q677" s="18">
        <f t="shared" si="109"/>
        <v>12798.210807890417</v>
      </c>
      <c r="R677" s="18">
        <f t="shared" ref="R677:R740" si="115">Q677+O677</f>
        <v>194127.56080789043</v>
      </c>
      <c r="S677" s="18">
        <f t="shared" si="108"/>
        <v>70910.350000000006</v>
      </c>
    </row>
    <row r="678" spans="1:19" ht="15" customHeight="1" x14ac:dyDescent="0.2">
      <c r="A678" s="14">
        <f t="shared" si="107"/>
        <v>642</v>
      </c>
      <c r="B678" s="31" t="s">
        <v>618</v>
      </c>
      <c r="C678" s="15" t="s">
        <v>3</v>
      </c>
      <c r="D678" s="31" t="s">
        <v>500</v>
      </c>
      <c r="E678" s="31"/>
      <c r="F678" s="73" t="s">
        <v>11</v>
      </c>
      <c r="G678" s="32">
        <v>35751</v>
      </c>
      <c r="H678" s="29">
        <v>876330</v>
      </c>
      <c r="I678" s="17">
        <v>0</v>
      </c>
      <c r="J678" s="17">
        <v>612273.76421917812</v>
      </c>
      <c r="K678" s="17">
        <f t="shared" si="112"/>
        <v>264056.23578082188</v>
      </c>
      <c r="L678" s="23">
        <f t="shared" si="110"/>
        <v>43816.5</v>
      </c>
      <c r="M678" s="33">
        <v>25</v>
      </c>
      <c r="N678" s="18">
        <f t="shared" si="113"/>
        <v>22.389041095890413</v>
      </c>
      <c r="O678" s="23">
        <v>63463.8</v>
      </c>
      <c r="P678" s="18">
        <f t="shared" si="114"/>
        <v>23.389041095890413</v>
      </c>
      <c r="Q678" s="18">
        <f t="shared" si="109"/>
        <v>8809.5894312328746</v>
      </c>
      <c r="R678" s="18">
        <f t="shared" si="115"/>
        <v>72273.389431232878</v>
      </c>
      <c r="S678" s="18">
        <f t="shared" si="108"/>
        <v>43816.5</v>
      </c>
    </row>
    <row r="679" spans="1:19" ht="15" customHeight="1" x14ac:dyDescent="0.2">
      <c r="A679" s="14">
        <f t="shared" ref="A679:A742" si="116">+A678+1</f>
        <v>643</v>
      </c>
      <c r="B679" s="31" t="s">
        <v>619</v>
      </c>
      <c r="C679" s="15" t="s">
        <v>3</v>
      </c>
      <c r="D679" s="31" t="s">
        <v>500</v>
      </c>
      <c r="E679" s="31"/>
      <c r="F679" s="73" t="s">
        <v>4</v>
      </c>
      <c r="G679" s="32">
        <v>38727</v>
      </c>
      <c r="H679" s="29">
        <v>275395.34999999998</v>
      </c>
      <c r="I679" s="17">
        <v>0</v>
      </c>
      <c r="J679" s="17">
        <v>107087.29322054794</v>
      </c>
      <c r="K679" s="17">
        <f t="shared" si="112"/>
        <v>168308.05677945202</v>
      </c>
      <c r="L679" s="23">
        <f t="shared" si="110"/>
        <v>13769.7675</v>
      </c>
      <c r="M679" s="33">
        <v>25</v>
      </c>
      <c r="N679" s="18">
        <f t="shared" si="113"/>
        <v>14.235616438356164</v>
      </c>
      <c r="O679" s="23">
        <v>550360.65</v>
      </c>
      <c r="P679" s="18">
        <f t="shared" si="114"/>
        <v>15.235616438356164</v>
      </c>
      <c r="Q679" s="18">
        <f t="shared" si="109"/>
        <v>6181.5315711780813</v>
      </c>
      <c r="R679" s="18">
        <f t="shared" si="115"/>
        <v>556542.18157117814</v>
      </c>
      <c r="S679" s="18">
        <f t="shared" ref="S679:S742" si="117">+IF(N679&gt;P679,0,L679)</f>
        <v>13769.7675</v>
      </c>
    </row>
    <row r="680" spans="1:19" ht="15" customHeight="1" x14ac:dyDescent="0.2">
      <c r="A680" s="14">
        <f t="shared" si="116"/>
        <v>644</v>
      </c>
      <c r="B680" s="31" t="s">
        <v>620</v>
      </c>
      <c r="C680" s="15" t="s">
        <v>3</v>
      </c>
      <c r="D680" s="31" t="s">
        <v>500</v>
      </c>
      <c r="E680" s="31"/>
      <c r="F680" s="73" t="s">
        <v>10</v>
      </c>
      <c r="G680" s="32">
        <v>35751</v>
      </c>
      <c r="H680" s="29">
        <v>807011</v>
      </c>
      <c r="I680" s="17">
        <v>0</v>
      </c>
      <c r="J680" s="17">
        <v>563842.0032821917</v>
      </c>
      <c r="K680" s="17">
        <f t="shared" si="112"/>
        <v>243168.9967178083</v>
      </c>
      <c r="L680" s="23">
        <f t="shared" si="110"/>
        <v>40350.550000000003</v>
      </c>
      <c r="M680" s="33">
        <v>25</v>
      </c>
      <c r="N680" s="18">
        <f t="shared" si="113"/>
        <v>22.389041095890413</v>
      </c>
      <c r="O680" s="23">
        <v>54079.7</v>
      </c>
      <c r="P680" s="18">
        <f t="shared" si="114"/>
        <v>23.389041095890413</v>
      </c>
      <c r="Q680" s="18">
        <f t="shared" si="109"/>
        <v>8112.7378687123328</v>
      </c>
      <c r="R680" s="18">
        <f t="shared" si="115"/>
        <v>62192.437868712332</v>
      </c>
      <c r="S680" s="18">
        <f t="shared" si="117"/>
        <v>40350.550000000003</v>
      </c>
    </row>
    <row r="681" spans="1:19" ht="15" customHeight="1" x14ac:dyDescent="0.2">
      <c r="A681" s="14">
        <f t="shared" si="116"/>
        <v>645</v>
      </c>
      <c r="B681" s="31" t="s">
        <v>621</v>
      </c>
      <c r="C681" s="15" t="s">
        <v>3</v>
      </c>
      <c r="D681" s="31" t="s">
        <v>500</v>
      </c>
      <c r="E681" s="31"/>
      <c r="F681" s="73" t="s">
        <v>11</v>
      </c>
      <c r="G681" s="32">
        <v>35397</v>
      </c>
      <c r="H681" s="29">
        <v>1780725</v>
      </c>
      <c r="I681" s="17">
        <v>0</v>
      </c>
      <c r="J681" s="17">
        <v>1309784.2212328769</v>
      </c>
      <c r="K681" s="17">
        <f t="shared" si="112"/>
        <v>470940.77876712312</v>
      </c>
      <c r="L681" s="23">
        <f t="shared" si="110"/>
        <v>89036.25</v>
      </c>
      <c r="M681" s="33">
        <v>25</v>
      </c>
      <c r="N681" s="18">
        <f t="shared" si="113"/>
        <v>23.358904109589041</v>
      </c>
      <c r="O681" s="23">
        <v>3764798.7</v>
      </c>
      <c r="P681" s="18">
        <f t="shared" si="114"/>
        <v>24.358904109589041</v>
      </c>
      <c r="Q681" s="18">
        <f t="shared" si="109"/>
        <v>15276.181150684924</v>
      </c>
      <c r="R681" s="18">
        <f t="shared" si="115"/>
        <v>3780074.8811506853</v>
      </c>
      <c r="S681" s="18">
        <f t="shared" si="117"/>
        <v>89036.25</v>
      </c>
    </row>
    <row r="682" spans="1:19" ht="15" customHeight="1" x14ac:dyDescent="0.2">
      <c r="A682" s="14">
        <f t="shared" si="116"/>
        <v>646</v>
      </c>
      <c r="B682" s="31" t="s">
        <v>622</v>
      </c>
      <c r="C682" s="15" t="s">
        <v>3</v>
      </c>
      <c r="D682" s="31" t="s">
        <v>500</v>
      </c>
      <c r="E682" s="31"/>
      <c r="F682" s="73" t="s">
        <v>11</v>
      </c>
      <c r="G682" s="32">
        <v>37210</v>
      </c>
      <c r="H682" s="29">
        <v>328957</v>
      </c>
      <c r="I682" s="17">
        <v>0</v>
      </c>
      <c r="J682" s="17">
        <v>179868.28008767127</v>
      </c>
      <c r="K682" s="17">
        <f t="shared" si="112"/>
        <v>149088.71991232873</v>
      </c>
      <c r="L682" s="23">
        <f t="shared" si="110"/>
        <v>16447.850000000002</v>
      </c>
      <c r="M682" s="33">
        <v>25</v>
      </c>
      <c r="N682" s="18">
        <f t="shared" si="113"/>
        <v>18.391780821917809</v>
      </c>
      <c r="O682" s="23">
        <v>2582336.5499999998</v>
      </c>
      <c r="P682" s="18">
        <f t="shared" si="114"/>
        <v>19.391780821917809</v>
      </c>
      <c r="Q682" s="18">
        <f t="shared" si="109"/>
        <v>5305.6347964931492</v>
      </c>
      <c r="R682" s="18">
        <f t="shared" si="115"/>
        <v>2587642.184796493</v>
      </c>
      <c r="S682" s="18">
        <f t="shared" si="117"/>
        <v>16447.850000000002</v>
      </c>
    </row>
    <row r="683" spans="1:19" ht="15" customHeight="1" x14ac:dyDescent="0.2">
      <c r="A683" s="14">
        <f t="shared" si="116"/>
        <v>647</v>
      </c>
      <c r="B683" s="31" t="s">
        <v>623</v>
      </c>
      <c r="C683" s="15" t="s">
        <v>3</v>
      </c>
      <c r="D683" s="31" t="s">
        <v>500</v>
      </c>
      <c r="E683" s="31"/>
      <c r="F683" s="73" t="s">
        <v>11</v>
      </c>
      <c r="G683" s="32">
        <v>38663</v>
      </c>
      <c r="H683" s="29">
        <v>252901.95</v>
      </c>
      <c r="I683" s="17">
        <v>0</v>
      </c>
      <c r="J683" s="17">
        <v>100025.83919424658</v>
      </c>
      <c r="K683" s="17">
        <f t="shared" si="112"/>
        <v>152876.11080575344</v>
      </c>
      <c r="L683" s="23">
        <f t="shared" si="110"/>
        <v>12645.097500000002</v>
      </c>
      <c r="M683" s="33">
        <v>25</v>
      </c>
      <c r="N683" s="18">
        <f t="shared" si="113"/>
        <v>14.41095890410959</v>
      </c>
      <c r="O683" s="23">
        <v>9204.5499999999993</v>
      </c>
      <c r="P683" s="18">
        <f t="shared" si="114"/>
        <v>15.41095890410959</v>
      </c>
      <c r="Q683" s="18">
        <f t="shared" si="109"/>
        <v>5609.2405322301374</v>
      </c>
      <c r="R683" s="18">
        <f t="shared" si="115"/>
        <v>14813.790532230138</v>
      </c>
      <c r="S683" s="18">
        <f t="shared" si="117"/>
        <v>12645.097500000002</v>
      </c>
    </row>
    <row r="684" spans="1:19" ht="15" customHeight="1" x14ac:dyDescent="0.2">
      <c r="A684" s="14">
        <f t="shared" si="116"/>
        <v>648</v>
      </c>
      <c r="B684" s="31" t="s">
        <v>624</v>
      </c>
      <c r="C684" s="15" t="s">
        <v>3</v>
      </c>
      <c r="D684" s="31" t="s">
        <v>500</v>
      </c>
      <c r="E684" s="31"/>
      <c r="F684" s="73" t="s">
        <v>11</v>
      </c>
      <c r="G684" s="32">
        <v>36885</v>
      </c>
      <c r="H684" s="29">
        <v>349020</v>
      </c>
      <c r="I684" s="17">
        <v>0</v>
      </c>
      <c r="J684" s="17">
        <v>202647.70553424658</v>
      </c>
      <c r="K684" s="17">
        <f t="shared" si="112"/>
        <v>146372.29446575342</v>
      </c>
      <c r="L684" s="23">
        <f t="shared" si="110"/>
        <v>17451</v>
      </c>
      <c r="M684" s="33">
        <v>25</v>
      </c>
      <c r="N684" s="18">
        <f t="shared" si="113"/>
        <v>19.282191780821918</v>
      </c>
      <c r="O684" s="23">
        <v>1963448.6</v>
      </c>
      <c r="P684" s="18">
        <f t="shared" si="114"/>
        <v>20.282191780821918</v>
      </c>
      <c r="Q684" s="18">
        <f t="shared" si="109"/>
        <v>5156.8517786301372</v>
      </c>
      <c r="R684" s="18">
        <f t="shared" si="115"/>
        <v>1968605.4517786303</v>
      </c>
      <c r="S684" s="18">
        <f t="shared" si="117"/>
        <v>17451</v>
      </c>
    </row>
    <row r="685" spans="1:19" ht="15" customHeight="1" x14ac:dyDescent="0.2">
      <c r="A685" s="14">
        <f t="shared" si="116"/>
        <v>649</v>
      </c>
      <c r="B685" s="31" t="s">
        <v>625</v>
      </c>
      <c r="C685" s="15" t="s">
        <v>3</v>
      </c>
      <c r="D685" s="31" t="s">
        <v>500</v>
      </c>
      <c r="E685" s="31"/>
      <c r="F685" s="73" t="s">
        <v>11</v>
      </c>
      <c r="G685" s="32">
        <v>36250</v>
      </c>
      <c r="H685" s="29">
        <v>437192</v>
      </c>
      <c r="I685" s="17">
        <v>0</v>
      </c>
      <c r="J685" s="17">
        <v>282744.64315616444</v>
      </c>
      <c r="K685" s="17">
        <f t="shared" si="112"/>
        <v>154447.35684383556</v>
      </c>
      <c r="L685" s="23">
        <f t="shared" si="110"/>
        <v>21859.600000000002</v>
      </c>
      <c r="M685" s="33">
        <v>25</v>
      </c>
      <c r="N685" s="18">
        <f t="shared" si="113"/>
        <v>21.021917808219179</v>
      </c>
      <c r="O685" s="23">
        <v>440119.8</v>
      </c>
      <c r="P685" s="18">
        <f t="shared" si="114"/>
        <v>22.021917808219179</v>
      </c>
      <c r="Q685" s="18">
        <f t="shared" si="109"/>
        <v>5303.5102737534226</v>
      </c>
      <c r="R685" s="18">
        <f t="shared" si="115"/>
        <v>445423.31027375342</v>
      </c>
      <c r="S685" s="18">
        <f t="shared" si="117"/>
        <v>21859.600000000002</v>
      </c>
    </row>
    <row r="686" spans="1:19" ht="15" customHeight="1" x14ac:dyDescent="0.2">
      <c r="A686" s="14">
        <f t="shared" si="116"/>
        <v>650</v>
      </c>
      <c r="B686" s="31" t="s">
        <v>626</v>
      </c>
      <c r="C686" s="15" t="s">
        <v>3</v>
      </c>
      <c r="D686" s="31" t="s">
        <v>500</v>
      </c>
      <c r="E686" s="31"/>
      <c r="F686" s="73" t="s">
        <v>11</v>
      </c>
      <c r="G686" s="32">
        <v>36525</v>
      </c>
      <c r="H686" s="29">
        <v>372698</v>
      </c>
      <c r="I686" s="17">
        <v>0</v>
      </c>
      <c r="J686" s="17">
        <v>230364.12325479454</v>
      </c>
      <c r="K686" s="17">
        <f t="shared" si="112"/>
        <v>142333.87674520546</v>
      </c>
      <c r="L686" s="23">
        <f t="shared" si="110"/>
        <v>18634.900000000001</v>
      </c>
      <c r="M686" s="33">
        <v>25</v>
      </c>
      <c r="N686" s="18">
        <f t="shared" si="113"/>
        <v>20.268493150684932</v>
      </c>
      <c r="O686" s="23">
        <v>67946.850000000006</v>
      </c>
      <c r="P686" s="18">
        <f t="shared" si="114"/>
        <v>21.268493150684932</v>
      </c>
      <c r="Q686" s="18">
        <f t="shared" si="109"/>
        <v>4947.9590698082184</v>
      </c>
      <c r="R686" s="18">
        <f t="shared" si="115"/>
        <v>72894.809069808223</v>
      </c>
      <c r="S686" s="18">
        <f t="shared" si="117"/>
        <v>18634.900000000001</v>
      </c>
    </row>
    <row r="687" spans="1:19" ht="15" customHeight="1" x14ac:dyDescent="0.2">
      <c r="A687" s="14">
        <f t="shared" si="116"/>
        <v>651</v>
      </c>
      <c r="B687" s="31" t="s">
        <v>627</v>
      </c>
      <c r="C687" s="15" t="s">
        <v>3</v>
      </c>
      <c r="D687" s="31" t="s">
        <v>500</v>
      </c>
      <c r="E687" s="31"/>
      <c r="F687" s="73" t="s">
        <v>14</v>
      </c>
      <c r="G687" s="32">
        <v>38663</v>
      </c>
      <c r="H687" s="29">
        <v>218300.96</v>
      </c>
      <c r="I687" s="17">
        <v>0</v>
      </c>
      <c r="J687" s="17">
        <v>86340.721061698612</v>
      </c>
      <c r="K687" s="17">
        <f t="shared" si="112"/>
        <v>131960.23893830139</v>
      </c>
      <c r="L687" s="23">
        <f t="shared" si="110"/>
        <v>10915.048000000001</v>
      </c>
      <c r="M687" s="33">
        <v>25</v>
      </c>
      <c r="N687" s="18">
        <f t="shared" si="113"/>
        <v>14.41095890410959</v>
      </c>
      <c r="O687" s="23">
        <v>5641482.8499999996</v>
      </c>
      <c r="P687" s="18">
        <f t="shared" si="114"/>
        <v>15.41095890410959</v>
      </c>
      <c r="Q687" s="18">
        <f t="shared" si="109"/>
        <v>4841.8076375320561</v>
      </c>
      <c r="R687" s="18">
        <f t="shared" si="115"/>
        <v>5646324.6576375319</v>
      </c>
      <c r="S687" s="18">
        <f t="shared" si="117"/>
        <v>10915.048000000001</v>
      </c>
    </row>
    <row r="688" spans="1:19" ht="15" customHeight="1" x14ac:dyDescent="0.2">
      <c r="A688" s="14">
        <f t="shared" si="116"/>
        <v>652</v>
      </c>
      <c r="B688" s="31" t="s">
        <v>628</v>
      </c>
      <c r="C688" s="15" t="s">
        <v>3</v>
      </c>
      <c r="D688" s="31" t="s">
        <v>500</v>
      </c>
      <c r="E688" s="31"/>
      <c r="F688" s="73" t="s">
        <v>6</v>
      </c>
      <c r="G688" s="32">
        <v>37210</v>
      </c>
      <c r="H688" s="29">
        <v>282840</v>
      </c>
      <c r="I688" s="17">
        <v>0</v>
      </c>
      <c r="J688" s="17">
        <v>154652.26257534247</v>
      </c>
      <c r="K688" s="17">
        <f t="shared" si="112"/>
        <v>128187.73742465753</v>
      </c>
      <c r="L688" s="23">
        <f t="shared" si="110"/>
        <v>14142</v>
      </c>
      <c r="M688" s="33">
        <v>25</v>
      </c>
      <c r="N688" s="18">
        <f t="shared" si="113"/>
        <v>18.391780821917809</v>
      </c>
      <c r="O688" s="23">
        <v>193442.8</v>
      </c>
      <c r="P688" s="18">
        <f t="shared" si="114"/>
        <v>19.391780821917809</v>
      </c>
      <c r="Q688" s="18">
        <f t="shared" si="109"/>
        <v>4561.8294969863018</v>
      </c>
      <c r="R688" s="18">
        <f t="shared" si="115"/>
        <v>198004.62949698628</v>
      </c>
      <c r="S688" s="18">
        <f t="shared" si="117"/>
        <v>14142</v>
      </c>
    </row>
    <row r="689" spans="1:19" ht="15" customHeight="1" x14ac:dyDescent="0.2">
      <c r="A689" s="14">
        <f t="shared" si="116"/>
        <v>653</v>
      </c>
      <c r="B689" s="31" t="s">
        <v>629</v>
      </c>
      <c r="C689" s="15" t="s">
        <v>3</v>
      </c>
      <c r="D689" s="31" t="s">
        <v>500</v>
      </c>
      <c r="E689" s="31"/>
      <c r="F689" s="73" t="s">
        <v>4</v>
      </c>
      <c r="G689" s="32">
        <v>39779</v>
      </c>
      <c r="H689" s="29">
        <v>191486.36</v>
      </c>
      <c r="I689" s="17">
        <v>0</v>
      </c>
      <c r="J689" s="17">
        <v>53487.124239561643</v>
      </c>
      <c r="K689" s="17">
        <f t="shared" si="112"/>
        <v>137999.23576043834</v>
      </c>
      <c r="L689" s="23">
        <f t="shared" si="110"/>
        <v>9574.3179999999993</v>
      </c>
      <c r="M689" s="33">
        <v>25</v>
      </c>
      <c r="N689" s="18">
        <f t="shared" si="113"/>
        <v>11.353424657534246</v>
      </c>
      <c r="O689" s="23">
        <v>46840.7</v>
      </c>
      <c r="P689" s="18">
        <f t="shared" si="114"/>
        <v>12.353424657534246</v>
      </c>
      <c r="Q689" s="18">
        <f t="shared" si="109"/>
        <v>5136.9967104175339</v>
      </c>
      <c r="R689" s="18">
        <f t="shared" si="115"/>
        <v>51977.696710417527</v>
      </c>
      <c r="S689" s="18">
        <f t="shared" si="117"/>
        <v>9574.3179999999993</v>
      </c>
    </row>
    <row r="690" spans="1:19" ht="15" customHeight="1" x14ac:dyDescent="0.2">
      <c r="A690" s="14">
        <f t="shared" si="116"/>
        <v>654</v>
      </c>
      <c r="B690" s="31" t="s">
        <v>630</v>
      </c>
      <c r="C690" s="15" t="s">
        <v>3</v>
      </c>
      <c r="D690" s="31" t="s">
        <v>500</v>
      </c>
      <c r="E690" s="31"/>
      <c r="F690" s="73" t="s">
        <v>4</v>
      </c>
      <c r="G690" s="32">
        <v>35826</v>
      </c>
      <c r="H690" s="29">
        <v>586619</v>
      </c>
      <c r="I690" s="17">
        <v>0</v>
      </c>
      <c r="J690" s="17">
        <v>405278.19175890414</v>
      </c>
      <c r="K690" s="17">
        <f t="shared" si="112"/>
        <v>181340.80824109586</v>
      </c>
      <c r="L690" s="23">
        <f t="shared" si="110"/>
        <v>29330.95</v>
      </c>
      <c r="M690" s="33">
        <v>25</v>
      </c>
      <c r="N690" s="18">
        <f t="shared" si="113"/>
        <v>22.183561643835617</v>
      </c>
      <c r="O690" s="23">
        <v>670658.19999999995</v>
      </c>
      <c r="P690" s="18">
        <f t="shared" si="114"/>
        <v>23.183561643835617</v>
      </c>
      <c r="Q690" s="18">
        <f t="shared" si="109"/>
        <v>6080.3943296438338</v>
      </c>
      <c r="R690" s="18">
        <f t="shared" si="115"/>
        <v>676738.59432964376</v>
      </c>
      <c r="S690" s="18">
        <f t="shared" si="117"/>
        <v>29330.95</v>
      </c>
    </row>
    <row r="691" spans="1:19" ht="15" customHeight="1" x14ac:dyDescent="0.2">
      <c r="A691" s="14">
        <f t="shared" si="116"/>
        <v>655</v>
      </c>
      <c r="B691" s="31" t="s">
        <v>631</v>
      </c>
      <c r="C691" s="15" t="s">
        <v>3</v>
      </c>
      <c r="D691" s="31" t="s">
        <v>500</v>
      </c>
      <c r="E691" s="31"/>
      <c r="F691" s="73" t="s">
        <v>11</v>
      </c>
      <c r="G691" s="32">
        <v>36616</v>
      </c>
      <c r="H691" s="29">
        <v>332521</v>
      </c>
      <c r="I691" s="17">
        <v>0</v>
      </c>
      <c r="J691" s="17">
        <v>202380.47974794521</v>
      </c>
      <c r="K691" s="17">
        <f t="shared" si="112"/>
        <v>130140.52025205479</v>
      </c>
      <c r="L691" s="23">
        <f t="shared" si="110"/>
        <v>16626.05</v>
      </c>
      <c r="M691" s="33">
        <v>25</v>
      </c>
      <c r="N691" s="18">
        <f t="shared" si="113"/>
        <v>20.019178082191782</v>
      </c>
      <c r="O691" s="23">
        <v>5407.4</v>
      </c>
      <c r="P691" s="18">
        <f t="shared" si="114"/>
        <v>21.019178082191782</v>
      </c>
      <c r="Q691" s="18">
        <f t="shared" si="109"/>
        <v>4540.5788100821919</v>
      </c>
      <c r="R691" s="18">
        <f t="shared" si="115"/>
        <v>9947.9788100821916</v>
      </c>
      <c r="S691" s="18">
        <f t="shared" si="117"/>
        <v>16626.05</v>
      </c>
    </row>
    <row r="692" spans="1:19" ht="15" customHeight="1" x14ac:dyDescent="0.2">
      <c r="A692" s="14">
        <f t="shared" si="116"/>
        <v>656</v>
      </c>
      <c r="B692" s="31" t="s">
        <v>632</v>
      </c>
      <c r="C692" s="15" t="s">
        <v>3</v>
      </c>
      <c r="D692" s="31" t="s">
        <v>500</v>
      </c>
      <c r="E692" s="31"/>
      <c r="F692" s="73" t="s">
        <v>11</v>
      </c>
      <c r="G692" s="32">
        <v>36129</v>
      </c>
      <c r="H692" s="29">
        <v>433041</v>
      </c>
      <c r="I692" s="17">
        <v>0</v>
      </c>
      <c r="J692" s="17">
        <v>285515.20223013696</v>
      </c>
      <c r="K692" s="17">
        <f t="shared" si="112"/>
        <v>147525.79776986304</v>
      </c>
      <c r="L692" s="23">
        <f t="shared" si="110"/>
        <v>21652.050000000003</v>
      </c>
      <c r="M692" s="33">
        <v>25</v>
      </c>
      <c r="N692" s="18">
        <f t="shared" si="113"/>
        <v>21.353424657534248</v>
      </c>
      <c r="O692" s="23">
        <v>1596434.15</v>
      </c>
      <c r="P692" s="18">
        <f t="shared" si="114"/>
        <v>22.353424657534248</v>
      </c>
      <c r="Q692" s="18">
        <f t="shared" si="109"/>
        <v>5034.9499107945221</v>
      </c>
      <c r="R692" s="18">
        <f t="shared" si="115"/>
        <v>1601469.0999107945</v>
      </c>
      <c r="S692" s="18">
        <f t="shared" si="117"/>
        <v>21652.050000000003</v>
      </c>
    </row>
    <row r="693" spans="1:19" ht="15" customHeight="1" x14ac:dyDescent="0.2">
      <c r="A693" s="14">
        <f t="shared" si="116"/>
        <v>657</v>
      </c>
      <c r="B693" s="31" t="s">
        <v>633</v>
      </c>
      <c r="C693" s="15" t="s">
        <v>3</v>
      </c>
      <c r="D693" s="31" t="s">
        <v>500</v>
      </c>
      <c r="E693" s="31"/>
      <c r="F693" s="73" t="s">
        <v>4</v>
      </c>
      <c r="G693" s="32">
        <v>35751</v>
      </c>
      <c r="H693" s="29">
        <v>627832</v>
      </c>
      <c r="I693" s="17">
        <v>0</v>
      </c>
      <c r="J693" s="17">
        <v>438653.31774246576</v>
      </c>
      <c r="K693" s="17">
        <f t="shared" si="112"/>
        <v>189178.68225753424</v>
      </c>
      <c r="L693" s="23">
        <f t="shared" si="110"/>
        <v>31391.600000000002</v>
      </c>
      <c r="M693" s="33">
        <v>25</v>
      </c>
      <c r="N693" s="18">
        <f t="shared" si="113"/>
        <v>22.389041095890413</v>
      </c>
      <c r="O693" s="23">
        <v>812794.35</v>
      </c>
      <c r="P693" s="18">
        <f t="shared" si="114"/>
        <v>23.389041095890413</v>
      </c>
      <c r="Q693" s="18">
        <f t="shared" si="109"/>
        <v>6311.4832903013694</v>
      </c>
      <c r="R693" s="18">
        <f t="shared" si="115"/>
        <v>819105.83329030138</v>
      </c>
      <c r="S693" s="18">
        <f t="shared" si="117"/>
        <v>31391.600000000002</v>
      </c>
    </row>
    <row r="694" spans="1:19" ht="15" customHeight="1" x14ac:dyDescent="0.2">
      <c r="A694" s="14">
        <f t="shared" si="116"/>
        <v>658</v>
      </c>
      <c r="B694" s="31" t="s">
        <v>634</v>
      </c>
      <c r="C694" s="15" t="s">
        <v>3</v>
      </c>
      <c r="D694" s="31" t="s">
        <v>500</v>
      </c>
      <c r="E694" s="31"/>
      <c r="F694" s="73" t="s">
        <v>4</v>
      </c>
      <c r="G694" s="32">
        <v>38533</v>
      </c>
      <c r="H694" s="29">
        <v>79065</v>
      </c>
      <c r="I694" s="17">
        <v>0</v>
      </c>
      <c r="J694" s="17">
        <v>53902.112465753424</v>
      </c>
      <c r="K694" s="17">
        <f t="shared" si="112"/>
        <v>25162.887534246576</v>
      </c>
      <c r="L694" s="23">
        <f t="shared" si="110"/>
        <v>3953.25</v>
      </c>
      <c r="M694" s="33">
        <v>15</v>
      </c>
      <c r="N694" s="18">
        <f t="shared" si="113"/>
        <v>14.767123287671232</v>
      </c>
      <c r="O694" s="23">
        <v>785462.85</v>
      </c>
      <c r="P694" s="18">
        <f t="shared" si="114"/>
        <v>15.767123287671232</v>
      </c>
      <c r="Q694" s="18">
        <f t="shared" si="109"/>
        <v>1413.9758356164384</v>
      </c>
      <c r="R694" s="18">
        <f t="shared" si="115"/>
        <v>786876.82583561644</v>
      </c>
      <c r="S694" s="18">
        <f t="shared" si="117"/>
        <v>3953.25</v>
      </c>
    </row>
    <row r="695" spans="1:19" ht="15" customHeight="1" x14ac:dyDescent="0.2">
      <c r="A695" s="14">
        <f t="shared" si="116"/>
        <v>659</v>
      </c>
      <c r="B695" s="31" t="s">
        <v>635</v>
      </c>
      <c r="C695" s="15" t="s">
        <v>3</v>
      </c>
      <c r="D695" s="31" t="s">
        <v>500</v>
      </c>
      <c r="E695" s="31"/>
      <c r="F695" s="73" t="s">
        <v>8</v>
      </c>
      <c r="G695" s="32">
        <v>38663</v>
      </c>
      <c r="H695" s="29">
        <v>200143.46</v>
      </c>
      <c r="I695" s="17">
        <v>0</v>
      </c>
      <c r="J695" s="17">
        <v>79159.20595210958</v>
      </c>
      <c r="K695" s="17">
        <f t="shared" si="112"/>
        <v>120984.25404789041</v>
      </c>
      <c r="L695" s="23">
        <f t="shared" si="110"/>
        <v>10007.173000000001</v>
      </c>
      <c r="M695" s="33">
        <v>25</v>
      </c>
      <c r="N695" s="18">
        <f t="shared" si="113"/>
        <v>14.41095890410959</v>
      </c>
      <c r="O695" s="23">
        <v>471831.75</v>
      </c>
      <c r="P695" s="18">
        <f t="shared" si="114"/>
        <v>15.41095890410959</v>
      </c>
      <c r="Q695" s="18">
        <f t="shared" ref="Q695:Q758" si="118">(P695-N695)/M695*(K695-L695)</f>
        <v>4439.0832419156168</v>
      </c>
      <c r="R695" s="18">
        <f t="shared" si="115"/>
        <v>476270.83324191562</v>
      </c>
      <c r="S695" s="18">
        <f t="shared" si="117"/>
        <v>10007.173000000001</v>
      </c>
    </row>
    <row r="696" spans="1:19" ht="15" customHeight="1" x14ac:dyDescent="0.2">
      <c r="A696" s="14">
        <f t="shared" si="116"/>
        <v>660</v>
      </c>
      <c r="B696" s="31" t="s">
        <v>636</v>
      </c>
      <c r="C696" s="15" t="s">
        <v>3</v>
      </c>
      <c r="D696" s="31" t="s">
        <v>500</v>
      </c>
      <c r="E696" s="31"/>
      <c r="F696" s="73" t="s">
        <v>8</v>
      </c>
      <c r="G696" s="32">
        <v>36160</v>
      </c>
      <c r="H696" s="29">
        <v>386763</v>
      </c>
      <c r="I696" s="17">
        <v>0</v>
      </c>
      <c r="J696" s="17">
        <v>253754.67448767123</v>
      </c>
      <c r="K696" s="17">
        <f t="shared" si="112"/>
        <v>133008.32551232877</v>
      </c>
      <c r="L696" s="23">
        <f t="shared" ref="L696:L759" si="119">H696*0.05</f>
        <v>19338.150000000001</v>
      </c>
      <c r="M696" s="33">
        <v>25</v>
      </c>
      <c r="N696" s="18">
        <f t="shared" si="113"/>
        <v>21.268493150684932</v>
      </c>
      <c r="O696" s="23">
        <v>399730.55</v>
      </c>
      <c r="P696" s="18">
        <f t="shared" si="114"/>
        <v>22.268493150684932</v>
      </c>
      <c r="Q696" s="18">
        <f t="shared" si="118"/>
        <v>4546.807020493151</v>
      </c>
      <c r="R696" s="18">
        <f t="shared" si="115"/>
        <v>404277.35702049313</v>
      </c>
      <c r="S696" s="18">
        <f t="shared" si="117"/>
        <v>19338.150000000001</v>
      </c>
    </row>
    <row r="697" spans="1:19" ht="15" customHeight="1" x14ac:dyDescent="0.2">
      <c r="A697" s="14">
        <f t="shared" si="116"/>
        <v>661</v>
      </c>
      <c r="B697" s="31" t="s">
        <v>637</v>
      </c>
      <c r="C697" s="15" t="s">
        <v>3</v>
      </c>
      <c r="D697" s="31" t="s">
        <v>500</v>
      </c>
      <c r="E697" s="31"/>
      <c r="F697" s="73" t="s">
        <v>8</v>
      </c>
      <c r="G697" s="32">
        <v>37986</v>
      </c>
      <c r="H697" s="29">
        <v>203351.37</v>
      </c>
      <c r="I697" s="17">
        <v>0</v>
      </c>
      <c r="J697" s="17">
        <v>94760.624165917819</v>
      </c>
      <c r="K697" s="17">
        <f t="shared" si="112"/>
        <v>108590.74583408218</v>
      </c>
      <c r="L697" s="23">
        <f t="shared" si="119"/>
        <v>10167.568500000001</v>
      </c>
      <c r="M697" s="33">
        <v>25</v>
      </c>
      <c r="N697" s="18">
        <f t="shared" si="113"/>
        <v>16.265753424657536</v>
      </c>
      <c r="O697" s="23">
        <v>318328.84999999998</v>
      </c>
      <c r="P697" s="18">
        <f t="shared" si="114"/>
        <v>17.265753424657536</v>
      </c>
      <c r="Q697" s="18">
        <f t="shared" si="118"/>
        <v>3936.927093363287</v>
      </c>
      <c r="R697" s="18">
        <f t="shared" si="115"/>
        <v>322265.77709336329</v>
      </c>
      <c r="S697" s="18">
        <f t="shared" si="117"/>
        <v>10167.568500000001</v>
      </c>
    </row>
    <row r="698" spans="1:19" ht="15" customHeight="1" x14ac:dyDescent="0.2">
      <c r="A698" s="14">
        <f t="shared" si="116"/>
        <v>662</v>
      </c>
      <c r="B698" s="31" t="s">
        <v>638</v>
      </c>
      <c r="C698" s="15" t="s">
        <v>3</v>
      </c>
      <c r="D698" s="31" t="s">
        <v>500</v>
      </c>
      <c r="E698" s="31"/>
      <c r="F698" s="73" t="s">
        <v>4</v>
      </c>
      <c r="G698" s="32">
        <v>38663</v>
      </c>
      <c r="H698" s="29">
        <v>180606.28</v>
      </c>
      <c r="I698" s="17">
        <v>0</v>
      </c>
      <c r="J698" s="17">
        <v>71432.010392767115</v>
      </c>
      <c r="K698" s="17">
        <f t="shared" si="112"/>
        <v>109174.26960723288</v>
      </c>
      <c r="L698" s="23">
        <f t="shared" si="119"/>
        <v>9030.3140000000003</v>
      </c>
      <c r="M698" s="33">
        <v>25</v>
      </c>
      <c r="N698" s="18">
        <f t="shared" si="113"/>
        <v>14.41095890410959</v>
      </c>
      <c r="O698" s="23">
        <v>287057.7</v>
      </c>
      <c r="P698" s="18">
        <f t="shared" si="114"/>
        <v>15.41095890410959</v>
      </c>
      <c r="Q698" s="18">
        <f t="shared" si="118"/>
        <v>4005.7582242893154</v>
      </c>
      <c r="R698" s="18">
        <f t="shared" si="115"/>
        <v>291063.45822428935</v>
      </c>
      <c r="S698" s="18">
        <f t="shared" si="117"/>
        <v>9030.3140000000003</v>
      </c>
    </row>
    <row r="699" spans="1:19" ht="15" customHeight="1" x14ac:dyDescent="0.2">
      <c r="A699" s="14">
        <f t="shared" si="116"/>
        <v>663</v>
      </c>
      <c r="B699" s="31" t="s">
        <v>639</v>
      </c>
      <c r="C699" s="15" t="s">
        <v>3</v>
      </c>
      <c r="D699" s="31" t="s">
        <v>500</v>
      </c>
      <c r="E699" s="31"/>
      <c r="F699" s="73" t="s">
        <v>4</v>
      </c>
      <c r="G699" s="32">
        <v>41618</v>
      </c>
      <c r="H699" s="29">
        <v>150010.17000000001</v>
      </c>
      <c r="I699" s="17">
        <v>0</v>
      </c>
      <c r="J699" s="17">
        <v>13181.167595178084</v>
      </c>
      <c r="K699" s="17">
        <f t="shared" si="112"/>
        <v>136829.00240482192</v>
      </c>
      <c r="L699" s="23">
        <f t="shared" si="119"/>
        <v>7500.5085000000008</v>
      </c>
      <c r="M699" s="33">
        <v>25</v>
      </c>
      <c r="N699" s="18">
        <f t="shared" si="113"/>
        <v>6.3150684931506849</v>
      </c>
      <c r="O699" s="23">
        <v>244860.6</v>
      </c>
      <c r="P699" s="18">
        <f t="shared" si="114"/>
        <v>7.3150684931506849</v>
      </c>
      <c r="Q699" s="18">
        <f t="shared" si="118"/>
        <v>5173.139756192877</v>
      </c>
      <c r="R699" s="18">
        <f t="shared" si="115"/>
        <v>250033.7397561929</v>
      </c>
      <c r="S699" s="18">
        <f t="shared" si="117"/>
        <v>7500.5085000000008</v>
      </c>
    </row>
    <row r="700" spans="1:19" ht="15" customHeight="1" x14ac:dyDescent="0.2">
      <c r="A700" s="14">
        <f t="shared" si="116"/>
        <v>664</v>
      </c>
      <c r="B700" s="31" t="s">
        <v>640</v>
      </c>
      <c r="C700" s="15" t="s">
        <v>3</v>
      </c>
      <c r="D700" s="31" t="s">
        <v>500</v>
      </c>
      <c r="E700" s="31"/>
      <c r="F700" s="70" t="s">
        <v>7</v>
      </c>
      <c r="G700" s="32">
        <v>35445</v>
      </c>
      <c r="H700" s="29">
        <v>1033732</v>
      </c>
      <c r="I700" s="17">
        <v>0</v>
      </c>
      <c r="J700" s="17">
        <v>755179.45992328762</v>
      </c>
      <c r="K700" s="17">
        <f t="shared" si="112"/>
        <v>278552.54007671238</v>
      </c>
      <c r="L700" s="23">
        <f t="shared" si="119"/>
        <v>51686.600000000006</v>
      </c>
      <c r="M700" s="33">
        <v>25</v>
      </c>
      <c r="N700" s="18">
        <f t="shared" si="113"/>
        <v>23.227397260273971</v>
      </c>
      <c r="O700" s="23">
        <v>5190.8</v>
      </c>
      <c r="P700" s="18">
        <f t="shared" si="114"/>
        <v>24.227397260273971</v>
      </c>
      <c r="Q700" s="18">
        <f t="shared" si="118"/>
        <v>9074.6376030684951</v>
      </c>
      <c r="R700" s="18">
        <f t="shared" si="115"/>
        <v>14265.437603068494</v>
      </c>
      <c r="S700" s="18">
        <f t="shared" si="117"/>
        <v>51686.600000000006</v>
      </c>
    </row>
    <row r="701" spans="1:19" ht="15" customHeight="1" x14ac:dyDescent="0.2">
      <c r="A701" s="14">
        <f t="shared" si="116"/>
        <v>665</v>
      </c>
      <c r="B701" s="31" t="s">
        <v>641</v>
      </c>
      <c r="C701" s="15" t="s">
        <v>3</v>
      </c>
      <c r="D701" s="31" t="s">
        <v>500</v>
      </c>
      <c r="E701" s="31"/>
      <c r="F701" s="73" t="s">
        <v>11</v>
      </c>
      <c r="G701" s="32">
        <v>38472</v>
      </c>
      <c r="H701" s="29">
        <v>182111.23</v>
      </c>
      <c r="I701" s="17">
        <v>0</v>
      </c>
      <c r="J701" s="17">
        <v>75648.506007123287</v>
      </c>
      <c r="K701" s="17">
        <f t="shared" si="112"/>
        <v>106462.72399287672</v>
      </c>
      <c r="L701" s="23">
        <f t="shared" si="119"/>
        <v>9105.5615000000016</v>
      </c>
      <c r="M701" s="33">
        <v>25</v>
      </c>
      <c r="N701" s="18">
        <f t="shared" si="113"/>
        <v>14.934246575342465</v>
      </c>
      <c r="O701" s="23">
        <v>222001.7</v>
      </c>
      <c r="P701" s="18">
        <f t="shared" si="114"/>
        <v>15.934246575342465</v>
      </c>
      <c r="Q701" s="18">
        <f t="shared" si="118"/>
        <v>3894.2864997150691</v>
      </c>
      <c r="R701" s="18">
        <f t="shared" si="115"/>
        <v>225895.98649971507</v>
      </c>
      <c r="S701" s="18">
        <f t="shared" si="117"/>
        <v>9105.5615000000016</v>
      </c>
    </row>
    <row r="702" spans="1:19" ht="15" customHeight="1" x14ac:dyDescent="0.2">
      <c r="A702" s="14">
        <f t="shared" si="116"/>
        <v>666</v>
      </c>
      <c r="B702" s="31" t="s">
        <v>642</v>
      </c>
      <c r="C702" s="15" t="s">
        <v>3</v>
      </c>
      <c r="D702" s="31" t="s">
        <v>500</v>
      </c>
      <c r="E702" s="31"/>
      <c r="F702" s="73" t="s">
        <v>11</v>
      </c>
      <c r="G702" s="32">
        <v>38727</v>
      </c>
      <c r="H702" s="29">
        <v>156981.54</v>
      </c>
      <c r="I702" s="17">
        <v>0</v>
      </c>
      <c r="J702" s="17">
        <v>61042.164307397266</v>
      </c>
      <c r="K702" s="17">
        <f t="shared" si="112"/>
        <v>95939.375692602742</v>
      </c>
      <c r="L702" s="23">
        <f t="shared" si="119"/>
        <v>7849.0770000000011</v>
      </c>
      <c r="M702" s="33">
        <v>25</v>
      </c>
      <c r="N702" s="18">
        <f t="shared" si="113"/>
        <v>14.235616438356164</v>
      </c>
      <c r="O702" s="23">
        <v>475</v>
      </c>
      <c r="P702" s="18">
        <f t="shared" si="114"/>
        <v>15.235616438356164</v>
      </c>
      <c r="Q702" s="18">
        <f t="shared" si="118"/>
        <v>3523.6119477041098</v>
      </c>
      <c r="R702" s="18">
        <f t="shared" si="115"/>
        <v>3998.6119477041098</v>
      </c>
      <c r="S702" s="18">
        <f t="shared" si="117"/>
        <v>7849.0770000000011</v>
      </c>
    </row>
    <row r="703" spans="1:19" ht="15" customHeight="1" x14ac:dyDescent="0.2">
      <c r="A703" s="14">
        <f t="shared" si="116"/>
        <v>667</v>
      </c>
      <c r="B703" s="31" t="s">
        <v>643</v>
      </c>
      <c r="C703" s="15" t="s">
        <v>3</v>
      </c>
      <c r="D703" s="31" t="s">
        <v>500</v>
      </c>
      <c r="E703" s="31"/>
      <c r="F703" s="70" t="s">
        <v>7</v>
      </c>
      <c r="G703" s="32">
        <v>33420</v>
      </c>
      <c r="H703" s="29">
        <v>10711</v>
      </c>
      <c r="I703" s="17">
        <v>0</v>
      </c>
      <c r="J703" s="17">
        <f>H703-L703</f>
        <v>10175.450000000001</v>
      </c>
      <c r="K703" s="17">
        <f t="shared" si="112"/>
        <v>535.54999999999927</v>
      </c>
      <c r="L703" s="23">
        <f t="shared" si="119"/>
        <v>535.55000000000007</v>
      </c>
      <c r="M703" s="33">
        <v>15</v>
      </c>
      <c r="N703" s="18">
        <f t="shared" si="113"/>
        <v>28.775342465753425</v>
      </c>
      <c r="O703" s="23">
        <v>217087.35</v>
      </c>
      <c r="P703" s="18">
        <f t="shared" si="114"/>
        <v>29.775342465753425</v>
      </c>
      <c r="Q703" s="18">
        <f t="shared" si="118"/>
        <v>-5.3053857603420815E-14</v>
      </c>
      <c r="R703" s="18">
        <f t="shared" si="115"/>
        <v>217087.35</v>
      </c>
      <c r="S703" s="18">
        <f t="shared" si="117"/>
        <v>535.55000000000007</v>
      </c>
    </row>
    <row r="704" spans="1:19" ht="15" customHeight="1" x14ac:dyDescent="0.2">
      <c r="A704" s="14">
        <f t="shared" si="116"/>
        <v>668</v>
      </c>
      <c r="B704" s="31" t="s">
        <v>644</v>
      </c>
      <c r="C704" s="15" t="s">
        <v>3</v>
      </c>
      <c r="D704" s="31" t="s">
        <v>500</v>
      </c>
      <c r="E704" s="31"/>
      <c r="F704" s="70" t="s">
        <v>7</v>
      </c>
      <c r="G704" s="32">
        <v>35445</v>
      </c>
      <c r="H704" s="29">
        <v>854979</v>
      </c>
      <c r="I704" s="17">
        <v>0</v>
      </c>
      <c r="J704" s="17">
        <v>624593.78201095888</v>
      </c>
      <c r="K704" s="17">
        <f t="shared" si="112"/>
        <v>230385.21798904112</v>
      </c>
      <c r="L704" s="23">
        <f t="shared" si="119"/>
        <v>42748.950000000004</v>
      </c>
      <c r="M704" s="33">
        <v>25</v>
      </c>
      <c r="N704" s="18">
        <f t="shared" si="113"/>
        <v>23.227397260273971</v>
      </c>
      <c r="O704" s="23">
        <v>162474.70000000001</v>
      </c>
      <c r="P704" s="18">
        <f t="shared" si="114"/>
        <v>24.227397260273971</v>
      </c>
      <c r="Q704" s="18">
        <f t="shared" si="118"/>
        <v>7505.4507195616443</v>
      </c>
      <c r="R704" s="18">
        <f t="shared" si="115"/>
        <v>169980.15071956164</v>
      </c>
      <c r="S704" s="18">
        <f t="shared" si="117"/>
        <v>42748.950000000004</v>
      </c>
    </row>
    <row r="705" spans="1:19" ht="15" customHeight="1" x14ac:dyDescent="0.2">
      <c r="A705" s="14">
        <f t="shared" si="116"/>
        <v>669</v>
      </c>
      <c r="B705" s="31" t="s">
        <v>634</v>
      </c>
      <c r="C705" s="15" t="s">
        <v>3</v>
      </c>
      <c r="D705" s="31" t="s">
        <v>500</v>
      </c>
      <c r="E705" s="31"/>
      <c r="F705" s="73" t="s">
        <v>4</v>
      </c>
      <c r="G705" s="32">
        <v>37602</v>
      </c>
      <c r="H705" s="29">
        <v>47324</v>
      </c>
      <c r="I705" s="17">
        <v>0</v>
      </c>
      <c r="J705" s="17">
        <f>H705-L705</f>
        <v>44957.8</v>
      </c>
      <c r="K705" s="17">
        <f t="shared" si="112"/>
        <v>2366.1999999999971</v>
      </c>
      <c r="L705" s="23">
        <f t="shared" si="119"/>
        <v>2366.2000000000003</v>
      </c>
      <c r="M705" s="33">
        <v>15</v>
      </c>
      <c r="N705" s="18">
        <f t="shared" si="113"/>
        <v>17.317808219178083</v>
      </c>
      <c r="O705" s="23">
        <v>45840.35</v>
      </c>
      <c r="P705" s="18">
        <f t="shared" si="114"/>
        <v>18.317808219178083</v>
      </c>
      <c r="Q705" s="18">
        <f t="shared" si="118"/>
        <v>-2.1221543041368326E-13</v>
      </c>
      <c r="R705" s="18">
        <f t="shared" si="115"/>
        <v>45840.35</v>
      </c>
      <c r="S705" s="18">
        <f t="shared" si="117"/>
        <v>2366.2000000000003</v>
      </c>
    </row>
    <row r="706" spans="1:19" ht="15" customHeight="1" x14ac:dyDescent="0.2">
      <c r="A706" s="14">
        <f t="shared" si="116"/>
        <v>670</v>
      </c>
      <c r="B706" s="31" t="s">
        <v>645</v>
      </c>
      <c r="C706" s="15" t="s">
        <v>3</v>
      </c>
      <c r="D706" s="31" t="s">
        <v>500</v>
      </c>
      <c r="E706" s="31"/>
      <c r="F706" s="73" t="s">
        <v>11</v>
      </c>
      <c r="G706" s="32">
        <v>36250</v>
      </c>
      <c r="H706" s="29">
        <v>265648</v>
      </c>
      <c r="I706" s="17">
        <v>0</v>
      </c>
      <c r="J706" s="17">
        <v>171802.20352876713</v>
      </c>
      <c r="K706" s="17">
        <f t="shared" si="112"/>
        <v>93845.796471232868</v>
      </c>
      <c r="L706" s="23">
        <f t="shared" si="119"/>
        <v>13282.400000000001</v>
      </c>
      <c r="M706" s="33">
        <v>25</v>
      </c>
      <c r="N706" s="18">
        <f t="shared" si="113"/>
        <v>21.021917808219179</v>
      </c>
      <c r="O706" s="23">
        <v>150712.75</v>
      </c>
      <c r="P706" s="18">
        <f t="shared" si="114"/>
        <v>22.021917808219179</v>
      </c>
      <c r="Q706" s="18">
        <f t="shared" si="118"/>
        <v>3222.535858849315</v>
      </c>
      <c r="R706" s="18">
        <f t="shared" si="115"/>
        <v>153935.28585884933</v>
      </c>
      <c r="S706" s="18">
        <f t="shared" si="117"/>
        <v>13282.400000000001</v>
      </c>
    </row>
    <row r="707" spans="1:19" ht="15" customHeight="1" x14ac:dyDescent="0.2">
      <c r="A707" s="14">
        <f t="shared" si="116"/>
        <v>671</v>
      </c>
      <c r="B707" s="31" t="s">
        <v>633</v>
      </c>
      <c r="C707" s="15" t="s">
        <v>3</v>
      </c>
      <c r="D707" s="31" t="s">
        <v>500</v>
      </c>
      <c r="E707" s="31"/>
      <c r="F707" s="73" t="s">
        <v>4</v>
      </c>
      <c r="G707" s="32">
        <v>36600</v>
      </c>
      <c r="H707" s="29">
        <v>190154</v>
      </c>
      <c r="I707" s="17">
        <v>0</v>
      </c>
      <c r="J707" s="17">
        <v>116049.16280547946</v>
      </c>
      <c r="K707" s="17">
        <f t="shared" si="112"/>
        <v>74104.837194520544</v>
      </c>
      <c r="L707" s="23">
        <f t="shared" si="119"/>
        <v>9507.7000000000007</v>
      </c>
      <c r="M707" s="33">
        <v>25</v>
      </c>
      <c r="N707" s="18">
        <f t="shared" si="113"/>
        <v>20.063013698630137</v>
      </c>
      <c r="O707" s="23">
        <v>16814.05</v>
      </c>
      <c r="P707" s="18">
        <f t="shared" si="114"/>
        <v>21.063013698630137</v>
      </c>
      <c r="Q707" s="18">
        <f t="shared" si="118"/>
        <v>2583.8854877808221</v>
      </c>
      <c r="R707" s="18">
        <f t="shared" si="115"/>
        <v>19397.935487780822</v>
      </c>
      <c r="S707" s="18">
        <f t="shared" si="117"/>
        <v>9507.7000000000007</v>
      </c>
    </row>
    <row r="708" spans="1:19" ht="15" customHeight="1" x14ac:dyDescent="0.2">
      <c r="A708" s="14">
        <f t="shared" si="116"/>
        <v>672</v>
      </c>
      <c r="B708" s="31" t="s">
        <v>646</v>
      </c>
      <c r="C708" s="15" t="s">
        <v>3</v>
      </c>
      <c r="D708" s="31" t="s">
        <v>500</v>
      </c>
      <c r="E708" s="31"/>
      <c r="F708" s="73" t="s">
        <v>10</v>
      </c>
      <c r="G708" s="32">
        <v>36856</v>
      </c>
      <c r="H708" s="29">
        <v>167029</v>
      </c>
      <c r="I708" s="17">
        <v>0</v>
      </c>
      <c r="J708" s="17">
        <v>97484.530991780819</v>
      </c>
      <c r="K708" s="17">
        <f t="shared" si="112"/>
        <v>69544.469008219181</v>
      </c>
      <c r="L708" s="23">
        <f t="shared" si="119"/>
        <v>8351.4500000000007</v>
      </c>
      <c r="M708" s="33">
        <v>25</v>
      </c>
      <c r="N708" s="18">
        <f t="shared" si="113"/>
        <v>19.361643835616437</v>
      </c>
      <c r="O708" s="23">
        <v>124069.05</v>
      </c>
      <c r="P708" s="18">
        <f t="shared" si="114"/>
        <v>20.361643835616437</v>
      </c>
      <c r="Q708" s="18">
        <f t="shared" si="118"/>
        <v>2447.7207603287675</v>
      </c>
      <c r="R708" s="18">
        <f t="shared" si="115"/>
        <v>126516.77076032877</v>
      </c>
      <c r="S708" s="18">
        <f t="shared" si="117"/>
        <v>8351.4500000000007</v>
      </c>
    </row>
    <row r="709" spans="1:19" ht="15" customHeight="1" x14ac:dyDescent="0.2">
      <c r="A709" s="14">
        <f t="shared" si="116"/>
        <v>673</v>
      </c>
      <c r="B709" s="31" t="s">
        <v>647</v>
      </c>
      <c r="C709" s="15" t="s">
        <v>3</v>
      </c>
      <c r="D709" s="31" t="s">
        <v>500</v>
      </c>
      <c r="E709" s="31"/>
      <c r="F709" s="73" t="s">
        <v>4</v>
      </c>
      <c r="G709" s="32">
        <v>37955</v>
      </c>
      <c r="H709" s="29">
        <v>125664.54</v>
      </c>
      <c r="I709" s="17">
        <v>0</v>
      </c>
      <c r="J709" s="17">
        <v>58964.556459287669</v>
      </c>
      <c r="K709" s="17">
        <f t="shared" si="112"/>
        <v>66699.983540712332</v>
      </c>
      <c r="L709" s="23">
        <f t="shared" si="119"/>
        <v>6283.2269999999999</v>
      </c>
      <c r="M709" s="33">
        <v>25</v>
      </c>
      <c r="N709" s="18">
        <f t="shared" si="113"/>
        <v>16.350684931506848</v>
      </c>
      <c r="O709" s="23">
        <v>96019.35</v>
      </c>
      <c r="P709" s="18">
        <f t="shared" si="114"/>
        <v>17.350684931506848</v>
      </c>
      <c r="Q709" s="18">
        <f t="shared" si="118"/>
        <v>2416.6702616284933</v>
      </c>
      <c r="R709" s="18">
        <f t="shared" si="115"/>
        <v>98436.020261628495</v>
      </c>
      <c r="S709" s="18">
        <f t="shared" si="117"/>
        <v>6283.2269999999999</v>
      </c>
    </row>
    <row r="710" spans="1:19" ht="15" customHeight="1" x14ac:dyDescent="0.2">
      <c r="A710" s="14">
        <f t="shared" si="116"/>
        <v>674</v>
      </c>
      <c r="B710" s="31" t="s">
        <v>648</v>
      </c>
      <c r="C710" s="15" t="s">
        <v>3</v>
      </c>
      <c r="D710" s="31" t="s">
        <v>500</v>
      </c>
      <c r="E710" s="31"/>
      <c r="F710" s="73" t="s">
        <v>4</v>
      </c>
      <c r="G710" s="32">
        <v>35397</v>
      </c>
      <c r="H710" s="29">
        <v>741813</v>
      </c>
      <c r="I710" s="17">
        <v>0</v>
      </c>
      <c r="J710" s="17">
        <v>545628.86605479452</v>
      </c>
      <c r="K710" s="17">
        <f t="shared" si="112"/>
        <v>196184.13394520548</v>
      </c>
      <c r="L710" s="23">
        <f t="shared" si="119"/>
        <v>37090.65</v>
      </c>
      <c r="M710" s="33">
        <v>25</v>
      </c>
      <c r="N710" s="18">
        <f t="shared" si="113"/>
        <v>23.358904109589041</v>
      </c>
      <c r="O710" s="23">
        <v>319108.8</v>
      </c>
      <c r="P710" s="18">
        <f t="shared" si="114"/>
        <v>24.358904109589041</v>
      </c>
      <c r="Q710" s="18">
        <f t="shared" si="118"/>
        <v>6363.7393578082192</v>
      </c>
      <c r="R710" s="18">
        <f t="shared" si="115"/>
        <v>325472.53935780819</v>
      </c>
      <c r="S710" s="18">
        <f t="shared" si="117"/>
        <v>37090.65</v>
      </c>
    </row>
    <row r="711" spans="1:19" ht="15" customHeight="1" x14ac:dyDescent="0.2">
      <c r="A711" s="14">
        <f t="shared" si="116"/>
        <v>675</v>
      </c>
      <c r="B711" s="31" t="s">
        <v>649</v>
      </c>
      <c r="C711" s="15" t="s">
        <v>3</v>
      </c>
      <c r="D711" s="31" t="s">
        <v>500</v>
      </c>
      <c r="E711" s="31"/>
      <c r="F711" s="73" t="s">
        <v>11</v>
      </c>
      <c r="G711" s="32">
        <v>36585</v>
      </c>
      <c r="H711" s="29">
        <v>162130</v>
      </c>
      <c r="I711" s="17">
        <v>0</v>
      </c>
      <c r="J711" s="17">
        <v>99199.573643835611</v>
      </c>
      <c r="K711" s="17">
        <f t="shared" si="112"/>
        <v>62930.426356164389</v>
      </c>
      <c r="L711" s="23">
        <f t="shared" si="119"/>
        <v>8106.5</v>
      </c>
      <c r="M711" s="33">
        <v>25</v>
      </c>
      <c r="N711" s="18">
        <f t="shared" si="113"/>
        <v>20.104109589041094</v>
      </c>
      <c r="O711" s="23">
        <v>92314.35</v>
      </c>
      <c r="P711" s="18">
        <f t="shared" si="114"/>
        <v>21.104109589041094</v>
      </c>
      <c r="Q711" s="18">
        <f t="shared" si="118"/>
        <v>2192.9570542465758</v>
      </c>
      <c r="R711" s="18">
        <f t="shared" si="115"/>
        <v>94507.307054246587</v>
      </c>
      <c r="S711" s="18">
        <f t="shared" si="117"/>
        <v>8106.5</v>
      </c>
    </row>
    <row r="712" spans="1:19" ht="15" customHeight="1" x14ac:dyDescent="0.2">
      <c r="A712" s="14">
        <f t="shared" si="116"/>
        <v>676</v>
      </c>
      <c r="B712" s="31" t="s">
        <v>650</v>
      </c>
      <c r="C712" s="15" t="s">
        <v>3</v>
      </c>
      <c r="D712" s="31" t="s">
        <v>500</v>
      </c>
      <c r="E712" s="31"/>
      <c r="F712" s="73" t="s">
        <v>15</v>
      </c>
      <c r="G712" s="32">
        <v>35397</v>
      </c>
      <c r="H712" s="29">
        <v>272245</v>
      </c>
      <c r="I712" s="17">
        <v>0</v>
      </c>
      <c r="J712" s="17">
        <v>200245.52095890412</v>
      </c>
      <c r="K712" s="17">
        <f t="shared" si="112"/>
        <v>71999.479041095881</v>
      </c>
      <c r="L712" s="23">
        <f t="shared" si="119"/>
        <v>13612.25</v>
      </c>
      <c r="M712" s="33">
        <v>25</v>
      </c>
      <c r="N712" s="18">
        <f t="shared" si="113"/>
        <v>23.358904109589041</v>
      </c>
      <c r="O712" s="23">
        <v>72972.350000000006</v>
      </c>
      <c r="P712" s="18">
        <f t="shared" si="114"/>
        <v>24.358904109589041</v>
      </c>
      <c r="Q712" s="18">
        <f t="shared" si="118"/>
        <v>2335.4891616438354</v>
      </c>
      <c r="R712" s="18">
        <f t="shared" si="115"/>
        <v>75307.839161643846</v>
      </c>
      <c r="S712" s="18">
        <f t="shared" si="117"/>
        <v>13612.25</v>
      </c>
    </row>
    <row r="713" spans="1:19" ht="15" customHeight="1" x14ac:dyDescent="0.2">
      <c r="A713" s="14">
        <f t="shared" si="116"/>
        <v>677</v>
      </c>
      <c r="B713" s="31" t="s">
        <v>651</v>
      </c>
      <c r="C713" s="15" t="s">
        <v>3</v>
      </c>
      <c r="D713" s="31" t="s">
        <v>500</v>
      </c>
      <c r="E713" s="31"/>
      <c r="F713" s="73" t="s">
        <v>4</v>
      </c>
      <c r="G713" s="32">
        <v>36922</v>
      </c>
      <c r="H713" s="29">
        <v>131711</v>
      </c>
      <c r="I713" s="17">
        <v>0</v>
      </c>
      <c r="J713" s="17">
        <v>75966.574575342471</v>
      </c>
      <c r="K713" s="17">
        <f t="shared" si="112"/>
        <v>55744.425424657529</v>
      </c>
      <c r="L713" s="23">
        <f t="shared" si="119"/>
        <v>6585.55</v>
      </c>
      <c r="M713" s="33">
        <v>25</v>
      </c>
      <c r="N713" s="18">
        <f t="shared" si="113"/>
        <v>19.18082191780822</v>
      </c>
      <c r="O713" s="23">
        <v>145903.85</v>
      </c>
      <c r="P713" s="18">
        <f t="shared" si="114"/>
        <v>20.18082191780822</v>
      </c>
      <c r="Q713" s="18">
        <f t="shared" si="118"/>
        <v>1966.3550169863011</v>
      </c>
      <c r="R713" s="18">
        <f t="shared" si="115"/>
        <v>147870.20501698629</v>
      </c>
      <c r="S713" s="18">
        <f t="shared" si="117"/>
        <v>6585.55</v>
      </c>
    </row>
    <row r="714" spans="1:19" ht="15" customHeight="1" x14ac:dyDescent="0.2">
      <c r="A714" s="14">
        <f t="shared" si="116"/>
        <v>678</v>
      </c>
      <c r="B714" s="31" t="s">
        <v>652</v>
      </c>
      <c r="C714" s="15" t="s">
        <v>3</v>
      </c>
      <c r="D714" s="31" t="s">
        <v>500</v>
      </c>
      <c r="E714" s="31"/>
      <c r="F714" s="73" t="s">
        <v>4</v>
      </c>
      <c r="G714" s="32">
        <v>35751</v>
      </c>
      <c r="H714" s="29">
        <v>271779</v>
      </c>
      <c r="I714" s="17">
        <v>0</v>
      </c>
      <c r="J714" s="17">
        <v>189886.40279999998</v>
      </c>
      <c r="K714" s="17">
        <f t="shared" si="112"/>
        <v>81892.597200000018</v>
      </c>
      <c r="L714" s="23">
        <f t="shared" si="119"/>
        <v>13588.95</v>
      </c>
      <c r="M714" s="33">
        <v>25</v>
      </c>
      <c r="N714" s="18">
        <f t="shared" si="113"/>
        <v>22.389041095890413</v>
      </c>
      <c r="O714" s="23">
        <v>716973.55</v>
      </c>
      <c r="P714" s="18">
        <f t="shared" si="114"/>
        <v>23.389041095890413</v>
      </c>
      <c r="Q714" s="18">
        <f t="shared" si="118"/>
        <v>2732.1458880000009</v>
      </c>
      <c r="R714" s="18">
        <f t="shared" si="115"/>
        <v>719705.69588800007</v>
      </c>
      <c r="S714" s="18">
        <f t="shared" si="117"/>
        <v>13588.95</v>
      </c>
    </row>
    <row r="715" spans="1:19" ht="15" customHeight="1" x14ac:dyDescent="0.2">
      <c r="A715" s="14">
        <f t="shared" si="116"/>
        <v>679</v>
      </c>
      <c r="B715" s="31" t="s">
        <v>653</v>
      </c>
      <c r="C715" s="15" t="s">
        <v>3</v>
      </c>
      <c r="D715" s="31" t="s">
        <v>500</v>
      </c>
      <c r="E715" s="31"/>
      <c r="F715" s="73" t="s">
        <v>8</v>
      </c>
      <c r="G715" s="32">
        <v>35751</v>
      </c>
      <c r="H715" s="29">
        <v>270883</v>
      </c>
      <c r="I715" s="17">
        <v>0</v>
      </c>
      <c r="J715" s="17">
        <v>189260.3860109589</v>
      </c>
      <c r="K715" s="17">
        <f t="shared" si="112"/>
        <v>81622.6139890411</v>
      </c>
      <c r="L715" s="23">
        <f t="shared" si="119"/>
        <v>13544.150000000001</v>
      </c>
      <c r="M715" s="33">
        <v>25</v>
      </c>
      <c r="N715" s="18">
        <f t="shared" si="113"/>
        <v>22.389041095890413</v>
      </c>
      <c r="O715" s="23">
        <v>620287.30000000005</v>
      </c>
      <c r="P715" s="18">
        <f t="shared" si="114"/>
        <v>23.389041095890413</v>
      </c>
      <c r="Q715" s="18">
        <f t="shared" si="118"/>
        <v>2723.1385595616443</v>
      </c>
      <c r="R715" s="18">
        <f t="shared" si="115"/>
        <v>623010.43855956174</v>
      </c>
      <c r="S715" s="18">
        <f t="shared" si="117"/>
        <v>13544.150000000001</v>
      </c>
    </row>
    <row r="716" spans="1:19" ht="15" customHeight="1" x14ac:dyDescent="0.2">
      <c r="A716" s="14">
        <f t="shared" si="116"/>
        <v>680</v>
      </c>
      <c r="B716" s="31" t="s">
        <v>654</v>
      </c>
      <c r="C716" s="15" t="s">
        <v>3</v>
      </c>
      <c r="D716" s="31" t="s">
        <v>500</v>
      </c>
      <c r="E716" s="31"/>
      <c r="F716" s="73" t="s">
        <v>8</v>
      </c>
      <c r="G716" s="32">
        <v>35397</v>
      </c>
      <c r="H716" s="29">
        <v>558592</v>
      </c>
      <c r="I716" s="17">
        <v>0</v>
      </c>
      <c r="J716" s="17">
        <v>410863.54586301371</v>
      </c>
      <c r="K716" s="17">
        <f t="shared" si="112"/>
        <v>147728.45413698629</v>
      </c>
      <c r="L716" s="23">
        <f t="shared" si="119"/>
        <v>27929.600000000002</v>
      </c>
      <c r="M716" s="33">
        <v>25</v>
      </c>
      <c r="N716" s="18">
        <f t="shared" si="113"/>
        <v>23.358904109589041</v>
      </c>
      <c r="O716" s="23">
        <v>14675.6</v>
      </c>
      <c r="P716" s="18">
        <f t="shared" si="114"/>
        <v>24.358904109589041</v>
      </c>
      <c r="Q716" s="18">
        <f t="shared" si="118"/>
        <v>4791.9541654794511</v>
      </c>
      <c r="R716" s="18">
        <f t="shared" si="115"/>
        <v>19467.554165479451</v>
      </c>
      <c r="S716" s="18">
        <f t="shared" si="117"/>
        <v>27929.600000000002</v>
      </c>
    </row>
    <row r="717" spans="1:19" ht="15" customHeight="1" x14ac:dyDescent="0.2">
      <c r="A717" s="14">
        <f t="shared" si="116"/>
        <v>681</v>
      </c>
      <c r="B717" s="31" t="s">
        <v>655</v>
      </c>
      <c r="C717" s="15" t="s">
        <v>3</v>
      </c>
      <c r="D717" s="31" t="s">
        <v>500</v>
      </c>
      <c r="E717" s="31"/>
      <c r="F717" s="73" t="s">
        <v>8</v>
      </c>
      <c r="G717" s="32">
        <v>37686</v>
      </c>
      <c r="H717" s="29">
        <v>92585</v>
      </c>
      <c r="I717" s="17">
        <v>0</v>
      </c>
      <c r="J717" s="17">
        <v>46035.798575342465</v>
      </c>
      <c r="K717" s="17">
        <f t="shared" si="112"/>
        <v>46549.201424657535</v>
      </c>
      <c r="L717" s="23">
        <f t="shared" si="119"/>
        <v>4629.25</v>
      </c>
      <c r="M717" s="33">
        <v>25</v>
      </c>
      <c r="N717" s="18">
        <f t="shared" si="113"/>
        <v>17.087671232876712</v>
      </c>
      <c r="O717" s="23">
        <v>11833.2</v>
      </c>
      <c r="P717" s="18">
        <f t="shared" si="114"/>
        <v>18.087671232876712</v>
      </c>
      <c r="Q717" s="18">
        <f t="shared" si="118"/>
        <v>1676.7980569863014</v>
      </c>
      <c r="R717" s="18">
        <f t="shared" si="115"/>
        <v>13509.998056986302</v>
      </c>
      <c r="S717" s="18">
        <f t="shared" si="117"/>
        <v>4629.25</v>
      </c>
    </row>
    <row r="718" spans="1:19" ht="15" customHeight="1" x14ac:dyDescent="0.2">
      <c r="A718" s="14">
        <f t="shared" si="116"/>
        <v>682</v>
      </c>
      <c r="B718" s="31" t="s">
        <v>656</v>
      </c>
      <c r="C718" s="15" t="s">
        <v>3</v>
      </c>
      <c r="D718" s="31" t="s">
        <v>500</v>
      </c>
      <c r="E718" s="31"/>
      <c r="F718" s="73" t="s">
        <v>11</v>
      </c>
      <c r="G718" s="32">
        <v>35277</v>
      </c>
      <c r="H718" s="29">
        <v>938473</v>
      </c>
      <c r="I718" s="17">
        <v>0</v>
      </c>
      <c r="J718" s="17">
        <v>702003.51558904105</v>
      </c>
      <c r="K718" s="17">
        <f t="shared" si="112"/>
        <v>236469.48441095895</v>
      </c>
      <c r="L718" s="23">
        <f t="shared" si="119"/>
        <v>46923.65</v>
      </c>
      <c r="M718" s="33">
        <v>25</v>
      </c>
      <c r="N718" s="18">
        <f t="shared" si="113"/>
        <v>23.687671232876713</v>
      </c>
      <c r="O718" s="23">
        <v>454460.05</v>
      </c>
      <c r="P718" s="18">
        <f t="shared" si="114"/>
        <v>24.687671232876713</v>
      </c>
      <c r="Q718" s="18">
        <f t="shared" si="118"/>
        <v>7581.8333764383578</v>
      </c>
      <c r="R718" s="18">
        <f t="shared" si="115"/>
        <v>462041.88337643835</v>
      </c>
      <c r="S718" s="18">
        <f t="shared" si="117"/>
        <v>46923.65</v>
      </c>
    </row>
    <row r="719" spans="1:19" ht="15" customHeight="1" x14ac:dyDescent="0.2">
      <c r="A719" s="14">
        <f t="shared" si="116"/>
        <v>683</v>
      </c>
      <c r="B719" s="31" t="s">
        <v>657</v>
      </c>
      <c r="C719" s="15" t="s">
        <v>3</v>
      </c>
      <c r="D719" s="31" t="s">
        <v>500</v>
      </c>
      <c r="E719" s="31"/>
      <c r="F719" s="73" t="s">
        <v>11</v>
      </c>
      <c r="G719" s="32">
        <v>36856</v>
      </c>
      <c r="H719" s="29">
        <v>103250</v>
      </c>
      <c r="I719" s="17">
        <v>0</v>
      </c>
      <c r="J719" s="17">
        <v>60260.6602739726</v>
      </c>
      <c r="K719" s="17">
        <f t="shared" si="112"/>
        <v>42989.3397260274</v>
      </c>
      <c r="L719" s="23">
        <f t="shared" si="119"/>
        <v>5162.5</v>
      </c>
      <c r="M719" s="33">
        <v>25</v>
      </c>
      <c r="N719" s="18">
        <f t="shared" si="113"/>
        <v>19.361643835616437</v>
      </c>
      <c r="O719" s="23">
        <v>9626.35</v>
      </c>
      <c r="P719" s="18">
        <f t="shared" si="114"/>
        <v>20.361643835616437</v>
      </c>
      <c r="Q719" s="18">
        <f t="shared" si="118"/>
        <v>1513.0735890410961</v>
      </c>
      <c r="R719" s="18">
        <f t="shared" si="115"/>
        <v>11139.423589041096</v>
      </c>
      <c r="S719" s="18">
        <f t="shared" si="117"/>
        <v>5162.5</v>
      </c>
    </row>
    <row r="720" spans="1:19" ht="15" customHeight="1" x14ac:dyDescent="0.2">
      <c r="A720" s="14">
        <f t="shared" si="116"/>
        <v>684</v>
      </c>
      <c r="B720" s="31" t="s">
        <v>658</v>
      </c>
      <c r="C720" s="15" t="s">
        <v>3</v>
      </c>
      <c r="D720" s="31" t="s">
        <v>500</v>
      </c>
      <c r="E720" s="31"/>
      <c r="F720" s="73" t="s">
        <v>8</v>
      </c>
      <c r="G720" s="32">
        <v>35397</v>
      </c>
      <c r="H720" s="29">
        <v>440654</v>
      </c>
      <c r="I720" s="17">
        <v>0</v>
      </c>
      <c r="J720" s="17">
        <v>324116.10789041093</v>
      </c>
      <c r="K720" s="17">
        <f t="shared" si="112"/>
        <v>116537.89210958907</v>
      </c>
      <c r="L720" s="23">
        <f t="shared" si="119"/>
        <v>22032.7</v>
      </c>
      <c r="M720" s="33">
        <v>25</v>
      </c>
      <c r="N720" s="18">
        <f t="shared" si="113"/>
        <v>23.358904109589041</v>
      </c>
      <c r="O720" s="23">
        <v>4493.5</v>
      </c>
      <c r="P720" s="18">
        <f t="shared" si="114"/>
        <v>24.358904109589041</v>
      </c>
      <c r="Q720" s="18">
        <f t="shared" si="118"/>
        <v>3780.207684383563</v>
      </c>
      <c r="R720" s="18">
        <f t="shared" si="115"/>
        <v>8273.7076843835639</v>
      </c>
      <c r="S720" s="18">
        <f t="shared" si="117"/>
        <v>22032.7</v>
      </c>
    </row>
    <row r="721" spans="1:19" ht="15" customHeight="1" x14ac:dyDescent="0.2">
      <c r="A721" s="14">
        <f t="shared" si="116"/>
        <v>685</v>
      </c>
      <c r="B721" s="31" t="s">
        <v>659</v>
      </c>
      <c r="C721" s="15" t="s">
        <v>3</v>
      </c>
      <c r="D721" s="31" t="s">
        <v>500</v>
      </c>
      <c r="E721" s="31"/>
      <c r="F721" s="73" t="s">
        <v>4</v>
      </c>
      <c r="G721" s="32">
        <v>36707</v>
      </c>
      <c r="H721" s="29">
        <v>86420</v>
      </c>
      <c r="I721" s="17">
        <v>0</v>
      </c>
      <c r="J721" s="17">
        <v>51778.602191780818</v>
      </c>
      <c r="K721" s="17">
        <f t="shared" si="112"/>
        <v>34641.397808219182</v>
      </c>
      <c r="L721" s="23">
        <f t="shared" si="119"/>
        <v>4321</v>
      </c>
      <c r="M721" s="33">
        <v>25</v>
      </c>
      <c r="N721" s="18">
        <f t="shared" si="113"/>
        <v>19.769863013698629</v>
      </c>
      <c r="O721" s="23">
        <v>6549.3</v>
      </c>
      <c r="P721" s="18">
        <f t="shared" si="114"/>
        <v>20.769863013698629</v>
      </c>
      <c r="Q721" s="18">
        <f t="shared" si="118"/>
        <v>1212.8159123287674</v>
      </c>
      <c r="R721" s="18">
        <f t="shared" si="115"/>
        <v>7762.1159123287671</v>
      </c>
      <c r="S721" s="18">
        <f t="shared" si="117"/>
        <v>4321</v>
      </c>
    </row>
    <row r="722" spans="1:19" ht="15" customHeight="1" x14ac:dyDescent="0.2">
      <c r="A722" s="14">
        <f t="shared" si="116"/>
        <v>686</v>
      </c>
      <c r="B722" s="31" t="s">
        <v>660</v>
      </c>
      <c r="C722" s="15" t="s">
        <v>3</v>
      </c>
      <c r="D722" s="31" t="s">
        <v>500</v>
      </c>
      <c r="E722" s="31"/>
      <c r="F722" s="73" t="s">
        <v>4</v>
      </c>
      <c r="G722" s="32">
        <v>37955</v>
      </c>
      <c r="H722" s="29">
        <v>59841.279999999999</v>
      </c>
      <c r="I722" s="17">
        <v>0</v>
      </c>
      <c r="J722" s="17">
        <v>28078.840165698628</v>
      </c>
      <c r="K722" s="17">
        <f t="shared" si="112"/>
        <v>31762.439834301371</v>
      </c>
      <c r="L722" s="23">
        <f t="shared" si="119"/>
        <v>2992.0640000000003</v>
      </c>
      <c r="M722" s="33">
        <v>25</v>
      </c>
      <c r="N722" s="18">
        <f t="shared" si="113"/>
        <v>16.350684931506848</v>
      </c>
      <c r="O722" s="23">
        <v>5893.8</v>
      </c>
      <c r="P722" s="18">
        <f t="shared" si="114"/>
        <v>17.350684931506848</v>
      </c>
      <c r="Q722" s="18">
        <f t="shared" si="118"/>
        <v>1150.8150333720548</v>
      </c>
      <c r="R722" s="18">
        <f t="shared" si="115"/>
        <v>7044.6150333720552</v>
      </c>
      <c r="S722" s="18">
        <f t="shared" si="117"/>
        <v>2992.0640000000003</v>
      </c>
    </row>
    <row r="723" spans="1:19" ht="15" customHeight="1" x14ac:dyDescent="0.2">
      <c r="A723" s="14">
        <f t="shared" si="116"/>
        <v>687</v>
      </c>
      <c r="B723" s="31" t="s">
        <v>661</v>
      </c>
      <c r="C723" s="15" t="s">
        <v>3</v>
      </c>
      <c r="D723" s="31" t="s">
        <v>500</v>
      </c>
      <c r="E723" s="31"/>
      <c r="F723" s="73" t="s">
        <v>4</v>
      </c>
      <c r="G723" s="32">
        <v>35397</v>
      </c>
      <c r="H723" s="29">
        <v>146292</v>
      </c>
      <c r="I723" s="17">
        <v>0</v>
      </c>
      <c r="J723" s="17">
        <v>107602.776</v>
      </c>
      <c r="K723" s="17">
        <f t="shared" si="112"/>
        <v>38689.224000000002</v>
      </c>
      <c r="L723" s="23">
        <f t="shared" si="119"/>
        <v>7314.6</v>
      </c>
      <c r="M723" s="33">
        <v>25</v>
      </c>
      <c r="N723" s="18">
        <f t="shared" si="113"/>
        <v>23.358904109589041</v>
      </c>
      <c r="O723" s="23">
        <v>1451.6</v>
      </c>
      <c r="P723" s="18">
        <f t="shared" si="114"/>
        <v>24.358904109589041</v>
      </c>
      <c r="Q723" s="18">
        <f t="shared" si="118"/>
        <v>1254.9849600000002</v>
      </c>
      <c r="R723" s="18">
        <f t="shared" si="115"/>
        <v>2706.5849600000001</v>
      </c>
      <c r="S723" s="18">
        <f t="shared" si="117"/>
        <v>7314.6</v>
      </c>
    </row>
    <row r="724" spans="1:19" ht="15" customHeight="1" x14ac:dyDescent="0.2">
      <c r="A724" s="14">
        <f t="shared" si="116"/>
        <v>688</v>
      </c>
      <c r="B724" s="31" t="s">
        <v>662</v>
      </c>
      <c r="C724" s="15" t="s">
        <v>3</v>
      </c>
      <c r="D724" s="31" t="s">
        <v>500</v>
      </c>
      <c r="E724" s="31"/>
      <c r="F724" s="73" t="s">
        <v>4</v>
      </c>
      <c r="G724" s="32">
        <v>38016</v>
      </c>
      <c r="H724" s="29">
        <v>54826.2</v>
      </c>
      <c r="I724" s="17">
        <v>0</v>
      </c>
      <c r="J724" s="17">
        <v>25377.470787945203</v>
      </c>
      <c r="K724" s="17">
        <f t="shared" si="112"/>
        <v>29448.729212054794</v>
      </c>
      <c r="L724" s="23">
        <f t="shared" si="119"/>
        <v>2741.31</v>
      </c>
      <c r="M724" s="33">
        <v>25</v>
      </c>
      <c r="N724" s="18">
        <f t="shared" si="113"/>
        <v>16.183561643835617</v>
      </c>
      <c r="O724" s="23">
        <v>102881.2</v>
      </c>
      <c r="P724" s="18">
        <f t="shared" si="114"/>
        <v>17.183561643835617</v>
      </c>
      <c r="Q724" s="18">
        <f t="shared" si="118"/>
        <v>1068.2967684821917</v>
      </c>
      <c r="R724" s="18">
        <f t="shared" si="115"/>
        <v>103949.49676848219</v>
      </c>
      <c r="S724" s="18">
        <f t="shared" si="117"/>
        <v>2741.31</v>
      </c>
    </row>
    <row r="725" spans="1:19" ht="15" customHeight="1" x14ac:dyDescent="0.2">
      <c r="A725" s="14">
        <f t="shared" si="116"/>
        <v>689</v>
      </c>
      <c r="B725" s="31" t="s">
        <v>663</v>
      </c>
      <c r="C725" s="15" t="s">
        <v>3</v>
      </c>
      <c r="D725" s="31" t="s">
        <v>500</v>
      </c>
      <c r="E725" s="31"/>
      <c r="F725" s="73" t="s">
        <v>4</v>
      </c>
      <c r="G725" s="32">
        <v>35445</v>
      </c>
      <c r="H725" s="29">
        <v>263832</v>
      </c>
      <c r="I725" s="17">
        <v>0</v>
      </c>
      <c r="J725" s="17">
        <v>192739.03416986301</v>
      </c>
      <c r="K725" s="17">
        <f t="shared" si="112"/>
        <v>71092.965830136993</v>
      </c>
      <c r="L725" s="23">
        <f t="shared" si="119"/>
        <v>13191.6</v>
      </c>
      <c r="M725" s="33">
        <v>25</v>
      </c>
      <c r="N725" s="18">
        <f t="shared" si="113"/>
        <v>23.227397260273971</v>
      </c>
      <c r="O725" s="23">
        <v>42923.85</v>
      </c>
      <c r="P725" s="18">
        <f t="shared" si="114"/>
        <v>24.227397260273971</v>
      </c>
      <c r="Q725" s="18">
        <f t="shared" si="118"/>
        <v>2316.0546332054796</v>
      </c>
      <c r="R725" s="18">
        <f t="shared" si="115"/>
        <v>45239.904633205479</v>
      </c>
      <c r="S725" s="18">
        <f t="shared" si="117"/>
        <v>13191.6</v>
      </c>
    </row>
    <row r="726" spans="1:19" ht="15" customHeight="1" x14ac:dyDescent="0.2">
      <c r="A726" s="14">
        <f t="shared" si="116"/>
        <v>690</v>
      </c>
      <c r="B726" s="31" t="s">
        <v>664</v>
      </c>
      <c r="C726" s="15" t="s">
        <v>3</v>
      </c>
      <c r="D726" s="31" t="s">
        <v>500</v>
      </c>
      <c r="E726" s="31"/>
      <c r="F726" s="73" t="s">
        <v>12</v>
      </c>
      <c r="G726" s="32">
        <v>37955</v>
      </c>
      <c r="H726" s="29">
        <v>47009.84</v>
      </c>
      <c r="I726" s="17">
        <v>0</v>
      </c>
      <c r="J726" s="17">
        <v>22058.047280657534</v>
      </c>
      <c r="K726" s="17">
        <f t="shared" si="112"/>
        <v>24951.792719342462</v>
      </c>
      <c r="L726" s="23">
        <f t="shared" si="119"/>
        <v>2350.4919999999997</v>
      </c>
      <c r="M726" s="33">
        <v>25</v>
      </c>
      <c r="N726" s="18">
        <f t="shared" si="113"/>
        <v>16.350684931506848</v>
      </c>
      <c r="O726" s="23">
        <v>71311.75</v>
      </c>
      <c r="P726" s="18">
        <f t="shared" si="114"/>
        <v>17.350684931506848</v>
      </c>
      <c r="Q726" s="18">
        <f t="shared" si="118"/>
        <v>904.05202877369857</v>
      </c>
      <c r="R726" s="18">
        <f t="shared" si="115"/>
        <v>72215.802028773702</v>
      </c>
      <c r="S726" s="18">
        <f t="shared" si="117"/>
        <v>2350.4919999999997</v>
      </c>
    </row>
    <row r="727" spans="1:19" ht="15" customHeight="1" x14ac:dyDescent="0.2">
      <c r="A727" s="14">
        <f t="shared" si="116"/>
        <v>691</v>
      </c>
      <c r="B727" s="31" t="s">
        <v>665</v>
      </c>
      <c r="C727" s="15" t="s">
        <v>3</v>
      </c>
      <c r="D727" s="31" t="s">
        <v>500</v>
      </c>
      <c r="E727" s="31"/>
      <c r="F727" s="70" t="s">
        <v>7</v>
      </c>
      <c r="G727" s="32">
        <v>24108</v>
      </c>
      <c r="H727" s="29">
        <v>13144.03</v>
      </c>
      <c r="I727" s="17">
        <v>0</v>
      </c>
      <c r="J727" s="17">
        <f>H727-L727</f>
        <v>12486.8285</v>
      </c>
      <c r="K727" s="17">
        <f t="shared" si="112"/>
        <v>657.20150000000103</v>
      </c>
      <c r="L727" s="23">
        <f t="shared" si="119"/>
        <v>657.20150000000012</v>
      </c>
      <c r="M727" s="33">
        <v>15</v>
      </c>
      <c r="N727" s="18">
        <f t="shared" si="113"/>
        <v>54.287671232876711</v>
      </c>
      <c r="O727" s="23">
        <v>61266.45</v>
      </c>
      <c r="P727" s="18">
        <f t="shared" si="114"/>
        <v>55.287671232876711</v>
      </c>
      <c r="Q727" s="18">
        <f t="shared" si="118"/>
        <v>6.0632980118195215E-14</v>
      </c>
      <c r="R727" s="18">
        <f t="shared" si="115"/>
        <v>61266.45</v>
      </c>
      <c r="S727" s="18">
        <f t="shared" si="117"/>
        <v>657.20150000000012</v>
      </c>
    </row>
    <row r="728" spans="1:19" ht="15" customHeight="1" x14ac:dyDescent="0.2">
      <c r="A728" s="14">
        <f t="shared" si="116"/>
        <v>692</v>
      </c>
      <c r="B728" s="31" t="s">
        <v>666</v>
      </c>
      <c r="C728" s="15" t="s">
        <v>3</v>
      </c>
      <c r="D728" s="31" t="s">
        <v>500</v>
      </c>
      <c r="E728" s="31"/>
      <c r="F728" s="73" t="s">
        <v>13</v>
      </c>
      <c r="G728" s="32">
        <v>35504</v>
      </c>
      <c r="H728" s="29">
        <v>185957</v>
      </c>
      <c r="I728" s="17">
        <v>0</v>
      </c>
      <c r="J728" s="17">
        <v>134706.23185753424</v>
      </c>
      <c r="K728" s="17">
        <f t="shared" si="112"/>
        <v>51250.768142465764</v>
      </c>
      <c r="L728" s="23">
        <f t="shared" si="119"/>
        <v>9297.85</v>
      </c>
      <c r="M728" s="33">
        <v>25</v>
      </c>
      <c r="N728" s="18">
        <f t="shared" si="113"/>
        <v>23.065753424657533</v>
      </c>
      <c r="O728" s="23">
        <v>38600.400000000001</v>
      </c>
      <c r="P728" s="18">
        <f t="shared" si="114"/>
        <v>24.065753424657533</v>
      </c>
      <c r="Q728" s="18">
        <f t="shared" si="118"/>
        <v>1678.1167256986307</v>
      </c>
      <c r="R728" s="18">
        <f t="shared" si="115"/>
        <v>40278.516725698631</v>
      </c>
      <c r="S728" s="18">
        <f t="shared" si="117"/>
        <v>9297.85</v>
      </c>
    </row>
    <row r="729" spans="1:19" ht="15" customHeight="1" x14ac:dyDescent="0.2">
      <c r="A729" s="14">
        <f t="shared" si="116"/>
        <v>693</v>
      </c>
      <c r="B729" s="31" t="s">
        <v>667</v>
      </c>
      <c r="C729" s="15" t="s">
        <v>3</v>
      </c>
      <c r="D729" s="31" t="s">
        <v>500</v>
      </c>
      <c r="E729" s="31"/>
      <c r="F729" s="73" t="s">
        <v>11</v>
      </c>
      <c r="G729" s="32">
        <v>35751</v>
      </c>
      <c r="H729" s="29">
        <v>107839</v>
      </c>
      <c r="I729" s="17">
        <v>0</v>
      </c>
      <c r="J729" s="17">
        <v>75344.893430136988</v>
      </c>
      <c r="K729" s="17">
        <f t="shared" si="112"/>
        <v>32494.106569863012</v>
      </c>
      <c r="L729" s="23">
        <f t="shared" si="119"/>
        <v>5391.9500000000007</v>
      </c>
      <c r="M729" s="33">
        <v>25</v>
      </c>
      <c r="N729" s="18">
        <f t="shared" si="113"/>
        <v>22.389041095890413</v>
      </c>
      <c r="O729" s="23">
        <v>34536.300000000003</v>
      </c>
      <c r="P729" s="18">
        <f t="shared" si="114"/>
        <v>23.389041095890413</v>
      </c>
      <c r="Q729" s="18">
        <f t="shared" si="118"/>
        <v>1084.0862627945205</v>
      </c>
      <c r="R729" s="18">
        <f t="shared" si="115"/>
        <v>35620.38626279452</v>
      </c>
      <c r="S729" s="18">
        <f t="shared" si="117"/>
        <v>5391.9500000000007</v>
      </c>
    </row>
    <row r="730" spans="1:19" ht="15" customHeight="1" x14ac:dyDescent="0.2">
      <c r="A730" s="14">
        <f t="shared" si="116"/>
        <v>694</v>
      </c>
      <c r="B730" s="31" t="s">
        <v>668</v>
      </c>
      <c r="C730" s="15" t="s">
        <v>3</v>
      </c>
      <c r="D730" s="31" t="s">
        <v>500</v>
      </c>
      <c r="E730" s="31"/>
      <c r="F730" s="73" t="s">
        <v>11</v>
      </c>
      <c r="G730" s="32">
        <v>36251</v>
      </c>
      <c r="H730" s="29">
        <v>61511</v>
      </c>
      <c r="I730" s="17">
        <v>0</v>
      </c>
      <c r="J730" s="17">
        <v>39774.52930958903</v>
      </c>
      <c r="K730" s="17">
        <f t="shared" si="112"/>
        <v>21736.47069041097</v>
      </c>
      <c r="L730" s="23">
        <f t="shared" si="119"/>
        <v>3075.55</v>
      </c>
      <c r="M730" s="33">
        <v>25</v>
      </c>
      <c r="N730" s="18">
        <f t="shared" si="113"/>
        <v>21.019178082191782</v>
      </c>
      <c r="O730" s="23">
        <v>33354.5</v>
      </c>
      <c r="P730" s="18">
        <f t="shared" si="114"/>
        <v>22.019178082191782</v>
      </c>
      <c r="Q730" s="18">
        <f t="shared" si="118"/>
        <v>746.43682761643879</v>
      </c>
      <c r="R730" s="18">
        <f t="shared" si="115"/>
        <v>34100.936827616439</v>
      </c>
      <c r="S730" s="18">
        <f t="shared" si="117"/>
        <v>3075.55</v>
      </c>
    </row>
    <row r="731" spans="1:19" ht="15" customHeight="1" x14ac:dyDescent="0.2">
      <c r="A731" s="14">
        <f t="shared" si="116"/>
        <v>695</v>
      </c>
      <c r="B731" s="31" t="s">
        <v>669</v>
      </c>
      <c r="C731" s="15" t="s">
        <v>3</v>
      </c>
      <c r="D731" s="31" t="s">
        <v>500</v>
      </c>
      <c r="E731" s="31"/>
      <c r="F731" s="73" t="s">
        <v>10</v>
      </c>
      <c r="G731" s="32">
        <v>35751</v>
      </c>
      <c r="H731" s="29">
        <v>90775</v>
      </c>
      <c r="I731" s="17">
        <v>0</v>
      </c>
      <c r="J731" s="17">
        <v>63422.627260273963</v>
      </c>
      <c r="K731" s="17">
        <f t="shared" si="112"/>
        <v>27352.372739726037</v>
      </c>
      <c r="L731" s="23">
        <f t="shared" si="119"/>
        <v>4538.75</v>
      </c>
      <c r="M731" s="33">
        <v>25</v>
      </c>
      <c r="N731" s="18">
        <f t="shared" si="113"/>
        <v>22.389041095890413</v>
      </c>
      <c r="O731" s="23">
        <v>32335.15</v>
      </c>
      <c r="P731" s="18">
        <f t="shared" si="114"/>
        <v>23.389041095890413</v>
      </c>
      <c r="Q731" s="18">
        <f t="shared" si="118"/>
        <v>912.54490958904148</v>
      </c>
      <c r="R731" s="18">
        <f t="shared" si="115"/>
        <v>33247.694909589045</v>
      </c>
      <c r="S731" s="18">
        <f t="shared" si="117"/>
        <v>4538.75</v>
      </c>
    </row>
    <row r="732" spans="1:19" ht="15" customHeight="1" x14ac:dyDescent="0.2">
      <c r="A732" s="14">
        <f t="shared" si="116"/>
        <v>696</v>
      </c>
      <c r="B732" s="31" t="s">
        <v>670</v>
      </c>
      <c r="C732" s="15" t="s">
        <v>3</v>
      </c>
      <c r="D732" s="31" t="s">
        <v>500</v>
      </c>
      <c r="E732" s="31"/>
      <c r="F732" s="73" t="s">
        <v>11</v>
      </c>
      <c r="G732" s="32">
        <v>36129</v>
      </c>
      <c r="H732" s="29">
        <v>40132</v>
      </c>
      <c r="I732" s="17">
        <v>0</v>
      </c>
      <c r="J732" s="17">
        <v>26460.072131506848</v>
      </c>
      <c r="K732" s="17">
        <f t="shared" si="112"/>
        <v>13671.927868493152</v>
      </c>
      <c r="L732" s="23">
        <f t="shared" si="119"/>
        <v>2006.6000000000001</v>
      </c>
      <c r="M732" s="33">
        <v>25</v>
      </c>
      <c r="N732" s="18">
        <f t="shared" si="113"/>
        <v>21.353424657534248</v>
      </c>
      <c r="O732" s="23">
        <v>24539.45</v>
      </c>
      <c r="P732" s="18">
        <f t="shared" si="114"/>
        <v>22.353424657534248</v>
      </c>
      <c r="Q732" s="18">
        <f t="shared" si="118"/>
        <v>466.61311473972609</v>
      </c>
      <c r="R732" s="18">
        <f t="shared" si="115"/>
        <v>25006.063114739725</v>
      </c>
      <c r="S732" s="18">
        <f t="shared" si="117"/>
        <v>2006.6000000000001</v>
      </c>
    </row>
    <row r="733" spans="1:19" ht="15" customHeight="1" x14ac:dyDescent="0.2">
      <c r="A733" s="14">
        <f t="shared" si="116"/>
        <v>697</v>
      </c>
      <c r="B733" s="31" t="s">
        <v>671</v>
      </c>
      <c r="C733" s="15" t="s">
        <v>3</v>
      </c>
      <c r="D733" s="31" t="s">
        <v>500</v>
      </c>
      <c r="E733" s="31"/>
      <c r="F733" s="73" t="s">
        <v>11</v>
      </c>
      <c r="G733" s="32">
        <v>37346</v>
      </c>
      <c r="H733" s="29">
        <v>23855</v>
      </c>
      <c r="I733" s="17">
        <v>0</v>
      </c>
      <c r="J733" s="17">
        <v>12705.761205479454</v>
      </c>
      <c r="K733" s="17">
        <f t="shared" si="112"/>
        <v>11149.238794520546</v>
      </c>
      <c r="L733" s="23">
        <f t="shared" si="119"/>
        <v>1192.75</v>
      </c>
      <c r="M733" s="33">
        <v>25</v>
      </c>
      <c r="N733" s="18">
        <f t="shared" si="113"/>
        <v>18.019178082191782</v>
      </c>
      <c r="O733" s="23">
        <v>220715.4</v>
      </c>
      <c r="P733" s="18">
        <f t="shared" si="114"/>
        <v>19.019178082191782</v>
      </c>
      <c r="Q733" s="18">
        <f t="shared" si="118"/>
        <v>398.25955178082188</v>
      </c>
      <c r="R733" s="18">
        <f t="shared" si="115"/>
        <v>221113.65955178082</v>
      </c>
      <c r="S733" s="18">
        <f t="shared" si="117"/>
        <v>1192.75</v>
      </c>
    </row>
    <row r="734" spans="1:19" ht="15" customHeight="1" x14ac:dyDescent="0.2">
      <c r="A734" s="14">
        <f t="shared" si="116"/>
        <v>698</v>
      </c>
      <c r="B734" s="31" t="s">
        <v>585</v>
      </c>
      <c r="C734" s="15" t="s">
        <v>3</v>
      </c>
      <c r="D734" s="31" t="s">
        <v>500</v>
      </c>
      <c r="E734" s="31"/>
      <c r="F734" s="70" t="s">
        <v>7</v>
      </c>
      <c r="G734" s="32">
        <v>41348</v>
      </c>
      <c r="H734" s="29">
        <v>15000</v>
      </c>
      <c r="I734" s="17">
        <v>0</v>
      </c>
      <c r="J734" s="17">
        <v>1739.6712328767123</v>
      </c>
      <c r="K734" s="17">
        <f t="shared" si="112"/>
        <v>13260.328767123288</v>
      </c>
      <c r="L734" s="23">
        <f t="shared" si="119"/>
        <v>750</v>
      </c>
      <c r="M734" s="33">
        <v>25</v>
      </c>
      <c r="N734" s="18">
        <f t="shared" si="113"/>
        <v>7.0547945205479454</v>
      </c>
      <c r="O734" s="23">
        <v>12407.95</v>
      </c>
      <c r="P734" s="18">
        <f t="shared" si="114"/>
        <v>8.0547945205479454</v>
      </c>
      <c r="Q734" s="18">
        <f t="shared" si="118"/>
        <v>500.41315068493157</v>
      </c>
      <c r="R734" s="18">
        <f t="shared" si="115"/>
        <v>12908.363150684932</v>
      </c>
      <c r="S734" s="18">
        <f t="shared" si="117"/>
        <v>750</v>
      </c>
    </row>
    <row r="735" spans="1:19" ht="15" customHeight="1" x14ac:dyDescent="0.2">
      <c r="A735" s="14">
        <f t="shared" si="116"/>
        <v>699</v>
      </c>
      <c r="B735" s="31" t="s">
        <v>672</v>
      </c>
      <c r="C735" s="15" t="s">
        <v>3</v>
      </c>
      <c r="D735" s="31" t="s">
        <v>500</v>
      </c>
      <c r="E735" s="31"/>
      <c r="F735" s="73" t="s">
        <v>8</v>
      </c>
      <c r="G735" s="32">
        <v>38663</v>
      </c>
      <c r="H735" s="29">
        <v>17629.740000000002</v>
      </c>
      <c r="I735" s="17">
        <v>0</v>
      </c>
      <c r="J735" s="17">
        <v>6972.7795229589037</v>
      </c>
      <c r="K735" s="17">
        <f t="shared" si="112"/>
        <v>10656.960477041099</v>
      </c>
      <c r="L735" s="23">
        <f t="shared" si="119"/>
        <v>881.48700000000008</v>
      </c>
      <c r="M735" s="33">
        <v>25</v>
      </c>
      <c r="N735" s="18">
        <f t="shared" si="113"/>
        <v>14.41095890410959</v>
      </c>
      <c r="O735" s="23">
        <v>55831.5</v>
      </c>
      <c r="P735" s="18">
        <f t="shared" si="114"/>
        <v>15.41095890410959</v>
      </c>
      <c r="Q735" s="18">
        <f t="shared" si="118"/>
        <v>391.01893908164391</v>
      </c>
      <c r="R735" s="18">
        <f t="shared" si="115"/>
        <v>56222.518939081645</v>
      </c>
      <c r="S735" s="18">
        <f t="shared" si="117"/>
        <v>881.48700000000008</v>
      </c>
    </row>
    <row r="736" spans="1:19" ht="15" customHeight="1" x14ac:dyDescent="0.2">
      <c r="A736" s="14">
        <f t="shared" si="116"/>
        <v>700</v>
      </c>
      <c r="B736" s="31" t="s">
        <v>673</v>
      </c>
      <c r="C736" s="15" t="s">
        <v>3</v>
      </c>
      <c r="D736" s="31" t="s">
        <v>500</v>
      </c>
      <c r="E736" s="31"/>
      <c r="F736" s="70" t="s">
        <v>7</v>
      </c>
      <c r="G736" s="32">
        <v>36891</v>
      </c>
      <c r="H736" s="29">
        <v>218583</v>
      </c>
      <c r="I736" s="17">
        <v>0</v>
      </c>
      <c r="J736" s="17">
        <f>H736-L736</f>
        <v>207653.85</v>
      </c>
      <c r="K736" s="17">
        <f t="shared" si="112"/>
        <v>10929.149999999994</v>
      </c>
      <c r="L736" s="23">
        <f t="shared" si="119"/>
        <v>10929.150000000001</v>
      </c>
      <c r="M736" s="33">
        <v>15</v>
      </c>
      <c r="N736" s="18">
        <f t="shared" si="113"/>
        <v>19.265753424657536</v>
      </c>
      <c r="O736" s="23">
        <v>64698.8</v>
      </c>
      <c r="P736" s="18">
        <f t="shared" si="114"/>
        <v>20.265753424657536</v>
      </c>
      <c r="Q736" s="18">
        <f t="shared" si="118"/>
        <v>-4.8506384094556172E-13</v>
      </c>
      <c r="R736" s="18">
        <f t="shared" si="115"/>
        <v>64698.8</v>
      </c>
      <c r="S736" s="18">
        <f t="shared" si="117"/>
        <v>10929.150000000001</v>
      </c>
    </row>
    <row r="737" spans="1:19" ht="15" customHeight="1" x14ac:dyDescent="0.2">
      <c r="A737" s="14">
        <f t="shared" si="116"/>
        <v>701</v>
      </c>
      <c r="B737" s="31" t="s">
        <v>674</v>
      </c>
      <c r="C737" s="15" t="s">
        <v>3</v>
      </c>
      <c r="D737" s="31" t="s">
        <v>500</v>
      </c>
      <c r="E737" s="31"/>
      <c r="F737" s="73" t="s">
        <v>4</v>
      </c>
      <c r="G737" s="32">
        <v>35751</v>
      </c>
      <c r="H737" s="29">
        <v>54000</v>
      </c>
      <c r="I737" s="17">
        <v>0</v>
      </c>
      <c r="J737" s="17">
        <v>37728.690410958901</v>
      </c>
      <c r="K737" s="17">
        <f t="shared" si="112"/>
        <v>16271.309589041099</v>
      </c>
      <c r="L737" s="23">
        <f t="shared" si="119"/>
        <v>2700</v>
      </c>
      <c r="M737" s="33">
        <v>25</v>
      </c>
      <c r="N737" s="18">
        <f t="shared" si="113"/>
        <v>22.389041095890413</v>
      </c>
      <c r="O737" s="23">
        <v>23073.599999999999</v>
      </c>
      <c r="P737" s="18">
        <f t="shared" si="114"/>
        <v>23.389041095890413</v>
      </c>
      <c r="Q737" s="18">
        <f t="shared" si="118"/>
        <v>542.85238356164393</v>
      </c>
      <c r="R737" s="18">
        <f t="shared" si="115"/>
        <v>23616.452383561642</v>
      </c>
      <c r="S737" s="18">
        <f t="shared" si="117"/>
        <v>2700</v>
      </c>
    </row>
    <row r="738" spans="1:19" ht="15" customHeight="1" x14ac:dyDescent="0.2">
      <c r="A738" s="14">
        <f t="shared" si="116"/>
        <v>702</v>
      </c>
      <c r="B738" s="31" t="s">
        <v>675</v>
      </c>
      <c r="C738" s="15" t="s">
        <v>3</v>
      </c>
      <c r="D738" s="31" t="s">
        <v>500</v>
      </c>
      <c r="E738" s="31"/>
      <c r="F738" s="73" t="s">
        <v>4</v>
      </c>
      <c r="G738" s="32">
        <v>38548</v>
      </c>
      <c r="H738" s="29">
        <v>37518</v>
      </c>
      <c r="I738" s="17">
        <v>0</v>
      </c>
      <c r="J738" s="17">
        <v>25480.032767123284</v>
      </c>
      <c r="K738" s="17">
        <f t="shared" si="112"/>
        <v>12037.967232876716</v>
      </c>
      <c r="L738" s="23">
        <f t="shared" si="119"/>
        <v>1875.9</v>
      </c>
      <c r="M738" s="33">
        <v>15</v>
      </c>
      <c r="N738" s="18">
        <f t="shared" si="113"/>
        <v>14.726027397260275</v>
      </c>
      <c r="O738" s="23">
        <v>19408.5</v>
      </c>
      <c r="P738" s="18">
        <f t="shared" si="114"/>
        <v>15.726027397260275</v>
      </c>
      <c r="Q738" s="18">
        <f t="shared" si="118"/>
        <v>677.47114885844769</v>
      </c>
      <c r="R738" s="18">
        <f t="shared" si="115"/>
        <v>20085.971148858447</v>
      </c>
      <c r="S738" s="18">
        <f t="shared" si="117"/>
        <v>1875.9</v>
      </c>
    </row>
    <row r="739" spans="1:19" ht="15" customHeight="1" x14ac:dyDescent="0.2">
      <c r="A739" s="14">
        <f t="shared" si="116"/>
        <v>703</v>
      </c>
      <c r="B739" s="31" t="s">
        <v>676</v>
      </c>
      <c r="C739" s="15" t="s">
        <v>3</v>
      </c>
      <c r="D739" s="31" t="s">
        <v>500</v>
      </c>
      <c r="E739" s="31"/>
      <c r="F739" s="70" t="s">
        <v>7</v>
      </c>
      <c r="G739" s="32">
        <v>34012</v>
      </c>
      <c r="H739" s="29">
        <v>22466</v>
      </c>
      <c r="I739" s="17">
        <v>0</v>
      </c>
      <c r="J739" s="17">
        <f>H739-L739</f>
        <v>21342.7</v>
      </c>
      <c r="K739" s="17">
        <f t="shared" si="112"/>
        <v>1123.2999999999993</v>
      </c>
      <c r="L739" s="23">
        <f t="shared" si="119"/>
        <v>1123.3</v>
      </c>
      <c r="M739" s="33">
        <v>15</v>
      </c>
      <c r="N739" s="18">
        <f t="shared" si="113"/>
        <v>27.153424657534245</v>
      </c>
      <c r="O739" s="23">
        <v>7366.3</v>
      </c>
      <c r="P739" s="18">
        <f t="shared" si="114"/>
        <v>28.153424657534245</v>
      </c>
      <c r="Q739" s="18">
        <f t="shared" si="118"/>
        <v>-4.5474735088646414E-14</v>
      </c>
      <c r="R739" s="18">
        <f t="shared" si="115"/>
        <v>7366.3</v>
      </c>
      <c r="S739" s="18">
        <f t="shared" si="117"/>
        <v>1123.3</v>
      </c>
    </row>
    <row r="740" spans="1:19" ht="15" customHeight="1" x14ac:dyDescent="0.2">
      <c r="A740" s="14">
        <f t="shared" si="116"/>
        <v>704</v>
      </c>
      <c r="B740" s="31" t="s">
        <v>677</v>
      </c>
      <c r="C740" s="15" t="s">
        <v>3</v>
      </c>
      <c r="D740" s="31" t="s">
        <v>500</v>
      </c>
      <c r="E740" s="31"/>
      <c r="F740" s="73" t="s">
        <v>12</v>
      </c>
      <c r="G740" s="32">
        <v>35397</v>
      </c>
      <c r="H740" s="29">
        <v>72824</v>
      </c>
      <c r="I740" s="17">
        <v>0</v>
      </c>
      <c r="J740" s="17">
        <v>53564.54597260274</v>
      </c>
      <c r="K740" s="17">
        <f t="shared" si="112"/>
        <v>19259.45402739726</v>
      </c>
      <c r="L740" s="23">
        <f t="shared" si="119"/>
        <v>3641.2000000000003</v>
      </c>
      <c r="M740" s="33">
        <v>25</v>
      </c>
      <c r="N740" s="18">
        <f t="shared" si="113"/>
        <v>23.358904109589041</v>
      </c>
      <c r="O740" s="23">
        <v>2812</v>
      </c>
      <c r="P740" s="18">
        <f t="shared" si="114"/>
        <v>24.358904109589041</v>
      </c>
      <c r="Q740" s="18">
        <f t="shared" si="118"/>
        <v>624.73016109589037</v>
      </c>
      <c r="R740" s="18">
        <f t="shared" si="115"/>
        <v>3436.7301610958903</v>
      </c>
      <c r="S740" s="18">
        <f t="shared" si="117"/>
        <v>3641.2000000000003</v>
      </c>
    </row>
    <row r="741" spans="1:19" ht="15" customHeight="1" x14ac:dyDescent="0.2">
      <c r="A741" s="14">
        <f t="shared" si="116"/>
        <v>705</v>
      </c>
      <c r="B741" s="31" t="s">
        <v>678</v>
      </c>
      <c r="C741" s="15" t="s">
        <v>3</v>
      </c>
      <c r="D741" s="31" t="s">
        <v>500</v>
      </c>
      <c r="E741" s="31"/>
      <c r="F741" s="73" t="s">
        <v>7</v>
      </c>
      <c r="G741" s="32">
        <v>35796</v>
      </c>
      <c r="H741" s="29">
        <v>20000</v>
      </c>
      <c r="I741" s="17">
        <v>0</v>
      </c>
      <c r="J741" s="17">
        <v>13879.890410958904</v>
      </c>
      <c r="K741" s="17">
        <f t="shared" ref="K741:K804" si="120">H741+I741-J741</f>
        <v>6120.1095890410961</v>
      </c>
      <c r="L741" s="23">
        <f t="shared" si="119"/>
        <v>1000</v>
      </c>
      <c r="M741" s="33">
        <v>25</v>
      </c>
      <c r="N741" s="18">
        <f t="shared" ref="N741:N804" si="121">IF(($N$35-G741+1)/365&gt;0,($N$35-G741+1)/365,0)</f>
        <v>22.265753424657536</v>
      </c>
      <c r="O741" s="23">
        <v>1216.95</v>
      </c>
      <c r="P741" s="18">
        <f t="shared" ref="P741:P804" si="122">($P$35-G741+1)/365</f>
        <v>23.265753424657536</v>
      </c>
      <c r="Q741" s="18">
        <f t="shared" si="118"/>
        <v>204.80438356164385</v>
      </c>
      <c r="R741" s="18">
        <f t="shared" ref="R741:R804" si="123">Q741+O741</f>
        <v>1421.7543835616439</v>
      </c>
      <c r="S741" s="18">
        <f t="shared" si="117"/>
        <v>1000</v>
      </c>
    </row>
    <row r="742" spans="1:19" ht="15" customHeight="1" x14ac:dyDescent="0.2">
      <c r="A742" s="14">
        <f t="shared" si="116"/>
        <v>706</v>
      </c>
      <c r="B742" s="31" t="s">
        <v>679</v>
      </c>
      <c r="C742" s="15" t="s">
        <v>3</v>
      </c>
      <c r="D742" s="31" t="s">
        <v>500</v>
      </c>
      <c r="E742" s="31"/>
      <c r="F742" s="70" t="s">
        <v>7</v>
      </c>
      <c r="G742" s="32">
        <v>35139</v>
      </c>
      <c r="H742" s="29">
        <v>48492</v>
      </c>
      <c r="I742" s="17">
        <v>0</v>
      </c>
      <c r="J742" s="17">
        <f>H742-L742</f>
        <v>46067.4</v>
      </c>
      <c r="K742" s="17">
        <f t="shared" si="120"/>
        <v>2424.5999999999985</v>
      </c>
      <c r="L742" s="23">
        <f t="shared" si="119"/>
        <v>2424.6</v>
      </c>
      <c r="M742" s="33">
        <v>15</v>
      </c>
      <c r="N742" s="18">
        <f t="shared" si="121"/>
        <v>24.065753424657533</v>
      </c>
      <c r="O742" s="23">
        <v>364.8</v>
      </c>
      <c r="P742" s="18">
        <f t="shared" si="122"/>
        <v>25.065753424657533</v>
      </c>
      <c r="Q742" s="18">
        <f t="shared" si="118"/>
        <v>-9.0949470177292829E-14</v>
      </c>
      <c r="R742" s="18">
        <f t="shared" si="123"/>
        <v>364.7999999999999</v>
      </c>
      <c r="S742" s="18">
        <f t="shared" si="117"/>
        <v>2424.6</v>
      </c>
    </row>
    <row r="743" spans="1:19" ht="15" customHeight="1" x14ac:dyDescent="0.2">
      <c r="A743" s="14">
        <f t="shared" ref="A743:A806" si="124">+A742+1</f>
        <v>707</v>
      </c>
      <c r="B743" s="31" t="s">
        <v>680</v>
      </c>
      <c r="C743" s="15" t="s">
        <v>3</v>
      </c>
      <c r="D743" s="31" t="s">
        <v>500</v>
      </c>
      <c r="E743" s="31"/>
      <c r="F743" s="73" t="s">
        <v>8</v>
      </c>
      <c r="G743" s="32">
        <v>35397</v>
      </c>
      <c r="H743" s="29">
        <v>46382</v>
      </c>
      <c r="I743" s="17">
        <v>0</v>
      </c>
      <c r="J743" s="17">
        <v>34115.54942465754</v>
      </c>
      <c r="K743" s="17">
        <f t="shared" si="120"/>
        <v>12266.45057534246</v>
      </c>
      <c r="L743" s="23">
        <f t="shared" si="119"/>
        <v>2319.1</v>
      </c>
      <c r="M743" s="33">
        <v>25</v>
      </c>
      <c r="N743" s="18">
        <f t="shared" si="121"/>
        <v>23.358904109589041</v>
      </c>
      <c r="O743" s="23">
        <v>7790</v>
      </c>
      <c r="P743" s="18">
        <f t="shared" si="122"/>
        <v>24.358904109589041</v>
      </c>
      <c r="Q743" s="18">
        <f t="shared" si="118"/>
        <v>397.89402301369842</v>
      </c>
      <c r="R743" s="18">
        <f t="shared" si="123"/>
        <v>8187.8940230136986</v>
      </c>
      <c r="S743" s="18">
        <f t="shared" ref="S743:S806" si="125">+IF(N743&gt;P743,0,L743)</f>
        <v>2319.1</v>
      </c>
    </row>
    <row r="744" spans="1:19" ht="15" customHeight="1" x14ac:dyDescent="0.2">
      <c r="A744" s="14">
        <f t="shared" si="124"/>
        <v>708</v>
      </c>
      <c r="B744" s="31" t="s">
        <v>681</v>
      </c>
      <c r="C744" s="15" t="s">
        <v>3</v>
      </c>
      <c r="D744" s="31" t="s">
        <v>500</v>
      </c>
      <c r="E744" s="31"/>
      <c r="F744" s="70" t="s">
        <v>7</v>
      </c>
      <c r="G744" s="32">
        <v>35504</v>
      </c>
      <c r="H744" s="29">
        <v>15750</v>
      </c>
      <c r="I744" s="17">
        <v>0</v>
      </c>
      <c r="J744" s="17">
        <v>11409.213698630138</v>
      </c>
      <c r="K744" s="17">
        <f t="shared" si="120"/>
        <v>4340.7863013698625</v>
      </c>
      <c r="L744" s="23">
        <f t="shared" si="119"/>
        <v>787.5</v>
      </c>
      <c r="M744" s="33">
        <v>25</v>
      </c>
      <c r="N744" s="18">
        <f t="shared" si="121"/>
        <v>23.065753424657533</v>
      </c>
      <c r="O744" s="23">
        <v>7473.65</v>
      </c>
      <c r="P744" s="18">
        <f t="shared" si="122"/>
        <v>24.065753424657533</v>
      </c>
      <c r="Q744" s="18">
        <f t="shared" si="118"/>
        <v>142.13145205479449</v>
      </c>
      <c r="R744" s="18">
        <f t="shared" si="123"/>
        <v>7615.7814520547945</v>
      </c>
      <c r="S744" s="18">
        <f t="shared" si="125"/>
        <v>787.5</v>
      </c>
    </row>
    <row r="745" spans="1:19" ht="15" customHeight="1" x14ac:dyDescent="0.2">
      <c r="A745" s="14">
        <f t="shared" si="124"/>
        <v>709</v>
      </c>
      <c r="B745" s="31" t="s">
        <v>682</v>
      </c>
      <c r="C745" s="15" t="s">
        <v>3</v>
      </c>
      <c r="D745" s="31" t="s">
        <v>500</v>
      </c>
      <c r="E745" s="31"/>
      <c r="F745" s="73" t="s">
        <v>11</v>
      </c>
      <c r="G745" s="32">
        <v>33186</v>
      </c>
      <c r="H745" s="29">
        <v>268838</v>
      </c>
      <c r="I745" s="17">
        <v>0</v>
      </c>
      <c r="J745" s="17">
        <f t="shared" ref="J745:J808" si="126">H745-L745</f>
        <v>255396.1</v>
      </c>
      <c r="K745" s="17">
        <f t="shared" si="120"/>
        <v>13441.899999999994</v>
      </c>
      <c r="L745" s="23">
        <f t="shared" si="119"/>
        <v>13441.900000000001</v>
      </c>
      <c r="M745" s="33">
        <v>25</v>
      </c>
      <c r="N745" s="18">
        <f t="shared" si="121"/>
        <v>29.416438356164385</v>
      </c>
      <c r="O745" s="23">
        <v>42801.3</v>
      </c>
      <c r="P745" s="18">
        <f t="shared" si="122"/>
        <v>30.416438356164385</v>
      </c>
      <c r="Q745" s="18">
        <f t="shared" si="118"/>
        <v>-2.9103830456733704E-13</v>
      </c>
      <c r="R745" s="18">
        <f t="shared" si="123"/>
        <v>42801.3</v>
      </c>
      <c r="S745" s="18">
        <f t="shared" si="125"/>
        <v>13441.900000000001</v>
      </c>
    </row>
    <row r="746" spans="1:19" ht="15" customHeight="1" x14ac:dyDescent="0.2">
      <c r="A746" s="14">
        <f t="shared" si="124"/>
        <v>710</v>
      </c>
      <c r="B746" s="31" t="s">
        <v>683</v>
      </c>
      <c r="C746" s="15" t="s">
        <v>3</v>
      </c>
      <c r="D746" s="31" t="s">
        <v>500</v>
      </c>
      <c r="E746" s="31"/>
      <c r="F746" s="73" t="s">
        <v>11</v>
      </c>
      <c r="G746" s="32">
        <v>33204</v>
      </c>
      <c r="H746" s="29">
        <v>15856</v>
      </c>
      <c r="I746" s="17">
        <v>0</v>
      </c>
      <c r="J746" s="17">
        <f t="shared" si="126"/>
        <v>15063.2</v>
      </c>
      <c r="K746" s="17">
        <f t="shared" si="120"/>
        <v>792.79999999999927</v>
      </c>
      <c r="L746" s="23">
        <f t="shared" si="119"/>
        <v>792.80000000000007</v>
      </c>
      <c r="M746" s="33">
        <v>25</v>
      </c>
      <c r="N746" s="18">
        <f t="shared" si="121"/>
        <v>29.367123287671234</v>
      </c>
      <c r="O746" s="23">
        <v>8732.4</v>
      </c>
      <c r="P746" s="18">
        <f t="shared" si="122"/>
        <v>30.367123287671234</v>
      </c>
      <c r="Q746" s="18">
        <f t="shared" si="118"/>
        <v>-3.1832314562052491E-14</v>
      </c>
      <c r="R746" s="18">
        <f t="shared" si="123"/>
        <v>8732.4</v>
      </c>
      <c r="S746" s="18">
        <f t="shared" si="125"/>
        <v>792.80000000000007</v>
      </c>
    </row>
    <row r="747" spans="1:19" ht="15" customHeight="1" x14ac:dyDescent="0.2">
      <c r="A747" s="14">
        <f t="shared" si="124"/>
        <v>711</v>
      </c>
      <c r="B747" s="31" t="s">
        <v>684</v>
      </c>
      <c r="C747" s="15" t="s">
        <v>3</v>
      </c>
      <c r="D747" s="31" t="s">
        <v>500</v>
      </c>
      <c r="E747" s="31"/>
      <c r="F747" s="73" t="s">
        <v>9</v>
      </c>
      <c r="G747" s="32">
        <v>33207</v>
      </c>
      <c r="H747" s="29">
        <v>233608</v>
      </c>
      <c r="I747" s="17">
        <v>0</v>
      </c>
      <c r="J747" s="17">
        <f t="shared" si="126"/>
        <v>221927.6</v>
      </c>
      <c r="K747" s="17">
        <f t="shared" si="120"/>
        <v>11680.399999999994</v>
      </c>
      <c r="L747" s="23">
        <f t="shared" si="119"/>
        <v>11680.400000000001</v>
      </c>
      <c r="M747" s="33">
        <v>25</v>
      </c>
      <c r="N747" s="18">
        <f t="shared" si="121"/>
        <v>29.358904109589041</v>
      </c>
      <c r="O747" s="23">
        <v>2693.25</v>
      </c>
      <c r="P747" s="18">
        <f t="shared" si="122"/>
        <v>30.358904109589041</v>
      </c>
      <c r="Q747" s="18">
        <f t="shared" si="118"/>
        <v>-2.9103830456733704E-13</v>
      </c>
      <c r="R747" s="18">
        <f t="shared" si="123"/>
        <v>2693.2499999999995</v>
      </c>
      <c r="S747" s="18">
        <f t="shared" si="125"/>
        <v>11680.400000000001</v>
      </c>
    </row>
    <row r="748" spans="1:19" ht="15" customHeight="1" x14ac:dyDescent="0.2">
      <c r="A748" s="14">
        <f t="shared" si="124"/>
        <v>712</v>
      </c>
      <c r="B748" s="31" t="s">
        <v>556</v>
      </c>
      <c r="C748" s="15" t="s">
        <v>3</v>
      </c>
      <c r="D748" s="31" t="s">
        <v>500</v>
      </c>
      <c r="E748" s="31"/>
      <c r="F748" s="70" t="s">
        <v>7</v>
      </c>
      <c r="G748" s="32">
        <v>33585</v>
      </c>
      <c r="H748" s="29">
        <v>64615</v>
      </c>
      <c r="I748" s="17">
        <v>0</v>
      </c>
      <c r="J748" s="17">
        <f t="shared" si="126"/>
        <v>61384.25</v>
      </c>
      <c r="K748" s="17">
        <f t="shared" si="120"/>
        <v>3230.75</v>
      </c>
      <c r="L748" s="23">
        <f t="shared" si="119"/>
        <v>3230.75</v>
      </c>
      <c r="M748" s="33">
        <v>15</v>
      </c>
      <c r="N748" s="18">
        <f t="shared" si="121"/>
        <v>28.323287671232876</v>
      </c>
      <c r="O748" s="23">
        <v>8060.75</v>
      </c>
      <c r="P748" s="18">
        <f t="shared" si="122"/>
        <v>29.323287671232876</v>
      </c>
      <c r="Q748" s="18">
        <f t="shared" si="118"/>
        <v>0</v>
      </c>
      <c r="R748" s="18">
        <f t="shared" si="123"/>
        <v>8060.75</v>
      </c>
      <c r="S748" s="18">
        <f t="shared" si="125"/>
        <v>3230.75</v>
      </c>
    </row>
    <row r="749" spans="1:19" ht="15" customHeight="1" x14ac:dyDescent="0.2">
      <c r="A749" s="14">
        <f t="shared" si="124"/>
        <v>713</v>
      </c>
      <c r="B749" s="31" t="s">
        <v>685</v>
      </c>
      <c r="C749" s="15" t="s">
        <v>3</v>
      </c>
      <c r="D749" s="31" t="s">
        <v>500</v>
      </c>
      <c r="E749" s="31"/>
      <c r="F749" s="73" t="s">
        <v>11</v>
      </c>
      <c r="G749" s="32">
        <v>33208</v>
      </c>
      <c r="H749" s="29">
        <v>97316</v>
      </c>
      <c r="I749" s="17">
        <v>0</v>
      </c>
      <c r="J749" s="17">
        <f t="shared" si="126"/>
        <v>92450.2</v>
      </c>
      <c r="K749" s="17">
        <f t="shared" si="120"/>
        <v>4865.8000000000029</v>
      </c>
      <c r="L749" s="23">
        <f t="shared" si="119"/>
        <v>4865.8</v>
      </c>
      <c r="M749" s="33">
        <v>25</v>
      </c>
      <c r="N749" s="18">
        <f t="shared" si="121"/>
        <v>29.356164383561644</v>
      </c>
      <c r="O749" s="23">
        <v>240613.15</v>
      </c>
      <c r="P749" s="18">
        <f t="shared" si="122"/>
        <v>30.356164383561644</v>
      </c>
      <c r="Q749" s="18">
        <f t="shared" si="118"/>
        <v>1.0913936421275138E-13</v>
      </c>
      <c r="R749" s="18">
        <f t="shared" si="123"/>
        <v>240613.15</v>
      </c>
      <c r="S749" s="18">
        <f t="shared" si="125"/>
        <v>4865.8</v>
      </c>
    </row>
    <row r="750" spans="1:19" ht="15" customHeight="1" x14ac:dyDescent="0.2">
      <c r="A750" s="14">
        <f t="shared" si="124"/>
        <v>714</v>
      </c>
      <c r="B750" s="31" t="s">
        <v>686</v>
      </c>
      <c r="C750" s="15" t="s">
        <v>3</v>
      </c>
      <c r="D750" s="31" t="s">
        <v>500</v>
      </c>
      <c r="E750" s="31"/>
      <c r="F750" s="73" t="s">
        <v>10</v>
      </c>
      <c r="G750" s="32">
        <v>33208</v>
      </c>
      <c r="H750" s="29">
        <v>11222</v>
      </c>
      <c r="I750" s="17">
        <v>0</v>
      </c>
      <c r="J750" s="17">
        <f t="shared" si="126"/>
        <v>10660.9</v>
      </c>
      <c r="K750" s="17">
        <f t="shared" si="120"/>
        <v>561.10000000000036</v>
      </c>
      <c r="L750" s="23">
        <f t="shared" si="119"/>
        <v>561.1</v>
      </c>
      <c r="M750" s="33">
        <v>25</v>
      </c>
      <c r="N750" s="18">
        <f t="shared" si="121"/>
        <v>29.356164383561644</v>
      </c>
      <c r="O750" s="23">
        <v>2835.75</v>
      </c>
      <c r="P750" s="18">
        <f t="shared" si="122"/>
        <v>30.356164383561644</v>
      </c>
      <c r="Q750" s="18">
        <f t="shared" si="118"/>
        <v>1.3642420526593923E-14</v>
      </c>
      <c r="R750" s="18">
        <f t="shared" si="123"/>
        <v>2835.75</v>
      </c>
      <c r="S750" s="18">
        <f t="shared" si="125"/>
        <v>561.1</v>
      </c>
    </row>
    <row r="751" spans="1:19" ht="15" customHeight="1" x14ac:dyDescent="0.2">
      <c r="A751" s="14">
        <f t="shared" si="124"/>
        <v>715</v>
      </c>
      <c r="B751" s="31" t="s">
        <v>687</v>
      </c>
      <c r="C751" s="15" t="s">
        <v>3</v>
      </c>
      <c r="D751" s="31" t="s">
        <v>500</v>
      </c>
      <c r="E751" s="31"/>
      <c r="F751" s="73" t="s">
        <v>8</v>
      </c>
      <c r="G751" s="32">
        <v>33209</v>
      </c>
      <c r="H751" s="29">
        <v>18253</v>
      </c>
      <c r="I751" s="17">
        <v>0</v>
      </c>
      <c r="J751" s="17">
        <f t="shared" si="126"/>
        <v>17340.349999999999</v>
      </c>
      <c r="K751" s="17">
        <f t="shared" si="120"/>
        <v>912.65000000000146</v>
      </c>
      <c r="L751" s="23">
        <f t="shared" si="119"/>
        <v>912.65000000000009</v>
      </c>
      <c r="M751" s="33">
        <v>25</v>
      </c>
      <c r="N751" s="18">
        <f t="shared" si="121"/>
        <v>29.353424657534248</v>
      </c>
      <c r="O751" s="23">
        <v>2456.6999999999998</v>
      </c>
      <c r="P751" s="18">
        <f t="shared" si="122"/>
        <v>30.353424657534248</v>
      </c>
      <c r="Q751" s="18">
        <f t="shared" si="118"/>
        <v>5.4569682106375692E-14</v>
      </c>
      <c r="R751" s="18">
        <f t="shared" si="123"/>
        <v>2456.6999999999998</v>
      </c>
      <c r="S751" s="18">
        <f t="shared" si="125"/>
        <v>912.65000000000009</v>
      </c>
    </row>
    <row r="752" spans="1:19" ht="15" customHeight="1" x14ac:dyDescent="0.2">
      <c r="A752" s="14">
        <f t="shared" si="124"/>
        <v>716</v>
      </c>
      <c r="B752" s="31" t="s">
        <v>688</v>
      </c>
      <c r="C752" s="15" t="s">
        <v>3</v>
      </c>
      <c r="D752" s="31" t="s">
        <v>500</v>
      </c>
      <c r="E752" s="31"/>
      <c r="F752" s="73" t="s">
        <v>8</v>
      </c>
      <c r="G752" s="32">
        <v>33294</v>
      </c>
      <c r="H752" s="29">
        <v>16605</v>
      </c>
      <c r="I752" s="17">
        <v>0</v>
      </c>
      <c r="J752" s="17">
        <f t="shared" si="126"/>
        <v>15774.75</v>
      </c>
      <c r="K752" s="17">
        <f t="shared" si="120"/>
        <v>830.25</v>
      </c>
      <c r="L752" s="23">
        <f t="shared" si="119"/>
        <v>830.25</v>
      </c>
      <c r="M752" s="33">
        <v>25</v>
      </c>
      <c r="N752" s="18">
        <f t="shared" si="121"/>
        <v>29.12054794520548</v>
      </c>
      <c r="O752" s="23">
        <v>27228.9</v>
      </c>
      <c r="P752" s="18">
        <f t="shared" si="122"/>
        <v>30.12054794520548</v>
      </c>
      <c r="Q752" s="18">
        <f t="shared" si="118"/>
        <v>0</v>
      </c>
      <c r="R752" s="18">
        <f t="shared" si="123"/>
        <v>27228.9</v>
      </c>
      <c r="S752" s="18">
        <f t="shared" si="125"/>
        <v>830.25</v>
      </c>
    </row>
    <row r="753" spans="1:19" ht="15" customHeight="1" x14ac:dyDescent="0.2">
      <c r="A753" s="14">
        <f t="shared" si="124"/>
        <v>717</v>
      </c>
      <c r="B753" s="31" t="s">
        <v>689</v>
      </c>
      <c r="C753" s="15" t="s">
        <v>3</v>
      </c>
      <c r="D753" s="31" t="s">
        <v>500</v>
      </c>
      <c r="E753" s="31"/>
      <c r="F753" s="73" t="s">
        <v>11</v>
      </c>
      <c r="G753" s="32">
        <v>33308</v>
      </c>
      <c r="H753" s="29">
        <v>155141</v>
      </c>
      <c r="I753" s="17">
        <v>0</v>
      </c>
      <c r="J753" s="17">
        <f t="shared" si="126"/>
        <v>147383.95000000001</v>
      </c>
      <c r="K753" s="17">
        <f t="shared" si="120"/>
        <v>7757.0499999999884</v>
      </c>
      <c r="L753" s="23">
        <f t="shared" si="119"/>
        <v>7757.05</v>
      </c>
      <c r="M753" s="33">
        <v>25</v>
      </c>
      <c r="N753" s="18">
        <f t="shared" si="121"/>
        <v>29.082191780821919</v>
      </c>
      <c r="O753" s="23">
        <v>26322.6</v>
      </c>
      <c r="P753" s="18">
        <f t="shared" si="122"/>
        <v>30.082191780821919</v>
      </c>
      <c r="Q753" s="18">
        <f t="shared" si="118"/>
        <v>-4.729372449219227E-13</v>
      </c>
      <c r="R753" s="18">
        <f t="shared" si="123"/>
        <v>26322.6</v>
      </c>
      <c r="S753" s="18">
        <f t="shared" si="125"/>
        <v>7757.05</v>
      </c>
    </row>
    <row r="754" spans="1:19" ht="15" customHeight="1" x14ac:dyDescent="0.2">
      <c r="A754" s="14">
        <f t="shared" si="124"/>
        <v>718</v>
      </c>
      <c r="B754" s="31" t="s">
        <v>690</v>
      </c>
      <c r="C754" s="15" t="s">
        <v>3</v>
      </c>
      <c r="D754" s="31" t="s">
        <v>500</v>
      </c>
      <c r="E754" s="31"/>
      <c r="F754" s="73" t="s">
        <v>11</v>
      </c>
      <c r="G754" s="32">
        <v>33328</v>
      </c>
      <c r="H754" s="29">
        <v>15954</v>
      </c>
      <c r="I754" s="17">
        <v>0</v>
      </c>
      <c r="J754" s="17">
        <f t="shared" si="126"/>
        <v>15156.3</v>
      </c>
      <c r="K754" s="17">
        <f t="shared" si="120"/>
        <v>797.70000000000073</v>
      </c>
      <c r="L754" s="23">
        <f t="shared" si="119"/>
        <v>797.7</v>
      </c>
      <c r="M754" s="33">
        <v>25</v>
      </c>
      <c r="N754" s="18">
        <f t="shared" si="121"/>
        <v>29.027397260273972</v>
      </c>
      <c r="O754" s="23">
        <v>22055.200000000001</v>
      </c>
      <c r="P754" s="18">
        <f t="shared" si="122"/>
        <v>30.027397260273972</v>
      </c>
      <c r="Q754" s="18">
        <f t="shared" si="118"/>
        <v>2.7284841053187846E-14</v>
      </c>
      <c r="R754" s="18">
        <f t="shared" si="123"/>
        <v>22055.200000000001</v>
      </c>
      <c r="S754" s="18">
        <f t="shared" si="125"/>
        <v>797.7</v>
      </c>
    </row>
    <row r="755" spans="1:19" ht="15" customHeight="1" x14ac:dyDescent="0.2">
      <c r="A755" s="14">
        <f t="shared" si="124"/>
        <v>719</v>
      </c>
      <c r="B755" s="31" t="s">
        <v>691</v>
      </c>
      <c r="C755" s="15" t="s">
        <v>3</v>
      </c>
      <c r="D755" s="31" t="s">
        <v>500</v>
      </c>
      <c r="E755" s="31"/>
      <c r="F755" s="73" t="s">
        <v>11</v>
      </c>
      <c r="G755" s="32">
        <v>33352</v>
      </c>
      <c r="H755" s="29">
        <v>144281</v>
      </c>
      <c r="I755" s="17">
        <v>0</v>
      </c>
      <c r="J755" s="17">
        <f t="shared" si="126"/>
        <v>137066.95000000001</v>
      </c>
      <c r="K755" s="17">
        <f t="shared" si="120"/>
        <v>7214.0499999999884</v>
      </c>
      <c r="L755" s="23">
        <f t="shared" si="119"/>
        <v>7214.05</v>
      </c>
      <c r="M755" s="33">
        <v>25</v>
      </c>
      <c r="N755" s="18">
        <f t="shared" si="121"/>
        <v>28.961643835616439</v>
      </c>
      <c r="O755" s="23">
        <v>6726</v>
      </c>
      <c r="P755" s="18">
        <f t="shared" si="122"/>
        <v>29.961643835616439</v>
      </c>
      <c r="Q755" s="18">
        <f t="shared" si="118"/>
        <v>-4.729372449219227E-13</v>
      </c>
      <c r="R755" s="18">
        <f t="shared" si="123"/>
        <v>6725.9999999999991</v>
      </c>
      <c r="S755" s="18">
        <f t="shared" si="125"/>
        <v>7214.05</v>
      </c>
    </row>
    <row r="756" spans="1:19" ht="15" customHeight="1" x14ac:dyDescent="0.2">
      <c r="A756" s="14">
        <f t="shared" si="124"/>
        <v>720</v>
      </c>
      <c r="B756" s="31" t="s">
        <v>692</v>
      </c>
      <c r="C756" s="15" t="s">
        <v>3</v>
      </c>
      <c r="D756" s="31" t="s">
        <v>500</v>
      </c>
      <c r="E756" s="31"/>
      <c r="F756" s="73" t="s">
        <v>8</v>
      </c>
      <c r="G756" s="32">
        <v>19725</v>
      </c>
      <c r="H756" s="29">
        <v>6181</v>
      </c>
      <c r="I756" s="17">
        <v>0</v>
      </c>
      <c r="J756" s="17">
        <f t="shared" si="126"/>
        <v>5871.95</v>
      </c>
      <c r="K756" s="17">
        <f t="shared" si="120"/>
        <v>309.05000000000018</v>
      </c>
      <c r="L756" s="23">
        <f t="shared" si="119"/>
        <v>309.05</v>
      </c>
      <c r="M756" s="33">
        <v>10</v>
      </c>
      <c r="N756" s="18">
        <f t="shared" si="121"/>
        <v>66.295890410958904</v>
      </c>
      <c r="O756" s="23">
        <v>390.45</v>
      </c>
      <c r="P756" s="18">
        <f t="shared" si="122"/>
        <v>67.295890410958904</v>
      </c>
      <c r="Q756" s="18">
        <f t="shared" si="118"/>
        <v>1.7053025658242407E-14</v>
      </c>
      <c r="R756" s="18">
        <f t="shared" si="123"/>
        <v>390.45</v>
      </c>
      <c r="S756" s="18">
        <f t="shared" si="125"/>
        <v>309.05</v>
      </c>
    </row>
    <row r="757" spans="1:19" ht="15" customHeight="1" x14ac:dyDescent="0.2">
      <c r="A757" s="14">
        <f t="shared" si="124"/>
        <v>721</v>
      </c>
      <c r="B757" s="31" t="s">
        <v>693</v>
      </c>
      <c r="C757" s="15" t="s">
        <v>3</v>
      </c>
      <c r="D757" s="31" t="s">
        <v>500</v>
      </c>
      <c r="E757" s="31"/>
      <c r="F757" s="73" t="s">
        <v>11</v>
      </c>
      <c r="G757" s="32">
        <v>33359</v>
      </c>
      <c r="H757" s="29">
        <v>14703</v>
      </c>
      <c r="I757" s="17">
        <v>0</v>
      </c>
      <c r="J757" s="17">
        <f t="shared" si="126"/>
        <v>13967.85</v>
      </c>
      <c r="K757" s="17">
        <f t="shared" si="120"/>
        <v>735.14999999999964</v>
      </c>
      <c r="L757" s="23">
        <f t="shared" si="119"/>
        <v>735.15000000000009</v>
      </c>
      <c r="M757" s="33">
        <v>25</v>
      </c>
      <c r="N757" s="18">
        <f t="shared" si="121"/>
        <v>28.942465753424656</v>
      </c>
      <c r="O757" s="23">
        <v>5491</v>
      </c>
      <c r="P757" s="18">
        <f t="shared" si="122"/>
        <v>29.942465753424656</v>
      </c>
      <c r="Q757" s="18">
        <f t="shared" si="118"/>
        <v>-1.8189894035458565E-14</v>
      </c>
      <c r="R757" s="18">
        <f t="shared" si="123"/>
        <v>5491</v>
      </c>
      <c r="S757" s="18">
        <f t="shared" si="125"/>
        <v>735.15000000000009</v>
      </c>
    </row>
    <row r="758" spans="1:19" ht="15" customHeight="1" x14ac:dyDescent="0.2">
      <c r="A758" s="14">
        <f t="shared" si="124"/>
        <v>722</v>
      </c>
      <c r="B758" s="31" t="s">
        <v>694</v>
      </c>
      <c r="C758" s="15" t="s">
        <v>3</v>
      </c>
      <c r="D758" s="31" t="s">
        <v>500</v>
      </c>
      <c r="E758" s="31"/>
      <c r="F758" s="73" t="s">
        <v>4</v>
      </c>
      <c r="G758" s="32">
        <v>38728</v>
      </c>
      <c r="H758" s="29">
        <v>44806</v>
      </c>
      <c r="I758" s="17">
        <v>0</v>
      </c>
      <c r="J758" s="17">
        <v>29030.196127853877</v>
      </c>
      <c r="K758" s="17">
        <f t="shared" si="120"/>
        <v>15775.803872146123</v>
      </c>
      <c r="L758" s="23">
        <f t="shared" si="119"/>
        <v>2240.3000000000002</v>
      </c>
      <c r="M758" s="33">
        <v>15</v>
      </c>
      <c r="N758" s="18">
        <f t="shared" si="121"/>
        <v>14.232876712328768</v>
      </c>
      <c r="O758" s="23">
        <v>209734.35</v>
      </c>
      <c r="P758" s="18">
        <f t="shared" si="122"/>
        <v>15.232876712328768</v>
      </c>
      <c r="Q758" s="18">
        <f t="shared" si="118"/>
        <v>902.36692480974159</v>
      </c>
      <c r="R758" s="18">
        <f t="shared" si="123"/>
        <v>210636.71692480973</v>
      </c>
      <c r="S758" s="18">
        <f t="shared" si="125"/>
        <v>2240.3000000000002</v>
      </c>
    </row>
    <row r="759" spans="1:19" ht="15" customHeight="1" x14ac:dyDescent="0.2">
      <c r="A759" s="14">
        <f t="shared" si="124"/>
        <v>723</v>
      </c>
      <c r="B759" s="31" t="s">
        <v>695</v>
      </c>
      <c r="C759" s="15" t="s">
        <v>3</v>
      </c>
      <c r="D759" s="31" t="s">
        <v>500</v>
      </c>
      <c r="E759" s="31"/>
      <c r="F759" s="73" t="s">
        <v>8</v>
      </c>
      <c r="G759" s="32">
        <v>20455</v>
      </c>
      <c r="H759" s="29">
        <v>4947</v>
      </c>
      <c r="I759" s="17">
        <v>0</v>
      </c>
      <c r="J759" s="17">
        <f t="shared" si="126"/>
        <v>4699.6499999999996</v>
      </c>
      <c r="K759" s="17">
        <f t="shared" si="120"/>
        <v>247.35000000000036</v>
      </c>
      <c r="L759" s="23">
        <f t="shared" si="119"/>
        <v>247.35000000000002</v>
      </c>
      <c r="M759" s="33">
        <v>10</v>
      </c>
      <c r="N759" s="18">
        <f t="shared" si="121"/>
        <v>64.295890410958904</v>
      </c>
      <c r="O759" s="23">
        <v>70134.7</v>
      </c>
      <c r="P759" s="18">
        <f t="shared" si="122"/>
        <v>65.295890410958904</v>
      </c>
      <c r="Q759" s="18">
        <f t="shared" ref="Q759:Q822" si="127">(P759-N759)/M759*(K759-L759)</f>
        <v>3.4106051316484814E-14</v>
      </c>
      <c r="R759" s="18">
        <f t="shared" si="123"/>
        <v>70134.7</v>
      </c>
      <c r="S759" s="18">
        <f t="shared" si="125"/>
        <v>247.35000000000002</v>
      </c>
    </row>
    <row r="760" spans="1:19" ht="15" customHeight="1" x14ac:dyDescent="0.2">
      <c r="A760" s="14">
        <f t="shared" si="124"/>
        <v>724</v>
      </c>
      <c r="B760" s="31" t="s">
        <v>696</v>
      </c>
      <c r="C760" s="15" t="s">
        <v>3</v>
      </c>
      <c r="D760" s="31" t="s">
        <v>500</v>
      </c>
      <c r="E760" s="31"/>
      <c r="F760" s="73" t="s">
        <v>8</v>
      </c>
      <c r="G760" s="32">
        <v>33559</v>
      </c>
      <c r="H760" s="29">
        <v>95302</v>
      </c>
      <c r="I760" s="17">
        <v>0</v>
      </c>
      <c r="J760" s="17">
        <f t="shared" si="126"/>
        <v>90536.9</v>
      </c>
      <c r="K760" s="17">
        <f t="shared" si="120"/>
        <v>4765.1000000000058</v>
      </c>
      <c r="L760" s="23">
        <f t="shared" ref="L760:L823" si="128">H760*0.05</f>
        <v>4765.1000000000004</v>
      </c>
      <c r="M760" s="33">
        <v>25</v>
      </c>
      <c r="N760" s="18">
        <f t="shared" si="121"/>
        <v>28.394520547945206</v>
      </c>
      <c r="O760" s="23">
        <v>40755</v>
      </c>
      <c r="P760" s="18">
        <f t="shared" si="122"/>
        <v>29.394520547945206</v>
      </c>
      <c r="Q760" s="18">
        <f t="shared" si="127"/>
        <v>2.1827872842550277E-13</v>
      </c>
      <c r="R760" s="18">
        <f t="shared" si="123"/>
        <v>40755</v>
      </c>
      <c r="S760" s="18">
        <f t="shared" si="125"/>
        <v>4765.1000000000004</v>
      </c>
    </row>
    <row r="761" spans="1:19" ht="15" customHeight="1" x14ac:dyDescent="0.2">
      <c r="A761" s="14">
        <f t="shared" si="124"/>
        <v>725</v>
      </c>
      <c r="B761" s="31" t="s">
        <v>697</v>
      </c>
      <c r="C761" s="15" t="s">
        <v>3</v>
      </c>
      <c r="D761" s="31" t="s">
        <v>500</v>
      </c>
      <c r="E761" s="31"/>
      <c r="F761" s="70" t="s">
        <v>7</v>
      </c>
      <c r="G761" s="32">
        <v>30317</v>
      </c>
      <c r="H761" s="29">
        <v>66509</v>
      </c>
      <c r="I761" s="17">
        <v>0</v>
      </c>
      <c r="J761" s="17">
        <f t="shared" si="126"/>
        <v>63183.55</v>
      </c>
      <c r="K761" s="17">
        <f t="shared" si="120"/>
        <v>3325.4499999999971</v>
      </c>
      <c r="L761" s="23">
        <f t="shared" si="128"/>
        <v>3325.4500000000003</v>
      </c>
      <c r="M761" s="33">
        <v>15</v>
      </c>
      <c r="N761" s="18">
        <f t="shared" si="121"/>
        <v>37.276712328767125</v>
      </c>
      <c r="O761" s="23">
        <v>2793</v>
      </c>
      <c r="P761" s="18">
        <f t="shared" si="122"/>
        <v>38.276712328767125</v>
      </c>
      <c r="Q761" s="18">
        <f t="shared" si="127"/>
        <v>-2.1221543041368326E-13</v>
      </c>
      <c r="R761" s="18">
        <f t="shared" si="123"/>
        <v>2793</v>
      </c>
      <c r="S761" s="18">
        <f t="shared" si="125"/>
        <v>3325.4500000000003</v>
      </c>
    </row>
    <row r="762" spans="1:19" ht="15" customHeight="1" x14ac:dyDescent="0.2">
      <c r="A762" s="14">
        <f t="shared" si="124"/>
        <v>726</v>
      </c>
      <c r="B762" s="31" t="s">
        <v>698</v>
      </c>
      <c r="C762" s="15" t="s">
        <v>3</v>
      </c>
      <c r="D762" s="31" t="s">
        <v>500</v>
      </c>
      <c r="E762" s="31"/>
      <c r="F762" s="73" t="s">
        <v>13</v>
      </c>
      <c r="G762" s="32">
        <v>33560</v>
      </c>
      <c r="H762" s="29">
        <v>490871</v>
      </c>
      <c r="I762" s="17">
        <v>0</v>
      </c>
      <c r="J762" s="17">
        <f t="shared" si="126"/>
        <v>466327.45</v>
      </c>
      <c r="K762" s="17">
        <f t="shared" si="120"/>
        <v>24543.549999999988</v>
      </c>
      <c r="L762" s="23">
        <f t="shared" si="128"/>
        <v>24543.550000000003</v>
      </c>
      <c r="M762" s="33">
        <v>25</v>
      </c>
      <c r="N762" s="18">
        <f t="shared" si="121"/>
        <v>28.391780821917809</v>
      </c>
      <c r="O762" s="23">
        <v>2660.95</v>
      </c>
      <c r="P762" s="18">
        <f t="shared" si="122"/>
        <v>29.391780821917809</v>
      </c>
      <c r="Q762" s="18">
        <f t="shared" si="127"/>
        <v>-5.8207660913467408E-13</v>
      </c>
      <c r="R762" s="18">
        <f t="shared" si="123"/>
        <v>2660.9499999999994</v>
      </c>
      <c r="S762" s="18">
        <f t="shared" si="125"/>
        <v>24543.550000000003</v>
      </c>
    </row>
    <row r="763" spans="1:19" ht="15" customHeight="1" x14ac:dyDescent="0.2">
      <c r="A763" s="14">
        <f t="shared" si="124"/>
        <v>727</v>
      </c>
      <c r="B763" s="31" t="s">
        <v>699</v>
      </c>
      <c r="C763" s="15" t="s">
        <v>3</v>
      </c>
      <c r="D763" s="31" t="s">
        <v>500</v>
      </c>
      <c r="E763" s="31"/>
      <c r="F763" s="73" t="s">
        <v>8</v>
      </c>
      <c r="G763" s="32">
        <v>33560</v>
      </c>
      <c r="H763" s="29">
        <v>199393</v>
      </c>
      <c r="I763" s="17">
        <v>0</v>
      </c>
      <c r="J763" s="17">
        <f t="shared" si="126"/>
        <v>189423.35</v>
      </c>
      <c r="K763" s="17">
        <f t="shared" si="120"/>
        <v>9969.6499999999942</v>
      </c>
      <c r="L763" s="23">
        <f t="shared" si="128"/>
        <v>9969.6500000000015</v>
      </c>
      <c r="M763" s="33">
        <v>25</v>
      </c>
      <c r="N763" s="18">
        <f t="shared" si="121"/>
        <v>28.391780821917809</v>
      </c>
      <c r="O763" s="23">
        <v>2467.15</v>
      </c>
      <c r="P763" s="18">
        <f t="shared" si="122"/>
        <v>29.391780821917809</v>
      </c>
      <c r="Q763" s="18">
        <f t="shared" si="127"/>
        <v>-2.9103830456733704E-13</v>
      </c>
      <c r="R763" s="18">
        <f t="shared" si="123"/>
        <v>2467.1499999999996</v>
      </c>
      <c r="S763" s="18">
        <f t="shared" si="125"/>
        <v>9969.6500000000015</v>
      </c>
    </row>
    <row r="764" spans="1:19" ht="15" customHeight="1" x14ac:dyDescent="0.2">
      <c r="A764" s="14">
        <f t="shared" si="124"/>
        <v>728</v>
      </c>
      <c r="B764" s="31" t="s">
        <v>700</v>
      </c>
      <c r="C764" s="15" t="s">
        <v>3</v>
      </c>
      <c r="D764" s="31" t="s">
        <v>500</v>
      </c>
      <c r="E764" s="31"/>
      <c r="F764" s="73" t="s">
        <v>4</v>
      </c>
      <c r="G764" s="32">
        <v>19360</v>
      </c>
      <c r="H764" s="29">
        <v>11881</v>
      </c>
      <c r="I764" s="17">
        <v>0</v>
      </c>
      <c r="J764" s="17">
        <f t="shared" si="126"/>
        <v>11286.95</v>
      </c>
      <c r="K764" s="17">
        <f t="shared" si="120"/>
        <v>594.04999999999927</v>
      </c>
      <c r="L764" s="23">
        <f t="shared" si="128"/>
        <v>594.05000000000007</v>
      </c>
      <c r="M764" s="33">
        <v>15</v>
      </c>
      <c r="N764" s="18">
        <f t="shared" si="121"/>
        <v>67.295890410958904</v>
      </c>
      <c r="O764" s="23">
        <v>2342.6999999999998</v>
      </c>
      <c r="P764" s="18">
        <f t="shared" si="122"/>
        <v>68.295890410958904</v>
      </c>
      <c r="Q764" s="18">
        <f t="shared" si="127"/>
        <v>-5.3053857603420815E-14</v>
      </c>
      <c r="R764" s="18">
        <f t="shared" si="123"/>
        <v>2342.6999999999998</v>
      </c>
      <c r="S764" s="18">
        <f t="shared" si="125"/>
        <v>594.05000000000007</v>
      </c>
    </row>
    <row r="765" spans="1:19" ht="15" customHeight="1" x14ac:dyDescent="0.2">
      <c r="A765" s="14">
        <f t="shared" si="124"/>
        <v>729</v>
      </c>
      <c r="B765" s="31" t="s">
        <v>701</v>
      </c>
      <c r="C765" s="15" t="s">
        <v>3</v>
      </c>
      <c r="D765" s="31" t="s">
        <v>500</v>
      </c>
      <c r="E765" s="31"/>
      <c r="F765" s="73" t="s">
        <v>13</v>
      </c>
      <c r="G765" s="32">
        <v>33560</v>
      </c>
      <c r="H765" s="29">
        <v>108694</v>
      </c>
      <c r="I765" s="17">
        <v>0</v>
      </c>
      <c r="J765" s="17">
        <f t="shared" si="126"/>
        <v>103259.3</v>
      </c>
      <c r="K765" s="17">
        <f t="shared" si="120"/>
        <v>5434.6999999999971</v>
      </c>
      <c r="L765" s="23">
        <f t="shared" si="128"/>
        <v>5434.7000000000007</v>
      </c>
      <c r="M765" s="33">
        <v>25</v>
      </c>
      <c r="N765" s="18">
        <f t="shared" si="121"/>
        <v>28.391780821917809</v>
      </c>
      <c r="O765" s="23">
        <v>345866.5</v>
      </c>
      <c r="P765" s="18">
        <f t="shared" si="122"/>
        <v>29.391780821917809</v>
      </c>
      <c r="Q765" s="18">
        <f t="shared" si="127"/>
        <v>-1.4551915228366852E-13</v>
      </c>
      <c r="R765" s="18">
        <f t="shared" si="123"/>
        <v>345866.5</v>
      </c>
      <c r="S765" s="18">
        <f t="shared" si="125"/>
        <v>5434.7000000000007</v>
      </c>
    </row>
    <row r="766" spans="1:19" ht="15" customHeight="1" x14ac:dyDescent="0.2">
      <c r="A766" s="14">
        <f t="shared" si="124"/>
        <v>730</v>
      </c>
      <c r="B766" s="31" t="s">
        <v>702</v>
      </c>
      <c r="C766" s="15" t="s">
        <v>3</v>
      </c>
      <c r="D766" s="31" t="s">
        <v>500</v>
      </c>
      <c r="E766" s="31"/>
      <c r="F766" s="73" t="s">
        <v>8</v>
      </c>
      <c r="G766" s="32">
        <v>33560</v>
      </c>
      <c r="H766" s="29">
        <v>20472</v>
      </c>
      <c r="I766" s="17">
        <v>0</v>
      </c>
      <c r="J766" s="17">
        <f t="shared" si="126"/>
        <v>19448.400000000001</v>
      </c>
      <c r="K766" s="17">
        <f t="shared" si="120"/>
        <v>1023.5999999999985</v>
      </c>
      <c r="L766" s="23">
        <f t="shared" si="128"/>
        <v>1023.6</v>
      </c>
      <c r="M766" s="33">
        <v>25</v>
      </c>
      <c r="N766" s="18">
        <f t="shared" si="121"/>
        <v>28.391780821917809</v>
      </c>
      <c r="O766" s="23">
        <v>38000</v>
      </c>
      <c r="P766" s="18">
        <f t="shared" si="122"/>
        <v>29.391780821917809</v>
      </c>
      <c r="Q766" s="18">
        <f t="shared" si="127"/>
        <v>-5.9117155615240337E-14</v>
      </c>
      <c r="R766" s="18">
        <f t="shared" si="123"/>
        <v>38000</v>
      </c>
      <c r="S766" s="18">
        <f t="shared" si="125"/>
        <v>1023.6</v>
      </c>
    </row>
    <row r="767" spans="1:19" ht="15" customHeight="1" x14ac:dyDescent="0.2">
      <c r="A767" s="14">
        <f t="shared" si="124"/>
        <v>731</v>
      </c>
      <c r="B767" s="31" t="s">
        <v>703</v>
      </c>
      <c r="C767" s="15" t="s">
        <v>3</v>
      </c>
      <c r="D767" s="31" t="s">
        <v>500</v>
      </c>
      <c r="E767" s="31"/>
      <c r="F767" s="73" t="s">
        <v>11</v>
      </c>
      <c r="G767" s="32">
        <v>33587</v>
      </c>
      <c r="H767" s="29">
        <v>2011719</v>
      </c>
      <c r="I767" s="17">
        <v>0</v>
      </c>
      <c r="J767" s="17">
        <f t="shared" si="126"/>
        <v>1911133.05</v>
      </c>
      <c r="K767" s="17">
        <f t="shared" si="120"/>
        <v>100585.94999999995</v>
      </c>
      <c r="L767" s="23">
        <f t="shared" si="128"/>
        <v>100585.95000000001</v>
      </c>
      <c r="M767" s="33">
        <v>25</v>
      </c>
      <c r="N767" s="18">
        <f t="shared" si="121"/>
        <v>28.317808219178083</v>
      </c>
      <c r="O767" s="23">
        <v>3426.65</v>
      </c>
      <c r="P767" s="18">
        <f t="shared" si="122"/>
        <v>29.317808219178083</v>
      </c>
      <c r="Q767" s="18">
        <f t="shared" si="127"/>
        <v>-2.3283064365386963E-12</v>
      </c>
      <c r="R767" s="18">
        <f t="shared" si="123"/>
        <v>3426.6499999999978</v>
      </c>
      <c r="S767" s="18">
        <f t="shared" si="125"/>
        <v>100585.95000000001</v>
      </c>
    </row>
    <row r="768" spans="1:19" ht="15" customHeight="1" x14ac:dyDescent="0.2">
      <c r="A768" s="14">
        <f t="shared" si="124"/>
        <v>732</v>
      </c>
      <c r="B768" s="31" t="s">
        <v>704</v>
      </c>
      <c r="C768" s="15" t="s">
        <v>3</v>
      </c>
      <c r="D768" s="31" t="s">
        <v>500</v>
      </c>
      <c r="E768" s="31"/>
      <c r="F768" s="73" t="s">
        <v>9</v>
      </c>
      <c r="G768" s="32">
        <v>33587</v>
      </c>
      <c r="H768" s="29">
        <v>1508666</v>
      </c>
      <c r="I768" s="17">
        <v>0</v>
      </c>
      <c r="J768" s="17">
        <f t="shared" si="126"/>
        <v>1433232.7</v>
      </c>
      <c r="K768" s="17">
        <f t="shared" si="120"/>
        <v>75433.300000000047</v>
      </c>
      <c r="L768" s="23">
        <f t="shared" si="128"/>
        <v>75433.3</v>
      </c>
      <c r="M768" s="33">
        <v>25</v>
      </c>
      <c r="N768" s="18">
        <f t="shared" si="121"/>
        <v>28.317808219178083</v>
      </c>
      <c r="O768" s="23">
        <v>1141.9000000000001</v>
      </c>
      <c r="P768" s="18">
        <f t="shared" si="122"/>
        <v>29.317808219178083</v>
      </c>
      <c r="Q768" s="18">
        <f t="shared" si="127"/>
        <v>1.7462298274040222E-12</v>
      </c>
      <c r="R768" s="18">
        <f t="shared" si="123"/>
        <v>1141.9000000000019</v>
      </c>
      <c r="S768" s="18">
        <f t="shared" si="125"/>
        <v>75433.3</v>
      </c>
    </row>
    <row r="769" spans="1:19" ht="15" customHeight="1" x14ac:dyDescent="0.2">
      <c r="A769" s="14">
        <f t="shared" si="124"/>
        <v>733</v>
      </c>
      <c r="B769" s="31" t="s">
        <v>705</v>
      </c>
      <c r="C769" s="15" t="s">
        <v>3</v>
      </c>
      <c r="D769" s="31" t="s">
        <v>500</v>
      </c>
      <c r="E769" s="31"/>
      <c r="F769" s="73" t="s">
        <v>9</v>
      </c>
      <c r="G769" s="32">
        <v>33587</v>
      </c>
      <c r="H769" s="29">
        <v>856198</v>
      </c>
      <c r="I769" s="17">
        <v>0</v>
      </c>
      <c r="J769" s="17">
        <f t="shared" si="126"/>
        <v>813388.1</v>
      </c>
      <c r="K769" s="17">
        <f t="shared" si="120"/>
        <v>42809.900000000023</v>
      </c>
      <c r="L769" s="23">
        <f t="shared" si="128"/>
        <v>42809.9</v>
      </c>
      <c r="M769" s="33">
        <v>25</v>
      </c>
      <c r="N769" s="18">
        <f t="shared" si="121"/>
        <v>28.317808219178083</v>
      </c>
      <c r="O769" s="23">
        <v>278.35000000000002</v>
      </c>
      <c r="P769" s="18">
        <f t="shared" si="122"/>
        <v>29.317808219178083</v>
      </c>
      <c r="Q769" s="18">
        <f t="shared" si="127"/>
        <v>8.7311491370201108E-13</v>
      </c>
      <c r="R769" s="18">
        <f t="shared" si="123"/>
        <v>278.35000000000088</v>
      </c>
      <c r="S769" s="18">
        <f t="shared" si="125"/>
        <v>42809.9</v>
      </c>
    </row>
    <row r="770" spans="1:19" ht="15" customHeight="1" x14ac:dyDescent="0.2">
      <c r="A770" s="14">
        <f t="shared" si="124"/>
        <v>734</v>
      </c>
      <c r="B770" s="31" t="s">
        <v>706</v>
      </c>
      <c r="C770" s="15" t="s">
        <v>3</v>
      </c>
      <c r="D770" s="31" t="s">
        <v>500</v>
      </c>
      <c r="E770" s="31"/>
      <c r="F770" s="73" t="s">
        <v>4</v>
      </c>
      <c r="G770" s="32">
        <v>19360</v>
      </c>
      <c r="H770" s="29">
        <v>800</v>
      </c>
      <c r="I770" s="17">
        <v>0</v>
      </c>
      <c r="J770" s="17">
        <f t="shared" si="126"/>
        <v>760</v>
      </c>
      <c r="K770" s="17">
        <f t="shared" si="120"/>
        <v>40</v>
      </c>
      <c r="L770" s="23">
        <f t="shared" si="128"/>
        <v>40</v>
      </c>
      <c r="M770" s="33">
        <v>15</v>
      </c>
      <c r="N770" s="18">
        <f t="shared" si="121"/>
        <v>67.295890410958904</v>
      </c>
      <c r="O770" s="23">
        <v>24868.15</v>
      </c>
      <c r="P770" s="18">
        <f t="shared" si="122"/>
        <v>68.295890410958904</v>
      </c>
      <c r="Q770" s="18">
        <f t="shared" si="127"/>
        <v>0</v>
      </c>
      <c r="R770" s="18">
        <f t="shared" si="123"/>
        <v>24868.15</v>
      </c>
      <c r="S770" s="18">
        <f t="shared" si="125"/>
        <v>40</v>
      </c>
    </row>
    <row r="771" spans="1:19" ht="15" customHeight="1" x14ac:dyDescent="0.2">
      <c r="A771" s="14">
        <f t="shared" si="124"/>
        <v>735</v>
      </c>
      <c r="B771" s="31" t="s">
        <v>707</v>
      </c>
      <c r="C771" s="15" t="s">
        <v>3</v>
      </c>
      <c r="D771" s="31" t="s">
        <v>500</v>
      </c>
      <c r="E771" s="31"/>
      <c r="F771" s="73" t="s">
        <v>11</v>
      </c>
      <c r="G771" s="32">
        <v>33587</v>
      </c>
      <c r="H771" s="29">
        <v>588702</v>
      </c>
      <c r="I771" s="17">
        <v>0</v>
      </c>
      <c r="J771" s="17">
        <f t="shared" si="126"/>
        <v>559266.9</v>
      </c>
      <c r="K771" s="17">
        <f t="shared" si="120"/>
        <v>29435.099999999977</v>
      </c>
      <c r="L771" s="23">
        <f t="shared" si="128"/>
        <v>29435.100000000002</v>
      </c>
      <c r="M771" s="33">
        <v>25</v>
      </c>
      <c r="N771" s="18">
        <f t="shared" si="121"/>
        <v>28.317808219178083</v>
      </c>
      <c r="O771" s="23">
        <v>51265.8</v>
      </c>
      <c r="P771" s="18">
        <f t="shared" si="122"/>
        <v>29.317808219178083</v>
      </c>
      <c r="Q771" s="18">
        <f t="shared" si="127"/>
        <v>-1.0186340659856797E-12</v>
      </c>
      <c r="R771" s="18">
        <f t="shared" si="123"/>
        <v>51265.8</v>
      </c>
      <c r="S771" s="18">
        <f t="shared" si="125"/>
        <v>29435.100000000002</v>
      </c>
    </row>
    <row r="772" spans="1:19" ht="15" customHeight="1" x14ac:dyDescent="0.2">
      <c r="A772" s="14">
        <f t="shared" si="124"/>
        <v>736</v>
      </c>
      <c r="B772" s="31" t="s">
        <v>708</v>
      </c>
      <c r="C772" s="15" t="s">
        <v>3</v>
      </c>
      <c r="D772" s="31" t="s">
        <v>500</v>
      </c>
      <c r="E772" s="31"/>
      <c r="F772" s="73" t="s">
        <v>11</v>
      </c>
      <c r="G772" s="32">
        <v>33587</v>
      </c>
      <c r="H772" s="29">
        <v>43112</v>
      </c>
      <c r="I772" s="17">
        <v>0</v>
      </c>
      <c r="J772" s="17">
        <f t="shared" si="126"/>
        <v>40956.400000000001</v>
      </c>
      <c r="K772" s="17">
        <f t="shared" si="120"/>
        <v>2155.5999999999985</v>
      </c>
      <c r="L772" s="23">
        <f t="shared" si="128"/>
        <v>2155.6</v>
      </c>
      <c r="M772" s="33">
        <v>25</v>
      </c>
      <c r="N772" s="18">
        <f t="shared" si="121"/>
        <v>28.317808219178083</v>
      </c>
      <c r="O772" s="23">
        <v>20044.05</v>
      </c>
      <c r="P772" s="18">
        <f t="shared" si="122"/>
        <v>29.317808219178083</v>
      </c>
      <c r="Q772" s="18">
        <f t="shared" si="127"/>
        <v>-5.4569682106375692E-14</v>
      </c>
      <c r="R772" s="18">
        <f t="shared" si="123"/>
        <v>20044.05</v>
      </c>
      <c r="S772" s="18">
        <f t="shared" si="125"/>
        <v>2155.6</v>
      </c>
    </row>
    <row r="773" spans="1:19" ht="15" customHeight="1" x14ac:dyDescent="0.2">
      <c r="A773" s="14">
        <f t="shared" si="124"/>
        <v>737</v>
      </c>
      <c r="B773" s="31" t="s">
        <v>709</v>
      </c>
      <c r="C773" s="15" t="s">
        <v>3</v>
      </c>
      <c r="D773" s="31" t="s">
        <v>500</v>
      </c>
      <c r="E773" s="31"/>
      <c r="F773" s="73" t="s">
        <v>11</v>
      </c>
      <c r="G773" s="32">
        <v>33590</v>
      </c>
      <c r="H773" s="29">
        <v>60617</v>
      </c>
      <c r="I773" s="17">
        <v>0</v>
      </c>
      <c r="J773" s="17">
        <f t="shared" si="126"/>
        <v>57586.15</v>
      </c>
      <c r="K773" s="17">
        <f t="shared" si="120"/>
        <v>3030.8499999999985</v>
      </c>
      <c r="L773" s="23">
        <f t="shared" si="128"/>
        <v>3030.8500000000004</v>
      </c>
      <c r="M773" s="33">
        <v>25</v>
      </c>
      <c r="N773" s="18">
        <f t="shared" si="121"/>
        <v>28.30958904109589</v>
      </c>
      <c r="O773" s="23">
        <v>8178.55</v>
      </c>
      <c r="P773" s="18">
        <f t="shared" si="122"/>
        <v>29.30958904109589</v>
      </c>
      <c r="Q773" s="18">
        <f t="shared" si="127"/>
        <v>-7.2759576141834261E-14</v>
      </c>
      <c r="R773" s="18">
        <f t="shared" si="123"/>
        <v>8178.55</v>
      </c>
      <c r="S773" s="18">
        <f t="shared" si="125"/>
        <v>3030.8500000000004</v>
      </c>
    </row>
    <row r="774" spans="1:19" ht="15" customHeight="1" x14ac:dyDescent="0.2">
      <c r="A774" s="14">
        <f t="shared" si="124"/>
        <v>738</v>
      </c>
      <c r="B774" s="31" t="s">
        <v>710</v>
      </c>
      <c r="C774" s="15" t="s">
        <v>3</v>
      </c>
      <c r="D774" s="31" t="s">
        <v>500</v>
      </c>
      <c r="E774" s="31"/>
      <c r="F774" s="73" t="s">
        <v>11</v>
      </c>
      <c r="G774" s="32">
        <v>33598</v>
      </c>
      <c r="H774" s="29">
        <v>740008</v>
      </c>
      <c r="I774" s="17">
        <v>0</v>
      </c>
      <c r="J774" s="17">
        <f t="shared" si="126"/>
        <v>703007.6</v>
      </c>
      <c r="K774" s="17">
        <f t="shared" si="120"/>
        <v>37000.400000000023</v>
      </c>
      <c r="L774" s="23">
        <f t="shared" si="128"/>
        <v>37000.400000000001</v>
      </c>
      <c r="M774" s="33">
        <v>25</v>
      </c>
      <c r="N774" s="18">
        <f t="shared" si="121"/>
        <v>28.287671232876711</v>
      </c>
      <c r="O774" s="23">
        <v>6874.2</v>
      </c>
      <c r="P774" s="18">
        <f t="shared" si="122"/>
        <v>29.287671232876711</v>
      </c>
      <c r="Q774" s="18">
        <f t="shared" si="127"/>
        <v>8.7311491370201108E-13</v>
      </c>
      <c r="R774" s="18">
        <f t="shared" si="123"/>
        <v>6874.2000000000007</v>
      </c>
      <c r="S774" s="18">
        <f t="shared" si="125"/>
        <v>37000.400000000001</v>
      </c>
    </row>
    <row r="775" spans="1:19" ht="15" customHeight="1" x14ac:dyDescent="0.2">
      <c r="A775" s="14">
        <f t="shared" si="124"/>
        <v>739</v>
      </c>
      <c r="B775" s="31" t="s">
        <v>711</v>
      </c>
      <c r="C775" s="15" t="s">
        <v>3</v>
      </c>
      <c r="D775" s="31" t="s">
        <v>500</v>
      </c>
      <c r="E775" s="31"/>
      <c r="F775" s="73" t="s">
        <v>11</v>
      </c>
      <c r="G775" s="32">
        <v>33598</v>
      </c>
      <c r="H775" s="29">
        <v>192351</v>
      </c>
      <c r="I775" s="17">
        <v>0</v>
      </c>
      <c r="J775" s="17">
        <f t="shared" si="126"/>
        <v>182733.45</v>
      </c>
      <c r="K775" s="17">
        <f t="shared" si="120"/>
        <v>9617.5499999999884</v>
      </c>
      <c r="L775" s="23">
        <f t="shared" si="128"/>
        <v>9617.5500000000011</v>
      </c>
      <c r="M775" s="33">
        <v>25</v>
      </c>
      <c r="N775" s="18">
        <f t="shared" si="121"/>
        <v>28.287671232876711</v>
      </c>
      <c r="O775" s="23">
        <v>5843.45</v>
      </c>
      <c r="P775" s="18">
        <f t="shared" si="122"/>
        <v>29.287671232876711</v>
      </c>
      <c r="Q775" s="18">
        <f t="shared" si="127"/>
        <v>-5.0931703299283986E-13</v>
      </c>
      <c r="R775" s="18">
        <f t="shared" si="123"/>
        <v>5843.4499999999989</v>
      </c>
      <c r="S775" s="18">
        <f t="shared" si="125"/>
        <v>9617.5500000000011</v>
      </c>
    </row>
    <row r="776" spans="1:19" ht="15" customHeight="1" x14ac:dyDescent="0.2">
      <c r="A776" s="14">
        <f t="shared" si="124"/>
        <v>740</v>
      </c>
      <c r="B776" s="31" t="s">
        <v>712</v>
      </c>
      <c r="C776" s="15" t="s">
        <v>3</v>
      </c>
      <c r="D776" s="31" t="s">
        <v>500</v>
      </c>
      <c r="E776" s="31"/>
      <c r="F776" s="73" t="s">
        <v>11</v>
      </c>
      <c r="G776" s="32">
        <v>33667</v>
      </c>
      <c r="H776" s="29">
        <v>1719890</v>
      </c>
      <c r="I776" s="17">
        <v>0</v>
      </c>
      <c r="J776" s="17">
        <f t="shared" si="126"/>
        <v>1633895.5</v>
      </c>
      <c r="K776" s="17">
        <f t="shared" si="120"/>
        <v>85994.5</v>
      </c>
      <c r="L776" s="23">
        <f t="shared" si="128"/>
        <v>85994.5</v>
      </c>
      <c r="M776" s="33">
        <v>25</v>
      </c>
      <c r="N776" s="18">
        <f t="shared" si="121"/>
        <v>28.098630136986301</v>
      </c>
      <c r="O776" s="23">
        <v>5256.35</v>
      </c>
      <c r="P776" s="18">
        <f t="shared" si="122"/>
        <v>29.098630136986301</v>
      </c>
      <c r="Q776" s="18">
        <f t="shared" si="127"/>
        <v>0</v>
      </c>
      <c r="R776" s="18">
        <f t="shared" si="123"/>
        <v>5256.35</v>
      </c>
      <c r="S776" s="18">
        <f t="shared" si="125"/>
        <v>85994.5</v>
      </c>
    </row>
    <row r="777" spans="1:19" ht="15" customHeight="1" x14ac:dyDescent="0.2">
      <c r="A777" s="14">
        <f t="shared" si="124"/>
        <v>741</v>
      </c>
      <c r="B777" s="31" t="s">
        <v>713</v>
      </c>
      <c r="C777" s="15" t="s">
        <v>3</v>
      </c>
      <c r="D777" s="31" t="s">
        <v>500</v>
      </c>
      <c r="E777" s="31"/>
      <c r="F777" s="73" t="s">
        <v>11</v>
      </c>
      <c r="G777" s="32">
        <v>19725</v>
      </c>
      <c r="H777" s="29">
        <v>6790</v>
      </c>
      <c r="I777" s="17">
        <v>0</v>
      </c>
      <c r="J777" s="17">
        <f t="shared" si="126"/>
        <v>6450.5</v>
      </c>
      <c r="K777" s="17">
        <f t="shared" si="120"/>
        <v>339.5</v>
      </c>
      <c r="L777" s="23">
        <f t="shared" si="128"/>
        <v>339.5</v>
      </c>
      <c r="M777" s="33">
        <v>15</v>
      </c>
      <c r="N777" s="18">
        <f t="shared" si="121"/>
        <v>66.295890410958904</v>
      </c>
      <c r="O777" s="23">
        <v>2400.65</v>
      </c>
      <c r="P777" s="18">
        <f t="shared" si="122"/>
        <v>67.295890410958904</v>
      </c>
      <c r="Q777" s="18">
        <f t="shared" si="127"/>
        <v>0</v>
      </c>
      <c r="R777" s="18">
        <f t="shared" si="123"/>
        <v>2400.65</v>
      </c>
      <c r="S777" s="18">
        <f t="shared" si="125"/>
        <v>339.5</v>
      </c>
    </row>
    <row r="778" spans="1:19" ht="15" customHeight="1" x14ac:dyDescent="0.2">
      <c r="A778" s="14">
        <f t="shared" si="124"/>
        <v>742</v>
      </c>
      <c r="B778" s="31" t="s">
        <v>714</v>
      </c>
      <c r="C778" s="15" t="s">
        <v>3</v>
      </c>
      <c r="D778" s="31" t="s">
        <v>500</v>
      </c>
      <c r="E778" s="31"/>
      <c r="F778" s="73" t="s">
        <v>11</v>
      </c>
      <c r="G778" s="32">
        <v>33585</v>
      </c>
      <c r="H778" s="29">
        <v>68047</v>
      </c>
      <c r="I778" s="17">
        <v>0</v>
      </c>
      <c r="J778" s="17">
        <f t="shared" si="126"/>
        <v>64644.65</v>
      </c>
      <c r="K778" s="17">
        <f t="shared" si="120"/>
        <v>3402.3499999999985</v>
      </c>
      <c r="L778" s="23">
        <f t="shared" si="128"/>
        <v>3402.3500000000004</v>
      </c>
      <c r="M778" s="33">
        <v>15</v>
      </c>
      <c r="N778" s="18">
        <f t="shared" si="121"/>
        <v>28.323287671232876</v>
      </c>
      <c r="O778" s="23">
        <v>2075.75</v>
      </c>
      <c r="P778" s="18">
        <f t="shared" si="122"/>
        <v>29.323287671232876</v>
      </c>
      <c r="Q778" s="18">
        <f t="shared" si="127"/>
        <v>-1.2126596023639043E-13</v>
      </c>
      <c r="R778" s="18">
        <f t="shared" si="123"/>
        <v>2075.75</v>
      </c>
      <c r="S778" s="18">
        <f t="shared" si="125"/>
        <v>3402.3500000000004</v>
      </c>
    </row>
    <row r="779" spans="1:19" ht="15" customHeight="1" x14ac:dyDescent="0.2">
      <c r="A779" s="14">
        <f t="shared" si="124"/>
        <v>743</v>
      </c>
      <c r="B779" s="31" t="s">
        <v>715</v>
      </c>
      <c r="C779" s="15" t="s">
        <v>3</v>
      </c>
      <c r="D779" s="31" t="s">
        <v>500</v>
      </c>
      <c r="E779" s="31"/>
      <c r="F779" s="70" t="s">
        <v>7</v>
      </c>
      <c r="G779" s="32">
        <v>39859</v>
      </c>
      <c r="H779" s="29">
        <v>5062.5</v>
      </c>
      <c r="I779" s="17">
        <v>0</v>
      </c>
      <c r="J779" s="17">
        <v>2286.5393835616442</v>
      </c>
      <c r="K779" s="17">
        <f t="shared" si="120"/>
        <v>2775.9606164383558</v>
      </c>
      <c r="L779" s="23">
        <f t="shared" si="128"/>
        <v>253.125</v>
      </c>
      <c r="M779" s="33">
        <v>15</v>
      </c>
      <c r="N779" s="18">
        <f t="shared" si="121"/>
        <v>11.134246575342466</v>
      </c>
      <c r="O779" s="23">
        <v>891.1</v>
      </c>
      <c r="P779" s="18">
        <f t="shared" si="122"/>
        <v>12.134246575342466</v>
      </c>
      <c r="Q779" s="18">
        <f t="shared" si="127"/>
        <v>168.18904109589039</v>
      </c>
      <c r="R779" s="18">
        <f t="shared" si="123"/>
        <v>1059.2890410958903</v>
      </c>
      <c r="S779" s="18">
        <f t="shared" si="125"/>
        <v>253.125</v>
      </c>
    </row>
    <row r="780" spans="1:19" ht="15" customHeight="1" x14ac:dyDescent="0.2">
      <c r="A780" s="14">
        <f t="shared" si="124"/>
        <v>744</v>
      </c>
      <c r="B780" s="31" t="s">
        <v>716</v>
      </c>
      <c r="C780" s="15" t="s">
        <v>3</v>
      </c>
      <c r="D780" s="31" t="s">
        <v>500</v>
      </c>
      <c r="E780" s="31"/>
      <c r="F780" s="73" t="s">
        <v>11</v>
      </c>
      <c r="G780" s="32">
        <v>33667</v>
      </c>
      <c r="H780" s="29">
        <v>928887</v>
      </c>
      <c r="I780" s="17">
        <v>0</v>
      </c>
      <c r="J780" s="17">
        <f t="shared" si="126"/>
        <v>882442.65</v>
      </c>
      <c r="K780" s="17">
        <f t="shared" si="120"/>
        <v>46444.349999999977</v>
      </c>
      <c r="L780" s="23">
        <f t="shared" si="128"/>
        <v>46444.350000000006</v>
      </c>
      <c r="M780" s="33">
        <v>25</v>
      </c>
      <c r="N780" s="18">
        <f t="shared" si="121"/>
        <v>28.098630136986301</v>
      </c>
      <c r="O780" s="23">
        <v>370.5</v>
      </c>
      <c r="P780" s="18">
        <f t="shared" si="122"/>
        <v>29.098630136986301</v>
      </c>
      <c r="Q780" s="18">
        <f t="shared" si="127"/>
        <v>-1.1641532182693482E-12</v>
      </c>
      <c r="R780" s="18">
        <f t="shared" si="123"/>
        <v>370.49999999999886</v>
      </c>
      <c r="S780" s="18">
        <f t="shared" si="125"/>
        <v>46444.350000000006</v>
      </c>
    </row>
    <row r="781" spans="1:19" ht="15" customHeight="1" x14ac:dyDescent="0.2">
      <c r="A781" s="14">
        <f t="shared" si="124"/>
        <v>745</v>
      </c>
      <c r="B781" s="31" t="s">
        <v>717</v>
      </c>
      <c r="C781" s="15" t="s">
        <v>3</v>
      </c>
      <c r="D781" s="31" t="s">
        <v>500</v>
      </c>
      <c r="E781" s="31"/>
      <c r="F781" s="73" t="s">
        <v>11</v>
      </c>
      <c r="G781" s="32">
        <v>19725</v>
      </c>
      <c r="H781" s="29">
        <v>3047</v>
      </c>
      <c r="I781" s="17">
        <v>0</v>
      </c>
      <c r="J781" s="17">
        <f t="shared" si="126"/>
        <v>2894.65</v>
      </c>
      <c r="K781" s="17">
        <f t="shared" si="120"/>
        <v>152.34999999999991</v>
      </c>
      <c r="L781" s="23">
        <f t="shared" si="128"/>
        <v>152.35</v>
      </c>
      <c r="M781" s="33">
        <v>15</v>
      </c>
      <c r="N781" s="18">
        <f t="shared" si="121"/>
        <v>66.295890410958904</v>
      </c>
      <c r="O781" s="23">
        <v>28544.65</v>
      </c>
      <c r="P781" s="18">
        <f t="shared" si="122"/>
        <v>67.295890410958904</v>
      </c>
      <c r="Q781" s="18">
        <f t="shared" si="127"/>
        <v>-5.6843418860808018E-15</v>
      </c>
      <c r="R781" s="18">
        <f t="shared" si="123"/>
        <v>28544.65</v>
      </c>
      <c r="S781" s="18">
        <f t="shared" si="125"/>
        <v>152.35</v>
      </c>
    </row>
    <row r="782" spans="1:19" ht="15" customHeight="1" x14ac:dyDescent="0.2">
      <c r="A782" s="14">
        <f t="shared" si="124"/>
        <v>746</v>
      </c>
      <c r="B782" s="31" t="s">
        <v>718</v>
      </c>
      <c r="C782" s="15" t="s">
        <v>3</v>
      </c>
      <c r="D782" s="31" t="s">
        <v>500</v>
      </c>
      <c r="E782" s="31"/>
      <c r="F782" s="73" t="s">
        <v>11</v>
      </c>
      <c r="G782" s="32">
        <v>33669</v>
      </c>
      <c r="H782" s="29">
        <v>1477805</v>
      </c>
      <c r="I782" s="17">
        <v>0</v>
      </c>
      <c r="J782" s="17">
        <f t="shared" si="126"/>
        <v>1403914.75</v>
      </c>
      <c r="K782" s="17">
        <f t="shared" si="120"/>
        <v>73890.25</v>
      </c>
      <c r="L782" s="23">
        <f t="shared" si="128"/>
        <v>73890.25</v>
      </c>
      <c r="M782" s="33">
        <v>25</v>
      </c>
      <c r="N782" s="18">
        <f t="shared" si="121"/>
        <v>28.093150684931508</v>
      </c>
      <c r="O782" s="23">
        <v>15938.15</v>
      </c>
      <c r="P782" s="18">
        <f t="shared" si="122"/>
        <v>29.093150684931508</v>
      </c>
      <c r="Q782" s="18">
        <f t="shared" si="127"/>
        <v>0</v>
      </c>
      <c r="R782" s="18">
        <f t="shared" si="123"/>
        <v>15938.15</v>
      </c>
      <c r="S782" s="18">
        <f t="shared" si="125"/>
        <v>73890.25</v>
      </c>
    </row>
    <row r="783" spans="1:19" ht="15" customHeight="1" x14ac:dyDescent="0.2">
      <c r="A783" s="14">
        <f t="shared" si="124"/>
        <v>747</v>
      </c>
      <c r="B783" s="31" t="s">
        <v>719</v>
      </c>
      <c r="C783" s="15" t="s">
        <v>3</v>
      </c>
      <c r="D783" s="31" t="s">
        <v>500</v>
      </c>
      <c r="E783" s="31"/>
      <c r="F783" s="73" t="s">
        <v>11</v>
      </c>
      <c r="G783" s="32">
        <v>33669</v>
      </c>
      <c r="H783" s="29">
        <v>949125</v>
      </c>
      <c r="I783" s="17">
        <v>0</v>
      </c>
      <c r="J783" s="17">
        <f t="shared" si="126"/>
        <v>901668.75</v>
      </c>
      <c r="K783" s="17">
        <f t="shared" si="120"/>
        <v>47456.25</v>
      </c>
      <c r="L783" s="23">
        <f t="shared" si="128"/>
        <v>47456.25</v>
      </c>
      <c r="M783" s="33">
        <v>25</v>
      </c>
      <c r="N783" s="18">
        <f t="shared" si="121"/>
        <v>28.093150684931508</v>
      </c>
      <c r="O783" s="23">
        <v>7219.05</v>
      </c>
      <c r="P783" s="18">
        <f t="shared" si="122"/>
        <v>29.093150684931508</v>
      </c>
      <c r="Q783" s="18">
        <f t="shared" si="127"/>
        <v>0</v>
      </c>
      <c r="R783" s="18">
        <f t="shared" si="123"/>
        <v>7219.05</v>
      </c>
      <c r="S783" s="18">
        <f t="shared" si="125"/>
        <v>47456.25</v>
      </c>
    </row>
    <row r="784" spans="1:19" ht="15" customHeight="1" x14ac:dyDescent="0.2">
      <c r="A784" s="14">
        <f t="shared" si="124"/>
        <v>748</v>
      </c>
      <c r="B784" s="31" t="s">
        <v>720</v>
      </c>
      <c r="C784" s="15" t="s">
        <v>3</v>
      </c>
      <c r="D784" s="31" t="s">
        <v>500</v>
      </c>
      <c r="E784" s="31"/>
      <c r="F784" s="73" t="s">
        <v>11</v>
      </c>
      <c r="G784" s="32">
        <v>33694</v>
      </c>
      <c r="H784" s="29">
        <v>35976</v>
      </c>
      <c r="I784" s="17">
        <v>0</v>
      </c>
      <c r="J784" s="17">
        <f t="shared" si="126"/>
        <v>34177.199999999997</v>
      </c>
      <c r="K784" s="17">
        <f t="shared" si="120"/>
        <v>1798.8000000000029</v>
      </c>
      <c r="L784" s="23">
        <f t="shared" si="128"/>
        <v>1798.8000000000002</v>
      </c>
      <c r="M784" s="33">
        <v>25</v>
      </c>
      <c r="N784" s="18">
        <f t="shared" si="121"/>
        <v>28.024657534246575</v>
      </c>
      <c r="O784" s="23">
        <v>6950.2</v>
      </c>
      <c r="P784" s="18">
        <f t="shared" si="122"/>
        <v>29.024657534246575</v>
      </c>
      <c r="Q784" s="18">
        <f t="shared" si="127"/>
        <v>1.0913936421275138E-13</v>
      </c>
      <c r="R784" s="18">
        <f t="shared" si="123"/>
        <v>6950.2</v>
      </c>
      <c r="S784" s="18">
        <f t="shared" si="125"/>
        <v>1798.8000000000002</v>
      </c>
    </row>
    <row r="785" spans="1:19" ht="15" customHeight="1" x14ac:dyDescent="0.2">
      <c r="A785" s="14">
        <f t="shared" si="124"/>
        <v>749</v>
      </c>
      <c r="B785" s="31" t="s">
        <v>721</v>
      </c>
      <c r="C785" s="15" t="s">
        <v>3</v>
      </c>
      <c r="D785" s="31" t="s">
        <v>500</v>
      </c>
      <c r="E785" s="31"/>
      <c r="F785" s="73" t="s">
        <v>8</v>
      </c>
      <c r="G785" s="32">
        <v>33694</v>
      </c>
      <c r="H785" s="29">
        <v>10830</v>
      </c>
      <c r="I785" s="17">
        <v>0</v>
      </c>
      <c r="J785" s="17">
        <f t="shared" si="126"/>
        <v>10288.5</v>
      </c>
      <c r="K785" s="17">
        <f t="shared" si="120"/>
        <v>541.5</v>
      </c>
      <c r="L785" s="23">
        <f t="shared" si="128"/>
        <v>541.5</v>
      </c>
      <c r="M785" s="33">
        <v>25</v>
      </c>
      <c r="N785" s="18">
        <f t="shared" si="121"/>
        <v>28.024657534246575</v>
      </c>
      <c r="O785" s="23">
        <v>6650.95</v>
      </c>
      <c r="P785" s="18">
        <f t="shared" si="122"/>
        <v>29.024657534246575</v>
      </c>
      <c r="Q785" s="18">
        <f t="shared" si="127"/>
        <v>0</v>
      </c>
      <c r="R785" s="18">
        <f t="shared" si="123"/>
        <v>6650.95</v>
      </c>
      <c r="S785" s="18">
        <f t="shared" si="125"/>
        <v>541.5</v>
      </c>
    </row>
    <row r="786" spans="1:19" ht="15" customHeight="1" x14ac:dyDescent="0.2">
      <c r="A786" s="14">
        <f t="shared" si="124"/>
        <v>750</v>
      </c>
      <c r="B786" s="31" t="s">
        <v>722</v>
      </c>
      <c r="C786" s="15" t="s">
        <v>3</v>
      </c>
      <c r="D786" s="31" t="s">
        <v>500</v>
      </c>
      <c r="E786" s="31"/>
      <c r="F786" s="73" t="s">
        <v>11</v>
      </c>
      <c r="G786" s="32">
        <v>33724</v>
      </c>
      <c r="H786" s="29">
        <v>435488</v>
      </c>
      <c r="I786" s="17">
        <v>0</v>
      </c>
      <c r="J786" s="17">
        <f t="shared" si="126"/>
        <v>413713.6</v>
      </c>
      <c r="K786" s="17">
        <f t="shared" si="120"/>
        <v>21774.400000000023</v>
      </c>
      <c r="L786" s="23">
        <f t="shared" si="128"/>
        <v>21774.400000000001</v>
      </c>
      <c r="M786" s="33">
        <v>25</v>
      </c>
      <c r="N786" s="18">
        <f t="shared" si="121"/>
        <v>27.942465753424656</v>
      </c>
      <c r="O786" s="23">
        <v>4939.05</v>
      </c>
      <c r="P786" s="18">
        <f t="shared" si="122"/>
        <v>28.942465753424656</v>
      </c>
      <c r="Q786" s="18">
        <f t="shared" si="127"/>
        <v>8.7311491370201108E-13</v>
      </c>
      <c r="R786" s="18">
        <f t="shared" si="123"/>
        <v>4939.0500000000011</v>
      </c>
      <c r="S786" s="18">
        <f t="shared" si="125"/>
        <v>21774.400000000001</v>
      </c>
    </row>
    <row r="787" spans="1:19" ht="15" customHeight="1" x14ac:dyDescent="0.2">
      <c r="A787" s="14">
        <f t="shared" si="124"/>
        <v>751</v>
      </c>
      <c r="B787" s="31" t="s">
        <v>723</v>
      </c>
      <c r="C787" s="15" t="s">
        <v>3</v>
      </c>
      <c r="D787" s="31" t="s">
        <v>500</v>
      </c>
      <c r="E787" s="31"/>
      <c r="F787" s="73" t="s">
        <v>11</v>
      </c>
      <c r="G787" s="32">
        <v>33724</v>
      </c>
      <c r="H787" s="29">
        <v>73097</v>
      </c>
      <c r="I787" s="17">
        <v>0</v>
      </c>
      <c r="J787" s="17">
        <f t="shared" si="126"/>
        <v>69442.149999999994</v>
      </c>
      <c r="K787" s="17">
        <f t="shared" si="120"/>
        <v>3654.8500000000058</v>
      </c>
      <c r="L787" s="23">
        <f t="shared" si="128"/>
        <v>3654.8500000000004</v>
      </c>
      <c r="M787" s="33">
        <v>25</v>
      </c>
      <c r="N787" s="18">
        <f t="shared" si="121"/>
        <v>27.942465753424656</v>
      </c>
      <c r="O787" s="23">
        <v>3984.3</v>
      </c>
      <c r="P787" s="18">
        <f t="shared" si="122"/>
        <v>28.942465753424656</v>
      </c>
      <c r="Q787" s="18">
        <f t="shared" si="127"/>
        <v>2.1827872842550277E-13</v>
      </c>
      <c r="R787" s="18">
        <f t="shared" si="123"/>
        <v>3984.3</v>
      </c>
      <c r="S787" s="18">
        <f t="shared" si="125"/>
        <v>3654.8500000000004</v>
      </c>
    </row>
    <row r="788" spans="1:19" ht="15" customHeight="1" x14ac:dyDescent="0.2">
      <c r="A788" s="14">
        <f t="shared" si="124"/>
        <v>752</v>
      </c>
      <c r="B788" s="31" t="s">
        <v>724</v>
      </c>
      <c r="C788" s="15" t="s">
        <v>3</v>
      </c>
      <c r="D788" s="31" t="s">
        <v>500</v>
      </c>
      <c r="E788" s="31"/>
      <c r="F788" s="73" t="s">
        <v>11</v>
      </c>
      <c r="G788" s="32">
        <v>33725</v>
      </c>
      <c r="H788" s="29">
        <v>19318</v>
      </c>
      <c r="I788" s="17">
        <v>0</v>
      </c>
      <c r="J788" s="17">
        <f t="shared" si="126"/>
        <v>18352.099999999999</v>
      </c>
      <c r="K788" s="17">
        <f t="shared" si="120"/>
        <v>965.90000000000146</v>
      </c>
      <c r="L788" s="23">
        <f t="shared" si="128"/>
        <v>965.90000000000009</v>
      </c>
      <c r="M788" s="33">
        <v>25</v>
      </c>
      <c r="N788" s="18">
        <f t="shared" si="121"/>
        <v>27.93972602739726</v>
      </c>
      <c r="O788" s="23">
        <v>3473.2</v>
      </c>
      <c r="P788" s="18">
        <f t="shared" si="122"/>
        <v>28.93972602739726</v>
      </c>
      <c r="Q788" s="18">
        <f t="shared" si="127"/>
        <v>5.4569682106375692E-14</v>
      </c>
      <c r="R788" s="18">
        <f t="shared" si="123"/>
        <v>3473.2</v>
      </c>
      <c r="S788" s="18">
        <f t="shared" si="125"/>
        <v>965.90000000000009</v>
      </c>
    </row>
    <row r="789" spans="1:19" ht="15" customHeight="1" x14ac:dyDescent="0.2">
      <c r="A789" s="14">
        <f t="shared" si="124"/>
        <v>753</v>
      </c>
      <c r="B789" s="31" t="s">
        <v>725</v>
      </c>
      <c r="C789" s="15" t="s">
        <v>3</v>
      </c>
      <c r="D789" s="31" t="s">
        <v>500</v>
      </c>
      <c r="E789" s="31"/>
      <c r="F789" s="70" t="s">
        <v>7</v>
      </c>
      <c r="G789" s="32">
        <v>31778</v>
      </c>
      <c r="H789" s="29">
        <v>72800</v>
      </c>
      <c r="I789" s="17">
        <v>0</v>
      </c>
      <c r="J789" s="17">
        <f t="shared" si="126"/>
        <v>69160</v>
      </c>
      <c r="K789" s="17">
        <f t="shared" si="120"/>
        <v>3640</v>
      </c>
      <c r="L789" s="23">
        <f t="shared" si="128"/>
        <v>3640</v>
      </c>
      <c r="M789" s="33">
        <v>15</v>
      </c>
      <c r="N789" s="18">
        <f t="shared" si="121"/>
        <v>33.273972602739725</v>
      </c>
      <c r="O789" s="23">
        <v>1560.85</v>
      </c>
      <c r="P789" s="18">
        <f t="shared" si="122"/>
        <v>34.273972602739725</v>
      </c>
      <c r="Q789" s="18">
        <f t="shared" si="127"/>
        <v>0</v>
      </c>
      <c r="R789" s="18">
        <f t="shared" si="123"/>
        <v>1560.85</v>
      </c>
      <c r="S789" s="18">
        <f t="shared" si="125"/>
        <v>3640</v>
      </c>
    </row>
    <row r="790" spans="1:19" ht="15" customHeight="1" x14ac:dyDescent="0.2">
      <c r="A790" s="14">
        <f t="shared" si="124"/>
        <v>754</v>
      </c>
      <c r="B790" s="31" t="s">
        <v>726</v>
      </c>
      <c r="C790" s="15" t="s">
        <v>3</v>
      </c>
      <c r="D790" s="31" t="s">
        <v>500</v>
      </c>
      <c r="E790" s="31"/>
      <c r="F790" s="73" t="s">
        <v>11</v>
      </c>
      <c r="G790" s="32">
        <v>33770</v>
      </c>
      <c r="H790" s="29">
        <v>26080</v>
      </c>
      <c r="I790" s="17">
        <v>0</v>
      </c>
      <c r="J790" s="17">
        <f t="shared" si="126"/>
        <v>24776</v>
      </c>
      <c r="K790" s="17">
        <f t="shared" si="120"/>
        <v>1304</v>
      </c>
      <c r="L790" s="23">
        <f t="shared" si="128"/>
        <v>1304</v>
      </c>
      <c r="M790" s="33">
        <v>25</v>
      </c>
      <c r="N790" s="18">
        <f t="shared" si="121"/>
        <v>27.816438356164383</v>
      </c>
      <c r="O790" s="23">
        <v>553.85</v>
      </c>
      <c r="P790" s="18">
        <f t="shared" si="122"/>
        <v>28.816438356164383</v>
      </c>
      <c r="Q790" s="18">
        <f t="shared" si="127"/>
        <v>0</v>
      </c>
      <c r="R790" s="18">
        <f t="shared" si="123"/>
        <v>553.85</v>
      </c>
      <c r="S790" s="18">
        <f t="shared" si="125"/>
        <v>1304</v>
      </c>
    </row>
    <row r="791" spans="1:19" ht="15" customHeight="1" x14ac:dyDescent="0.2">
      <c r="A791" s="14">
        <f t="shared" si="124"/>
        <v>755</v>
      </c>
      <c r="B791" s="31" t="s">
        <v>727</v>
      </c>
      <c r="C791" s="15" t="s">
        <v>3</v>
      </c>
      <c r="D791" s="31" t="s">
        <v>500</v>
      </c>
      <c r="E791" s="31"/>
      <c r="F791" s="73" t="s">
        <v>4</v>
      </c>
      <c r="G791" s="32">
        <v>19725</v>
      </c>
      <c r="H791" s="29">
        <v>2999</v>
      </c>
      <c r="I791" s="17">
        <v>0</v>
      </c>
      <c r="J791" s="17">
        <f t="shared" si="126"/>
        <v>2849.05</v>
      </c>
      <c r="K791" s="17">
        <f t="shared" si="120"/>
        <v>149.94999999999982</v>
      </c>
      <c r="L791" s="23">
        <f t="shared" si="128"/>
        <v>149.95000000000002</v>
      </c>
      <c r="M791" s="33">
        <v>15</v>
      </c>
      <c r="N791" s="18">
        <f t="shared" si="121"/>
        <v>66.295890410958904</v>
      </c>
      <c r="O791" s="23">
        <v>22.8</v>
      </c>
      <c r="P791" s="18">
        <f t="shared" si="122"/>
        <v>67.295890410958904</v>
      </c>
      <c r="Q791" s="18">
        <f t="shared" si="127"/>
        <v>-1.3263464400855204E-14</v>
      </c>
      <c r="R791" s="18">
        <f t="shared" si="123"/>
        <v>22.799999999999986</v>
      </c>
      <c r="S791" s="18">
        <f t="shared" si="125"/>
        <v>149.95000000000002</v>
      </c>
    </row>
    <row r="792" spans="1:19" ht="15" customHeight="1" x14ac:dyDescent="0.2">
      <c r="A792" s="14">
        <f t="shared" si="124"/>
        <v>756</v>
      </c>
      <c r="B792" s="31" t="s">
        <v>728</v>
      </c>
      <c r="C792" s="15" t="s">
        <v>3</v>
      </c>
      <c r="D792" s="31" t="s">
        <v>500</v>
      </c>
      <c r="E792" s="31"/>
      <c r="F792" s="73" t="s">
        <v>11</v>
      </c>
      <c r="G792" s="32">
        <v>33770</v>
      </c>
      <c r="H792" s="29">
        <v>18095</v>
      </c>
      <c r="I792" s="17">
        <v>0</v>
      </c>
      <c r="J792" s="17">
        <f t="shared" si="126"/>
        <v>17190.25</v>
      </c>
      <c r="K792" s="17">
        <f t="shared" si="120"/>
        <v>904.75</v>
      </c>
      <c r="L792" s="23">
        <f t="shared" si="128"/>
        <v>904.75</v>
      </c>
      <c r="M792" s="33">
        <v>25</v>
      </c>
      <c r="N792" s="18">
        <f t="shared" si="121"/>
        <v>27.816438356164383</v>
      </c>
      <c r="O792" s="23">
        <v>12132.45</v>
      </c>
      <c r="P792" s="18">
        <f t="shared" si="122"/>
        <v>28.816438356164383</v>
      </c>
      <c r="Q792" s="18">
        <f t="shared" si="127"/>
        <v>0</v>
      </c>
      <c r="R792" s="18">
        <f t="shared" si="123"/>
        <v>12132.45</v>
      </c>
      <c r="S792" s="18">
        <f t="shared" si="125"/>
        <v>904.75</v>
      </c>
    </row>
    <row r="793" spans="1:19" ht="15" customHeight="1" x14ac:dyDescent="0.2">
      <c r="A793" s="14">
        <f t="shared" si="124"/>
        <v>757</v>
      </c>
      <c r="B793" s="31" t="s">
        <v>729</v>
      </c>
      <c r="C793" s="15" t="s">
        <v>3</v>
      </c>
      <c r="D793" s="31" t="s">
        <v>500</v>
      </c>
      <c r="E793" s="31"/>
      <c r="F793" s="73" t="s">
        <v>8</v>
      </c>
      <c r="G793" s="32">
        <v>33878</v>
      </c>
      <c r="H793" s="29">
        <v>69189</v>
      </c>
      <c r="I793" s="17">
        <v>0</v>
      </c>
      <c r="J793" s="17">
        <f t="shared" si="126"/>
        <v>65729.55</v>
      </c>
      <c r="K793" s="17">
        <f t="shared" si="120"/>
        <v>3459.4499999999971</v>
      </c>
      <c r="L793" s="23">
        <f t="shared" si="128"/>
        <v>3459.4500000000003</v>
      </c>
      <c r="M793" s="33">
        <v>25</v>
      </c>
      <c r="N793" s="18">
        <f t="shared" si="121"/>
        <v>27.520547945205479</v>
      </c>
      <c r="O793" s="23">
        <v>138655.35</v>
      </c>
      <c r="P793" s="18">
        <f t="shared" si="122"/>
        <v>28.520547945205479</v>
      </c>
      <c r="Q793" s="18">
        <f t="shared" si="127"/>
        <v>-1.2732925824820997E-13</v>
      </c>
      <c r="R793" s="18">
        <f t="shared" si="123"/>
        <v>138655.35</v>
      </c>
      <c r="S793" s="18">
        <f t="shared" si="125"/>
        <v>3459.4500000000003</v>
      </c>
    </row>
    <row r="794" spans="1:19" ht="15" customHeight="1" x14ac:dyDescent="0.2">
      <c r="A794" s="14">
        <f t="shared" si="124"/>
        <v>758</v>
      </c>
      <c r="B794" s="31" t="s">
        <v>730</v>
      </c>
      <c r="C794" s="15" t="s">
        <v>3</v>
      </c>
      <c r="D794" s="31" t="s">
        <v>500</v>
      </c>
      <c r="E794" s="31"/>
      <c r="F794" s="73" t="s">
        <v>11</v>
      </c>
      <c r="G794" s="32">
        <v>33935</v>
      </c>
      <c r="H794" s="29">
        <v>8879959</v>
      </c>
      <c r="I794" s="17">
        <v>0</v>
      </c>
      <c r="J794" s="17">
        <f t="shared" si="126"/>
        <v>8435961.0500000007</v>
      </c>
      <c r="K794" s="17">
        <f t="shared" si="120"/>
        <v>443997.94999999925</v>
      </c>
      <c r="L794" s="23">
        <f t="shared" si="128"/>
        <v>443997.95</v>
      </c>
      <c r="M794" s="33">
        <v>25</v>
      </c>
      <c r="N794" s="18">
        <f t="shared" si="121"/>
        <v>27.364383561643837</v>
      </c>
      <c r="O794" s="23">
        <v>126355.7</v>
      </c>
      <c r="P794" s="18">
        <f t="shared" si="122"/>
        <v>28.364383561643837</v>
      </c>
      <c r="Q794" s="18">
        <f t="shared" si="127"/>
        <v>-3.0267983675003053E-11</v>
      </c>
      <c r="R794" s="18">
        <f t="shared" si="123"/>
        <v>126355.69999999997</v>
      </c>
      <c r="S794" s="18">
        <f t="shared" si="125"/>
        <v>443997.95</v>
      </c>
    </row>
    <row r="795" spans="1:19" ht="15" customHeight="1" x14ac:dyDescent="0.2">
      <c r="A795" s="14">
        <f t="shared" si="124"/>
        <v>759</v>
      </c>
      <c r="B795" s="31" t="s">
        <v>731</v>
      </c>
      <c r="C795" s="15" t="s">
        <v>3</v>
      </c>
      <c r="D795" s="31" t="s">
        <v>500</v>
      </c>
      <c r="E795" s="31"/>
      <c r="F795" s="73" t="s">
        <v>11</v>
      </c>
      <c r="G795" s="32">
        <v>33935</v>
      </c>
      <c r="H795" s="29">
        <v>1124119</v>
      </c>
      <c r="I795" s="17">
        <v>0</v>
      </c>
      <c r="J795" s="17">
        <f t="shared" si="126"/>
        <v>1067913.05</v>
      </c>
      <c r="K795" s="17">
        <f t="shared" si="120"/>
        <v>56205.949999999953</v>
      </c>
      <c r="L795" s="23">
        <f t="shared" si="128"/>
        <v>56205.950000000004</v>
      </c>
      <c r="M795" s="33">
        <v>25</v>
      </c>
      <c r="N795" s="18">
        <f t="shared" si="121"/>
        <v>27.364383561643837</v>
      </c>
      <c r="O795" s="23">
        <v>39078.25</v>
      </c>
      <c r="P795" s="18">
        <f t="shared" si="122"/>
        <v>28.364383561643837</v>
      </c>
      <c r="Q795" s="18">
        <f t="shared" si="127"/>
        <v>-2.0372681319713594E-12</v>
      </c>
      <c r="R795" s="18">
        <f t="shared" si="123"/>
        <v>39078.25</v>
      </c>
      <c r="S795" s="18">
        <f t="shared" si="125"/>
        <v>56205.950000000004</v>
      </c>
    </row>
    <row r="796" spans="1:19" ht="15" customHeight="1" x14ac:dyDescent="0.2">
      <c r="A796" s="14">
        <f t="shared" si="124"/>
        <v>760</v>
      </c>
      <c r="B796" s="31" t="s">
        <v>732</v>
      </c>
      <c r="C796" s="15" t="s">
        <v>3</v>
      </c>
      <c r="D796" s="31" t="s">
        <v>500</v>
      </c>
      <c r="E796" s="31"/>
      <c r="F796" s="73" t="s">
        <v>11</v>
      </c>
      <c r="G796" s="32">
        <v>33935</v>
      </c>
      <c r="H796" s="29">
        <v>227900</v>
      </c>
      <c r="I796" s="17">
        <v>0</v>
      </c>
      <c r="J796" s="17">
        <f t="shared" si="126"/>
        <v>216505</v>
      </c>
      <c r="K796" s="17">
        <f t="shared" si="120"/>
        <v>11395</v>
      </c>
      <c r="L796" s="23">
        <f t="shared" si="128"/>
        <v>11395</v>
      </c>
      <c r="M796" s="33">
        <v>25</v>
      </c>
      <c r="N796" s="18">
        <f t="shared" si="121"/>
        <v>27.364383561643837</v>
      </c>
      <c r="O796" s="23">
        <v>9860.0499999999993</v>
      </c>
      <c r="P796" s="18">
        <f t="shared" si="122"/>
        <v>28.364383561643837</v>
      </c>
      <c r="Q796" s="18">
        <f t="shared" si="127"/>
        <v>0</v>
      </c>
      <c r="R796" s="18">
        <f t="shared" si="123"/>
        <v>9860.0499999999993</v>
      </c>
      <c r="S796" s="18">
        <f t="shared" si="125"/>
        <v>11395</v>
      </c>
    </row>
    <row r="797" spans="1:19" ht="15" customHeight="1" x14ac:dyDescent="0.2">
      <c r="A797" s="14">
        <f t="shared" si="124"/>
        <v>761</v>
      </c>
      <c r="B797" s="31" t="s">
        <v>733</v>
      </c>
      <c r="C797" s="15" t="s">
        <v>3</v>
      </c>
      <c r="D797" s="31" t="s">
        <v>500</v>
      </c>
      <c r="E797" s="31"/>
      <c r="F797" s="73" t="s">
        <v>11</v>
      </c>
      <c r="G797" s="32">
        <v>23377</v>
      </c>
      <c r="H797" s="29">
        <v>1649</v>
      </c>
      <c r="I797" s="17">
        <v>0</v>
      </c>
      <c r="J797" s="17">
        <f t="shared" si="126"/>
        <v>1566.55</v>
      </c>
      <c r="K797" s="17">
        <f t="shared" si="120"/>
        <v>82.450000000000045</v>
      </c>
      <c r="L797" s="23">
        <f t="shared" si="128"/>
        <v>82.45</v>
      </c>
      <c r="M797" s="33">
        <v>10</v>
      </c>
      <c r="N797" s="18">
        <f t="shared" si="121"/>
        <v>56.290410958904111</v>
      </c>
      <c r="O797" s="23">
        <v>6581.6</v>
      </c>
      <c r="P797" s="18">
        <f t="shared" si="122"/>
        <v>57.290410958904111</v>
      </c>
      <c r="Q797" s="18">
        <f t="shared" si="127"/>
        <v>4.2632564145606017E-15</v>
      </c>
      <c r="R797" s="18">
        <f t="shared" si="123"/>
        <v>6581.6</v>
      </c>
      <c r="S797" s="18">
        <f t="shared" si="125"/>
        <v>82.45</v>
      </c>
    </row>
    <row r="798" spans="1:19" ht="15" customHeight="1" x14ac:dyDescent="0.2">
      <c r="A798" s="14">
        <f t="shared" si="124"/>
        <v>762</v>
      </c>
      <c r="B798" s="31" t="s">
        <v>734</v>
      </c>
      <c r="C798" s="15" t="s">
        <v>3</v>
      </c>
      <c r="D798" s="31" t="s">
        <v>500</v>
      </c>
      <c r="E798" s="31"/>
      <c r="F798" s="73" t="s">
        <v>4</v>
      </c>
      <c r="G798" s="32">
        <v>33939</v>
      </c>
      <c r="H798" s="29">
        <v>60187</v>
      </c>
      <c r="I798" s="17">
        <v>0</v>
      </c>
      <c r="J798" s="17">
        <f t="shared" si="126"/>
        <v>57177.65</v>
      </c>
      <c r="K798" s="17">
        <f t="shared" si="120"/>
        <v>3009.3499999999985</v>
      </c>
      <c r="L798" s="23">
        <f t="shared" si="128"/>
        <v>3009.3500000000004</v>
      </c>
      <c r="M798" s="33">
        <v>25</v>
      </c>
      <c r="N798" s="18">
        <f t="shared" si="121"/>
        <v>27.353424657534248</v>
      </c>
      <c r="O798" s="23">
        <v>6402.05</v>
      </c>
      <c r="P798" s="18">
        <f t="shared" si="122"/>
        <v>28.353424657534248</v>
      </c>
      <c r="Q798" s="18">
        <f t="shared" si="127"/>
        <v>-7.2759576141834261E-14</v>
      </c>
      <c r="R798" s="18">
        <f t="shared" si="123"/>
        <v>6402.05</v>
      </c>
      <c r="S798" s="18">
        <f t="shared" si="125"/>
        <v>3009.3500000000004</v>
      </c>
    </row>
    <row r="799" spans="1:19" ht="15" customHeight="1" x14ac:dyDescent="0.2">
      <c r="A799" s="14">
        <f t="shared" si="124"/>
        <v>763</v>
      </c>
      <c r="B799" s="31" t="s">
        <v>735</v>
      </c>
      <c r="C799" s="15" t="s">
        <v>3</v>
      </c>
      <c r="D799" s="31" t="s">
        <v>500</v>
      </c>
      <c r="E799" s="31"/>
      <c r="F799" s="73" t="s">
        <v>4</v>
      </c>
      <c r="G799" s="32">
        <v>22282</v>
      </c>
      <c r="H799" s="29">
        <v>2752</v>
      </c>
      <c r="I799" s="17">
        <v>0</v>
      </c>
      <c r="J799" s="17">
        <f t="shared" si="126"/>
        <v>2614.4</v>
      </c>
      <c r="K799" s="17">
        <f t="shared" si="120"/>
        <v>137.59999999999991</v>
      </c>
      <c r="L799" s="23">
        <f t="shared" si="128"/>
        <v>137.6</v>
      </c>
      <c r="M799" s="33">
        <v>15</v>
      </c>
      <c r="N799" s="18">
        <f t="shared" si="121"/>
        <v>59.290410958904111</v>
      </c>
      <c r="O799" s="23">
        <v>6079.05</v>
      </c>
      <c r="P799" s="18">
        <f t="shared" si="122"/>
        <v>60.290410958904111</v>
      </c>
      <c r="Q799" s="18">
        <f t="shared" si="127"/>
        <v>-5.6843418860808018E-15</v>
      </c>
      <c r="R799" s="18">
        <f t="shared" si="123"/>
        <v>6079.05</v>
      </c>
      <c r="S799" s="18">
        <f t="shared" si="125"/>
        <v>137.6</v>
      </c>
    </row>
    <row r="800" spans="1:19" ht="15" customHeight="1" x14ac:dyDescent="0.2">
      <c r="A800" s="14">
        <f t="shared" si="124"/>
        <v>764</v>
      </c>
      <c r="B800" s="31" t="s">
        <v>736</v>
      </c>
      <c r="C800" s="15" t="s">
        <v>3</v>
      </c>
      <c r="D800" s="31" t="s">
        <v>500</v>
      </c>
      <c r="E800" s="31"/>
      <c r="F800" s="73" t="s">
        <v>4</v>
      </c>
      <c r="G800" s="32">
        <v>33952</v>
      </c>
      <c r="H800" s="29">
        <v>172118</v>
      </c>
      <c r="I800" s="17">
        <v>0</v>
      </c>
      <c r="J800" s="17">
        <f t="shared" si="126"/>
        <v>163512.1</v>
      </c>
      <c r="K800" s="17">
        <f t="shared" si="120"/>
        <v>8605.8999999999942</v>
      </c>
      <c r="L800" s="23">
        <f t="shared" si="128"/>
        <v>8605.9</v>
      </c>
      <c r="M800" s="33">
        <v>25</v>
      </c>
      <c r="N800" s="18">
        <f t="shared" si="121"/>
        <v>27.317808219178083</v>
      </c>
      <c r="O800" s="23">
        <v>2712.25</v>
      </c>
      <c r="P800" s="18">
        <f t="shared" si="122"/>
        <v>28.317808219178083</v>
      </c>
      <c r="Q800" s="18">
        <f t="shared" si="127"/>
        <v>-2.1827872842550277E-13</v>
      </c>
      <c r="R800" s="18">
        <f t="shared" si="123"/>
        <v>2712.25</v>
      </c>
      <c r="S800" s="18">
        <f t="shared" si="125"/>
        <v>8605.9</v>
      </c>
    </row>
    <row r="801" spans="1:19" ht="15" customHeight="1" x14ac:dyDescent="0.2">
      <c r="A801" s="14">
        <f t="shared" si="124"/>
        <v>765</v>
      </c>
      <c r="B801" s="31" t="s">
        <v>737</v>
      </c>
      <c r="C801" s="15" t="s">
        <v>3</v>
      </c>
      <c r="D801" s="31" t="s">
        <v>500</v>
      </c>
      <c r="E801" s="31"/>
      <c r="F801" s="73" t="s">
        <v>11</v>
      </c>
      <c r="G801" s="32">
        <v>33958</v>
      </c>
      <c r="H801" s="29">
        <v>2754081</v>
      </c>
      <c r="I801" s="17">
        <v>0</v>
      </c>
      <c r="J801" s="17">
        <f t="shared" si="126"/>
        <v>2616376.9500000002</v>
      </c>
      <c r="K801" s="17">
        <f t="shared" si="120"/>
        <v>137704.04999999981</v>
      </c>
      <c r="L801" s="23">
        <f t="shared" si="128"/>
        <v>137704.05000000002</v>
      </c>
      <c r="M801" s="33">
        <v>25</v>
      </c>
      <c r="N801" s="18">
        <f t="shared" si="121"/>
        <v>27.301369863013697</v>
      </c>
      <c r="O801" s="23">
        <v>1626.4</v>
      </c>
      <c r="P801" s="18">
        <f t="shared" si="122"/>
        <v>28.301369863013697</v>
      </c>
      <c r="Q801" s="18">
        <f t="shared" si="127"/>
        <v>-8.1490725278854378E-12</v>
      </c>
      <c r="R801" s="18">
        <f t="shared" si="123"/>
        <v>1626.3999999999919</v>
      </c>
      <c r="S801" s="18">
        <f t="shared" si="125"/>
        <v>137704.05000000002</v>
      </c>
    </row>
    <row r="802" spans="1:19" ht="15" customHeight="1" x14ac:dyDescent="0.2">
      <c r="A802" s="14">
        <f t="shared" si="124"/>
        <v>766</v>
      </c>
      <c r="B802" s="31" t="s">
        <v>738</v>
      </c>
      <c r="C802" s="15" t="s">
        <v>3</v>
      </c>
      <c r="D802" s="31" t="s">
        <v>500</v>
      </c>
      <c r="E802" s="31"/>
      <c r="F802" s="73" t="s">
        <v>11</v>
      </c>
      <c r="G802" s="32">
        <v>33958</v>
      </c>
      <c r="H802" s="29">
        <v>1773540</v>
      </c>
      <c r="I802" s="17">
        <v>0</v>
      </c>
      <c r="J802" s="17">
        <f t="shared" si="126"/>
        <v>1684863</v>
      </c>
      <c r="K802" s="17">
        <f t="shared" si="120"/>
        <v>88677</v>
      </c>
      <c r="L802" s="23">
        <f t="shared" si="128"/>
        <v>88677</v>
      </c>
      <c r="M802" s="33">
        <v>25</v>
      </c>
      <c r="N802" s="18">
        <f t="shared" si="121"/>
        <v>27.301369863013697</v>
      </c>
      <c r="O802" s="23">
        <v>1170.4000000000001</v>
      </c>
      <c r="P802" s="18">
        <f t="shared" si="122"/>
        <v>28.301369863013697</v>
      </c>
      <c r="Q802" s="18">
        <f t="shared" si="127"/>
        <v>0</v>
      </c>
      <c r="R802" s="18">
        <f t="shared" si="123"/>
        <v>1170.4000000000001</v>
      </c>
      <c r="S802" s="18">
        <f t="shared" si="125"/>
        <v>88677</v>
      </c>
    </row>
    <row r="803" spans="1:19" ht="15" customHeight="1" x14ac:dyDescent="0.2">
      <c r="A803" s="14">
        <f t="shared" si="124"/>
        <v>767</v>
      </c>
      <c r="B803" s="31" t="s">
        <v>739</v>
      </c>
      <c r="C803" s="15" t="s">
        <v>3</v>
      </c>
      <c r="D803" s="31" t="s">
        <v>500</v>
      </c>
      <c r="E803" s="31"/>
      <c r="F803" s="73" t="s">
        <v>11</v>
      </c>
      <c r="G803" s="32">
        <v>33969</v>
      </c>
      <c r="H803" s="29">
        <v>458528</v>
      </c>
      <c r="I803" s="17">
        <v>0</v>
      </c>
      <c r="J803" s="17">
        <f t="shared" si="126"/>
        <v>435601.6</v>
      </c>
      <c r="K803" s="17">
        <f t="shared" si="120"/>
        <v>22926.400000000023</v>
      </c>
      <c r="L803" s="23">
        <f t="shared" si="128"/>
        <v>22926.400000000001</v>
      </c>
      <c r="M803" s="33">
        <v>25</v>
      </c>
      <c r="N803" s="18">
        <f t="shared" si="121"/>
        <v>27.271232876712329</v>
      </c>
      <c r="O803" s="23">
        <v>211.85</v>
      </c>
      <c r="P803" s="18">
        <f t="shared" si="122"/>
        <v>28.271232876712329</v>
      </c>
      <c r="Q803" s="18">
        <f t="shared" si="127"/>
        <v>8.7311491370201108E-13</v>
      </c>
      <c r="R803" s="18">
        <f t="shared" si="123"/>
        <v>211.85000000000088</v>
      </c>
      <c r="S803" s="18">
        <f t="shared" si="125"/>
        <v>22926.400000000001</v>
      </c>
    </row>
    <row r="804" spans="1:19" ht="15" customHeight="1" x14ac:dyDescent="0.2">
      <c r="A804" s="14">
        <f t="shared" si="124"/>
        <v>768</v>
      </c>
      <c r="B804" s="31" t="s">
        <v>740</v>
      </c>
      <c r="C804" s="15" t="s">
        <v>3</v>
      </c>
      <c r="D804" s="31" t="s">
        <v>500</v>
      </c>
      <c r="E804" s="31"/>
      <c r="F804" s="73" t="s">
        <v>11</v>
      </c>
      <c r="G804" s="32">
        <v>33969</v>
      </c>
      <c r="H804" s="29">
        <v>64197</v>
      </c>
      <c r="I804" s="17">
        <v>0</v>
      </c>
      <c r="J804" s="17">
        <f t="shared" si="126"/>
        <v>60987.15</v>
      </c>
      <c r="K804" s="17">
        <f t="shared" si="120"/>
        <v>3209.8499999999985</v>
      </c>
      <c r="L804" s="23">
        <f t="shared" si="128"/>
        <v>3209.8500000000004</v>
      </c>
      <c r="M804" s="33">
        <v>25</v>
      </c>
      <c r="N804" s="18">
        <f t="shared" si="121"/>
        <v>27.271232876712329</v>
      </c>
      <c r="O804" s="23">
        <v>42428.9</v>
      </c>
      <c r="P804" s="18">
        <f t="shared" si="122"/>
        <v>28.271232876712329</v>
      </c>
      <c r="Q804" s="18">
        <f t="shared" si="127"/>
        <v>-7.2759576141834261E-14</v>
      </c>
      <c r="R804" s="18">
        <f t="shared" si="123"/>
        <v>42428.9</v>
      </c>
      <c r="S804" s="18">
        <f t="shared" si="125"/>
        <v>3209.8500000000004</v>
      </c>
    </row>
    <row r="805" spans="1:19" ht="15" customHeight="1" x14ac:dyDescent="0.2">
      <c r="A805" s="14">
        <f t="shared" si="124"/>
        <v>769</v>
      </c>
      <c r="B805" s="31" t="s">
        <v>741</v>
      </c>
      <c r="C805" s="15" t="s">
        <v>3</v>
      </c>
      <c r="D805" s="31" t="s">
        <v>500</v>
      </c>
      <c r="E805" s="31"/>
      <c r="F805" s="73" t="s">
        <v>11</v>
      </c>
      <c r="G805" s="32">
        <v>33969</v>
      </c>
      <c r="H805" s="29">
        <v>4361</v>
      </c>
      <c r="I805" s="17">
        <v>0</v>
      </c>
      <c r="J805" s="17">
        <f t="shared" si="126"/>
        <v>4142.95</v>
      </c>
      <c r="K805" s="17">
        <f t="shared" ref="K805:K868" si="129">H805+I805-J805</f>
        <v>218.05000000000018</v>
      </c>
      <c r="L805" s="23">
        <f t="shared" si="128"/>
        <v>218.05</v>
      </c>
      <c r="M805" s="33">
        <v>25</v>
      </c>
      <c r="N805" s="18">
        <f t="shared" ref="N805:N868" si="130">IF(($N$35-G805+1)/365&gt;0,($N$35-G805+1)/365,0)</f>
        <v>27.271232876712329</v>
      </c>
      <c r="O805" s="23">
        <v>34891.599999999999</v>
      </c>
      <c r="P805" s="18">
        <f t="shared" ref="P805:P868" si="131">($P$35-G805+1)/365</f>
        <v>28.271232876712329</v>
      </c>
      <c r="Q805" s="18">
        <f t="shared" si="127"/>
        <v>6.8212102632969615E-15</v>
      </c>
      <c r="R805" s="18">
        <f t="shared" ref="R805:R868" si="132">Q805+O805</f>
        <v>34891.599999999999</v>
      </c>
      <c r="S805" s="18">
        <f t="shared" si="125"/>
        <v>218.05</v>
      </c>
    </row>
    <row r="806" spans="1:19" ht="15" customHeight="1" x14ac:dyDescent="0.2">
      <c r="A806" s="14">
        <f t="shared" si="124"/>
        <v>770</v>
      </c>
      <c r="B806" s="31" t="s">
        <v>732</v>
      </c>
      <c r="C806" s="15" t="s">
        <v>3</v>
      </c>
      <c r="D806" s="31" t="s">
        <v>500</v>
      </c>
      <c r="E806" s="31"/>
      <c r="F806" s="73" t="s">
        <v>11</v>
      </c>
      <c r="G806" s="32">
        <v>33984</v>
      </c>
      <c r="H806" s="29">
        <v>762016</v>
      </c>
      <c r="I806" s="17">
        <v>0</v>
      </c>
      <c r="J806" s="17">
        <f t="shared" si="126"/>
        <v>723915.2</v>
      </c>
      <c r="K806" s="17">
        <f t="shared" si="129"/>
        <v>38100.800000000047</v>
      </c>
      <c r="L806" s="23">
        <f t="shared" si="128"/>
        <v>38100.800000000003</v>
      </c>
      <c r="M806" s="33">
        <v>25</v>
      </c>
      <c r="N806" s="18">
        <f t="shared" si="130"/>
        <v>27.230136986301371</v>
      </c>
      <c r="O806" s="23">
        <v>28687.15</v>
      </c>
      <c r="P806" s="18">
        <f t="shared" si="131"/>
        <v>28.230136986301371</v>
      </c>
      <c r="Q806" s="18">
        <f t="shared" si="127"/>
        <v>1.7462298274040222E-12</v>
      </c>
      <c r="R806" s="18">
        <f t="shared" si="132"/>
        <v>28687.15</v>
      </c>
      <c r="S806" s="18">
        <f t="shared" si="125"/>
        <v>38100.800000000003</v>
      </c>
    </row>
    <row r="807" spans="1:19" ht="15" customHeight="1" x14ac:dyDescent="0.2">
      <c r="A807" s="14">
        <f t="shared" ref="A807:A870" si="133">+A806+1</f>
        <v>771</v>
      </c>
      <c r="B807" s="31" t="s">
        <v>688</v>
      </c>
      <c r="C807" s="15" t="s">
        <v>3</v>
      </c>
      <c r="D807" s="31" t="s">
        <v>500</v>
      </c>
      <c r="E807" s="31"/>
      <c r="F807" s="73" t="s">
        <v>13</v>
      </c>
      <c r="G807" s="32">
        <v>33984</v>
      </c>
      <c r="H807" s="29">
        <v>33986</v>
      </c>
      <c r="I807" s="17">
        <v>0</v>
      </c>
      <c r="J807" s="17">
        <f t="shared" si="126"/>
        <v>32286.7</v>
      </c>
      <c r="K807" s="17">
        <f t="shared" si="129"/>
        <v>1699.2999999999993</v>
      </c>
      <c r="L807" s="23">
        <f t="shared" si="128"/>
        <v>1699.3000000000002</v>
      </c>
      <c r="M807" s="33">
        <v>25</v>
      </c>
      <c r="N807" s="18">
        <f t="shared" si="130"/>
        <v>27.230136986301371</v>
      </c>
      <c r="O807" s="23">
        <v>11681.2</v>
      </c>
      <c r="P807" s="18">
        <f t="shared" si="131"/>
        <v>28.230136986301371</v>
      </c>
      <c r="Q807" s="18">
        <f t="shared" si="127"/>
        <v>-3.637978807091713E-14</v>
      </c>
      <c r="R807" s="18">
        <f t="shared" si="132"/>
        <v>11681.2</v>
      </c>
      <c r="S807" s="18">
        <f t="shared" ref="S807:S870" si="134">+IF(N807&gt;P807,0,L807)</f>
        <v>1699.3000000000002</v>
      </c>
    </row>
    <row r="808" spans="1:19" ht="15" customHeight="1" x14ac:dyDescent="0.2">
      <c r="A808" s="14">
        <f t="shared" si="133"/>
        <v>772</v>
      </c>
      <c r="B808" s="31" t="s">
        <v>742</v>
      </c>
      <c r="C808" s="15" t="s">
        <v>3</v>
      </c>
      <c r="D808" s="31" t="s">
        <v>500</v>
      </c>
      <c r="E808" s="31"/>
      <c r="F808" s="73" t="s">
        <v>11</v>
      </c>
      <c r="G808" s="32">
        <v>34001</v>
      </c>
      <c r="H808" s="29">
        <v>217256</v>
      </c>
      <c r="I808" s="17">
        <v>0</v>
      </c>
      <c r="J808" s="17">
        <f t="shared" si="126"/>
        <v>206393.2</v>
      </c>
      <c r="K808" s="17">
        <f t="shared" si="129"/>
        <v>10862.799999999988</v>
      </c>
      <c r="L808" s="23">
        <f t="shared" si="128"/>
        <v>10862.800000000001</v>
      </c>
      <c r="M808" s="33">
        <v>25</v>
      </c>
      <c r="N808" s="18">
        <f t="shared" si="130"/>
        <v>27.183561643835617</v>
      </c>
      <c r="O808" s="23">
        <v>10819.55</v>
      </c>
      <c r="P808" s="18">
        <f t="shared" si="131"/>
        <v>28.183561643835617</v>
      </c>
      <c r="Q808" s="18">
        <f t="shared" si="127"/>
        <v>-5.0931703299283986E-13</v>
      </c>
      <c r="R808" s="18">
        <f t="shared" si="132"/>
        <v>10819.55</v>
      </c>
      <c r="S808" s="18">
        <f t="shared" si="134"/>
        <v>10862.800000000001</v>
      </c>
    </row>
    <row r="809" spans="1:19" ht="15" customHeight="1" x14ac:dyDescent="0.2">
      <c r="A809" s="14">
        <f t="shared" si="133"/>
        <v>773</v>
      </c>
      <c r="B809" s="31" t="s">
        <v>743</v>
      </c>
      <c r="C809" s="15" t="s">
        <v>3</v>
      </c>
      <c r="D809" s="31" t="s">
        <v>500</v>
      </c>
      <c r="E809" s="31"/>
      <c r="F809" s="73" t="s">
        <v>13</v>
      </c>
      <c r="G809" s="32">
        <v>34005</v>
      </c>
      <c r="H809" s="29">
        <v>409157</v>
      </c>
      <c r="I809" s="17">
        <v>0</v>
      </c>
      <c r="J809" s="17">
        <f t="shared" ref="J809:J872" si="135">H809-L809</f>
        <v>388699.15</v>
      </c>
      <c r="K809" s="17">
        <f t="shared" si="129"/>
        <v>20457.849999999977</v>
      </c>
      <c r="L809" s="23">
        <f t="shared" si="128"/>
        <v>20457.850000000002</v>
      </c>
      <c r="M809" s="33">
        <v>25</v>
      </c>
      <c r="N809" s="18">
        <f t="shared" si="130"/>
        <v>27.172602739726027</v>
      </c>
      <c r="O809" s="23">
        <v>3023.85</v>
      </c>
      <c r="P809" s="18">
        <f t="shared" si="131"/>
        <v>28.172602739726027</v>
      </c>
      <c r="Q809" s="18">
        <f t="shared" si="127"/>
        <v>-1.0186340659856797E-12</v>
      </c>
      <c r="R809" s="18">
        <f t="shared" si="132"/>
        <v>3023.849999999999</v>
      </c>
      <c r="S809" s="18">
        <f t="shared" si="134"/>
        <v>20457.850000000002</v>
      </c>
    </row>
    <row r="810" spans="1:19" ht="15" customHeight="1" x14ac:dyDescent="0.2">
      <c r="A810" s="14">
        <f t="shared" si="133"/>
        <v>774</v>
      </c>
      <c r="B810" s="31" t="s">
        <v>744</v>
      </c>
      <c r="C810" s="15" t="s">
        <v>3</v>
      </c>
      <c r="D810" s="31" t="s">
        <v>500</v>
      </c>
      <c r="E810" s="31"/>
      <c r="F810" s="73" t="s">
        <v>11</v>
      </c>
      <c r="G810" s="32">
        <v>34006</v>
      </c>
      <c r="H810" s="29">
        <v>1569658</v>
      </c>
      <c r="I810" s="17">
        <v>0</v>
      </c>
      <c r="J810" s="17">
        <f t="shared" si="135"/>
        <v>1491175.1</v>
      </c>
      <c r="K810" s="17">
        <f t="shared" si="129"/>
        <v>78482.899999999907</v>
      </c>
      <c r="L810" s="23">
        <f t="shared" si="128"/>
        <v>78482.900000000009</v>
      </c>
      <c r="M810" s="33">
        <v>25</v>
      </c>
      <c r="N810" s="18">
        <f t="shared" si="130"/>
        <v>27.169863013698631</v>
      </c>
      <c r="O810" s="23">
        <v>1028.8499999999999</v>
      </c>
      <c r="P810" s="18">
        <f t="shared" si="131"/>
        <v>28.169863013698631</v>
      </c>
      <c r="Q810" s="18">
        <f t="shared" si="127"/>
        <v>-4.0745362639427189E-12</v>
      </c>
      <c r="R810" s="18">
        <f t="shared" si="132"/>
        <v>1028.8499999999958</v>
      </c>
      <c r="S810" s="18">
        <f t="shared" si="134"/>
        <v>78482.900000000009</v>
      </c>
    </row>
    <row r="811" spans="1:19" ht="15" customHeight="1" x14ac:dyDescent="0.2">
      <c r="A811" s="14">
        <f t="shared" si="133"/>
        <v>775</v>
      </c>
      <c r="B811" s="31" t="s">
        <v>745</v>
      </c>
      <c r="C811" s="15" t="s">
        <v>3</v>
      </c>
      <c r="D811" s="31" t="s">
        <v>500</v>
      </c>
      <c r="E811" s="31"/>
      <c r="F811" s="73" t="s">
        <v>11</v>
      </c>
      <c r="G811" s="32">
        <v>34006</v>
      </c>
      <c r="H811" s="29">
        <v>1076702</v>
      </c>
      <c r="I811" s="17">
        <v>0</v>
      </c>
      <c r="J811" s="17">
        <f t="shared" si="135"/>
        <v>1022866.9</v>
      </c>
      <c r="K811" s="17">
        <f t="shared" si="129"/>
        <v>53835.099999999977</v>
      </c>
      <c r="L811" s="23">
        <f t="shared" si="128"/>
        <v>53835.100000000006</v>
      </c>
      <c r="M811" s="33">
        <v>25</v>
      </c>
      <c r="N811" s="18">
        <f t="shared" si="130"/>
        <v>27.169863013698631</v>
      </c>
      <c r="O811" s="23">
        <v>406.6</v>
      </c>
      <c r="P811" s="18">
        <f t="shared" si="131"/>
        <v>28.169863013698631</v>
      </c>
      <c r="Q811" s="18">
        <f t="shared" si="127"/>
        <v>-1.1641532182693482E-12</v>
      </c>
      <c r="R811" s="18">
        <f t="shared" si="132"/>
        <v>406.59999999999889</v>
      </c>
      <c r="S811" s="18">
        <f t="shared" si="134"/>
        <v>53835.100000000006</v>
      </c>
    </row>
    <row r="812" spans="1:19" ht="15" customHeight="1" x14ac:dyDescent="0.2">
      <c r="A812" s="14">
        <f t="shared" si="133"/>
        <v>776</v>
      </c>
      <c r="B812" s="31" t="s">
        <v>746</v>
      </c>
      <c r="C812" s="15" t="s">
        <v>3</v>
      </c>
      <c r="D812" s="31" t="s">
        <v>500</v>
      </c>
      <c r="E812" s="31"/>
      <c r="F812" s="70" t="s">
        <v>7</v>
      </c>
      <c r="G812" s="32">
        <v>35886</v>
      </c>
      <c r="H812" s="29">
        <v>77265</v>
      </c>
      <c r="I812" s="17">
        <v>0</v>
      </c>
      <c r="J812" s="17">
        <f t="shared" si="135"/>
        <v>73401.75</v>
      </c>
      <c r="K812" s="17">
        <f t="shared" si="129"/>
        <v>3863.25</v>
      </c>
      <c r="L812" s="23">
        <f t="shared" si="128"/>
        <v>3863.25</v>
      </c>
      <c r="M812" s="33">
        <v>15</v>
      </c>
      <c r="N812" s="18">
        <f t="shared" si="130"/>
        <v>22.019178082191782</v>
      </c>
      <c r="O812" s="23">
        <v>53054.65</v>
      </c>
      <c r="P812" s="18">
        <f t="shared" si="131"/>
        <v>23.019178082191782</v>
      </c>
      <c r="Q812" s="18">
        <f t="shared" si="127"/>
        <v>0</v>
      </c>
      <c r="R812" s="18">
        <f t="shared" si="132"/>
        <v>53054.65</v>
      </c>
      <c r="S812" s="18">
        <f t="shared" si="134"/>
        <v>3863.25</v>
      </c>
    </row>
    <row r="813" spans="1:19" ht="15" customHeight="1" x14ac:dyDescent="0.2">
      <c r="A813" s="14">
        <f t="shared" si="133"/>
        <v>777</v>
      </c>
      <c r="B813" s="31" t="s">
        <v>747</v>
      </c>
      <c r="C813" s="15" t="s">
        <v>3</v>
      </c>
      <c r="D813" s="31" t="s">
        <v>500</v>
      </c>
      <c r="E813" s="31"/>
      <c r="F813" s="73" t="s">
        <v>11</v>
      </c>
      <c r="G813" s="32">
        <v>34006</v>
      </c>
      <c r="H813" s="29">
        <v>734067</v>
      </c>
      <c r="I813" s="17">
        <v>0</v>
      </c>
      <c r="J813" s="17">
        <f t="shared" si="135"/>
        <v>697363.65</v>
      </c>
      <c r="K813" s="17">
        <f t="shared" si="129"/>
        <v>36703.349999999977</v>
      </c>
      <c r="L813" s="23">
        <f t="shared" si="128"/>
        <v>36703.35</v>
      </c>
      <c r="M813" s="33">
        <v>25</v>
      </c>
      <c r="N813" s="18">
        <f t="shared" si="130"/>
        <v>27.169863013698631</v>
      </c>
      <c r="O813" s="23">
        <v>16047.4</v>
      </c>
      <c r="P813" s="18">
        <f t="shared" si="131"/>
        <v>28.169863013698631</v>
      </c>
      <c r="Q813" s="18">
        <f t="shared" si="127"/>
        <v>-8.7311491370201108E-13</v>
      </c>
      <c r="R813" s="18">
        <f t="shared" si="132"/>
        <v>16047.4</v>
      </c>
      <c r="S813" s="18">
        <f t="shared" si="134"/>
        <v>36703.35</v>
      </c>
    </row>
    <row r="814" spans="1:19" ht="15" customHeight="1" x14ac:dyDescent="0.2">
      <c r="A814" s="14">
        <f t="shared" si="133"/>
        <v>778</v>
      </c>
      <c r="B814" s="31" t="s">
        <v>748</v>
      </c>
      <c r="C814" s="15" t="s">
        <v>3</v>
      </c>
      <c r="D814" s="31" t="s">
        <v>500</v>
      </c>
      <c r="E814" s="31"/>
      <c r="F814" s="73" t="s">
        <v>8</v>
      </c>
      <c r="G814" s="32">
        <v>24473</v>
      </c>
      <c r="H814" s="29">
        <v>18798</v>
      </c>
      <c r="I814" s="17">
        <v>0</v>
      </c>
      <c r="J814" s="17">
        <f t="shared" si="135"/>
        <v>17858.099999999999</v>
      </c>
      <c r="K814" s="17">
        <f t="shared" si="129"/>
        <v>939.90000000000146</v>
      </c>
      <c r="L814" s="23">
        <f t="shared" si="128"/>
        <v>939.90000000000009</v>
      </c>
      <c r="M814" s="33">
        <v>10</v>
      </c>
      <c r="N814" s="18">
        <f t="shared" si="130"/>
        <v>53.287671232876711</v>
      </c>
      <c r="O814" s="23">
        <v>14465.65</v>
      </c>
      <c r="P814" s="18">
        <f t="shared" si="131"/>
        <v>54.287671232876711</v>
      </c>
      <c r="Q814" s="18">
        <f t="shared" si="127"/>
        <v>1.3642420526593926E-13</v>
      </c>
      <c r="R814" s="18">
        <f t="shared" si="132"/>
        <v>14465.65</v>
      </c>
      <c r="S814" s="18">
        <f t="shared" si="134"/>
        <v>939.90000000000009</v>
      </c>
    </row>
    <row r="815" spans="1:19" ht="15" customHeight="1" x14ac:dyDescent="0.2">
      <c r="A815" s="14">
        <f t="shared" si="133"/>
        <v>779</v>
      </c>
      <c r="B815" s="31" t="s">
        <v>749</v>
      </c>
      <c r="C815" s="15" t="s">
        <v>3</v>
      </c>
      <c r="D815" s="31" t="s">
        <v>500</v>
      </c>
      <c r="E815" s="31"/>
      <c r="F815" s="73" t="s">
        <v>8</v>
      </c>
      <c r="G815" s="32">
        <v>34027</v>
      </c>
      <c r="H815" s="29">
        <v>5074</v>
      </c>
      <c r="I815" s="17">
        <v>0</v>
      </c>
      <c r="J815" s="17">
        <f t="shared" si="135"/>
        <v>4820.3</v>
      </c>
      <c r="K815" s="17">
        <f t="shared" si="129"/>
        <v>253.69999999999982</v>
      </c>
      <c r="L815" s="23">
        <f t="shared" si="128"/>
        <v>253.70000000000002</v>
      </c>
      <c r="M815" s="33">
        <v>25</v>
      </c>
      <c r="N815" s="18">
        <f t="shared" si="130"/>
        <v>27.112328767123287</v>
      </c>
      <c r="O815" s="23">
        <v>6096.15</v>
      </c>
      <c r="P815" s="18">
        <f t="shared" si="131"/>
        <v>28.112328767123287</v>
      </c>
      <c r="Q815" s="18">
        <f t="shared" si="127"/>
        <v>-7.9580786405131228E-15</v>
      </c>
      <c r="R815" s="18">
        <f t="shared" si="132"/>
        <v>6096.15</v>
      </c>
      <c r="S815" s="18">
        <f t="shared" si="134"/>
        <v>253.70000000000002</v>
      </c>
    </row>
    <row r="816" spans="1:19" ht="15" customHeight="1" x14ac:dyDescent="0.2">
      <c r="A816" s="14">
        <f t="shared" si="133"/>
        <v>780</v>
      </c>
      <c r="B816" s="31" t="s">
        <v>750</v>
      </c>
      <c r="C816" s="15" t="s">
        <v>3</v>
      </c>
      <c r="D816" s="31" t="s">
        <v>500</v>
      </c>
      <c r="E816" s="31"/>
      <c r="F816" s="73" t="s">
        <v>13</v>
      </c>
      <c r="G816" s="32">
        <v>34029</v>
      </c>
      <c r="H816" s="29">
        <v>401621</v>
      </c>
      <c r="I816" s="17">
        <v>0</v>
      </c>
      <c r="J816" s="17">
        <f t="shared" si="135"/>
        <v>381539.95</v>
      </c>
      <c r="K816" s="17">
        <f t="shared" si="129"/>
        <v>20081.049999999988</v>
      </c>
      <c r="L816" s="23">
        <f t="shared" si="128"/>
        <v>20081.050000000003</v>
      </c>
      <c r="M816" s="33">
        <v>25</v>
      </c>
      <c r="N816" s="18">
        <f t="shared" si="130"/>
        <v>27.106849315068494</v>
      </c>
      <c r="O816" s="23">
        <v>5163.25</v>
      </c>
      <c r="P816" s="18">
        <f t="shared" si="131"/>
        <v>28.106849315068494</v>
      </c>
      <c r="Q816" s="18">
        <f t="shared" si="127"/>
        <v>-5.8207660913467408E-13</v>
      </c>
      <c r="R816" s="18">
        <f t="shared" si="132"/>
        <v>5163.2499999999991</v>
      </c>
      <c r="S816" s="18">
        <f t="shared" si="134"/>
        <v>20081.050000000003</v>
      </c>
    </row>
    <row r="817" spans="1:19" ht="15" customHeight="1" x14ac:dyDescent="0.2">
      <c r="A817" s="14">
        <f t="shared" si="133"/>
        <v>781</v>
      </c>
      <c r="B817" s="31" t="s">
        <v>751</v>
      </c>
      <c r="C817" s="15" t="s">
        <v>3</v>
      </c>
      <c r="D817" s="31" t="s">
        <v>500</v>
      </c>
      <c r="E817" s="31"/>
      <c r="F817" s="73" t="s">
        <v>11</v>
      </c>
      <c r="G817" s="32">
        <v>34029</v>
      </c>
      <c r="H817" s="29">
        <v>125102</v>
      </c>
      <c r="I817" s="17">
        <v>0</v>
      </c>
      <c r="J817" s="17">
        <f t="shared" si="135"/>
        <v>118846.9</v>
      </c>
      <c r="K817" s="17">
        <f t="shared" si="129"/>
        <v>6255.1000000000058</v>
      </c>
      <c r="L817" s="23">
        <f t="shared" si="128"/>
        <v>6255.1</v>
      </c>
      <c r="M817" s="33">
        <v>25</v>
      </c>
      <c r="N817" s="18">
        <f t="shared" si="130"/>
        <v>27.106849315068494</v>
      </c>
      <c r="O817" s="23">
        <v>433482.15</v>
      </c>
      <c r="P817" s="18">
        <f t="shared" si="131"/>
        <v>28.106849315068494</v>
      </c>
      <c r="Q817" s="18">
        <f t="shared" si="127"/>
        <v>2.1827872842550277E-13</v>
      </c>
      <c r="R817" s="18">
        <f t="shared" si="132"/>
        <v>433482.15</v>
      </c>
      <c r="S817" s="18">
        <f t="shared" si="134"/>
        <v>6255.1</v>
      </c>
    </row>
    <row r="818" spans="1:19" ht="15" customHeight="1" x14ac:dyDescent="0.2">
      <c r="A818" s="14">
        <f t="shared" si="133"/>
        <v>782</v>
      </c>
      <c r="B818" s="31" t="s">
        <v>752</v>
      </c>
      <c r="C818" s="15" t="s">
        <v>3</v>
      </c>
      <c r="D818" s="31" t="s">
        <v>500</v>
      </c>
      <c r="E818" s="31"/>
      <c r="F818" s="73" t="s">
        <v>15</v>
      </c>
      <c r="G818" s="32">
        <v>19360</v>
      </c>
      <c r="H818" s="29">
        <v>8024</v>
      </c>
      <c r="I818" s="17">
        <v>0</v>
      </c>
      <c r="J818" s="17">
        <f t="shared" si="135"/>
        <v>7622.8</v>
      </c>
      <c r="K818" s="17">
        <f t="shared" si="129"/>
        <v>401.19999999999982</v>
      </c>
      <c r="L818" s="23">
        <f t="shared" si="128"/>
        <v>401.20000000000005</v>
      </c>
      <c r="M818" s="33">
        <v>25</v>
      </c>
      <c r="N818" s="18">
        <f t="shared" si="130"/>
        <v>67.295890410958904</v>
      </c>
      <c r="O818" s="23">
        <v>37385.35</v>
      </c>
      <c r="P818" s="18">
        <f t="shared" si="131"/>
        <v>68.295890410958904</v>
      </c>
      <c r="Q818" s="18">
        <f t="shared" si="127"/>
        <v>-9.0949470177292826E-15</v>
      </c>
      <c r="R818" s="18">
        <f t="shared" si="132"/>
        <v>37385.35</v>
      </c>
      <c r="S818" s="18">
        <f t="shared" si="134"/>
        <v>401.20000000000005</v>
      </c>
    </row>
    <row r="819" spans="1:19" ht="15" customHeight="1" x14ac:dyDescent="0.2">
      <c r="A819" s="14">
        <f t="shared" si="133"/>
        <v>783</v>
      </c>
      <c r="B819" s="31" t="s">
        <v>753</v>
      </c>
      <c r="C819" s="15" t="s">
        <v>3</v>
      </c>
      <c r="D819" s="31" t="s">
        <v>500</v>
      </c>
      <c r="E819" s="31"/>
      <c r="F819" s="73" t="s">
        <v>8</v>
      </c>
      <c r="G819" s="32">
        <v>34029</v>
      </c>
      <c r="H819" s="29">
        <v>117575</v>
      </c>
      <c r="I819" s="17">
        <v>0</v>
      </c>
      <c r="J819" s="17">
        <f t="shared" si="135"/>
        <v>111696.25</v>
      </c>
      <c r="K819" s="17">
        <f t="shared" si="129"/>
        <v>5878.75</v>
      </c>
      <c r="L819" s="23">
        <f t="shared" si="128"/>
        <v>5878.75</v>
      </c>
      <c r="M819" s="33">
        <v>25</v>
      </c>
      <c r="N819" s="18">
        <f t="shared" si="130"/>
        <v>27.106849315068494</v>
      </c>
      <c r="O819" s="23">
        <v>16339.05</v>
      </c>
      <c r="P819" s="18">
        <f t="shared" si="131"/>
        <v>28.106849315068494</v>
      </c>
      <c r="Q819" s="18">
        <f t="shared" si="127"/>
        <v>0</v>
      </c>
      <c r="R819" s="18">
        <f t="shared" si="132"/>
        <v>16339.05</v>
      </c>
      <c r="S819" s="18">
        <f t="shared" si="134"/>
        <v>5878.75</v>
      </c>
    </row>
    <row r="820" spans="1:19" ht="15" customHeight="1" x14ac:dyDescent="0.2">
      <c r="A820" s="14">
        <f t="shared" si="133"/>
        <v>784</v>
      </c>
      <c r="B820" s="31" t="s">
        <v>754</v>
      </c>
      <c r="C820" s="15" t="s">
        <v>3</v>
      </c>
      <c r="D820" s="31" t="s">
        <v>500</v>
      </c>
      <c r="E820" s="31"/>
      <c r="F820" s="73" t="s">
        <v>11</v>
      </c>
      <c r="G820" s="32">
        <v>34029</v>
      </c>
      <c r="H820" s="29">
        <v>42864</v>
      </c>
      <c r="I820" s="17">
        <v>0</v>
      </c>
      <c r="J820" s="17">
        <f t="shared" si="135"/>
        <v>40720.800000000003</v>
      </c>
      <c r="K820" s="17">
        <f t="shared" si="129"/>
        <v>2143.1999999999971</v>
      </c>
      <c r="L820" s="23">
        <f t="shared" si="128"/>
        <v>2143.2000000000003</v>
      </c>
      <c r="M820" s="33">
        <v>25</v>
      </c>
      <c r="N820" s="18">
        <f t="shared" si="130"/>
        <v>27.106849315068494</v>
      </c>
      <c r="O820" s="23">
        <v>5936.55</v>
      </c>
      <c r="P820" s="18">
        <f t="shared" si="131"/>
        <v>28.106849315068494</v>
      </c>
      <c r="Q820" s="18">
        <f t="shared" si="127"/>
        <v>-1.2732925824820997E-13</v>
      </c>
      <c r="R820" s="18">
        <f t="shared" si="132"/>
        <v>5936.55</v>
      </c>
      <c r="S820" s="18">
        <f t="shared" si="134"/>
        <v>2143.2000000000003</v>
      </c>
    </row>
    <row r="821" spans="1:19" ht="15" customHeight="1" x14ac:dyDescent="0.2">
      <c r="A821" s="14">
        <f t="shared" si="133"/>
        <v>785</v>
      </c>
      <c r="B821" s="31" t="s">
        <v>755</v>
      </c>
      <c r="C821" s="15" t="s">
        <v>3</v>
      </c>
      <c r="D821" s="31" t="s">
        <v>500</v>
      </c>
      <c r="E821" s="31"/>
      <c r="F821" s="73" t="s">
        <v>11</v>
      </c>
      <c r="G821" s="32">
        <v>34069</v>
      </c>
      <c r="H821" s="29">
        <v>45325</v>
      </c>
      <c r="I821" s="17">
        <v>0</v>
      </c>
      <c r="J821" s="17">
        <f t="shared" si="135"/>
        <v>43058.75</v>
      </c>
      <c r="K821" s="17">
        <f t="shared" si="129"/>
        <v>2266.25</v>
      </c>
      <c r="L821" s="23">
        <f t="shared" si="128"/>
        <v>2266.25</v>
      </c>
      <c r="M821" s="33">
        <v>25</v>
      </c>
      <c r="N821" s="18">
        <f t="shared" si="130"/>
        <v>26.997260273972604</v>
      </c>
      <c r="O821" s="23">
        <v>13688.55</v>
      </c>
      <c r="P821" s="18">
        <f t="shared" si="131"/>
        <v>27.997260273972604</v>
      </c>
      <c r="Q821" s="18">
        <f t="shared" si="127"/>
        <v>0</v>
      </c>
      <c r="R821" s="18">
        <f t="shared" si="132"/>
        <v>13688.55</v>
      </c>
      <c r="S821" s="18">
        <f t="shared" si="134"/>
        <v>2266.25</v>
      </c>
    </row>
    <row r="822" spans="1:19" ht="15" customHeight="1" x14ac:dyDescent="0.2">
      <c r="A822" s="14">
        <f t="shared" si="133"/>
        <v>786</v>
      </c>
      <c r="B822" s="31" t="s">
        <v>756</v>
      </c>
      <c r="C822" s="15" t="s">
        <v>3</v>
      </c>
      <c r="D822" s="31" t="s">
        <v>500</v>
      </c>
      <c r="E822" s="31"/>
      <c r="F822" s="73" t="s">
        <v>4</v>
      </c>
      <c r="G822" s="32">
        <v>34069</v>
      </c>
      <c r="H822" s="29">
        <v>12616</v>
      </c>
      <c r="I822" s="17">
        <v>0</v>
      </c>
      <c r="J822" s="17">
        <f t="shared" si="135"/>
        <v>11985.2</v>
      </c>
      <c r="K822" s="17">
        <f t="shared" si="129"/>
        <v>630.79999999999927</v>
      </c>
      <c r="L822" s="23">
        <f t="shared" si="128"/>
        <v>630.80000000000007</v>
      </c>
      <c r="M822" s="33">
        <v>25</v>
      </c>
      <c r="N822" s="18">
        <f t="shared" si="130"/>
        <v>26.997260273972604</v>
      </c>
      <c r="O822" s="23">
        <v>13426.35</v>
      </c>
      <c r="P822" s="18">
        <f t="shared" si="131"/>
        <v>27.997260273972604</v>
      </c>
      <c r="Q822" s="18">
        <f t="shared" si="127"/>
        <v>-3.1832314562052491E-14</v>
      </c>
      <c r="R822" s="18">
        <f t="shared" si="132"/>
        <v>13426.35</v>
      </c>
      <c r="S822" s="18">
        <f t="shared" si="134"/>
        <v>630.80000000000007</v>
      </c>
    </row>
    <row r="823" spans="1:19" ht="15" customHeight="1" x14ac:dyDescent="0.2">
      <c r="A823" s="14">
        <f t="shared" si="133"/>
        <v>787</v>
      </c>
      <c r="B823" s="31" t="s">
        <v>757</v>
      </c>
      <c r="C823" s="15" t="s">
        <v>3</v>
      </c>
      <c r="D823" s="31" t="s">
        <v>500</v>
      </c>
      <c r="E823" s="31"/>
      <c r="F823" s="73" t="s">
        <v>13</v>
      </c>
      <c r="G823" s="32">
        <v>34079</v>
      </c>
      <c r="H823" s="29">
        <v>72376</v>
      </c>
      <c r="I823" s="17">
        <v>0</v>
      </c>
      <c r="J823" s="17">
        <f t="shared" si="135"/>
        <v>68757.2</v>
      </c>
      <c r="K823" s="17">
        <f t="shared" si="129"/>
        <v>3618.8000000000029</v>
      </c>
      <c r="L823" s="23">
        <f t="shared" si="128"/>
        <v>3618.8</v>
      </c>
      <c r="M823" s="33">
        <v>25</v>
      </c>
      <c r="N823" s="18">
        <f t="shared" si="130"/>
        <v>26.969863013698632</v>
      </c>
      <c r="O823" s="23">
        <v>13289.55</v>
      </c>
      <c r="P823" s="18">
        <f t="shared" si="131"/>
        <v>27.969863013698632</v>
      </c>
      <c r="Q823" s="18">
        <f t="shared" ref="Q823:Q886" si="136">(P823-N823)/M823*(K823-L823)</f>
        <v>1.0913936421275138E-13</v>
      </c>
      <c r="R823" s="18">
        <f t="shared" si="132"/>
        <v>13289.55</v>
      </c>
      <c r="S823" s="18">
        <f t="shared" si="134"/>
        <v>3618.8</v>
      </c>
    </row>
    <row r="824" spans="1:19" ht="15" customHeight="1" x14ac:dyDescent="0.2">
      <c r="A824" s="14">
        <f t="shared" si="133"/>
        <v>788</v>
      </c>
      <c r="B824" s="31" t="s">
        <v>758</v>
      </c>
      <c r="C824" s="15" t="s">
        <v>3</v>
      </c>
      <c r="D824" s="31" t="s">
        <v>500</v>
      </c>
      <c r="E824" s="31"/>
      <c r="F824" s="73" t="s">
        <v>11</v>
      </c>
      <c r="G824" s="32">
        <v>34284</v>
      </c>
      <c r="H824" s="29">
        <v>687646</v>
      </c>
      <c r="I824" s="17">
        <v>0</v>
      </c>
      <c r="J824" s="17">
        <f t="shared" si="135"/>
        <v>653263.69999999995</v>
      </c>
      <c r="K824" s="17">
        <f t="shared" si="129"/>
        <v>34382.300000000047</v>
      </c>
      <c r="L824" s="23">
        <f t="shared" ref="L824:L887" si="137">H824*0.05</f>
        <v>34382.300000000003</v>
      </c>
      <c r="M824" s="33">
        <v>25</v>
      </c>
      <c r="N824" s="18">
        <f t="shared" si="130"/>
        <v>26.408219178082192</v>
      </c>
      <c r="O824" s="23">
        <v>11742.95</v>
      </c>
      <c r="P824" s="18">
        <f t="shared" si="131"/>
        <v>27.408219178082192</v>
      </c>
      <c r="Q824" s="18">
        <f t="shared" si="136"/>
        <v>1.7462298274040222E-12</v>
      </c>
      <c r="R824" s="18">
        <f t="shared" si="132"/>
        <v>11742.950000000003</v>
      </c>
      <c r="S824" s="18">
        <f t="shared" si="134"/>
        <v>34382.300000000003</v>
      </c>
    </row>
    <row r="825" spans="1:19" ht="15" customHeight="1" x14ac:dyDescent="0.2">
      <c r="A825" s="14">
        <f t="shared" si="133"/>
        <v>789</v>
      </c>
      <c r="B825" s="31" t="s">
        <v>759</v>
      </c>
      <c r="C825" s="15" t="s">
        <v>3</v>
      </c>
      <c r="D825" s="31" t="s">
        <v>500</v>
      </c>
      <c r="E825" s="31"/>
      <c r="F825" s="73" t="s">
        <v>11</v>
      </c>
      <c r="G825" s="32">
        <v>34293</v>
      </c>
      <c r="H825" s="29">
        <v>20568</v>
      </c>
      <c r="I825" s="17">
        <v>0</v>
      </c>
      <c r="J825" s="17">
        <f t="shared" si="135"/>
        <v>19539.599999999999</v>
      </c>
      <c r="K825" s="17">
        <f t="shared" si="129"/>
        <v>1028.4000000000015</v>
      </c>
      <c r="L825" s="23">
        <f t="shared" si="137"/>
        <v>1028.4000000000001</v>
      </c>
      <c r="M825" s="33">
        <v>25</v>
      </c>
      <c r="N825" s="18">
        <f t="shared" si="130"/>
        <v>26.383561643835616</v>
      </c>
      <c r="O825" s="23">
        <v>11470.3</v>
      </c>
      <c r="P825" s="18">
        <f t="shared" si="131"/>
        <v>27.383561643835616</v>
      </c>
      <c r="Q825" s="18">
        <f t="shared" si="136"/>
        <v>5.4569682106375692E-14</v>
      </c>
      <c r="R825" s="18">
        <f t="shared" si="132"/>
        <v>11470.3</v>
      </c>
      <c r="S825" s="18">
        <f t="shared" si="134"/>
        <v>1028.4000000000001</v>
      </c>
    </row>
    <row r="826" spans="1:19" ht="15" customHeight="1" x14ac:dyDescent="0.2">
      <c r="A826" s="14">
        <f t="shared" si="133"/>
        <v>790</v>
      </c>
      <c r="B826" s="31" t="s">
        <v>760</v>
      </c>
      <c r="C826" s="15" t="s">
        <v>3</v>
      </c>
      <c r="D826" s="31" t="s">
        <v>500</v>
      </c>
      <c r="E826" s="31"/>
      <c r="F826" s="70" t="s">
        <v>7</v>
      </c>
      <c r="G826" s="32">
        <v>34294</v>
      </c>
      <c r="H826" s="29">
        <v>78248</v>
      </c>
      <c r="I826" s="17">
        <v>0</v>
      </c>
      <c r="J826" s="17">
        <f t="shared" si="135"/>
        <v>74335.600000000006</v>
      </c>
      <c r="K826" s="17">
        <f t="shared" si="129"/>
        <v>3912.3999999999942</v>
      </c>
      <c r="L826" s="23">
        <f t="shared" si="137"/>
        <v>3912.4</v>
      </c>
      <c r="M826" s="33">
        <v>15</v>
      </c>
      <c r="N826" s="18">
        <f t="shared" si="130"/>
        <v>26.38082191780822</v>
      </c>
      <c r="O826" s="23">
        <v>9555.1</v>
      </c>
      <c r="P826" s="18">
        <f t="shared" si="131"/>
        <v>27.38082191780822</v>
      </c>
      <c r="Q826" s="18">
        <f t="shared" si="136"/>
        <v>-3.9411437076826892E-13</v>
      </c>
      <c r="R826" s="18">
        <f t="shared" si="132"/>
        <v>9555.1</v>
      </c>
      <c r="S826" s="18">
        <f t="shared" si="134"/>
        <v>3912.4</v>
      </c>
    </row>
    <row r="827" spans="1:19" ht="15" customHeight="1" x14ac:dyDescent="0.2">
      <c r="A827" s="14">
        <f t="shared" si="133"/>
        <v>791</v>
      </c>
      <c r="B827" s="31" t="s">
        <v>750</v>
      </c>
      <c r="C827" s="15" t="s">
        <v>3</v>
      </c>
      <c r="D827" s="31" t="s">
        <v>500</v>
      </c>
      <c r="E827" s="31"/>
      <c r="F827" s="73" t="s">
        <v>13</v>
      </c>
      <c r="G827" s="32">
        <v>34294</v>
      </c>
      <c r="H827" s="29">
        <v>25156</v>
      </c>
      <c r="I827" s="17">
        <v>0</v>
      </c>
      <c r="J827" s="17">
        <f t="shared" si="135"/>
        <v>23898.2</v>
      </c>
      <c r="K827" s="17">
        <f t="shared" si="129"/>
        <v>1257.7999999999993</v>
      </c>
      <c r="L827" s="23">
        <f t="shared" si="137"/>
        <v>1257.8000000000002</v>
      </c>
      <c r="M827" s="33">
        <v>25</v>
      </c>
      <c r="N827" s="18">
        <f t="shared" si="130"/>
        <v>26.38082191780822</v>
      </c>
      <c r="O827" s="23">
        <v>8813.15</v>
      </c>
      <c r="P827" s="18">
        <f t="shared" si="131"/>
        <v>27.38082191780822</v>
      </c>
      <c r="Q827" s="18">
        <f t="shared" si="136"/>
        <v>-3.637978807091713E-14</v>
      </c>
      <c r="R827" s="18">
        <f t="shared" si="132"/>
        <v>8813.15</v>
      </c>
      <c r="S827" s="18">
        <f t="shared" si="134"/>
        <v>1257.8000000000002</v>
      </c>
    </row>
    <row r="828" spans="1:19" ht="15" customHeight="1" x14ac:dyDescent="0.2">
      <c r="A828" s="14">
        <f t="shared" si="133"/>
        <v>792</v>
      </c>
      <c r="B828" s="31" t="s">
        <v>761</v>
      </c>
      <c r="C828" s="15" t="s">
        <v>3</v>
      </c>
      <c r="D828" s="31" t="s">
        <v>500</v>
      </c>
      <c r="E828" s="31"/>
      <c r="F828" s="73" t="s">
        <v>11</v>
      </c>
      <c r="G828" s="32">
        <v>34295</v>
      </c>
      <c r="H828" s="29">
        <v>2495169</v>
      </c>
      <c r="I828" s="17">
        <v>0</v>
      </c>
      <c r="J828" s="17">
        <f t="shared" si="135"/>
        <v>2370410.5499999998</v>
      </c>
      <c r="K828" s="17">
        <f t="shared" si="129"/>
        <v>124758.45000000019</v>
      </c>
      <c r="L828" s="23">
        <f t="shared" si="137"/>
        <v>124758.45000000001</v>
      </c>
      <c r="M828" s="33">
        <v>25</v>
      </c>
      <c r="N828" s="18">
        <f t="shared" si="130"/>
        <v>26.378082191780823</v>
      </c>
      <c r="O828" s="23">
        <v>7399.55</v>
      </c>
      <c r="P828" s="18">
        <f t="shared" si="131"/>
        <v>27.378082191780823</v>
      </c>
      <c r="Q828" s="18">
        <f t="shared" si="136"/>
        <v>6.9849193096160886E-12</v>
      </c>
      <c r="R828" s="18">
        <f t="shared" si="132"/>
        <v>7399.5500000000075</v>
      </c>
      <c r="S828" s="18">
        <f t="shared" si="134"/>
        <v>124758.45000000001</v>
      </c>
    </row>
    <row r="829" spans="1:19" ht="15" customHeight="1" x14ac:dyDescent="0.2">
      <c r="A829" s="14">
        <f t="shared" si="133"/>
        <v>793</v>
      </c>
      <c r="B829" s="31" t="s">
        <v>762</v>
      </c>
      <c r="C829" s="15" t="s">
        <v>3</v>
      </c>
      <c r="D829" s="31" t="s">
        <v>500</v>
      </c>
      <c r="E829" s="31"/>
      <c r="F829" s="73" t="s">
        <v>8</v>
      </c>
      <c r="G829" s="32">
        <v>34295</v>
      </c>
      <c r="H829" s="29">
        <v>1388672</v>
      </c>
      <c r="I829" s="17">
        <v>0</v>
      </c>
      <c r="J829" s="17">
        <f t="shared" si="135"/>
        <v>1319238.3999999999</v>
      </c>
      <c r="K829" s="17">
        <f t="shared" si="129"/>
        <v>69433.600000000093</v>
      </c>
      <c r="L829" s="23">
        <f t="shared" si="137"/>
        <v>69433.600000000006</v>
      </c>
      <c r="M829" s="33">
        <v>25</v>
      </c>
      <c r="N829" s="18">
        <f t="shared" si="130"/>
        <v>26.378082191780823</v>
      </c>
      <c r="O829" s="23">
        <v>5072.05</v>
      </c>
      <c r="P829" s="18">
        <f t="shared" si="131"/>
        <v>27.378082191780823</v>
      </c>
      <c r="Q829" s="18">
        <f t="shared" si="136"/>
        <v>3.4924596548080443E-12</v>
      </c>
      <c r="R829" s="18">
        <f t="shared" si="132"/>
        <v>5072.0500000000038</v>
      </c>
      <c r="S829" s="18">
        <f t="shared" si="134"/>
        <v>69433.600000000006</v>
      </c>
    </row>
    <row r="830" spans="1:19" ht="15" customHeight="1" x14ac:dyDescent="0.2">
      <c r="A830" s="14">
        <f t="shared" si="133"/>
        <v>794</v>
      </c>
      <c r="B830" s="31" t="s">
        <v>763</v>
      </c>
      <c r="C830" s="15" t="s">
        <v>3</v>
      </c>
      <c r="D830" s="31" t="s">
        <v>500</v>
      </c>
      <c r="E830" s="31"/>
      <c r="F830" s="73" t="s">
        <v>13</v>
      </c>
      <c r="G830" s="32">
        <v>19360</v>
      </c>
      <c r="H830" s="29">
        <v>1523</v>
      </c>
      <c r="I830" s="17">
        <v>0</v>
      </c>
      <c r="J830" s="17">
        <f t="shared" si="135"/>
        <v>1446.85</v>
      </c>
      <c r="K830" s="17">
        <f t="shared" si="129"/>
        <v>76.150000000000091</v>
      </c>
      <c r="L830" s="23">
        <f t="shared" si="137"/>
        <v>76.150000000000006</v>
      </c>
      <c r="M830" s="33">
        <v>25</v>
      </c>
      <c r="N830" s="18">
        <f t="shared" si="130"/>
        <v>67.295890410958904</v>
      </c>
      <c r="O830" s="23">
        <v>220715.4</v>
      </c>
      <c r="P830" s="18">
        <f t="shared" si="131"/>
        <v>68.295890410958904</v>
      </c>
      <c r="Q830" s="18">
        <f t="shared" si="136"/>
        <v>3.4106051316484808E-15</v>
      </c>
      <c r="R830" s="18">
        <f t="shared" si="132"/>
        <v>220715.4</v>
      </c>
      <c r="S830" s="18">
        <f t="shared" si="134"/>
        <v>76.150000000000006</v>
      </c>
    </row>
    <row r="831" spans="1:19" ht="15" customHeight="1" x14ac:dyDescent="0.2">
      <c r="A831" s="14">
        <f t="shared" si="133"/>
        <v>795</v>
      </c>
      <c r="B831" s="31" t="s">
        <v>764</v>
      </c>
      <c r="C831" s="15" t="s">
        <v>3</v>
      </c>
      <c r="D831" s="31" t="s">
        <v>500</v>
      </c>
      <c r="E831" s="31"/>
      <c r="F831" s="73" t="s">
        <v>4</v>
      </c>
      <c r="G831" s="32">
        <v>19360</v>
      </c>
      <c r="H831" s="29">
        <v>1016</v>
      </c>
      <c r="I831" s="17">
        <v>0</v>
      </c>
      <c r="J831" s="17">
        <f t="shared" si="135"/>
        <v>965.2</v>
      </c>
      <c r="K831" s="17">
        <f t="shared" si="129"/>
        <v>50.799999999999955</v>
      </c>
      <c r="L831" s="23">
        <f t="shared" si="137"/>
        <v>50.800000000000004</v>
      </c>
      <c r="M831" s="33">
        <v>25</v>
      </c>
      <c r="N831" s="18">
        <f t="shared" si="130"/>
        <v>67.295890410958904</v>
      </c>
      <c r="O831" s="23">
        <v>543.4</v>
      </c>
      <c r="P831" s="18">
        <f t="shared" si="131"/>
        <v>68.295890410958904</v>
      </c>
      <c r="Q831" s="18">
        <f t="shared" si="136"/>
        <v>-1.9895196601282807E-15</v>
      </c>
      <c r="R831" s="18">
        <f t="shared" si="132"/>
        <v>543.4</v>
      </c>
      <c r="S831" s="18">
        <f t="shared" si="134"/>
        <v>50.800000000000004</v>
      </c>
    </row>
    <row r="832" spans="1:19" ht="15" customHeight="1" x14ac:dyDescent="0.2">
      <c r="A832" s="14">
        <f t="shared" si="133"/>
        <v>796</v>
      </c>
      <c r="B832" s="31" t="s">
        <v>765</v>
      </c>
      <c r="C832" s="15" t="s">
        <v>3</v>
      </c>
      <c r="D832" s="31" t="s">
        <v>500</v>
      </c>
      <c r="E832" s="31"/>
      <c r="F832" s="73" t="s">
        <v>4</v>
      </c>
      <c r="G832" s="32">
        <v>23012</v>
      </c>
      <c r="H832" s="29">
        <v>12957</v>
      </c>
      <c r="I832" s="17">
        <v>0</v>
      </c>
      <c r="J832" s="17">
        <f t="shared" si="135"/>
        <v>12309.15</v>
      </c>
      <c r="K832" s="17">
        <f t="shared" si="129"/>
        <v>647.85000000000036</v>
      </c>
      <c r="L832" s="23">
        <f t="shared" si="137"/>
        <v>647.85</v>
      </c>
      <c r="M832" s="33">
        <v>15</v>
      </c>
      <c r="N832" s="18">
        <f t="shared" si="130"/>
        <v>57.290410958904111</v>
      </c>
      <c r="O832" s="23">
        <v>48845.2</v>
      </c>
      <c r="P832" s="18">
        <f t="shared" si="131"/>
        <v>58.290410958904111</v>
      </c>
      <c r="Q832" s="18">
        <f t="shared" si="136"/>
        <v>2.2737367544323207E-14</v>
      </c>
      <c r="R832" s="18">
        <f t="shared" si="132"/>
        <v>48845.2</v>
      </c>
      <c r="S832" s="18">
        <f t="shared" si="134"/>
        <v>647.85</v>
      </c>
    </row>
    <row r="833" spans="1:19" ht="15" customHeight="1" x14ac:dyDescent="0.2">
      <c r="A833" s="14">
        <f t="shared" si="133"/>
        <v>797</v>
      </c>
      <c r="B833" s="31" t="s">
        <v>766</v>
      </c>
      <c r="C833" s="15" t="s">
        <v>3</v>
      </c>
      <c r="D833" s="31" t="s">
        <v>500</v>
      </c>
      <c r="E833" s="31"/>
      <c r="F833" s="70" t="s">
        <v>7</v>
      </c>
      <c r="G833" s="32">
        <v>34644</v>
      </c>
      <c r="H833" s="29">
        <v>81442</v>
      </c>
      <c r="I833" s="17">
        <v>0</v>
      </c>
      <c r="J833" s="17">
        <f t="shared" si="135"/>
        <v>77369.899999999994</v>
      </c>
      <c r="K833" s="17">
        <f t="shared" si="129"/>
        <v>4072.1000000000058</v>
      </c>
      <c r="L833" s="23">
        <f t="shared" si="137"/>
        <v>4072.1000000000004</v>
      </c>
      <c r="M833" s="33">
        <v>15</v>
      </c>
      <c r="N833" s="18">
        <f t="shared" si="130"/>
        <v>25.421917808219177</v>
      </c>
      <c r="O833" s="23">
        <v>33820.949999999997</v>
      </c>
      <c r="P833" s="18">
        <f t="shared" si="131"/>
        <v>26.421917808219177</v>
      </c>
      <c r="Q833" s="18">
        <f t="shared" si="136"/>
        <v>3.6379788070917132E-13</v>
      </c>
      <c r="R833" s="18">
        <f t="shared" si="132"/>
        <v>33820.949999999997</v>
      </c>
      <c r="S833" s="18">
        <f t="shared" si="134"/>
        <v>4072.1000000000004</v>
      </c>
    </row>
    <row r="834" spans="1:19" ht="15" customHeight="1" x14ac:dyDescent="0.2">
      <c r="A834" s="14">
        <f t="shared" si="133"/>
        <v>798</v>
      </c>
      <c r="B834" s="31" t="s">
        <v>767</v>
      </c>
      <c r="C834" s="15" t="s">
        <v>3</v>
      </c>
      <c r="D834" s="31" t="s">
        <v>500</v>
      </c>
      <c r="E834" s="31"/>
      <c r="F834" s="73" t="s">
        <v>4</v>
      </c>
      <c r="G834" s="32">
        <v>23012</v>
      </c>
      <c r="H834" s="29">
        <v>6173</v>
      </c>
      <c r="I834" s="17">
        <v>0</v>
      </c>
      <c r="J834" s="17">
        <f t="shared" si="135"/>
        <v>5864.35</v>
      </c>
      <c r="K834" s="17">
        <f t="shared" si="129"/>
        <v>308.64999999999964</v>
      </c>
      <c r="L834" s="23">
        <f t="shared" si="137"/>
        <v>308.65000000000003</v>
      </c>
      <c r="M834" s="33">
        <v>15</v>
      </c>
      <c r="N834" s="18">
        <f t="shared" si="130"/>
        <v>57.290410958904111</v>
      </c>
      <c r="O834" s="23">
        <v>3289.85</v>
      </c>
      <c r="P834" s="18">
        <f t="shared" si="131"/>
        <v>58.290410958904111</v>
      </c>
      <c r="Q834" s="18">
        <f t="shared" si="136"/>
        <v>-2.6526928801710407E-14</v>
      </c>
      <c r="R834" s="18">
        <f t="shared" si="132"/>
        <v>3289.85</v>
      </c>
      <c r="S834" s="18">
        <f t="shared" si="134"/>
        <v>308.65000000000003</v>
      </c>
    </row>
    <row r="835" spans="1:19" ht="15" customHeight="1" x14ac:dyDescent="0.2">
      <c r="A835" s="14">
        <f t="shared" si="133"/>
        <v>799</v>
      </c>
      <c r="B835" s="31" t="s">
        <v>768</v>
      </c>
      <c r="C835" s="15" t="s">
        <v>3</v>
      </c>
      <c r="D835" s="31" t="s">
        <v>500</v>
      </c>
      <c r="E835" s="31"/>
      <c r="F835" s="70" t="s">
        <v>7</v>
      </c>
      <c r="G835" s="32">
        <v>34663</v>
      </c>
      <c r="H835" s="29">
        <v>81442</v>
      </c>
      <c r="I835" s="17">
        <v>0</v>
      </c>
      <c r="J835" s="17">
        <f t="shared" si="135"/>
        <v>77369.899999999994</v>
      </c>
      <c r="K835" s="17">
        <f t="shared" si="129"/>
        <v>4072.1000000000058</v>
      </c>
      <c r="L835" s="23">
        <f t="shared" si="137"/>
        <v>4072.1000000000004</v>
      </c>
      <c r="M835" s="33">
        <v>15</v>
      </c>
      <c r="N835" s="18">
        <f t="shared" si="130"/>
        <v>25.36986301369863</v>
      </c>
      <c r="O835" s="23">
        <v>1729.95</v>
      </c>
      <c r="P835" s="18">
        <f t="shared" si="131"/>
        <v>26.36986301369863</v>
      </c>
      <c r="Q835" s="18">
        <f t="shared" si="136"/>
        <v>3.6379788070917132E-13</v>
      </c>
      <c r="R835" s="18">
        <f t="shared" si="132"/>
        <v>1729.9500000000005</v>
      </c>
      <c r="S835" s="18">
        <f t="shared" si="134"/>
        <v>4072.1000000000004</v>
      </c>
    </row>
    <row r="836" spans="1:19" ht="15" customHeight="1" x14ac:dyDescent="0.2">
      <c r="A836" s="14">
        <f t="shared" si="133"/>
        <v>800</v>
      </c>
      <c r="B836" s="31" t="s">
        <v>673</v>
      </c>
      <c r="C836" s="15" t="s">
        <v>3</v>
      </c>
      <c r="D836" s="31" t="s">
        <v>500</v>
      </c>
      <c r="E836" s="31"/>
      <c r="F836" s="70" t="s">
        <v>7</v>
      </c>
      <c r="G836" s="32">
        <v>36922</v>
      </c>
      <c r="H836" s="29">
        <v>220670</v>
      </c>
      <c r="I836" s="17">
        <v>0</v>
      </c>
      <c r="J836" s="17">
        <f t="shared" si="135"/>
        <v>209636.5</v>
      </c>
      <c r="K836" s="17">
        <f t="shared" si="129"/>
        <v>11033.5</v>
      </c>
      <c r="L836" s="23">
        <f t="shared" si="137"/>
        <v>11033.5</v>
      </c>
      <c r="M836" s="33">
        <v>15</v>
      </c>
      <c r="N836" s="18">
        <f t="shared" si="130"/>
        <v>19.18082191780822</v>
      </c>
      <c r="O836" s="23">
        <v>354.35</v>
      </c>
      <c r="P836" s="18">
        <f t="shared" si="131"/>
        <v>20.18082191780822</v>
      </c>
      <c r="Q836" s="18">
        <f t="shared" si="136"/>
        <v>0</v>
      </c>
      <c r="R836" s="18">
        <f t="shared" si="132"/>
        <v>354.35</v>
      </c>
      <c r="S836" s="18">
        <f t="shared" si="134"/>
        <v>11033.5</v>
      </c>
    </row>
    <row r="837" spans="1:19" ht="15" customHeight="1" x14ac:dyDescent="0.2">
      <c r="A837" s="14">
        <f t="shared" si="133"/>
        <v>801</v>
      </c>
      <c r="B837" s="31" t="s">
        <v>769</v>
      </c>
      <c r="C837" s="15" t="s">
        <v>3</v>
      </c>
      <c r="D837" s="31" t="s">
        <v>500</v>
      </c>
      <c r="E837" s="31"/>
      <c r="F837" s="70" t="s">
        <v>7</v>
      </c>
      <c r="G837" s="32">
        <v>34295</v>
      </c>
      <c r="H837" s="29">
        <v>962898</v>
      </c>
      <c r="I837" s="17">
        <v>0</v>
      </c>
      <c r="J837" s="17">
        <f t="shared" si="135"/>
        <v>914753.1</v>
      </c>
      <c r="K837" s="17">
        <f t="shared" si="129"/>
        <v>48144.900000000023</v>
      </c>
      <c r="L837" s="23">
        <f t="shared" si="137"/>
        <v>48144.9</v>
      </c>
      <c r="M837" s="33">
        <v>25</v>
      </c>
      <c r="N837" s="18">
        <f t="shared" si="130"/>
        <v>26.378082191780823</v>
      </c>
      <c r="O837" s="23">
        <v>27760.9</v>
      </c>
      <c r="P837" s="18">
        <f t="shared" si="131"/>
        <v>27.378082191780823</v>
      </c>
      <c r="Q837" s="18">
        <f t="shared" si="136"/>
        <v>8.7311491370201108E-13</v>
      </c>
      <c r="R837" s="18">
        <f t="shared" si="132"/>
        <v>27760.9</v>
      </c>
      <c r="S837" s="18">
        <f t="shared" si="134"/>
        <v>48144.9</v>
      </c>
    </row>
    <row r="838" spans="1:19" ht="15" customHeight="1" x14ac:dyDescent="0.2">
      <c r="A838" s="14">
        <f t="shared" si="133"/>
        <v>802</v>
      </c>
      <c r="B838" s="31" t="s">
        <v>770</v>
      </c>
      <c r="C838" s="15" t="s">
        <v>3</v>
      </c>
      <c r="D838" s="31" t="s">
        <v>500</v>
      </c>
      <c r="E838" s="31"/>
      <c r="F838" s="73" t="s">
        <v>15</v>
      </c>
      <c r="G838" s="32">
        <v>34295</v>
      </c>
      <c r="H838" s="29">
        <v>924490</v>
      </c>
      <c r="I838" s="17">
        <v>0</v>
      </c>
      <c r="J838" s="17">
        <f t="shared" si="135"/>
        <v>878265.5</v>
      </c>
      <c r="K838" s="17">
        <f t="shared" si="129"/>
        <v>46224.5</v>
      </c>
      <c r="L838" s="23">
        <f t="shared" si="137"/>
        <v>46224.5</v>
      </c>
      <c r="M838" s="33">
        <v>25</v>
      </c>
      <c r="N838" s="18">
        <f t="shared" si="130"/>
        <v>26.378082191780823</v>
      </c>
      <c r="O838" s="23">
        <v>2612.5</v>
      </c>
      <c r="P838" s="18">
        <f t="shared" si="131"/>
        <v>27.378082191780823</v>
      </c>
      <c r="Q838" s="18">
        <f t="shared" si="136"/>
        <v>0</v>
      </c>
      <c r="R838" s="18">
        <f t="shared" si="132"/>
        <v>2612.5</v>
      </c>
      <c r="S838" s="18">
        <f t="shared" si="134"/>
        <v>46224.5</v>
      </c>
    </row>
    <row r="839" spans="1:19" ht="15" customHeight="1" x14ac:dyDescent="0.2">
      <c r="A839" s="14">
        <f t="shared" si="133"/>
        <v>803</v>
      </c>
      <c r="B839" s="31" t="s">
        <v>771</v>
      </c>
      <c r="C839" s="15" t="s">
        <v>3</v>
      </c>
      <c r="D839" s="31" t="s">
        <v>500</v>
      </c>
      <c r="E839" s="31"/>
      <c r="F839" s="73" t="s">
        <v>8</v>
      </c>
      <c r="G839" s="32">
        <v>34295</v>
      </c>
      <c r="H839" s="29">
        <v>395969</v>
      </c>
      <c r="I839" s="17">
        <v>0</v>
      </c>
      <c r="J839" s="17">
        <f t="shared" si="135"/>
        <v>376170.55</v>
      </c>
      <c r="K839" s="17">
        <f t="shared" si="129"/>
        <v>19798.450000000012</v>
      </c>
      <c r="L839" s="23">
        <f t="shared" si="137"/>
        <v>19798.45</v>
      </c>
      <c r="M839" s="33">
        <v>25</v>
      </c>
      <c r="N839" s="18">
        <f t="shared" si="130"/>
        <v>26.378082191780823</v>
      </c>
      <c r="O839" s="23">
        <v>2299</v>
      </c>
      <c r="P839" s="18">
        <f t="shared" si="131"/>
        <v>27.378082191780823</v>
      </c>
      <c r="Q839" s="18">
        <f t="shared" si="136"/>
        <v>4.3655745685100554E-13</v>
      </c>
      <c r="R839" s="18">
        <f t="shared" si="132"/>
        <v>2299.0000000000005</v>
      </c>
      <c r="S839" s="18">
        <f t="shared" si="134"/>
        <v>19798.45</v>
      </c>
    </row>
    <row r="840" spans="1:19" ht="15" customHeight="1" x14ac:dyDescent="0.2">
      <c r="A840" s="14">
        <f t="shared" si="133"/>
        <v>804</v>
      </c>
      <c r="B840" s="31" t="s">
        <v>772</v>
      </c>
      <c r="C840" s="15" t="s">
        <v>3</v>
      </c>
      <c r="D840" s="31" t="s">
        <v>500</v>
      </c>
      <c r="E840" s="31"/>
      <c r="F840" s="73" t="s">
        <v>11</v>
      </c>
      <c r="G840" s="32">
        <v>34295</v>
      </c>
      <c r="H840" s="29">
        <v>259820</v>
      </c>
      <c r="I840" s="17">
        <v>0</v>
      </c>
      <c r="J840" s="17">
        <f t="shared" si="135"/>
        <v>246829</v>
      </c>
      <c r="K840" s="17">
        <f t="shared" si="129"/>
        <v>12991</v>
      </c>
      <c r="L840" s="23">
        <f t="shared" si="137"/>
        <v>12991</v>
      </c>
      <c r="M840" s="33">
        <v>25</v>
      </c>
      <c r="N840" s="18">
        <f t="shared" si="130"/>
        <v>26.378082191780823</v>
      </c>
      <c r="O840" s="23">
        <v>1747.05</v>
      </c>
      <c r="P840" s="18">
        <f t="shared" si="131"/>
        <v>27.378082191780823</v>
      </c>
      <c r="Q840" s="18">
        <f t="shared" si="136"/>
        <v>0</v>
      </c>
      <c r="R840" s="18">
        <f t="shared" si="132"/>
        <v>1747.05</v>
      </c>
      <c r="S840" s="18">
        <f t="shared" si="134"/>
        <v>12991</v>
      </c>
    </row>
    <row r="841" spans="1:19" ht="15" customHeight="1" x14ac:dyDescent="0.2">
      <c r="A841" s="14">
        <f t="shared" si="133"/>
        <v>805</v>
      </c>
      <c r="B841" s="31" t="s">
        <v>773</v>
      </c>
      <c r="C841" s="15" t="s">
        <v>3</v>
      </c>
      <c r="D841" s="31" t="s">
        <v>500</v>
      </c>
      <c r="E841" s="31"/>
      <c r="F841" s="73" t="s">
        <v>8</v>
      </c>
      <c r="G841" s="32">
        <v>34295</v>
      </c>
      <c r="H841" s="29">
        <v>229027</v>
      </c>
      <c r="I841" s="17">
        <v>0</v>
      </c>
      <c r="J841" s="17">
        <f t="shared" si="135"/>
        <v>217575.65</v>
      </c>
      <c r="K841" s="17">
        <f t="shared" si="129"/>
        <v>11451.350000000006</v>
      </c>
      <c r="L841" s="23">
        <f t="shared" si="137"/>
        <v>11451.35</v>
      </c>
      <c r="M841" s="33">
        <v>25</v>
      </c>
      <c r="N841" s="18">
        <f t="shared" si="130"/>
        <v>26.378082191780823</v>
      </c>
      <c r="O841" s="23">
        <v>805.6</v>
      </c>
      <c r="P841" s="18">
        <f t="shared" si="131"/>
        <v>27.378082191780823</v>
      </c>
      <c r="Q841" s="18">
        <f t="shared" si="136"/>
        <v>2.1827872842550277E-13</v>
      </c>
      <c r="R841" s="18">
        <f t="shared" si="132"/>
        <v>805.60000000000025</v>
      </c>
      <c r="S841" s="18">
        <f t="shared" si="134"/>
        <v>11451.35</v>
      </c>
    </row>
    <row r="842" spans="1:19" ht="15" customHeight="1" x14ac:dyDescent="0.2">
      <c r="A842" s="14">
        <f t="shared" si="133"/>
        <v>806</v>
      </c>
      <c r="B842" s="31" t="s">
        <v>774</v>
      </c>
      <c r="C842" s="15" t="s">
        <v>3</v>
      </c>
      <c r="D842" s="31" t="s">
        <v>500</v>
      </c>
      <c r="E842" s="31"/>
      <c r="F842" s="73" t="s">
        <v>11</v>
      </c>
      <c r="G842" s="32">
        <v>34296</v>
      </c>
      <c r="H842" s="29">
        <v>1212914</v>
      </c>
      <c r="I842" s="17">
        <v>0</v>
      </c>
      <c r="J842" s="17">
        <f t="shared" si="135"/>
        <v>1152268.3</v>
      </c>
      <c r="K842" s="17">
        <f t="shared" si="129"/>
        <v>60645.699999999953</v>
      </c>
      <c r="L842" s="23">
        <f t="shared" si="137"/>
        <v>60645.700000000004</v>
      </c>
      <c r="M842" s="33">
        <v>25</v>
      </c>
      <c r="N842" s="18">
        <f t="shared" si="130"/>
        <v>26.375342465753423</v>
      </c>
      <c r="O842" s="23">
        <v>494</v>
      </c>
      <c r="P842" s="18">
        <f t="shared" si="131"/>
        <v>27.375342465753423</v>
      </c>
      <c r="Q842" s="18">
        <f t="shared" si="136"/>
        <v>-2.0372681319713594E-12</v>
      </c>
      <c r="R842" s="18">
        <f t="shared" si="132"/>
        <v>493.99999999999795</v>
      </c>
      <c r="S842" s="18">
        <f t="shared" si="134"/>
        <v>60645.700000000004</v>
      </c>
    </row>
    <row r="843" spans="1:19" ht="15" customHeight="1" x14ac:dyDescent="0.2">
      <c r="A843" s="14">
        <f t="shared" si="133"/>
        <v>807</v>
      </c>
      <c r="B843" s="31" t="s">
        <v>775</v>
      </c>
      <c r="C843" s="15" t="s">
        <v>3</v>
      </c>
      <c r="D843" s="31" t="s">
        <v>500</v>
      </c>
      <c r="E843" s="31"/>
      <c r="F843" s="73" t="s">
        <v>8</v>
      </c>
      <c r="G843" s="32">
        <v>34296</v>
      </c>
      <c r="H843" s="29">
        <v>496831</v>
      </c>
      <c r="I843" s="17">
        <v>0</v>
      </c>
      <c r="J843" s="17">
        <f t="shared" si="135"/>
        <v>471989.45</v>
      </c>
      <c r="K843" s="17">
        <f t="shared" si="129"/>
        <v>24841.549999999988</v>
      </c>
      <c r="L843" s="23">
        <f t="shared" si="137"/>
        <v>24841.550000000003</v>
      </c>
      <c r="M843" s="33">
        <v>25</v>
      </c>
      <c r="N843" s="18">
        <f t="shared" si="130"/>
        <v>26.375342465753423</v>
      </c>
      <c r="O843" s="23">
        <v>381.9</v>
      </c>
      <c r="P843" s="18">
        <f t="shared" si="131"/>
        <v>27.375342465753423</v>
      </c>
      <c r="Q843" s="18">
        <f t="shared" si="136"/>
        <v>-5.8207660913467408E-13</v>
      </c>
      <c r="R843" s="18">
        <f t="shared" si="132"/>
        <v>381.89999999999941</v>
      </c>
      <c r="S843" s="18">
        <f t="shared" si="134"/>
        <v>24841.550000000003</v>
      </c>
    </row>
    <row r="844" spans="1:19" ht="15" customHeight="1" x14ac:dyDescent="0.2">
      <c r="A844" s="14">
        <f t="shared" si="133"/>
        <v>808</v>
      </c>
      <c r="B844" s="31" t="s">
        <v>776</v>
      </c>
      <c r="C844" s="15" t="s">
        <v>3</v>
      </c>
      <c r="D844" s="31" t="s">
        <v>500</v>
      </c>
      <c r="E844" s="31"/>
      <c r="F844" s="70" t="s">
        <v>7</v>
      </c>
      <c r="G844" s="32">
        <v>35020</v>
      </c>
      <c r="H844" s="29">
        <v>89180</v>
      </c>
      <c r="I844" s="17">
        <v>0</v>
      </c>
      <c r="J844" s="17">
        <f t="shared" si="135"/>
        <v>84721</v>
      </c>
      <c r="K844" s="17">
        <f t="shared" si="129"/>
        <v>4459</v>
      </c>
      <c r="L844" s="23">
        <f t="shared" si="137"/>
        <v>4459</v>
      </c>
      <c r="M844" s="33">
        <v>15</v>
      </c>
      <c r="N844" s="18">
        <f t="shared" si="130"/>
        <v>24.391780821917809</v>
      </c>
      <c r="O844" s="23">
        <v>27634.55</v>
      </c>
      <c r="P844" s="18">
        <f t="shared" si="131"/>
        <v>25.391780821917809</v>
      </c>
      <c r="Q844" s="18">
        <f t="shared" si="136"/>
        <v>0</v>
      </c>
      <c r="R844" s="18">
        <f t="shared" si="132"/>
        <v>27634.55</v>
      </c>
      <c r="S844" s="18">
        <f t="shared" si="134"/>
        <v>4459</v>
      </c>
    </row>
    <row r="845" spans="1:19" ht="15" customHeight="1" x14ac:dyDescent="0.2">
      <c r="A845" s="14">
        <f t="shared" si="133"/>
        <v>809</v>
      </c>
      <c r="B845" s="31" t="s">
        <v>777</v>
      </c>
      <c r="C845" s="15" t="s">
        <v>3</v>
      </c>
      <c r="D845" s="31" t="s">
        <v>500</v>
      </c>
      <c r="E845" s="31"/>
      <c r="F845" s="73" t="s">
        <v>8</v>
      </c>
      <c r="G845" s="32">
        <v>34296</v>
      </c>
      <c r="H845" s="29">
        <v>364911</v>
      </c>
      <c r="I845" s="17">
        <v>0</v>
      </c>
      <c r="J845" s="17">
        <f t="shared" si="135"/>
        <v>346665.45</v>
      </c>
      <c r="K845" s="17">
        <f t="shared" si="129"/>
        <v>18245.549999999988</v>
      </c>
      <c r="L845" s="23">
        <f t="shared" si="137"/>
        <v>18245.55</v>
      </c>
      <c r="M845" s="33">
        <v>25</v>
      </c>
      <c r="N845" s="18">
        <f t="shared" si="130"/>
        <v>26.375342465753423</v>
      </c>
      <c r="O845" s="23">
        <v>17051.55</v>
      </c>
      <c r="P845" s="18">
        <f t="shared" si="131"/>
        <v>27.375342465753423</v>
      </c>
      <c r="Q845" s="18">
        <f t="shared" si="136"/>
        <v>-4.3655745685100554E-13</v>
      </c>
      <c r="R845" s="18">
        <f t="shared" si="132"/>
        <v>17051.55</v>
      </c>
      <c r="S845" s="18">
        <f t="shared" si="134"/>
        <v>18245.55</v>
      </c>
    </row>
    <row r="846" spans="1:19" ht="15" customHeight="1" x14ac:dyDescent="0.2">
      <c r="A846" s="14">
        <f t="shared" si="133"/>
        <v>810</v>
      </c>
      <c r="B846" s="31" t="s">
        <v>778</v>
      </c>
      <c r="C846" s="15" t="s">
        <v>3</v>
      </c>
      <c r="D846" s="31" t="s">
        <v>500</v>
      </c>
      <c r="E846" s="31"/>
      <c r="F846" s="73" t="s">
        <v>4</v>
      </c>
      <c r="G846" s="32">
        <v>34298</v>
      </c>
      <c r="H846" s="29">
        <v>900554</v>
      </c>
      <c r="I846" s="17">
        <v>0</v>
      </c>
      <c r="J846" s="17">
        <f t="shared" si="135"/>
        <v>855526.3</v>
      </c>
      <c r="K846" s="17">
        <f t="shared" si="129"/>
        <v>45027.699999999953</v>
      </c>
      <c r="L846" s="23">
        <f t="shared" si="137"/>
        <v>45027.700000000004</v>
      </c>
      <c r="M846" s="33">
        <v>25</v>
      </c>
      <c r="N846" s="18">
        <f t="shared" si="130"/>
        <v>26.36986301369863</v>
      </c>
      <c r="O846" s="23">
        <v>5180.3500000000004</v>
      </c>
      <c r="P846" s="18">
        <f t="shared" si="131"/>
        <v>27.36986301369863</v>
      </c>
      <c r="Q846" s="18">
        <f t="shared" si="136"/>
        <v>-2.0372681319713594E-12</v>
      </c>
      <c r="R846" s="18">
        <f t="shared" si="132"/>
        <v>5180.3499999999985</v>
      </c>
      <c r="S846" s="18">
        <f t="shared" si="134"/>
        <v>45027.700000000004</v>
      </c>
    </row>
    <row r="847" spans="1:19" ht="15" customHeight="1" x14ac:dyDescent="0.2">
      <c r="A847" s="14">
        <f t="shared" si="133"/>
        <v>811</v>
      </c>
      <c r="B847" s="31" t="s">
        <v>779</v>
      </c>
      <c r="C847" s="15" t="s">
        <v>3</v>
      </c>
      <c r="D847" s="31" t="s">
        <v>500</v>
      </c>
      <c r="E847" s="31"/>
      <c r="F847" s="73" t="s">
        <v>4</v>
      </c>
      <c r="G847" s="32">
        <v>34301</v>
      </c>
      <c r="H847" s="29">
        <v>4988</v>
      </c>
      <c r="I847" s="17">
        <v>0</v>
      </c>
      <c r="J847" s="17">
        <f t="shared" si="135"/>
        <v>4738.6000000000004</v>
      </c>
      <c r="K847" s="17">
        <f t="shared" si="129"/>
        <v>249.39999999999964</v>
      </c>
      <c r="L847" s="23">
        <f t="shared" si="137"/>
        <v>249.4</v>
      </c>
      <c r="M847" s="33">
        <v>25</v>
      </c>
      <c r="N847" s="18">
        <f t="shared" si="130"/>
        <v>26.361643835616437</v>
      </c>
      <c r="O847" s="23">
        <v>1927.55</v>
      </c>
      <c r="P847" s="18">
        <f t="shared" si="131"/>
        <v>27.361643835616437</v>
      </c>
      <c r="Q847" s="18">
        <f t="shared" si="136"/>
        <v>-1.4779288903810084E-14</v>
      </c>
      <c r="R847" s="18">
        <f t="shared" si="132"/>
        <v>1927.55</v>
      </c>
      <c r="S847" s="18">
        <f t="shared" si="134"/>
        <v>249.4</v>
      </c>
    </row>
    <row r="848" spans="1:19" ht="15" customHeight="1" x14ac:dyDescent="0.2">
      <c r="A848" s="14">
        <f t="shared" si="133"/>
        <v>812</v>
      </c>
      <c r="B848" s="31" t="s">
        <v>780</v>
      </c>
      <c r="C848" s="15" t="s">
        <v>3</v>
      </c>
      <c r="D848" s="31" t="s">
        <v>500</v>
      </c>
      <c r="E848" s="31"/>
      <c r="F848" s="73" t="s">
        <v>8</v>
      </c>
      <c r="G848" s="32">
        <v>19725</v>
      </c>
      <c r="H848" s="29">
        <v>22655</v>
      </c>
      <c r="I848" s="17">
        <v>0</v>
      </c>
      <c r="J848" s="17">
        <f t="shared" si="135"/>
        <v>21522.25</v>
      </c>
      <c r="K848" s="17">
        <f t="shared" si="129"/>
        <v>1132.75</v>
      </c>
      <c r="L848" s="23">
        <f t="shared" si="137"/>
        <v>1132.75</v>
      </c>
      <c r="M848" s="33">
        <v>25</v>
      </c>
      <c r="N848" s="18">
        <f t="shared" si="130"/>
        <v>66.295890410958904</v>
      </c>
      <c r="O848" s="23">
        <v>1082.05</v>
      </c>
      <c r="P848" s="18">
        <f t="shared" si="131"/>
        <v>67.295890410958904</v>
      </c>
      <c r="Q848" s="18">
        <f t="shared" si="136"/>
        <v>0</v>
      </c>
      <c r="R848" s="18">
        <f t="shared" si="132"/>
        <v>1082.05</v>
      </c>
      <c r="S848" s="18">
        <f t="shared" si="134"/>
        <v>1132.75</v>
      </c>
    </row>
    <row r="849" spans="1:19" ht="15" customHeight="1" x14ac:dyDescent="0.2">
      <c r="A849" s="14">
        <f t="shared" si="133"/>
        <v>813</v>
      </c>
      <c r="B849" s="31" t="s">
        <v>781</v>
      </c>
      <c r="C849" s="15" t="s">
        <v>3</v>
      </c>
      <c r="D849" s="31" t="s">
        <v>500</v>
      </c>
      <c r="E849" s="31"/>
      <c r="F849" s="70" t="s">
        <v>7</v>
      </c>
      <c r="G849" s="32">
        <v>39859</v>
      </c>
      <c r="H849" s="29">
        <v>8437.5</v>
      </c>
      <c r="I849" s="17">
        <v>0</v>
      </c>
      <c r="J849" s="17">
        <v>3810.8989726027398</v>
      </c>
      <c r="K849" s="17">
        <f t="shared" si="129"/>
        <v>4626.6010273972606</v>
      </c>
      <c r="L849" s="23">
        <f t="shared" si="137"/>
        <v>421.875</v>
      </c>
      <c r="M849" s="33">
        <v>15</v>
      </c>
      <c r="N849" s="18">
        <f t="shared" si="130"/>
        <v>11.134246575342466</v>
      </c>
      <c r="O849" s="23">
        <v>193.8</v>
      </c>
      <c r="P849" s="18">
        <f t="shared" si="131"/>
        <v>12.134246575342466</v>
      </c>
      <c r="Q849" s="18">
        <f t="shared" si="136"/>
        <v>280.3150684931507</v>
      </c>
      <c r="R849" s="18">
        <f t="shared" si="132"/>
        <v>474.11506849315072</v>
      </c>
      <c r="S849" s="18">
        <f t="shared" si="134"/>
        <v>421.875</v>
      </c>
    </row>
    <row r="850" spans="1:19" ht="15" customHeight="1" x14ac:dyDescent="0.2">
      <c r="A850" s="14">
        <f t="shared" si="133"/>
        <v>814</v>
      </c>
      <c r="B850" s="31" t="s">
        <v>782</v>
      </c>
      <c r="C850" s="15" t="s">
        <v>3</v>
      </c>
      <c r="D850" s="31" t="s">
        <v>500</v>
      </c>
      <c r="E850" s="31"/>
      <c r="F850" s="73" t="s">
        <v>8</v>
      </c>
      <c r="G850" s="32">
        <v>19725</v>
      </c>
      <c r="H850" s="29">
        <v>9689</v>
      </c>
      <c r="I850" s="17">
        <v>0</v>
      </c>
      <c r="J850" s="17">
        <f t="shared" si="135"/>
        <v>9204.5499999999993</v>
      </c>
      <c r="K850" s="17">
        <f t="shared" si="129"/>
        <v>484.45000000000073</v>
      </c>
      <c r="L850" s="23">
        <f t="shared" si="137"/>
        <v>484.45000000000005</v>
      </c>
      <c r="M850" s="33">
        <v>25</v>
      </c>
      <c r="N850" s="18">
        <f t="shared" si="130"/>
        <v>66.295890410958904</v>
      </c>
      <c r="O850" s="23">
        <v>56022.45</v>
      </c>
      <c r="P850" s="18">
        <f t="shared" si="131"/>
        <v>67.295890410958904</v>
      </c>
      <c r="Q850" s="18">
        <f t="shared" si="136"/>
        <v>2.7284841053187846E-14</v>
      </c>
      <c r="R850" s="18">
        <f t="shared" si="132"/>
        <v>56022.45</v>
      </c>
      <c r="S850" s="18">
        <f t="shared" si="134"/>
        <v>484.45000000000005</v>
      </c>
    </row>
    <row r="851" spans="1:19" ht="15" customHeight="1" x14ac:dyDescent="0.2">
      <c r="A851" s="14">
        <f t="shared" si="133"/>
        <v>815</v>
      </c>
      <c r="B851" s="31" t="s">
        <v>525</v>
      </c>
      <c r="C851" s="15" t="s">
        <v>3</v>
      </c>
      <c r="D851" s="31" t="s">
        <v>500</v>
      </c>
      <c r="E851" s="31"/>
      <c r="F851" s="70" t="s">
        <v>7</v>
      </c>
      <c r="G851" s="32">
        <v>41713</v>
      </c>
      <c r="H851" s="29">
        <v>9561.7099999999991</v>
      </c>
      <c r="I851" s="17">
        <v>0</v>
      </c>
      <c r="J851" s="17">
        <v>1242.6730137899544</v>
      </c>
      <c r="K851" s="17">
        <f t="shared" si="129"/>
        <v>8319.0369862100451</v>
      </c>
      <c r="L851" s="23">
        <f t="shared" si="137"/>
        <v>478.08549999999997</v>
      </c>
      <c r="M851" s="33">
        <v>15</v>
      </c>
      <c r="N851" s="18">
        <f t="shared" si="130"/>
        <v>6.0547945205479454</v>
      </c>
      <c r="O851" s="23">
        <v>23808.9</v>
      </c>
      <c r="P851" s="18">
        <f t="shared" si="131"/>
        <v>7.0547945205479454</v>
      </c>
      <c r="Q851" s="18">
        <f t="shared" si="136"/>
        <v>522.73009908066967</v>
      </c>
      <c r="R851" s="18">
        <f t="shared" si="132"/>
        <v>24331.63009908067</v>
      </c>
      <c r="S851" s="18">
        <f t="shared" si="134"/>
        <v>478.08549999999997</v>
      </c>
    </row>
    <row r="852" spans="1:19" ht="15" customHeight="1" x14ac:dyDescent="0.2">
      <c r="A852" s="14">
        <f t="shared" si="133"/>
        <v>816</v>
      </c>
      <c r="B852" s="31" t="s">
        <v>783</v>
      </c>
      <c r="C852" s="15" t="s">
        <v>3</v>
      </c>
      <c r="D852" s="31" t="s">
        <v>500</v>
      </c>
      <c r="E852" s="31"/>
      <c r="F852" s="70" t="s">
        <v>7</v>
      </c>
      <c r="G852" s="32">
        <v>36160</v>
      </c>
      <c r="H852" s="29">
        <v>190873</v>
      </c>
      <c r="I852" s="17">
        <v>0</v>
      </c>
      <c r="J852" s="17">
        <f t="shared" si="135"/>
        <v>181329.35</v>
      </c>
      <c r="K852" s="17">
        <f t="shared" si="129"/>
        <v>9543.6499999999942</v>
      </c>
      <c r="L852" s="23">
        <f t="shared" si="137"/>
        <v>9543.65</v>
      </c>
      <c r="M852" s="33">
        <v>15</v>
      </c>
      <c r="N852" s="18">
        <f t="shared" si="130"/>
        <v>21.268493150684932</v>
      </c>
      <c r="O852" s="23">
        <v>3239.5</v>
      </c>
      <c r="P852" s="18">
        <f t="shared" si="131"/>
        <v>22.268493150684932</v>
      </c>
      <c r="Q852" s="18">
        <f t="shared" si="136"/>
        <v>-3.6379788070917132E-13</v>
      </c>
      <c r="R852" s="18">
        <f t="shared" si="132"/>
        <v>3239.4999999999995</v>
      </c>
      <c r="S852" s="18">
        <f t="shared" si="134"/>
        <v>9543.65</v>
      </c>
    </row>
    <row r="853" spans="1:19" ht="15" customHeight="1" x14ac:dyDescent="0.2">
      <c r="A853" s="14">
        <f t="shared" si="133"/>
        <v>817</v>
      </c>
      <c r="B853" s="31" t="s">
        <v>784</v>
      </c>
      <c r="C853" s="15" t="s">
        <v>3</v>
      </c>
      <c r="D853" s="31" t="s">
        <v>500</v>
      </c>
      <c r="E853" s="31"/>
      <c r="F853" s="73" t="s">
        <v>11</v>
      </c>
      <c r="G853" s="32">
        <v>37346</v>
      </c>
      <c r="H853" s="29">
        <v>66804</v>
      </c>
      <c r="I853" s="17">
        <v>0</v>
      </c>
      <c r="J853" s="17">
        <f t="shared" si="135"/>
        <v>63463.8</v>
      </c>
      <c r="K853" s="17">
        <f t="shared" si="129"/>
        <v>3340.1999999999971</v>
      </c>
      <c r="L853" s="23">
        <f t="shared" si="137"/>
        <v>3340.2000000000003</v>
      </c>
      <c r="M853" s="33">
        <v>15</v>
      </c>
      <c r="N853" s="18">
        <f t="shared" si="130"/>
        <v>18.019178082191782</v>
      </c>
      <c r="O853" s="23">
        <v>1939.9</v>
      </c>
      <c r="P853" s="18">
        <f t="shared" si="131"/>
        <v>19.019178082191782</v>
      </c>
      <c r="Q853" s="18">
        <f t="shared" si="136"/>
        <v>-2.1221543041368326E-13</v>
      </c>
      <c r="R853" s="18">
        <f t="shared" si="132"/>
        <v>1939.8999999999999</v>
      </c>
      <c r="S853" s="18">
        <f t="shared" si="134"/>
        <v>3340.2000000000003</v>
      </c>
    </row>
    <row r="854" spans="1:19" ht="15" customHeight="1" x14ac:dyDescent="0.2">
      <c r="A854" s="14">
        <f t="shared" si="133"/>
        <v>818</v>
      </c>
      <c r="B854" s="31" t="s">
        <v>785</v>
      </c>
      <c r="C854" s="15" t="s">
        <v>3</v>
      </c>
      <c r="D854" s="31" t="s">
        <v>500</v>
      </c>
      <c r="E854" s="31"/>
      <c r="F854" s="73" t="s">
        <v>11</v>
      </c>
      <c r="G854" s="32">
        <v>34303</v>
      </c>
      <c r="H854" s="29">
        <v>579327</v>
      </c>
      <c r="I854" s="17">
        <v>0</v>
      </c>
      <c r="J854" s="17">
        <f t="shared" si="135"/>
        <v>550360.65</v>
      </c>
      <c r="K854" s="17">
        <f t="shared" si="129"/>
        <v>28966.349999999977</v>
      </c>
      <c r="L854" s="23">
        <f t="shared" si="137"/>
        <v>28966.350000000002</v>
      </c>
      <c r="M854" s="33">
        <v>25</v>
      </c>
      <c r="N854" s="18">
        <f t="shared" si="130"/>
        <v>26.356164383561644</v>
      </c>
      <c r="O854" s="23">
        <v>254625.65</v>
      </c>
      <c r="P854" s="18">
        <f t="shared" si="131"/>
        <v>27.356164383561644</v>
      </c>
      <c r="Q854" s="18">
        <f t="shared" si="136"/>
        <v>-1.0186340659856797E-12</v>
      </c>
      <c r="R854" s="18">
        <f t="shared" si="132"/>
        <v>254625.65</v>
      </c>
      <c r="S854" s="18">
        <f t="shared" si="134"/>
        <v>28966.350000000002</v>
      </c>
    </row>
    <row r="855" spans="1:19" ht="15" customHeight="1" x14ac:dyDescent="0.2">
      <c r="A855" s="14">
        <f t="shared" si="133"/>
        <v>819</v>
      </c>
      <c r="B855" s="31" t="s">
        <v>786</v>
      </c>
      <c r="C855" s="15" t="s">
        <v>3</v>
      </c>
      <c r="D855" s="31" t="s">
        <v>500</v>
      </c>
      <c r="E855" s="31"/>
      <c r="F855" s="73" t="s">
        <v>11</v>
      </c>
      <c r="G855" s="32">
        <v>34303</v>
      </c>
      <c r="H855" s="29">
        <v>56926</v>
      </c>
      <c r="I855" s="17">
        <v>0</v>
      </c>
      <c r="J855" s="17">
        <f t="shared" si="135"/>
        <v>54079.7</v>
      </c>
      <c r="K855" s="17">
        <f t="shared" si="129"/>
        <v>2846.3000000000029</v>
      </c>
      <c r="L855" s="23">
        <f t="shared" si="137"/>
        <v>2846.3</v>
      </c>
      <c r="M855" s="33">
        <v>25</v>
      </c>
      <c r="N855" s="18">
        <f t="shared" si="130"/>
        <v>26.356164383561644</v>
      </c>
      <c r="O855" s="23">
        <v>26429</v>
      </c>
      <c r="P855" s="18">
        <f t="shared" si="131"/>
        <v>27.356164383561644</v>
      </c>
      <c r="Q855" s="18">
        <f t="shared" si="136"/>
        <v>1.0913936421275138E-13</v>
      </c>
      <c r="R855" s="18">
        <f t="shared" si="132"/>
        <v>26429</v>
      </c>
      <c r="S855" s="18">
        <f t="shared" si="134"/>
        <v>2846.3</v>
      </c>
    </row>
    <row r="856" spans="1:19" ht="15" customHeight="1" x14ac:dyDescent="0.2">
      <c r="A856" s="14">
        <f t="shared" si="133"/>
        <v>820</v>
      </c>
      <c r="B856" s="31" t="s">
        <v>787</v>
      </c>
      <c r="C856" s="15" t="s">
        <v>3</v>
      </c>
      <c r="D856" s="31" t="s">
        <v>500</v>
      </c>
      <c r="E856" s="31"/>
      <c r="F856" s="73" t="s">
        <v>11</v>
      </c>
      <c r="G856" s="32">
        <v>34304</v>
      </c>
      <c r="H856" s="29">
        <v>3962946</v>
      </c>
      <c r="I856" s="17">
        <v>0</v>
      </c>
      <c r="J856" s="17">
        <f t="shared" si="135"/>
        <v>3764798.7</v>
      </c>
      <c r="K856" s="17">
        <f t="shared" si="129"/>
        <v>198147.29999999981</v>
      </c>
      <c r="L856" s="23">
        <f t="shared" si="137"/>
        <v>198147.30000000002</v>
      </c>
      <c r="M856" s="33">
        <v>25</v>
      </c>
      <c r="N856" s="18">
        <f t="shared" si="130"/>
        <v>26.353424657534248</v>
      </c>
      <c r="O856" s="23">
        <v>1501</v>
      </c>
      <c r="P856" s="18">
        <f t="shared" si="131"/>
        <v>27.353424657534248</v>
      </c>
      <c r="Q856" s="18">
        <f t="shared" si="136"/>
        <v>-8.1490725278854378E-12</v>
      </c>
      <c r="R856" s="18">
        <f t="shared" si="132"/>
        <v>1500.9999999999918</v>
      </c>
      <c r="S856" s="18">
        <f t="shared" si="134"/>
        <v>198147.30000000002</v>
      </c>
    </row>
    <row r="857" spans="1:19" ht="15" customHeight="1" x14ac:dyDescent="0.2">
      <c r="A857" s="14">
        <f t="shared" si="133"/>
        <v>821</v>
      </c>
      <c r="B857" s="31" t="s">
        <v>788</v>
      </c>
      <c r="C857" s="15" t="s">
        <v>3</v>
      </c>
      <c r="D857" s="31" t="s">
        <v>500</v>
      </c>
      <c r="E857" s="31"/>
      <c r="F857" s="73" t="s">
        <v>11</v>
      </c>
      <c r="G857" s="32">
        <v>34304</v>
      </c>
      <c r="H857" s="29">
        <v>2718249</v>
      </c>
      <c r="I857" s="17">
        <v>0</v>
      </c>
      <c r="J857" s="17">
        <f t="shared" si="135"/>
        <v>2582336.5499999998</v>
      </c>
      <c r="K857" s="17">
        <f t="shared" si="129"/>
        <v>135912.45000000019</v>
      </c>
      <c r="L857" s="23">
        <f t="shared" si="137"/>
        <v>135912.45000000001</v>
      </c>
      <c r="M857" s="33">
        <v>25</v>
      </c>
      <c r="N857" s="18">
        <f t="shared" si="130"/>
        <v>26.353424657534248</v>
      </c>
      <c r="O857" s="23">
        <v>209444.6</v>
      </c>
      <c r="P857" s="18">
        <f t="shared" si="131"/>
        <v>27.353424657534248</v>
      </c>
      <c r="Q857" s="18">
        <f t="shared" si="136"/>
        <v>6.9849193096160886E-12</v>
      </c>
      <c r="R857" s="18">
        <f t="shared" si="132"/>
        <v>209444.6</v>
      </c>
      <c r="S857" s="18">
        <f t="shared" si="134"/>
        <v>135912.45000000001</v>
      </c>
    </row>
    <row r="858" spans="1:19" ht="15" customHeight="1" x14ac:dyDescent="0.2">
      <c r="A858" s="14">
        <f t="shared" si="133"/>
        <v>822</v>
      </c>
      <c r="B858" s="31" t="s">
        <v>789</v>
      </c>
      <c r="C858" s="15" t="s">
        <v>3</v>
      </c>
      <c r="D858" s="31" t="s">
        <v>500</v>
      </c>
      <c r="E858" s="31"/>
      <c r="F858" s="73" t="s">
        <v>8</v>
      </c>
      <c r="G858" s="32">
        <v>19725</v>
      </c>
      <c r="H858" s="29">
        <v>9689</v>
      </c>
      <c r="I858" s="17">
        <v>0</v>
      </c>
      <c r="J858" s="17">
        <f t="shared" si="135"/>
        <v>9204.5499999999993</v>
      </c>
      <c r="K858" s="17">
        <f t="shared" si="129"/>
        <v>484.45000000000073</v>
      </c>
      <c r="L858" s="23">
        <f t="shared" si="137"/>
        <v>484.45000000000005</v>
      </c>
      <c r="M858" s="33">
        <v>25</v>
      </c>
      <c r="N858" s="18">
        <f t="shared" si="130"/>
        <v>66.295890410958904</v>
      </c>
      <c r="O858" s="23">
        <v>36314.699999999997</v>
      </c>
      <c r="P858" s="18">
        <f t="shared" si="131"/>
        <v>67.295890410958904</v>
      </c>
      <c r="Q858" s="18">
        <f t="shared" si="136"/>
        <v>2.7284841053187846E-14</v>
      </c>
      <c r="R858" s="18">
        <f t="shared" si="132"/>
        <v>36314.699999999997</v>
      </c>
      <c r="S858" s="18">
        <f t="shared" si="134"/>
        <v>484.45000000000005</v>
      </c>
    </row>
    <row r="859" spans="1:19" ht="15" customHeight="1" x14ac:dyDescent="0.2">
      <c r="A859" s="14">
        <f t="shared" si="133"/>
        <v>823</v>
      </c>
      <c r="B859" s="31" t="s">
        <v>790</v>
      </c>
      <c r="C859" s="15" t="s">
        <v>3</v>
      </c>
      <c r="D859" s="31" t="s">
        <v>500</v>
      </c>
      <c r="E859" s="31"/>
      <c r="F859" s="73" t="s">
        <v>11</v>
      </c>
      <c r="G859" s="32">
        <v>34304</v>
      </c>
      <c r="H859" s="29">
        <v>2066788</v>
      </c>
      <c r="I859" s="17">
        <v>0</v>
      </c>
      <c r="J859" s="17">
        <f t="shared" si="135"/>
        <v>1963448.6</v>
      </c>
      <c r="K859" s="17">
        <f t="shared" si="129"/>
        <v>103339.39999999991</v>
      </c>
      <c r="L859" s="23">
        <f t="shared" si="137"/>
        <v>103339.40000000001</v>
      </c>
      <c r="M859" s="33">
        <v>25</v>
      </c>
      <c r="N859" s="18">
        <f t="shared" si="130"/>
        <v>26.353424657534248</v>
      </c>
      <c r="O859" s="23">
        <v>24318.1</v>
      </c>
      <c r="P859" s="18">
        <f t="shared" si="131"/>
        <v>27.353424657534248</v>
      </c>
      <c r="Q859" s="18">
        <f t="shared" si="136"/>
        <v>-4.0745362639427189E-12</v>
      </c>
      <c r="R859" s="18">
        <f t="shared" si="132"/>
        <v>24318.099999999995</v>
      </c>
      <c r="S859" s="18">
        <f t="shared" si="134"/>
        <v>103339.40000000001</v>
      </c>
    </row>
    <row r="860" spans="1:19" ht="15" customHeight="1" x14ac:dyDescent="0.2">
      <c r="A860" s="14">
        <f t="shared" si="133"/>
        <v>824</v>
      </c>
      <c r="B860" s="31" t="s">
        <v>791</v>
      </c>
      <c r="C860" s="15" t="s">
        <v>3</v>
      </c>
      <c r="D860" s="31" t="s">
        <v>500</v>
      </c>
      <c r="E860" s="31"/>
      <c r="F860" s="73" t="s">
        <v>4</v>
      </c>
      <c r="G860" s="32">
        <v>34304</v>
      </c>
      <c r="H860" s="29">
        <v>463284</v>
      </c>
      <c r="I860" s="17">
        <v>0</v>
      </c>
      <c r="J860" s="17">
        <f t="shared" si="135"/>
        <v>440119.8</v>
      </c>
      <c r="K860" s="17">
        <f t="shared" si="129"/>
        <v>23164.200000000012</v>
      </c>
      <c r="L860" s="23">
        <f t="shared" si="137"/>
        <v>23164.2</v>
      </c>
      <c r="M860" s="33">
        <v>25</v>
      </c>
      <c r="N860" s="18">
        <f t="shared" si="130"/>
        <v>26.353424657534248</v>
      </c>
      <c r="O860" s="23">
        <v>440082.75</v>
      </c>
      <c r="P860" s="18">
        <f t="shared" si="131"/>
        <v>27.353424657534248</v>
      </c>
      <c r="Q860" s="18">
        <f t="shared" si="136"/>
        <v>4.3655745685100554E-13</v>
      </c>
      <c r="R860" s="18">
        <f t="shared" si="132"/>
        <v>440082.75</v>
      </c>
      <c r="S860" s="18">
        <f t="shared" si="134"/>
        <v>23164.2</v>
      </c>
    </row>
    <row r="861" spans="1:19" ht="15" customHeight="1" x14ac:dyDescent="0.2">
      <c r="A861" s="14">
        <f t="shared" si="133"/>
        <v>825</v>
      </c>
      <c r="B861" s="31" t="s">
        <v>507</v>
      </c>
      <c r="C861" s="15" t="s">
        <v>3</v>
      </c>
      <c r="D861" s="31" t="s">
        <v>500</v>
      </c>
      <c r="E861" s="31"/>
      <c r="F861" s="70" t="s">
        <v>7</v>
      </c>
      <c r="G861" s="32">
        <v>39493</v>
      </c>
      <c r="H861" s="29">
        <v>19062.5</v>
      </c>
      <c r="I861" s="17">
        <v>0</v>
      </c>
      <c r="J861" s="17">
        <v>9820.4081050228324</v>
      </c>
      <c r="K861" s="17">
        <f t="shared" si="129"/>
        <v>9242.0918949771676</v>
      </c>
      <c r="L861" s="23">
        <f t="shared" si="137"/>
        <v>953.125</v>
      </c>
      <c r="M861" s="33">
        <v>15</v>
      </c>
      <c r="N861" s="18">
        <f t="shared" si="130"/>
        <v>12.136986301369863</v>
      </c>
      <c r="O861" s="23">
        <v>71402.95</v>
      </c>
      <c r="P861" s="18">
        <f t="shared" si="131"/>
        <v>13.136986301369863</v>
      </c>
      <c r="Q861" s="18">
        <f t="shared" si="136"/>
        <v>552.59779299847787</v>
      </c>
      <c r="R861" s="18">
        <f t="shared" si="132"/>
        <v>71955.547792998477</v>
      </c>
      <c r="S861" s="18">
        <f t="shared" si="134"/>
        <v>953.125</v>
      </c>
    </row>
    <row r="862" spans="1:19" ht="15" customHeight="1" x14ac:dyDescent="0.2">
      <c r="A862" s="14">
        <f t="shared" si="133"/>
        <v>826</v>
      </c>
      <c r="B862" s="31" t="s">
        <v>792</v>
      </c>
      <c r="C862" s="15" t="s">
        <v>3</v>
      </c>
      <c r="D862" s="31" t="s">
        <v>500</v>
      </c>
      <c r="E862" s="31"/>
      <c r="F862" s="70" t="s">
        <v>7</v>
      </c>
      <c r="G862" s="32">
        <v>34323</v>
      </c>
      <c r="H862" s="29">
        <v>71523</v>
      </c>
      <c r="I862" s="17">
        <v>0</v>
      </c>
      <c r="J862" s="17">
        <f t="shared" si="135"/>
        <v>67946.850000000006</v>
      </c>
      <c r="K862" s="17">
        <f t="shared" si="129"/>
        <v>3576.1499999999942</v>
      </c>
      <c r="L862" s="23">
        <f t="shared" si="137"/>
        <v>3576.15</v>
      </c>
      <c r="M862" s="33">
        <v>25</v>
      </c>
      <c r="N862" s="18">
        <f t="shared" si="130"/>
        <v>26.301369863013697</v>
      </c>
      <c r="O862" s="23">
        <v>22626.15</v>
      </c>
      <c r="P862" s="18">
        <f t="shared" si="131"/>
        <v>27.301369863013697</v>
      </c>
      <c r="Q862" s="18">
        <f t="shared" si="136"/>
        <v>-2.3646862246096135E-13</v>
      </c>
      <c r="R862" s="18">
        <f t="shared" si="132"/>
        <v>22626.15</v>
      </c>
      <c r="S862" s="18">
        <f t="shared" si="134"/>
        <v>3576.15</v>
      </c>
    </row>
    <row r="863" spans="1:19" ht="15" customHeight="1" x14ac:dyDescent="0.2">
      <c r="A863" s="14">
        <f t="shared" si="133"/>
        <v>827</v>
      </c>
      <c r="B863" s="31" t="s">
        <v>793</v>
      </c>
      <c r="C863" s="15" t="s">
        <v>3</v>
      </c>
      <c r="D863" s="31" t="s">
        <v>500</v>
      </c>
      <c r="E863" s="31"/>
      <c r="F863" s="73" t="s">
        <v>11</v>
      </c>
      <c r="G863" s="32">
        <v>34328</v>
      </c>
      <c r="H863" s="29">
        <v>5938403</v>
      </c>
      <c r="I863" s="17">
        <v>0</v>
      </c>
      <c r="J863" s="17">
        <f t="shared" si="135"/>
        <v>5641482.8499999996</v>
      </c>
      <c r="K863" s="17">
        <f t="shared" si="129"/>
        <v>296920.15000000037</v>
      </c>
      <c r="L863" s="23">
        <f t="shared" si="137"/>
        <v>296920.15000000002</v>
      </c>
      <c r="M863" s="33">
        <v>25</v>
      </c>
      <c r="N863" s="18">
        <f t="shared" si="130"/>
        <v>26.287671232876711</v>
      </c>
      <c r="O863" s="23">
        <v>3495.05</v>
      </c>
      <c r="P863" s="18">
        <f t="shared" si="131"/>
        <v>27.287671232876711</v>
      </c>
      <c r="Q863" s="18">
        <f t="shared" si="136"/>
        <v>1.3969838619232177E-11</v>
      </c>
      <c r="R863" s="18">
        <f t="shared" si="132"/>
        <v>3495.0500000000143</v>
      </c>
      <c r="S863" s="18">
        <f t="shared" si="134"/>
        <v>296920.15000000002</v>
      </c>
    </row>
    <row r="864" spans="1:19" ht="15" customHeight="1" x14ac:dyDescent="0.2">
      <c r="A864" s="14">
        <f t="shared" si="133"/>
        <v>828</v>
      </c>
      <c r="B864" s="31" t="s">
        <v>794</v>
      </c>
      <c r="C864" s="15" t="s">
        <v>3</v>
      </c>
      <c r="D864" s="31" t="s">
        <v>500</v>
      </c>
      <c r="E864" s="31"/>
      <c r="F864" s="73" t="s">
        <v>12</v>
      </c>
      <c r="G864" s="32">
        <v>34331</v>
      </c>
      <c r="H864" s="29">
        <v>203624</v>
      </c>
      <c r="I864" s="17">
        <v>0</v>
      </c>
      <c r="J864" s="17">
        <f t="shared" si="135"/>
        <v>193442.8</v>
      </c>
      <c r="K864" s="17">
        <f t="shared" si="129"/>
        <v>10181.200000000012</v>
      </c>
      <c r="L864" s="23">
        <f t="shared" si="137"/>
        <v>10181.200000000001</v>
      </c>
      <c r="M864" s="33">
        <v>25</v>
      </c>
      <c r="N864" s="18">
        <f t="shared" si="130"/>
        <v>26.279452054794522</v>
      </c>
      <c r="O864" s="23">
        <v>5415</v>
      </c>
      <c r="P864" s="18">
        <f t="shared" si="131"/>
        <v>27.279452054794522</v>
      </c>
      <c r="Q864" s="18">
        <f t="shared" si="136"/>
        <v>4.3655745685100554E-13</v>
      </c>
      <c r="R864" s="18">
        <f t="shared" si="132"/>
        <v>5415</v>
      </c>
      <c r="S864" s="18">
        <f t="shared" si="134"/>
        <v>10181.200000000001</v>
      </c>
    </row>
    <row r="865" spans="1:19" ht="15" customHeight="1" x14ac:dyDescent="0.2">
      <c r="A865" s="14">
        <f t="shared" si="133"/>
        <v>829</v>
      </c>
      <c r="B865" s="31" t="s">
        <v>795</v>
      </c>
      <c r="C865" s="15" t="s">
        <v>3</v>
      </c>
      <c r="D865" s="31" t="s">
        <v>500</v>
      </c>
      <c r="E865" s="31"/>
      <c r="F865" s="73" t="s">
        <v>11</v>
      </c>
      <c r="G865" s="32">
        <v>34349</v>
      </c>
      <c r="H865" s="29">
        <v>49306</v>
      </c>
      <c r="I865" s="17">
        <v>0</v>
      </c>
      <c r="J865" s="17">
        <f t="shared" si="135"/>
        <v>46840.7</v>
      </c>
      <c r="K865" s="17">
        <f t="shared" si="129"/>
        <v>2465.3000000000029</v>
      </c>
      <c r="L865" s="23">
        <f t="shared" si="137"/>
        <v>2465.3000000000002</v>
      </c>
      <c r="M865" s="33">
        <v>25</v>
      </c>
      <c r="N865" s="18">
        <f t="shared" si="130"/>
        <v>26.230136986301371</v>
      </c>
      <c r="O865" s="23">
        <v>88.35</v>
      </c>
      <c r="P865" s="18">
        <f t="shared" si="131"/>
        <v>27.230136986301371</v>
      </c>
      <c r="Q865" s="18">
        <f t="shared" si="136"/>
        <v>1.0913936421275138E-13</v>
      </c>
      <c r="R865" s="18">
        <f t="shared" si="132"/>
        <v>88.350000000000108</v>
      </c>
      <c r="S865" s="18">
        <f t="shared" si="134"/>
        <v>2465.3000000000002</v>
      </c>
    </row>
    <row r="866" spans="1:19" ht="15" customHeight="1" x14ac:dyDescent="0.2">
      <c r="A866" s="14">
        <f t="shared" si="133"/>
        <v>830</v>
      </c>
      <c r="B866" s="31" t="s">
        <v>796</v>
      </c>
      <c r="C866" s="15" t="s">
        <v>3</v>
      </c>
      <c r="D866" s="31" t="s">
        <v>500</v>
      </c>
      <c r="E866" s="31"/>
      <c r="F866" s="73" t="s">
        <v>11</v>
      </c>
      <c r="G866" s="32">
        <v>34424</v>
      </c>
      <c r="H866" s="29">
        <v>705956</v>
      </c>
      <c r="I866" s="17">
        <v>0</v>
      </c>
      <c r="J866" s="17">
        <f t="shared" si="135"/>
        <v>670658.19999999995</v>
      </c>
      <c r="K866" s="17">
        <f t="shared" si="129"/>
        <v>35297.800000000047</v>
      </c>
      <c r="L866" s="23">
        <f t="shared" si="137"/>
        <v>35297.800000000003</v>
      </c>
      <c r="M866" s="33">
        <v>25</v>
      </c>
      <c r="N866" s="18">
        <f t="shared" si="130"/>
        <v>26.024657534246575</v>
      </c>
      <c r="O866" s="23">
        <v>17340.349999999999</v>
      </c>
      <c r="P866" s="18">
        <f t="shared" si="131"/>
        <v>27.024657534246575</v>
      </c>
      <c r="Q866" s="18">
        <f t="shared" si="136"/>
        <v>1.7462298274040222E-12</v>
      </c>
      <c r="R866" s="18">
        <f t="shared" si="132"/>
        <v>17340.349999999999</v>
      </c>
      <c r="S866" s="18">
        <f t="shared" si="134"/>
        <v>35297.800000000003</v>
      </c>
    </row>
    <row r="867" spans="1:19" ht="15" customHeight="1" x14ac:dyDescent="0.2">
      <c r="A867" s="14">
        <f t="shared" si="133"/>
        <v>831</v>
      </c>
      <c r="B867" s="31" t="s">
        <v>797</v>
      </c>
      <c r="C867" s="15" t="s">
        <v>3</v>
      </c>
      <c r="D867" s="31" t="s">
        <v>500</v>
      </c>
      <c r="E867" s="31"/>
      <c r="F867" s="73" t="s">
        <v>4</v>
      </c>
      <c r="G867" s="32">
        <v>19725</v>
      </c>
      <c r="H867" s="29">
        <v>5692</v>
      </c>
      <c r="I867" s="17">
        <v>0</v>
      </c>
      <c r="J867" s="17">
        <f t="shared" si="135"/>
        <v>5407.4</v>
      </c>
      <c r="K867" s="17">
        <f t="shared" si="129"/>
        <v>284.60000000000036</v>
      </c>
      <c r="L867" s="23">
        <f t="shared" si="137"/>
        <v>284.60000000000002</v>
      </c>
      <c r="M867" s="33">
        <v>25</v>
      </c>
      <c r="N867" s="18">
        <f t="shared" si="130"/>
        <v>66.295890410958904</v>
      </c>
      <c r="O867" s="23">
        <v>103907.2</v>
      </c>
      <c r="P867" s="18">
        <f t="shared" si="131"/>
        <v>67.295890410958904</v>
      </c>
      <c r="Q867" s="18">
        <f t="shared" si="136"/>
        <v>1.3642420526593923E-14</v>
      </c>
      <c r="R867" s="18">
        <f t="shared" si="132"/>
        <v>103907.2</v>
      </c>
      <c r="S867" s="18">
        <f t="shared" si="134"/>
        <v>284.60000000000002</v>
      </c>
    </row>
    <row r="868" spans="1:19" ht="15" customHeight="1" x14ac:dyDescent="0.2">
      <c r="A868" s="14">
        <f t="shared" si="133"/>
        <v>832</v>
      </c>
      <c r="B868" s="31" t="s">
        <v>798</v>
      </c>
      <c r="C868" s="15" t="s">
        <v>3</v>
      </c>
      <c r="D868" s="31" t="s">
        <v>500</v>
      </c>
      <c r="E868" s="31"/>
      <c r="F868" s="73" t="s">
        <v>11</v>
      </c>
      <c r="G868" s="32">
        <v>34644</v>
      </c>
      <c r="H868" s="29">
        <v>1680457</v>
      </c>
      <c r="I868" s="17">
        <v>0</v>
      </c>
      <c r="J868" s="17">
        <f t="shared" si="135"/>
        <v>1596434.15</v>
      </c>
      <c r="K868" s="17">
        <f t="shared" si="129"/>
        <v>84022.850000000093</v>
      </c>
      <c r="L868" s="23">
        <f t="shared" si="137"/>
        <v>84022.85</v>
      </c>
      <c r="M868" s="33">
        <v>25</v>
      </c>
      <c r="N868" s="18">
        <f t="shared" si="130"/>
        <v>25.421917808219177</v>
      </c>
      <c r="O868" s="23">
        <v>91215.2</v>
      </c>
      <c r="P868" s="18">
        <f t="shared" si="131"/>
        <v>26.421917808219177</v>
      </c>
      <c r="Q868" s="18">
        <f t="shared" si="136"/>
        <v>3.4924596548080443E-12</v>
      </c>
      <c r="R868" s="18">
        <f t="shared" si="132"/>
        <v>91215.2</v>
      </c>
      <c r="S868" s="18">
        <f t="shared" si="134"/>
        <v>84022.85</v>
      </c>
    </row>
    <row r="869" spans="1:19" ht="15" customHeight="1" x14ac:dyDescent="0.2">
      <c r="A869" s="14">
        <f t="shared" si="133"/>
        <v>833</v>
      </c>
      <c r="B869" s="31" t="s">
        <v>799</v>
      </c>
      <c r="C869" s="15" t="s">
        <v>3</v>
      </c>
      <c r="D869" s="31" t="s">
        <v>500</v>
      </c>
      <c r="E869" s="31"/>
      <c r="F869" s="73" t="s">
        <v>8</v>
      </c>
      <c r="G869" s="32">
        <v>34644</v>
      </c>
      <c r="H869" s="29">
        <v>855573</v>
      </c>
      <c r="I869" s="17">
        <v>0</v>
      </c>
      <c r="J869" s="17">
        <f t="shared" si="135"/>
        <v>812794.35</v>
      </c>
      <c r="K869" s="17">
        <f t="shared" ref="K869:K932" si="138">H869+I869-J869</f>
        <v>42778.650000000023</v>
      </c>
      <c r="L869" s="23">
        <f t="shared" si="137"/>
        <v>42778.65</v>
      </c>
      <c r="M869" s="33">
        <v>25</v>
      </c>
      <c r="N869" s="18">
        <f t="shared" ref="N869:N932" si="139">IF(($N$35-G869+1)/365&gt;0,($N$35-G869+1)/365,0)</f>
        <v>25.421917808219177</v>
      </c>
      <c r="O869" s="23">
        <v>47140.9</v>
      </c>
      <c r="P869" s="18">
        <f t="shared" ref="P869:P932" si="140">($P$35-G869+1)/365</f>
        <v>26.421917808219177</v>
      </c>
      <c r="Q869" s="18">
        <f t="shared" si="136"/>
        <v>8.7311491370201108E-13</v>
      </c>
      <c r="R869" s="18">
        <f t="shared" ref="R869:R932" si="141">Q869+O869</f>
        <v>47140.9</v>
      </c>
      <c r="S869" s="18">
        <f t="shared" si="134"/>
        <v>42778.65</v>
      </c>
    </row>
    <row r="870" spans="1:19" ht="15" customHeight="1" x14ac:dyDescent="0.2">
      <c r="A870" s="14">
        <f t="shared" si="133"/>
        <v>834</v>
      </c>
      <c r="B870" s="31" t="s">
        <v>800</v>
      </c>
      <c r="C870" s="15" t="s">
        <v>3</v>
      </c>
      <c r="D870" s="31" t="s">
        <v>500</v>
      </c>
      <c r="E870" s="31"/>
      <c r="F870" s="73" t="s">
        <v>11</v>
      </c>
      <c r="G870" s="32">
        <v>34644</v>
      </c>
      <c r="H870" s="29">
        <v>826803</v>
      </c>
      <c r="I870" s="17">
        <v>0</v>
      </c>
      <c r="J870" s="17">
        <f t="shared" si="135"/>
        <v>785462.85</v>
      </c>
      <c r="K870" s="17">
        <f t="shared" si="138"/>
        <v>41340.150000000023</v>
      </c>
      <c r="L870" s="23">
        <f t="shared" si="137"/>
        <v>41340.15</v>
      </c>
      <c r="M870" s="33">
        <v>25</v>
      </c>
      <c r="N870" s="18">
        <f t="shared" si="139"/>
        <v>25.421917808219177</v>
      </c>
      <c r="O870" s="23">
        <v>5939.4</v>
      </c>
      <c r="P870" s="18">
        <f t="shared" si="140"/>
        <v>26.421917808219177</v>
      </c>
      <c r="Q870" s="18">
        <f t="shared" si="136"/>
        <v>8.7311491370201108E-13</v>
      </c>
      <c r="R870" s="18">
        <f t="shared" si="141"/>
        <v>5939.4000000000005</v>
      </c>
      <c r="S870" s="18">
        <f t="shared" si="134"/>
        <v>41340.15</v>
      </c>
    </row>
    <row r="871" spans="1:19" ht="15" customHeight="1" x14ac:dyDescent="0.2">
      <c r="A871" s="14">
        <f t="shared" ref="A871:A934" si="142">+A870+1</f>
        <v>835</v>
      </c>
      <c r="B871" s="31" t="s">
        <v>801</v>
      </c>
      <c r="C871" s="15" t="s">
        <v>3</v>
      </c>
      <c r="D871" s="31" t="s">
        <v>500</v>
      </c>
      <c r="E871" s="31"/>
      <c r="F871" s="73" t="s">
        <v>11</v>
      </c>
      <c r="G871" s="32">
        <v>34644</v>
      </c>
      <c r="H871" s="29">
        <v>496665</v>
      </c>
      <c r="I871" s="17">
        <v>0</v>
      </c>
      <c r="J871" s="17">
        <f t="shared" si="135"/>
        <v>471831.75</v>
      </c>
      <c r="K871" s="17">
        <f t="shared" si="138"/>
        <v>24833.25</v>
      </c>
      <c r="L871" s="23">
        <f t="shared" si="137"/>
        <v>24833.25</v>
      </c>
      <c r="M871" s="33">
        <v>25</v>
      </c>
      <c r="N871" s="18">
        <f t="shared" si="139"/>
        <v>25.421917808219177</v>
      </c>
      <c r="O871" s="23">
        <v>685013.65</v>
      </c>
      <c r="P871" s="18">
        <f t="shared" si="140"/>
        <v>26.421917808219177</v>
      </c>
      <c r="Q871" s="18">
        <f t="shared" si="136"/>
        <v>0</v>
      </c>
      <c r="R871" s="18">
        <f t="shared" si="141"/>
        <v>685013.65</v>
      </c>
      <c r="S871" s="18">
        <f t="shared" ref="S871:S934" si="143">+IF(N871&gt;P871,0,L871)</f>
        <v>24833.25</v>
      </c>
    </row>
    <row r="872" spans="1:19" ht="15" customHeight="1" x14ac:dyDescent="0.2">
      <c r="A872" s="14">
        <f t="shared" si="142"/>
        <v>836</v>
      </c>
      <c r="B872" s="31" t="s">
        <v>802</v>
      </c>
      <c r="C872" s="15" t="s">
        <v>3</v>
      </c>
      <c r="D872" s="31" t="s">
        <v>500</v>
      </c>
      <c r="E872" s="31"/>
      <c r="F872" s="73" t="s">
        <v>11</v>
      </c>
      <c r="G872" s="32">
        <v>34644</v>
      </c>
      <c r="H872" s="29">
        <v>420769</v>
      </c>
      <c r="I872" s="17">
        <v>0</v>
      </c>
      <c r="J872" s="17">
        <f t="shared" si="135"/>
        <v>399730.55</v>
      </c>
      <c r="K872" s="17">
        <f t="shared" si="138"/>
        <v>21038.450000000012</v>
      </c>
      <c r="L872" s="23">
        <f t="shared" si="137"/>
        <v>21038.45</v>
      </c>
      <c r="M872" s="33">
        <v>25</v>
      </c>
      <c r="N872" s="18">
        <f t="shared" si="139"/>
        <v>25.421917808219177</v>
      </c>
      <c r="O872" s="23">
        <v>19308.75</v>
      </c>
      <c r="P872" s="18">
        <f t="shared" si="140"/>
        <v>26.421917808219177</v>
      </c>
      <c r="Q872" s="18">
        <f t="shared" si="136"/>
        <v>4.3655745685100554E-13</v>
      </c>
      <c r="R872" s="18">
        <f t="shared" si="141"/>
        <v>19308.75</v>
      </c>
      <c r="S872" s="18">
        <f t="shared" si="143"/>
        <v>21038.45</v>
      </c>
    </row>
    <row r="873" spans="1:19" ht="15" customHeight="1" x14ac:dyDescent="0.2">
      <c r="A873" s="14">
        <f t="shared" si="142"/>
        <v>837</v>
      </c>
      <c r="B873" s="31" t="s">
        <v>803</v>
      </c>
      <c r="C873" s="15" t="s">
        <v>3</v>
      </c>
      <c r="D873" s="31" t="s">
        <v>500</v>
      </c>
      <c r="E873" s="31"/>
      <c r="F873" s="73" t="s">
        <v>11</v>
      </c>
      <c r="G873" s="32">
        <v>34644</v>
      </c>
      <c r="H873" s="29">
        <v>335083</v>
      </c>
      <c r="I873" s="17">
        <v>0</v>
      </c>
      <c r="J873" s="17">
        <f t="shared" ref="J873:J900" si="144">H873-L873</f>
        <v>318328.84999999998</v>
      </c>
      <c r="K873" s="17">
        <f t="shared" si="138"/>
        <v>16754.150000000023</v>
      </c>
      <c r="L873" s="23">
        <f t="shared" si="137"/>
        <v>16754.150000000001</v>
      </c>
      <c r="M873" s="33">
        <v>25</v>
      </c>
      <c r="N873" s="18">
        <f t="shared" si="139"/>
        <v>25.421917808219177</v>
      </c>
      <c r="O873" s="23">
        <v>755314.6</v>
      </c>
      <c r="P873" s="18">
        <f t="shared" si="140"/>
        <v>26.421917808219177</v>
      </c>
      <c r="Q873" s="18">
        <f t="shared" si="136"/>
        <v>8.7311491370201108E-13</v>
      </c>
      <c r="R873" s="18">
        <f t="shared" si="141"/>
        <v>755314.6</v>
      </c>
      <c r="S873" s="18">
        <f t="shared" si="143"/>
        <v>16754.150000000001</v>
      </c>
    </row>
    <row r="874" spans="1:19" ht="15" customHeight="1" x14ac:dyDescent="0.2">
      <c r="A874" s="14">
        <f t="shared" si="142"/>
        <v>838</v>
      </c>
      <c r="B874" s="31" t="s">
        <v>804</v>
      </c>
      <c r="C874" s="15" t="s">
        <v>3</v>
      </c>
      <c r="D874" s="31" t="s">
        <v>500</v>
      </c>
      <c r="E874" s="31"/>
      <c r="F874" s="73" t="s">
        <v>11</v>
      </c>
      <c r="G874" s="32">
        <v>34644</v>
      </c>
      <c r="H874" s="29">
        <v>302166</v>
      </c>
      <c r="I874" s="17">
        <v>0</v>
      </c>
      <c r="J874" s="17">
        <f t="shared" si="144"/>
        <v>287057.7</v>
      </c>
      <c r="K874" s="17">
        <f t="shared" si="138"/>
        <v>15108.299999999988</v>
      </c>
      <c r="L874" s="23">
        <f t="shared" si="137"/>
        <v>15108.300000000001</v>
      </c>
      <c r="M874" s="33">
        <v>25</v>
      </c>
      <c r="N874" s="18">
        <f t="shared" si="139"/>
        <v>25.421917808219177</v>
      </c>
      <c r="O874" s="23">
        <v>13418.75</v>
      </c>
      <c r="P874" s="18">
        <f t="shared" si="140"/>
        <v>26.421917808219177</v>
      </c>
      <c r="Q874" s="18">
        <f t="shared" si="136"/>
        <v>-5.0931703299283986E-13</v>
      </c>
      <c r="R874" s="18">
        <f t="shared" si="141"/>
        <v>13418.75</v>
      </c>
      <c r="S874" s="18">
        <f t="shared" si="143"/>
        <v>15108.300000000001</v>
      </c>
    </row>
    <row r="875" spans="1:19" ht="15" customHeight="1" x14ac:dyDescent="0.2">
      <c r="A875" s="14">
        <f t="shared" si="142"/>
        <v>839</v>
      </c>
      <c r="B875" s="31" t="s">
        <v>805</v>
      </c>
      <c r="C875" s="15" t="s">
        <v>3</v>
      </c>
      <c r="D875" s="31" t="s">
        <v>500</v>
      </c>
      <c r="E875" s="31"/>
      <c r="F875" s="73" t="s">
        <v>8</v>
      </c>
      <c r="G875" s="32">
        <v>34644</v>
      </c>
      <c r="H875" s="29">
        <v>257748</v>
      </c>
      <c r="I875" s="17">
        <v>0</v>
      </c>
      <c r="J875" s="17">
        <f t="shared" si="144"/>
        <v>244860.6</v>
      </c>
      <c r="K875" s="17">
        <f t="shared" si="138"/>
        <v>12887.399999999994</v>
      </c>
      <c r="L875" s="23">
        <f t="shared" si="137"/>
        <v>12887.400000000001</v>
      </c>
      <c r="M875" s="33">
        <v>25</v>
      </c>
      <c r="N875" s="18">
        <f t="shared" si="139"/>
        <v>25.421917808219177</v>
      </c>
      <c r="O875" s="23">
        <v>2280926.25</v>
      </c>
      <c r="P875" s="18">
        <f t="shared" si="140"/>
        <v>26.421917808219177</v>
      </c>
      <c r="Q875" s="18">
        <f t="shared" si="136"/>
        <v>-2.9103830456733704E-13</v>
      </c>
      <c r="R875" s="18">
        <f t="shared" si="141"/>
        <v>2280926.25</v>
      </c>
      <c r="S875" s="18">
        <f t="shared" si="143"/>
        <v>12887.400000000001</v>
      </c>
    </row>
    <row r="876" spans="1:19" ht="15" customHeight="1" x14ac:dyDescent="0.2">
      <c r="A876" s="14">
        <f t="shared" si="142"/>
        <v>840</v>
      </c>
      <c r="B876" s="31" t="s">
        <v>806</v>
      </c>
      <c r="C876" s="15" t="s">
        <v>3</v>
      </c>
      <c r="D876" s="31" t="s">
        <v>500</v>
      </c>
      <c r="E876" s="31"/>
      <c r="F876" s="73" t="s">
        <v>4</v>
      </c>
      <c r="G876" s="32">
        <v>19725</v>
      </c>
      <c r="H876" s="29">
        <v>5464</v>
      </c>
      <c r="I876" s="17">
        <v>0</v>
      </c>
      <c r="J876" s="17">
        <f t="shared" si="144"/>
        <v>5190.8</v>
      </c>
      <c r="K876" s="17">
        <f t="shared" si="138"/>
        <v>273.19999999999982</v>
      </c>
      <c r="L876" s="23">
        <f t="shared" si="137"/>
        <v>273.2</v>
      </c>
      <c r="M876" s="33">
        <v>25</v>
      </c>
      <c r="N876" s="18">
        <f t="shared" si="139"/>
        <v>66.295890410958904</v>
      </c>
      <c r="O876" s="23">
        <v>772032.7</v>
      </c>
      <c r="P876" s="18">
        <f t="shared" si="140"/>
        <v>67.295890410958904</v>
      </c>
      <c r="Q876" s="18">
        <f t="shared" si="136"/>
        <v>-6.8212102632969615E-15</v>
      </c>
      <c r="R876" s="18">
        <f t="shared" si="141"/>
        <v>772032.7</v>
      </c>
      <c r="S876" s="18">
        <f t="shared" si="143"/>
        <v>273.2</v>
      </c>
    </row>
    <row r="877" spans="1:19" ht="15" customHeight="1" x14ac:dyDescent="0.2">
      <c r="A877" s="14">
        <f t="shared" si="142"/>
        <v>841</v>
      </c>
      <c r="B877" s="31" t="s">
        <v>807</v>
      </c>
      <c r="C877" s="15" t="s">
        <v>3</v>
      </c>
      <c r="D877" s="31" t="s">
        <v>500</v>
      </c>
      <c r="E877" s="31"/>
      <c r="F877" s="70" t="s">
        <v>7</v>
      </c>
      <c r="G877" s="32">
        <v>39828</v>
      </c>
      <c r="H877" s="29">
        <v>18562.5</v>
      </c>
      <c r="I877" s="17">
        <v>0</v>
      </c>
      <c r="J877" s="17">
        <v>8483.8253424657541</v>
      </c>
      <c r="K877" s="17">
        <f t="shared" si="138"/>
        <v>10078.674657534246</v>
      </c>
      <c r="L877" s="23">
        <f t="shared" si="137"/>
        <v>928.125</v>
      </c>
      <c r="M877" s="33">
        <v>15</v>
      </c>
      <c r="N877" s="18">
        <f t="shared" si="139"/>
        <v>11.219178082191782</v>
      </c>
      <c r="O877" s="23">
        <v>514304.35</v>
      </c>
      <c r="P877" s="18">
        <f t="shared" si="140"/>
        <v>12.219178082191782</v>
      </c>
      <c r="Q877" s="18">
        <f t="shared" si="136"/>
        <v>610.03664383561636</v>
      </c>
      <c r="R877" s="18">
        <f t="shared" si="141"/>
        <v>514914.38664383558</v>
      </c>
      <c r="S877" s="18">
        <f t="shared" si="143"/>
        <v>928.125</v>
      </c>
    </row>
    <row r="878" spans="1:19" ht="15" customHeight="1" x14ac:dyDescent="0.2">
      <c r="A878" s="14">
        <f t="shared" si="142"/>
        <v>842</v>
      </c>
      <c r="B878" s="31" t="s">
        <v>808</v>
      </c>
      <c r="C878" s="15" t="s">
        <v>3</v>
      </c>
      <c r="D878" s="31" t="s">
        <v>500</v>
      </c>
      <c r="E878" s="31"/>
      <c r="F878" s="73" t="s">
        <v>4</v>
      </c>
      <c r="G878" s="32">
        <v>34644</v>
      </c>
      <c r="H878" s="29">
        <v>233686</v>
      </c>
      <c r="I878" s="17">
        <v>0</v>
      </c>
      <c r="J878" s="17">
        <f t="shared" si="144"/>
        <v>222001.7</v>
      </c>
      <c r="K878" s="17">
        <f t="shared" si="138"/>
        <v>11684.299999999988</v>
      </c>
      <c r="L878" s="23">
        <f t="shared" si="137"/>
        <v>11684.300000000001</v>
      </c>
      <c r="M878" s="33">
        <v>25</v>
      </c>
      <c r="N878" s="18">
        <f t="shared" si="139"/>
        <v>25.421917808219177</v>
      </c>
      <c r="O878" s="23">
        <v>446139</v>
      </c>
      <c r="P878" s="18">
        <f t="shared" si="140"/>
        <v>26.421917808219177</v>
      </c>
      <c r="Q878" s="18">
        <f t="shared" si="136"/>
        <v>-5.0931703299283986E-13</v>
      </c>
      <c r="R878" s="18">
        <f t="shared" si="141"/>
        <v>446139</v>
      </c>
      <c r="S878" s="18">
        <f t="shared" si="143"/>
        <v>11684.300000000001</v>
      </c>
    </row>
    <row r="879" spans="1:19" ht="15" customHeight="1" x14ac:dyDescent="0.2">
      <c r="A879" s="14">
        <f t="shared" si="142"/>
        <v>843</v>
      </c>
      <c r="B879" s="31" t="s">
        <v>809</v>
      </c>
      <c r="C879" s="15" t="s">
        <v>3</v>
      </c>
      <c r="D879" s="31" t="s">
        <v>500</v>
      </c>
      <c r="E879" s="31"/>
      <c r="F879" s="73" t="s">
        <v>4</v>
      </c>
      <c r="G879" s="32">
        <v>19725</v>
      </c>
      <c r="H879" s="29">
        <v>500</v>
      </c>
      <c r="I879" s="17">
        <v>0</v>
      </c>
      <c r="J879" s="17">
        <f t="shared" si="144"/>
        <v>475</v>
      </c>
      <c r="K879" s="17">
        <f t="shared" si="138"/>
        <v>25</v>
      </c>
      <c r="L879" s="23">
        <f t="shared" si="137"/>
        <v>25</v>
      </c>
      <c r="M879" s="33">
        <v>25</v>
      </c>
      <c r="N879" s="18">
        <f t="shared" si="139"/>
        <v>66.295890410958904</v>
      </c>
      <c r="O879" s="23">
        <v>378357.45</v>
      </c>
      <c r="P879" s="18">
        <f t="shared" si="140"/>
        <v>67.295890410958904</v>
      </c>
      <c r="Q879" s="18">
        <f t="shared" si="136"/>
        <v>0</v>
      </c>
      <c r="R879" s="18">
        <f t="shared" si="141"/>
        <v>378357.45</v>
      </c>
      <c r="S879" s="18">
        <f t="shared" si="143"/>
        <v>25</v>
      </c>
    </row>
    <row r="880" spans="1:19" ht="15" customHeight="1" x14ac:dyDescent="0.2">
      <c r="A880" s="14">
        <f t="shared" si="142"/>
        <v>844</v>
      </c>
      <c r="B880" s="31" t="s">
        <v>810</v>
      </c>
      <c r="C880" s="15" t="s">
        <v>3</v>
      </c>
      <c r="D880" s="31" t="s">
        <v>500</v>
      </c>
      <c r="E880" s="31"/>
      <c r="F880" s="73" t="s">
        <v>12</v>
      </c>
      <c r="G880" s="32">
        <v>34644</v>
      </c>
      <c r="H880" s="29">
        <v>228513</v>
      </c>
      <c r="I880" s="17">
        <v>0</v>
      </c>
      <c r="J880" s="17">
        <f t="shared" si="144"/>
        <v>217087.35</v>
      </c>
      <c r="K880" s="17">
        <f t="shared" si="138"/>
        <v>11425.649999999994</v>
      </c>
      <c r="L880" s="23">
        <f t="shared" si="137"/>
        <v>11425.650000000001</v>
      </c>
      <c r="M880" s="33">
        <v>25</v>
      </c>
      <c r="N880" s="18">
        <f t="shared" si="139"/>
        <v>25.421917808219177</v>
      </c>
      <c r="O880" s="23">
        <v>299935.90000000002</v>
      </c>
      <c r="P880" s="18">
        <f t="shared" si="140"/>
        <v>26.421917808219177</v>
      </c>
      <c r="Q880" s="18">
        <f t="shared" si="136"/>
        <v>-2.9103830456733704E-13</v>
      </c>
      <c r="R880" s="18">
        <f t="shared" si="141"/>
        <v>299935.90000000002</v>
      </c>
      <c r="S880" s="18">
        <f t="shared" si="143"/>
        <v>11425.650000000001</v>
      </c>
    </row>
    <row r="881" spans="1:19" ht="15" customHeight="1" x14ac:dyDescent="0.2">
      <c r="A881" s="14">
        <f t="shared" si="142"/>
        <v>845</v>
      </c>
      <c r="B881" s="31" t="s">
        <v>811</v>
      </c>
      <c r="C881" s="15" t="s">
        <v>3</v>
      </c>
      <c r="D881" s="31" t="s">
        <v>500</v>
      </c>
      <c r="E881" s="31"/>
      <c r="F881" s="73" t="s">
        <v>8</v>
      </c>
      <c r="G881" s="32">
        <v>34644</v>
      </c>
      <c r="H881" s="29">
        <v>171026</v>
      </c>
      <c r="I881" s="17">
        <v>0</v>
      </c>
      <c r="J881" s="17">
        <f t="shared" si="144"/>
        <v>162474.70000000001</v>
      </c>
      <c r="K881" s="17">
        <f t="shared" si="138"/>
        <v>8551.2999999999884</v>
      </c>
      <c r="L881" s="23">
        <f t="shared" si="137"/>
        <v>8551.3000000000011</v>
      </c>
      <c r="M881" s="33">
        <v>25</v>
      </c>
      <c r="N881" s="18">
        <f t="shared" si="139"/>
        <v>25.421917808219177</v>
      </c>
      <c r="O881" s="23">
        <v>289036.55</v>
      </c>
      <c r="P881" s="18">
        <f t="shared" si="140"/>
        <v>26.421917808219177</v>
      </c>
      <c r="Q881" s="18">
        <f t="shared" si="136"/>
        <v>-5.0931703299283986E-13</v>
      </c>
      <c r="R881" s="18">
        <f t="shared" si="141"/>
        <v>289036.55</v>
      </c>
      <c r="S881" s="18">
        <f t="shared" si="143"/>
        <v>8551.3000000000011</v>
      </c>
    </row>
    <row r="882" spans="1:19" ht="15" customHeight="1" x14ac:dyDescent="0.2">
      <c r="A882" s="14">
        <f t="shared" si="142"/>
        <v>846</v>
      </c>
      <c r="B882" s="31" t="s">
        <v>812</v>
      </c>
      <c r="C882" s="15" t="s">
        <v>3</v>
      </c>
      <c r="D882" s="31" t="s">
        <v>500</v>
      </c>
      <c r="E882" s="31"/>
      <c r="F882" s="73" t="s">
        <v>8</v>
      </c>
      <c r="G882" s="32">
        <v>20090</v>
      </c>
      <c r="H882" s="29">
        <v>48253</v>
      </c>
      <c r="I882" s="17">
        <v>0</v>
      </c>
      <c r="J882" s="17">
        <f t="shared" si="144"/>
        <v>45840.35</v>
      </c>
      <c r="K882" s="17">
        <f t="shared" si="138"/>
        <v>2412.6500000000015</v>
      </c>
      <c r="L882" s="23">
        <f t="shared" si="137"/>
        <v>2412.65</v>
      </c>
      <c r="M882" s="33">
        <v>25</v>
      </c>
      <c r="N882" s="18">
        <f t="shared" si="139"/>
        <v>65.295890410958904</v>
      </c>
      <c r="O882" s="23">
        <v>96093.45</v>
      </c>
      <c r="P882" s="18">
        <f t="shared" si="140"/>
        <v>66.295890410958904</v>
      </c>
      <c r="Q882" s="18">
        <f t="shared" si="136"/>
        <v>5.4569682106375692E-14</v>
      </c>
      <c r="R882" s="18">
        <f t="shared" si="141"/>
        <v>96093.45</v>
      </c>
      <c r="S882" s="18">
        <f t="shared" si="143"/>
        <v>2412.65</v>
      </c>
    </row>
    <row r="883" spans="1:19" ht="15" customHeight="1" x14ac:dyDescent="0.2">
      <c r="A883" s="14">
        <f t="shared" si="142"/>
        <v>847</v>
      </c>
      <c r="B883" s="31" t="s">
        <v>813</v>
      </c>
      <c r="C883" s="15" t="s">
        <v>3</v>
      </c>
      <c r="D883" s="31" t="s">
        <v>500</v>
      </c>
      <c r="E883" s="31"/>
      <c r="F883" s="73" t="s">
        <v>4</v>
      </c>
      <c r="G883" s="32">
        <v>34644</v>
      </c>
      <c r="H883" s="29">
        <v>158645</v>
      </c>
      <c r="I883" s="17">
        <v>0</v>
      </c>
      <c r="J883" s="17">
        <f t="shared" si="144"/>
        <v>150712.75</v>
      </c>
      <c r="K883" s="17">
        <f t="shared" si="138"/>
        <v>7932.25</v>
      </c>
      <c r="L883" s="23">
        <f t="shared" si="137"/>
        <v>7932.25</v>
      </c>
      <c r="M883" s="33">
        <v>25</v>
      </c>
      <c r="N883" s="18">
        <f t="shared" si="139"/>
        <v>25.421917808219177</v>
      </c>
      <c r="O883" s="23">
        <v>92200.35</v>
      </c>
      <c r="P883" s="18">
        <f t="shared" si="140"/>
        <v>26.421917808219177</v>
      </c>
      <c r="Q883" s="18">
        <f t="shared" si="136"/>
        <v>0</v>
      </c>
      <c r="R883" s="18">
        <f t="shared" si="141"/>
        <v>92200.35</v>
      </c>
      <c r="S883" s="18">
        <f t="shared" si="143"/>
        <v>7932.25</v>
      </c>
    </row>
    <row r="884" spans="1:19" ht="15" customHeight="1" x14ac:dyDescent="0.2">
      <c r="A884" s="14">
        <f t="shared" si="142"/>
        <v>848</v>
      </c>
      <c r="B884" s="31" t="s">
        <v>814</v>
      </c>
      <c r="C884" s="15" t="s">
        <v>3</v>
      </c>
      <c r="D884" s="31" t="s">
        <v>500</v>
      </c>
      <c r="E884" s="31"/>
      <c r="F884" s="73" t="s">
        <v>4</v>
      </c>
      <c r="G884" s="32">
        <v>20090</v>
      </c>
      <c r="H884" s="29">
        <v>17699</v>
      </c>
      <c r="I884" s="17">
        <v>0</v>
      </c>
      <c r="J884" s="17">
        <f t="shared" si="144"/>
        <v>16814.05</v>
      </c>
      <c r="K884" s="17">
        <f t="shared" si="138"/>
        <v>884.95000000000073</v>
      </c>
      <c r="L884" s="23">
        <f t="shared" si="137"/>
        <v>884.95</v>
      </c>
      <c r="M884" s="33">
        <v>25</v>
      </c>
      <c r="N884" s="18">
        <f t="shared" si="139"/>
        <v>65.295890410958904</v>
      </c>
      <c r="O884" s="23">
        <v>77608.350000000006</v>
      </c>
      <c r="P884" s="18">
        <f t="shared" si="140"/>
        <v>66.295890410958904</v>
      </c>
      <c r="Q884" s="18">
        <f t="shared" si="136"/>
        <v>2.7284841053187846E-14</v>
      </c>
      <c r="R884" s="18">
        <f t="shared" si="141"/>
        <v>77608.350000000006</v>
      </c>
      <c r="S884" s="18">
        <f t="shared" si="143"/>
        <v>884.95</v>
      </c>
    </row>
    <row r="885" spans="1:19" ht="15" customHeight="1" x14ac:dyDescent="0.2">
      <c r="A885" s="14">
        <f t="shared" si="142"/>
        <v>849</v>
      </c>
      <c r="B885" s="31" t="s">
        <v>815</v>
      </c>
      <c r="C885" s="15" t="s">
        <v>3</v>
      </c>
      <c r="D885" s="31" t="s">
        <v>500</v>
      </c>
      <c r="E885" s="31"/>
      <c r="F885" s="73" t="s">
        <v>8</v>
      </c>
      <c r="G885" s="32">
        <v>34644</v>
      </c>
      <c r="H885" s="29">
        <v>130599</v>
      </c>
      <c r="I885" s="17">
        <v>0</v>
      </c>
      <c r="J885" s="17">
        <f t="shared" si="144"/>
        <v>124069.05</v>
      </c>
      <c r="K885" s="17">
        <f t="shared" si="138"/>
        <v>6529.9499999999971</v>
      </c>
      <c r="L885" s="23">
        <f t="shared" si="137"/>
        <v>6529.9500000000007</v>
      </c>
      <c r="M885" s="33">
        <v>25</v>
      </c>
      <c r="N885" s="18">
        <f t="shared" si="139"/>
        <v>25.421917808219177</v>
      </c>
      <c r="O885" s="23">
        <v>72230.399999999994</v>
      </c>
      <c r="P885" s="18">
        <f t="shared" si="140"/>
        <v>26.421917808219177</v>
      </c>
      <c r="Q885" s="18">
        <f t="shared" si="136"/>
        <v>-1.4551915228366852E-13</v>
      </c>
      <c r="R885" s="18">
        <f t="shared" si="141"/>
        <v>72230.399999999994</v>
      </c>
      <c r="S885" s="18">
        <f t="shared" si="143"/>
        <v>6529.9500000000007</v>
      </c>
    </row>
    <row r="886" spans="1:19" ht="15" customHeight="1" x14ac:dyDescent="0.2">
      <c r="A886" s="14">
        <f t="shared" si="142"/>
        <v>850</v>
      </c>
      <c r="B886" s="31" t="s">
        <v>816</v>
      </c>
      <c r="C886" s="15" t="s">
        <v>3</v>
      </c>
      <c r="D886" s="31" t="s">
        <v>500</v>
      </c>
      <c r="E886" s="31"/>
      <c r="F886" s="73" t="s">
        <v>12</v>
      </c>
      <c r="G886" s="32">
        <v>34644</v>
      </c>
      <c r="H886" s="29">
        <v>101073</v>
      </c>
      <c r="I886" s="17">
        <v>0</v>
      </c>
      <c r="J886" s="17">
        <f t="shared" si="144"/>
        <v>96019.35</v>
      </c>
      <c r="K886" s="17">
        <f t="shared" si="138"/>
        <v>5053.6499999999942</v>
      </c>
      <c r="L886" s="23">
        <f t="shared" si="137"/>
        <v>5053.6500000000005</v>
      </c>
      <c r="M886" s="33">
        <v>25</v>
      </c>
      <c r="N886" s="18">
        <f t="shared" si="139"/>
        <v>25.421917808219177</v>
      </c>
      <c r="O886" s="23">
        <v>60451.35</v>
      </c>
      <c r="P886" s="18">
        <f t="shared" si="140"/>
        <v>26.421917808219177</v>
      </c>
      <c r="Q886" s="18">
        <f t="shared" si="136"/>
        <v>-2.5465851649641993E-13</v>
      </c>
      <c r="R886" s="18">
        <f t="shared" si="141"/>
        <v>60451.35</v>
      </c>
      <c r="S886" s="18">
        <f t="shared" si="143"/>
        <v>5053.6500000000005</v>
      </c>
    </row>
    <row r="887" spans="1:19" ht="15" customHeight="1" x14ac:dyDescent="0.2">
      <c r="A887" s="14">
        <f t="shared" si="142"/>
        <v>851</v>
      </c>
      <c r="B887" s="31" t="s">
        <v>817</v>
      </c>
      <c r="C887" s="15" t="s">
        <v>3</v>
      </c>
      <c r="D887" s="31" t="s">
        <v>500</v>
      </c>
      <c r="E887" s="31"/>
      <c r="F887" s="70" t="s">
        <v>7</v>
      </c>
      <c r="G887" s="32">
        <v>35397</v>
      </c>
      <c r="H887" s="29">
        <v>335904</v>
      </c>
      <c r="I887" s="17">
        <v>0</v>
      </c>
      <c r="J887" s="17">
        <f t="shared" si="144"/>
        <v>319108.8</v>
      </c>
      <c r="K887" s="17">
        <f t="shared" si="138"/>
        <v>16795.200000000012</v>
      </c>
      <c r="L887" s="23">
        <f t="shared" si="137"/>
        <v>16795.2</v>
      </c>
      <c r="M887" s="33">
        <v>15</v>
      </c>
      <c r="N887" s="18">
        <f t="shared" si="139"/>
        <v>23.358904109589041</v>
      </c>
      <c r="O887" s="23">
        <v>59873.75</v>
      </c>
      <c r="P887" s="18">
        <f t="shared" si="140"/>
        <v>24.358904109589041</v>
      </c>
      <c r="Q887" s="18">
        <f t="shared" ref="Q887:Q950" si="145">(P887-N887)/M887*(K887-L887)</f>
        <v>7.2759576141834263E-13</v>
      </c>
      <c r="R887" s="18">
        <f t="shared" si="141"/>
        <v>59873.75</v>
      </c>
      <c r="S887" s="18">
        <f t="shared" si="143"/>
        <v>16795.2</v>
      </c>
    </row>
    <row r="888" spans="1:19" ht="15" customHeight="1" x14ac:dyDescent="0.2">
      <c r="A888" s="14">
        <f t="shared" si="142"/>
        <v>852</v>
      </c>
      <c r="B888" s="31" t="s">
        <v>818</v>
      </c>
      <c r="C888" s="15" t="s">
        <v>3</v>
      </c>
      <c r="D888" s="31" t="s">
        <v>500</v>
      </c>
      <c r="E888" s="31"/>
      <c r="F888" s="73" t="s">
        <v>4</v>
      </c>
      <c r="G888" s="32">
        <v>34644</v>
      </c>
      <c r="H888" s="29">
        <v>97173</v>
      </c>
      <c r="I888" s="17">
        <v>0</v>
      </c>
      <c r="J888" s="17">
        <f t="shared" si="144"/>
        <v>92314.35</v>
      </c>
      <c r="K888" s="17">
        <f t="shared" si="138"/>
        <v>4858.6499999999942</v>
      </c>
      <c r="L888" s="23">
        <f t="shared" ref="L888:L951" si="146">H888*0.05</f>
        <v>4858.6500000000005</v>
      </c>
      <c r="M888" s="33">
        <v>25</v>
      </c>
      <c r="N888" s="18">
        <f t="shared" si="139"/>
        <v>25.421917808219177</v>
      </c>
      <c r="O888" s="23">
        <v>34209.5</v>
      </c>
      <c r="P888" s="18">
        <f t="shared" si="140"/>
        <v>26.421917808219177</v>
      </c>
      <c r="Q888" s="18">
        <f t="shared" si="145"/>
        <v>-2.5465851649641993E-13</v>
      </c>
      <c r="R888" s="18">
        <f t="shared" si="141"/>
        <v>34209.5</v>
      </c>
      <c r="S888" s="18">
        <f t="shared" si="143"/>
        <v>4858.6500000000005</v>
      </c>
    </row>
    <row r="889" spans="1:19" ht="15" customHeight="1" x14ac:dyDescent="0.2">
      <c r="A889" s="14">
        <f t="shared" si="142"/>
        <v>853</v>
      </c>
      <c r="B889" s="31" t="s">
        <v>589</v>
      </c>
      <c r="C889" s="15" t="s">
        <v>3</v>
      </c>
      <c r="D889" s="31" t="s">
        <v>500</v>
      </c>
      <c r="E889" s="31"/>
      <c r="F889" s="73" t="s">
        <v>11</v>
      </c>
      <c r="G889" s="32">
        <v>34644</v>
      </c>
      <c r="H889" s="29">
        <v>76813</v>
      </c>
      <c r="I889" s="17">
        <v>0</v>
      </c>
      <c r="J889" s="17">
        <f t="shared" si="144"/>
        <v>72972.350000000006</v>
      </c>
      <c r="K889" s="17">
        <f t="shared" si="138"/>
        <v>3840.6499999999942</v>
      </c>
      <c r="L889" s="23">
        <f t="shared" si="146"/>
        <v>3840.65</v>
      </c>
      <c r="M889" s="33">
        <v>25</v>
      </c>
      <c r="N889" s="18">
        <f t="shared" si="139"/>
        <v>25.421917808219177</v>
      </c>
      <c r="O889" s="23">
        <v>29564</v>
      </c>
      <c r="P889" s="18">
        <f t="shared" si="140"/>
        <v>26.421917808219177</v>
      </c>
      <c r="Q889" s="18">
        <f t="shared" si="145"/>
        <v>-2.3646862246096135E-13</v>
      </c>
      <c r="R889" s="18">
        <f t="shared" si="141"/>
        <v>29564</v>
      </c>
      <c r="S889" s="18">
        <f t="shared" si="143"/>
        <v>3840.65</v>
      </c>
    </row>
    <row r="890" spans="1:19" ht="15" customHeight="1" x14ac:dyDescent="0.2">
      <c r="A890" s="14">
        <f t="shared" si="142"/>
        <v>854</v>
      </c>
      <c r="B890" s="31" t="s">
        <v>819</v>
      </c>
      <c r="C890" s="15" t="s">
        <v>3</v>
      </c>
      <c r="D890" s="31" t="s">
        <v>500</v>
      </c>
      <c r="E890" s="31"/>
      <c r="F890" s="73" t="s">
        <v>13</v>
      </c>
      <c r="G890" s="32">
        <v>34648</v>
      </c>
      <c r="H890" s="29">
        <v>153583</v>
      </c>
      <c r="I890" s="17">
        <v>0</v>
      </c>
      <c r="J890" s="17">
        <f t="shared" si="144"/>
        <v>145903.85</v>
      </c>
      <c r="K890" s="17">
        <f t="shared" si="138"/>
        <v>7679.1499999999942</v>
      </c>
      <c r="L890" s="23">
        <f t="shared" si="146"/>
        <v>7679.1500000000005</v>
      </c>
      <c r="M890" s="33">
        <v>25</v>
      </c>
      <c r="N890" s="18">
        <f t="shared" si="139"/>
        <v>25.410958904109588</v>
      </c>
      <c r="O890" s="23">
        <v>24086.3</v>
      </c>
      <c r="P890" s="18">
        <f t="shared" si="140"/>
        <v>26.410958904109588</v>
      </c>
      <c r="Q890" s="18">
        <f t="shared" si="145"/>
        <v>-2.5465851649641993E-13</v>
      </c>
      <c r="R890" s="18">
        <f t="shared" si="141"/>
        <v>24086.3</v>
      </c>
      <c r="S890" s="18">
        <f t="shared" si="143"/>
        <v>7679.1500000000005</v>
      </c>
    </row>
    <row r="891" spans="1:19" ht="15" customHeight="1" x14ac:dyDescent="0.2">
      <c r="A891" s="14">
        <f t="shared" si="142"/>
        <v>855</v>
      </c>
      <c r="B891" s="31" t="s">
        <v>820</v>
      </c>
      <c r="C891" s="15" t="s">
        <v>3</v>
      </c>
      <c r="D891" s="31" t="s">
        <v>500</v>
      </c>
      <c r="E891" s="31"/>
      <c r="F891" s="73" t="s">
        <v>11</v>
      </c>
      <c r="G891" s="32">
        <v>34653</v>
      </c>
      <c r="H891" s="29">
        <v>754709</v>
      </c>
      <c r="I891" s="17">
        <v>0</v>
      </c>
      <c r="J891" s="17">
        <f t="shared" si="144"/>
        <v>716973.55</v>
      </c>
      <c r="K891" s="17">
        <f t="shared" si="138"/>
        <v>37735.449999999953</v>
      </c>
      <c r="L891" s="23">
        <f t="shared" si="146"/>
        <v>37735.450000000004</v>
      </c>
      <c r="M891" s="33">
        <v>25</v>
      </c>
      <c r="N891" s="18">
        <f t="shared" si="139"/>
        <v>25.397260273972602</v>
      </c>
      <c r="O891" s="23">
        <v>17955</v>
      </c>
      <c r="P891" s="18">
        <f t="shared" si="140"/>
        <v>26.397260273972602</v>
      </c>
      <c r="Q891" s="18">
        <f t="shared" si="145"/>
        <v>-2.0372681319713594E-12</v>
      </c>
      <c r="R891" s="18">
        <f t="shared" si="141"/>
        <v>17954.999999999996</v>
      </c>
      <c r="S891" s="18">
        <f t="shared" si="143"/>
        <v>37735.450000000004</v>
      </c>
    </row>
    <row r="892" spans="1:19" ht="15" customHeight="1" x14ac:dyDescent="0.2">
      <c r="A892" s="14">
        <f t="shared" si="142"/>
        <v>856</v>
      </c>
      <c r="B892" s="31" t="s">
        <v>821</v>
      </c>
      <c r="C892" s="15" t="s">
        <v>3</v>
      </c>
      <c r="D892" s="31" t="s">
        <v>500</v>
      </c>
      <c r="E892" s="31"/>
      <c r="F892" s="73" t="s">
        <v>11</v>
      </c>
      <c r="G892" s="32">
        <v>34675</v>
      </c>
      <c r="H892" s="29">
        <v>652934</v>
      </c>
      <c r="I892" s="17">
        <v>0</v>
      </c>
      <c r="J892" s="17">
        <f t="shared" si="144"/>
        <v>620287.30000000005</v>
      </c>
      <c r="K892" s="17">
        <f t="shared" si="138"/>
        <v>32646.699999999953</v>
      </c>
      <c r="L892" s="23">
        <f t="shared" si="146"/>
        <v>32646.7</v>
      </c>
      <c r="M892" s="33">
        <v>25</v>
      </c>
      <c r="N892" s="18">
        <f t="shared" si="139"/>
        <v>25.336986301369862</v>
      </c>
      <c r="O892" s="23">
        <v>15856.45</v>
      </c>
      <c r="P892" s="18">
        <f t="shared" si="140"/>
        <v>26.336986301369862</v>
      </c>
      <c r="Q892" s="18">
        <f t="shared" si="145"/>
        <v>-1.8917489796876908E-12</v>
      </c>
      <c r="R892" s="18">
        <f t="shared" si="141"/>
        <v>15856.449999999999</v>
      </c>
      <c r="S892" s="18">
        <f t="shared" si="143"/>
        <v>32646.7</v>
      </c>
    </row>
    <row r="893" spans="1:19" ht="15" customHeight="1" x14ac:dyDescent="0.2">
      <c r="A893" s="14">
        <f t="shared" si="142"/>
        <v>857</v>
      </c>
      <c r="B893" s="31" t="s">
        <v>822</v>
      </c>
      <c r="C893" s="15" t="s">
        <v>3</v>
      </c>
      <c r="D893" s="31" t="s">
        <v>500</v>
      </c>
      <c r="E893" s="31"/>
      <c r="F893" s="73" t="s">
        <v>11</v>
      </c>
      <c r="G893" s="32">
        <v>20090</v>
      </c>
      <c r="H893" s="29">
        <v>15448</v>
      </c>
      <c r="I893" s="17">
        <v>0</v>
      </c>
      <c r="J893" s="17">
        <f t="shared" si="144"/>
        <v>14675.6</v>
      </c>
      <c r="K893" s="17">
        <f t="shared" si="138"/>
        <v>772.39999999999964</v>
      </c>
      <c r="L893" s="23">
        <f t="shared" si="146"/>
        <v>772.40000000000009</v>
      </c>
      <c r="M893" s="33">
        <v>25</v>
      </c>
      <c r="N893" s="18">
        <f t="shared" si="139"/>
        <v>65.295890410958904</v>
      </c>
      <c r="O893" s="23">
        <v>12211.3</v>
      </c>
      <c r="P893" s="18">
        <f t="shared" si="140"/>
        <v>66.295890410958904</v>
      </c>
      <c r="Q893" s="18">
        <f t="shared" si="145"/>
        <v>-1.8189894035458565E-14</v>
      </c>
      <c r="R893" s="18">
        <f t="shared" si="141"/>
        <v>12211.3</v>
      </c>
      <c r="S893" s="18">
        <f t="shared" si="143"/>
        <v>772.40000000000009</v>
      </c>
    </row>
    <row r="894" spans="1:19" ht="15" customHeight="1" x14ac:dyDescent="0.2">
      <c r="A894" s="14">
        <f t="shared" si="142"/>
        <v>858</v>
      </c>
      <c r="B894" s="31" t="s">
        <v>823</v>
      </c>
      <c r="C894" s="15" t="s">
        <v>3</v>
      </c>
      <c r="D894" s="31" t="s">
        <v>500</v>
      </c>
      <c r="E894" s="31"/>
      <c r="F894" s="73" t="s">
        <v>11</v>
      </c>
      <c r="G894" s="32">
        <v>20090</v>
      </c>
      <c r="H894" s="29">
        <v>12456</v>
      </c>
      <c r="I894" s="17">
        <v>0</v>
      </c>
      <c r="J894" s="17">
        <f t="shared" si="144"/>
        <v>11833.2</v>
      </c>
      <c r="K894" s="17">
        <f t="shared" si="138"/>
        <v>622.79999999999927</v>
      </c>
      <c r="L894" s="23">
        <f t="shared" si="146"/>
        <v>622.80000000000007</v>
      </c>
      <c r="M894" s="33">
        <v>25</v>
      </c>
      <c r="N894" s="18">
        <f t="shared" si="139"/>
        <v>65.295890410958904</v>
      </c>
      <c r="O894" s="23">
        <v>11984.25</v>
      </c>
      <c r="P894" s="18">
        <f t="shared" si="140"/>
        <v>66.295890410958904</v>
      </c>
      <c r="Q894" s="18">
        <f t="shared" si="145"/>
        <v>-3.1832314562052491E-14</v>
      </c>
      <c r="R894" s="18">
        <f t="shared" si="141"/>
        <v>11984.25</v>
      </c>
      <c r="S894" s="18">
        <f t="shared" si="143"/>
        <v>622.80000000000007</v>
      </c>
    </row>
    <row r="895" spans="1:19" ht="15" customHeight="1" x14ac:dyDescent="0.2">
      <c r="A895" s="14">
        <f t="shared" si="142"/>
        <v>859</v>
      </c>
      <c r="B895" s="31" t="s">
        <v>824</v>
      </c>
      <c r="C895" s="15" t="s">
        <v>3</v>
      </c>
      <c r="D895" s="31" t="s">
        <v>500</v>
      </c>
      <c r="E895" s="31"/>
      <c r="F895" s="73" t="s">
        <v>11</v>
      </c>
      <c r="G895" s="32">
        <v>34683</v>
      </c>
      <c r="H895" s="29">
        <v>478379</v>
      </c>
      <c r="I895" s="17">
        <v>0</v>
      </c>
      <c r="J895" s="17">
        <f t="shared" si="144"/>
        <v>454460.05</v>
      </c>
      <c r="K895" s="17">
        <f t="shared" si="138"/>
        <v>23918.950000000012</v>
      </c>
      <c r="L895" s="23">
        <f t="shared" si="146"/>
        <v>23918.95</v>
      </c>
      <c r="M895" s="33">
        <v>25</v>
      </c>
      <c r="N895" s="18">
        <f t="shared" si="139"/>
        <v>25.315068493150687</v>
      </c>
      <c r="O895" s="23">
        <v>174174.9</v>
      </c>
      <c r="P895" s="18">
        <f t="shared" si="140"/>
        <v>26.315068493150687</v>
      </c>
      <c r="Q895" s="18">
        <f t="shared" si="145"/>
        <v>4.3655745685100554E-13</v>
      </c>
      <c r="R895" s="18">
        <f t="shared" si="141"/>
        <v>174174.9</v>
      </c>
      <c r="S895" s="18">
        <f t="shared" si="143"/>
        <v>23918.95</v>
      </c>
    </row>
    <row r="896" spans="1:19" ht="15" customHeight="1" x14ac:dyDescent="0.2">
      <c r="A896" s="14">
        <f t="shared" si="142"/>
        <v>860</v>
      </c>
      <c r="B896" s="31" t="s">
        <v>825</v>
      </c>
      <c r="C896" s="15" t="s">
        <v>3</v>
      </c>
      <c r="D896" s="31" t="s">
        <v>500</v>
      </c>
      <c r="E896" s="31"/>
      <c r="F896" s="73" t="s">
        <v>4</v>
      </c>
      <c r="G896" s="32">
        <v>20090</v>
      </c>
      <c r="H896" s="29">
        <v>10133</v>
      </c>
      <c r="I896" s="17">
        <v>0</v>
      </c>
      <c r="J896" s="17">
        <f t="shared" si="144"/>
        <v>9626.35</v>
      </c>
      <c r="K896" s="17">
        <f t="shared" si="138"/>
        <v>506.64999999999964</v>
      </c>
      <c r="L896" s="23">
        <f t="shared" si="146"/>
        <v>506.65000000000003</v>
      </c>
      <c r="M896" s="33">
        <v>25</v>
      </c>
      <c r="N896" s="18">
        <f t="shared" si="139"/>
        <v>65.295890410958904</v>
      </c>
      <c r="O896" s="23">
        <v>20487.7</v>
      </c>
      <c r="P896" s="18">
        <f t="shared" si="140"/>
        <v>66.295890410958904</v>
      </c>
      <c r="Q896" s="18">
        <f t="shared" si="145"/>
        <v>-1.5916157281026246E-14</v>
      </c>
      <c r="R896" s="18">
        <f t="shared" si="141"/>
        <v>20487.7</v>
      </c>
      <c r="S896" s="18">
        <f t="shared" si="143"/>
        <v>506.65000000000003</v>
      </c>
    </row>
    <row r="897" spans="1:19" ht="15" customHeight="1" x14ac:dyDescent="0.2">
      <c r="A897" s="14">
        <f t="shared" si="142"/>
        <v>861</v>
      </c>
      <c r="B897" s="31" t="s">
        <v>826</v>
      </c>
      <c r="C897" s="15" t="s">
        <v>3</v>
      </c>
      <c r="D897" s="31" t="s">
        <v>500</v>
      </c>
      <c r="E897" s="31"/>
      <c r="F897" s="73" t="s">
        <v>4</v>
      </c>
      <c r="G897" s="32">
        <v>34789</v>
      </c>
      <c r="H897" s="29">
        <v>4730</v>
      </c>
      <c r="I897" s="17">
        <v>0</v>
      </c>
      <c r="J897" s="17">
        <f t="shared" si="144"/>
        <v>4493.5</v>
      </c>
      <c r="K897" s="17">
        <f t="shared" si="138"/>
        <v>236.5</v>
      </c>
      <c r="L897" s="23">
        <f t="shared" si="146"/>
        <v>236.5</v>
      </c>
      <c r="M897" s="33">
        <v>25</v>
      </c>
      <c r="N897" s="18">
        <f t="shared" si="139"/>
        <v>25.024657534246575</v>
      </c>
      <c r="O897" s="23">
        <v>184986.85</v>
      </c>
      <c r="P897" s="18">
        <f t="shared" si="140"/>
        <v>26.024657534246575</v>
      </c>
      <c r="Q897" s="18">
        <f t="shared" si="145"/>
        <v>0</v>
      </c>
      <c r="R897" s="18">
        <f t="shared" si="141"/>
        <v>184986.85</v>
      </c>
      <c r="S897" s="18">
        <f t="shared" si="143"/>
        <v>236.5</v>
      </c>
    </row>
    <row r="898" spans="1:19" ht="15" customHeight="1" x14ac:dyDescent="0.2">
      <c r="A898" s="14">
        <f t="shared" si="142"/>
        <v>862</v>
      </c>
      <c r="B898" s="31" t="s">
        <v>827</v>
      </c>
      <c r="C898" s="15" t="s">
        <v>3</v>
      </c>
      <c r="D898" s="31" t="s">
        <v>500</v>
      </c>
      <c r="E898" s="31"/>
      <c r="F898" s="73" t="s">
        <v>11</v>
      </c>
      <c r="G898" s="32">
        <v>20090</v>
      </c>
      <c r="H898" s="29">
        <v>6894</v>
      </c>
      <c r="I898" s="17">
        <v>0</v>
      </c>
      <c r="J898" s="17">
        <f t="shared" si="144"/>
        <v>6549.3</v>
      </c>
      <c r="K898" s="17">
        <f t="shared" si="138"/>
        <v>344.69999999999982</v>
      </c>
      <c r="L898" s="23">
        <f t="shared" si="146"/>
        <v>344.70000000000005</v>
      </c>
      <c r="M898" s="33">
        <v>25</v>
      </c>
      <c r="N898" s="18">
        <f t="shared" si="139"/>
        <v>65.295890410958904</v>
      </c>
      <c r="O898" s="23">
        <v>55838.15</v>
      </c>
      <c r="P898" s="18">
        <f t="shared" si="140"/>
        <v>66.295890410958904</v>
      </c>
      <c r="Q898" s="18">
        <f t="shared" si="145"/>
        <v>-9.0949470177292826E-15</v>
      </c>
      <c r="R898" s="18">
        <f t="shared" si="141"/>
        <v>55838.15</v>
      </c>
      <c r="S898" s="18">
        <f t="shared" si="143"/>
        <v>344.70000000000005</v>
      </c>
    </row>
    <row r="899" spans="1:19" ht="15" customHeight="1" x14ac:dyDescent="0.2">
      <c r="A899" s="14">
        <f t="shared" si="142"/>
        <v>863</v>
      </c>
      <c r="B899" s="31" t="s">
        <v>828</v>
      </c>
      <c r="C899" s="15" t="s">
        <v>3</v>
      </c>
      <c r="D899" s="31" t="s">
        <v>500</v>
      </c>
      <c r="E899" s="31"/>
      <c r="F899" s="73" t="s">
        <v>11</v>
      </c>
      <c r="G899" s="32">
        <v>20090</v>
      </c>
      <c r="H899" s="29">
        <v>6204</v>
      </c>
      <c r="I899" s="17">
        <v>0</v>
      </c>
      <c r="J899" s="17">
        <f t="shared" si="144"/>
        <v>5893.8</v>
      </c>
      <c r="K899" s="17">
        <f t="shared" si="138"/>
        <v>310.19999999999982</v>
      </c>
      <c r="L899" s="23">
        <f t="shared" si="146"/>
        <v>310.20000000000005</v>
      </c>
      <c r="M899" s="33">
        <v>25</v>
      </c>
      <c r="N899" s="18">
        <f t="shared" si="139"/>
        <v>65.295890410958904</v>
      </c>
      <c r="O899" s="23">
        <v>33690.800000000003</v>
      </c>
      <c r="P899" s="18">
        <f t="shared" si="140"/>
        <v>66.295890410958904</v>
      </c>
      <c r="Q899" s="18">
        <f t="shared" si="145"/>
        <v>-9.0949470177292826E-15</v>
      </c>
      <c r="R899" s="18">
        <f t="shared" si="141"/>
        <v>33690.800000000003</v>
      </c>
      <c r="S899" s="18">
        <f t="shared" si="143"/>
        <v>310.20000000000005</v>
      </c>
    </row>
    <row r="900" spans="1:19" ht="15" customHeight="1" x14ac:dyDescent="0.2">
      <c r="A900" s="14">
        <f t="shared" si="142"/>
        <v>864</v>
      </c>
      <c r="B900" s="31" t="s">
        <v>829</v>
      </c>
      <c r="C900" s="15" t="s">
        <v>3</v>
      </c>
      <c r="D900" s="31" t="s">
        <v>500</v>
      </c>
      <c r="E900" s="31"/>
      <c r="F900" s="73" t="s">
        <v>11</v>
      </c>
      <c r="G900" s="32">
        <v>20090</v>
      </c>
      <c r="H900" s="29">
        <v>1528</v>
      </c>
      <c r="I900" s="17">
        <v>0</v>
      </c>
      <c r="J900" s="17">
        <f t="shared" si="144"/>
        <v>1451.6</v>
      </c>
      <c r="K900" s="17">
        <f t="shared" si="138"/>
        <v>76.400000000000091</v>
      </c>
      <c r="L900" s="23">
        <f t="shared" si="146"/>
        <v>76.400000000000006</v>
      </c>
      <c r="M900" s="33">
        <v>25</v>
      </c>
      <c r="N900" s="18">
        <f t="shared" si="139"/>
        <v>65.295890410958904</v>
      </c>
      <c r="O900" s="23">
        <v>19676.400000000001</v>
      </c>
      <c r="P900" s="18">
        <f t="shared" si="140"/>
        <v>66.295890410958904</v>
      </c>
      <c r="Q900" s="18">
        <f t="shared" si="145"/>
        <v>3.4106051316484808E-15</v>
      </c>
      <c r="R900" s="18">
        <f t="shared" si="141"/>
        <v>19676.400000000001</v>
      </c>
      <c r="S900" s="18">
        <f t="shared" si="143"/>
        <v>76.400000000000006</v>
      </c>
    </row>
    <row r="901" spans="1:19" ht="15" customHeight="1" x14ac:dyDescent="0.2">
      <c r="A901" s="14">
        <f t="shared" si="142"/>
        <v>865</v>
      </c>
      <c r="B901" s="31" t="s">
        <v>830</v>
      </c>
      <c r="C901" s="15" t="s">
        <v>3</v>
      </c>
      <c r="D901" s="31" t="s">
        <v>500</v>
      </c>
      <c r="E901" s="31"/>
      <c r="F901" s="73" t="s">
        <v>11</v>
      </c>
      <c r="G901" s="32">
        <v>35011</v>
      </c>
      <c r="H901" s="29">
        <v>48425</v>
      </c>
      <c r="I901" s="17">
        <v>0</v>
      </c>
      <c r="J901" s="17">
        <v>37564.267534246581</v>
      </c>
      <c r="K901" s="17">
        <f t="shared" si="138"/>
        <v>10860.732465753419</v>
      </c>
      <c r="L901" s="23">
        <f t="shared" si="146"/>
        <v>2421.25</v>
      </c>
      <c r="M901" s="33">
        <v>25</v>
      </c>
      <c r="N901" s="18">
        <f t="shared" si="139"/>
        <v>24.416438356164385</v>
      </c>
      <c r="O901" s="23">
        <v>13653.4</v>
      </c>
      <c r="P901" s="18">
        <f t="shared" si="140"/>
        <v>25.416438356164385</v>
      </c>
      <c r="Q901" s="18">
        <f t="shared" si="145"/>
        <v>337.57929863013675</v>
      </c>
      <c r="R901" s="18">
        <f t="shared" si="141"/>
        <v>13990.979298630136</v>
      </c>
      <c r="S901" s="18">
        <f t="shared" si="143"/>
        <v>2421.25</v>
      </c>
    </row>
    <row r="902" spans="1:19" ht="15" customHeight="1" x14ac:dyDescent="0.2">
      <c r="A902" s="14">
        <f t="shared" si="142"/>
        <v>866</v>
      </c>
      <c r="B902" s="31" t="s">
        <v>831</v>
      </c>
      <c r="C902" s="15" t="s">
        <v>3</v>
      </c>
      <c r="D902" s="31" t="s">
        <v>500</v>
      </c>
      <c r="E902" s="31"/>
      <c r="F902" s="73" t="s">
        <v>11</v>
      </c>
      <c r="G902" s="32">
        <v>35014</v>
      </c>
      <c r="H902" s="29">
        <v>2260675</v>
      </c>
      <c r="I902" s="17">
        <v>0</v>
      </c>
      <c r="J902" s="17">
        <v>1752945.9758904108</v>
      </c>
      <c r="K902" s="17">
        <f t="shared" si="138"/>
        <v>507729.02410958917</v>
      </c>
      <c r="L902" s="23">
        <f t="shared" si="146"/>
        <v>113033.75</v>
      </c>
      <c r="M902" s="33">
        <v>25</v>
      </c>
      <c r="N902" s="18">
        <f t="shared" si="139"/>
        <v>24.408219178082192</v>
      </c>
      <c r="O902" s="23">
        <v>11971.9</v>
      </c>
      <c r="P902" s="18">
        <f t="shared" si="140"/>
        <v>25.408219178082192</v>
      </c>
      <c r="Q902" s="18">
        <f t="shared" si="145"/>
        <v>15787.810964383567</v>
      </c>
      <c r="R902" s="18">
        <f t="shared" si="141"/>
        <v>27759.710964383565</v>
      </c>
      <c r="S902" s="18">
        <f t="shared" si="143"/>
        <v>113033.75</v>
      </c>
    </row>
    <row r="903" spans="1:19" ht="15" customHeight="1" x14ac:dyDescent="0.2">
      <c r="A903" s="14">
        <f t="shared" si="142"/>
        <v>867</v>
      </c>
      <c r="B903" s="31" t="s">
        <v>652</v>
      </c>
      <c r="C903" s="15" t="s">
        <v>3</v>
      </c>
      <c r="D903" s="31" t="s">
        <v>500</v>
      </c>
      <c r="E903" s="31"/>
      <c r="F903" s="73" t="s">
        <v>11</v>
      </c>
      <c r="G903" s="32">
        <v>35014</v>
      </c>
      <c r="H903" s="29">
        <v>1084540</v>
      </c>
      <c r="I903" s="17">
        <v>0</v>
      </c>
      <c r="J903" s="17">
        <v>840961.23002739716</v>
      </c>
      <c r="K903" s="17">
        <f t="shared" si="138"/>
        <v>243578.76997260284</v>
      </c>
      <c r="L903" s="23">
        <f t="shared" si="146"/>
        <v>54227</v>
      </c>
      <c r="M903" s="33">
        <v>25</v>
      </c>
      <c r="N903" s="18">
        <f t="shared" si="139"/>
        <v>24.408219178082192</v>
      </c>
      <c r="O903" s="23">
        <v>3731.6</v>
      </c>
      <c r="P903" s="18">
        <f t="shared" si="140"/>
        <v>25.408219178082192</v>
      </c>
      <c r="Q903" s="18">
        <f t="shared" si="145"/>
        <v>7574.0707989041139</v>
      </c>
      <c r="R903" s="18">
        <f t="shared" si="141"/>
        <v>11305.670798904113</v>
      </c>
      <c r="S903" s="18">
        <f t="shared" si="143"/>
        <v>54227</v>
      </c>
    </row>
    <row r="904" spans="1:19" ht="15" customHeight="1" x14ac:dyDescent="0.2">
      <c r="A904" s="14">
        <f t="shared" si="142"/>
        <v>868</v>
      </c>
      <c r="B904" s="31" t="s">
        <v>832</v>
      </c>
      <c r="C904" s="15" t="s">
        <v>3</v>
      </c>
      <c r="D904" s="31" t="s">
        <v>500</v>
      </c>
      <c r="E904" s="31"/>
      <c r="F904" s="73" t="s">
        <v>11</v>
      </c>
      <c r="G904" s="32">
        <v>35014</v>
      </c>
      <c r="H904" s="29">
        <v>971471</v>
      </c>
      <c r="I904" s="17">
        <v>0</v>
      </c>
      <c r="J904" s="17">
        <v>753286.59809315077</v>
      </c>
      <c r="K904" s="17">
        <f t="shared" si="138"/>
        <v>218184.40190684923</v>
      </c>
      <c r="L904" s="23">
        <f t="shared" si="146"/>
        <v>48573.55</v>
      </c>
      <c r="M904" s="33">
        <v>25</v>
      </c>
      <c r="N904" s="18">
        <f t="shared" si="139"/>
        <v>24.408219178082192</v>
      </c>
      <c r="O904" s="23">
        <v>98097.95</v>
      </c>
      <c r="P904" s="18">
        <f t="shared" si="140"/>
        <v>25.408219178082192</v>
      </c>
      <c r="Q904" s="18">
        <f t="shared" si="145"/>
        <v>6784.4340762739703</v>
      </c>
      <c r="R904" s="18">
        <f t="shared" si="141"/>
        <v>104882.38407627397</v>
      </c>
      <c r="S904" s="18">
        <f t="shared" si="143"/>
        <v>48573.55</v>
      </c>
    </row>
    <row r="905" spans="1:19" ht="15" customHeight="1" x14ac:dyDescent="0.2">
      <c r="A905" s="14">
        <f t="shared" si="142"/>
        <v>869</v>
      </c>
      <c r="B905" s="31" t="s">
        <v>571</v>
      </c>
      <c r="C905" s="15" t="s">
        <v>3</v>
      </c>
      <c r="D905" s="31" t="s">
        <v>500</v>
      </c>
      <c r="E905" s="31"/>
      <c r="F905" s="73" t="s">
        <v>15</v>
      </c>
      <c r="G905" s="32">
        <v>35014</v>
      </c>
      <c r="H905" s="29">
        <v>757275</v>
      </c>
      <c r="I905" s="17">
        <v>0</v>
      </c>
      <c r="J905" s="17">
        <v>587197.25917808223</v>
      </c>
      <c r="K905" s="17">
        <f t="shared" si="138"/>
        <v>170077.74082191777</v>
      </c>
      <c r="L905" s="23">
        <f t="shared" si="146"/>
        <v>37863.75</v>
      </c>
      <c r="M905" s="33">
        <v>25</v>
      </c>
      <c r="N905" s="18">
        <f t="shared" si="139"/>
        <v>24.408219178082192</v>
      </c>
      <c r="O905" s="23">
        <v>331072.15000000002</v>
      </c>
      <c r="P905" s="18">
        <f t="shared" si="140"/>
        <v>25.408219178082192</v>
      </c>
      <c r="Q905" s="18">
        <f t="shared" si="145"/>
        <v>5288.5596328767115</v>
      </c>
      <c r="R905" s="18">
        <f t="shared" si="141"/>
        <v>336360.70963287674</v>
      </c>
      <c r="S905" s="18">
        <f t="shared" si="143"/>
        <v>37863.75</v>
      </c>
    </row>
    <row r="906" spans="1:19" ht="15" customHeight="1" x14ac:dyDescent="0.2">
      <c r="A906" s="14">
        <f t="shared" si="142"/>
        <v>870</v>
      </c>
      <c r="B906" s="31" t="s">
        <v>833</v>
      </c>
      <c r="C906" s="15" t="s">
        <v>3</v>
      </c>
      <c r="D906" s="31" t="s">
        <v>500</v>
      </c>
      <c r="E906" s="31"/>
      <c r="F906" s="73" t="s">
        <v>8</v>
      </c>
      <c r="G906" s="32">
        <v>35014</v>
      </c>
      <c r="H906" s="29">
        <v>450436</v>
      </c>
      <c r="I906" s="17">
        <v>0</v>
      </c>
      <c r="J906" s="17">
        <v>349271.77661369863</v>
      </c>
      <c r="K906" s="17">
        <f t="shared" si="138"/>
        <v>101164.22338630137</v>
      </c>
      <c r="L906" s="23">
        <f t="shared" si="146"/>
        <v>22521.800000000003</v>
      </c>
      <c r="M906" s="33">
        <v>25</v>
      </c>
      <c r="N906" s="18">
        <f t="shared" si="139"/>
        <v>24.408219178082192</v>
      </c>
      <c r="O906" s="23">
        <v>178771</v>
      </c>
      <c r="P906" s="18">
        <f t="shared" si="140"/>
        <v>25.408219178082192</v>
      </c>
      <c r="Q906" s="18">
        <f t="shared" si="145"/>
        <v>3145.6969354520547</v>
      </c>
      <c r="R906" s="18">
        <f t="shared" si="141"/>
        <v>181916.69693545206</v>
      </c>
      <c r="S906" s="18">
        <f t="shared" si="143"/>
        <v>22521.800000000003</v>
      </c>
    </row>
    <row r="907" spans="1:19" ht="15" customHeight="1" x14ac:dyDescent="0.2">
      <c r="A907" s="14">
        <f t="shared" si="142"/>
        <v>871</v>
      </c>
      <c r="B907" s="31" t="s">
        <v>834</v>
      </c>
      <c r="C907" s="15" t="s">
        <v>3</v>
      </c>
      <c r="D907" s="31" t="s">
        <v>500</v>
      </c>
      <c r="E907" s="31"/>
      <c r="F907" s="70" t="s">
        <v>7</v>
      </c>
      <c r="G907" s="32">
        <v>37587</v>
      </c>
      <c r="H907" s="29">
        <v>108296</v>
      </c>
      <c r="I907" s="17">
        <v>0</v>
      </c>
      <c r="J907" s="17">
        <f t="shared" ref="J907" si="147">H907-L907</f>
        <v>102881.2</v>
      </c>
      <c r="K907" s="17">
        <f t="shared" si="138"/>
        <v>5414.8000000000029</v>
      </c>
      <c r="L907" s="23">
        <f t="shared" si="146"/>
        <v>5414.8</v>
      </c>
      <c r="M907" s="33">
        <v>15</v>
      </c>
      <c r="N907" s="18">
        <f t="shared" si="139"/>
        <v>17.358904109589041</v>
      </c>
      <c r="O907" s="23">
        <v>17874.25</v>
      </c>
      <c r="P907" s="18">
        <f t="shared" si="140"/>
        <v>18.358904109589041</v>
      </c>
      <c r="Q907" s="18">
        <f t="shared" si="145"/>
        <v>1.8189894035458566E-13</v>
      </c>
      <c r="R907" s="18">
        <f t="shared" si="141"/>
        <v>17874.25</v>
      </c>
      <c r="S907" s="18">
        <f t="shared" si="143"/>
        <v>5414.8</v>
      </c>
    </row>
    <row r="908" spans="1:19" ht="15" customHeight="1" x14ac:dyDescent="0.2">
      <c r="A908" s="14">
        <f t="shared" si="142"/>
        <v>872</v>
      </c>
      <c r="B908" s="31" t="s">
        <v>835</v>
      </c>
      <c r="C908" s="15" t="s">
        <v>3</v>
      </c>
      <c r="D908" s="31" t="s">
        <v>500</v>
      </c>
      <c r="E908" s="31"/>
      <c r="F908" s="73" t="s">
        <v>8</v>
      </c>
      <c r="G908" s="32">
        <v>35014</v>
      </c>
      <c r="H908" s="29">
        <v>257498</v>
      </c>
      <c r="I908" s="17">
        <v>0</v>
      </c>
      <c r="J908" s="17">
        <v>199666.06562191783</v>
      </c>
      <c r="K908" s="17">
        <f t="shared" si="138"/>
        <v>57831.934378082165</v>
      </c>
      <c r="L908" s="23">
        <f t="shared" si="146"/>
        <v>12874.900000000001</v>
      </c>
      <c r="M908" s="33">
        <v>25</v>
      </c>
      <c r="N908" s="18">
        <f t="shared" si="139"/>
        <v>24.408219178082192</v>
      </c>
      <c r="O908" s="23">
        <v>1224878.7</v>
      </c>
      <c r="P908" s="18">
        <f t="shared" si="140"/>
        <v>25.408219178082192</v>
      </c>
      <c r="Q908" s="18">
        <f t="shared" si="145"/>
        <v>1798.2813751232866</v>
      </c>
      <c r="R908" s="18">
        <f t="shared" si="141"/>
        <v>1226676.9813751231</v>
      </c>
      <c r="S908" s="18">
        <f t="shared" si="143"/>
        <v>12874.900000000001</v>
      </c>
    </row>
    <row r="909" spans="1:19" ht="15" customHeight="1" x14ac:dyDescent="0.2">
      <c r="A909" s="14">
        <f t="shared" si="142"/>
        <v>873</v>
      </c>
      <c r="B909" s="31" t="s">
        <v>836</v>
      </c>
      <c r="C909" s="15" t="s">
        <v>3</v>
      </c>
      <c r="D909" s="31" t="s">
        <v>500</v>
      </c>
      <c r="E909" s="31"/>
      <c r="F909" s="73" t="s">
        <v>8</v>
      </c>
      <c r="G909" s="32">
        <v>35014</v>
      </c>
      <c r="H909" s="29">
        <v>249458</v>
      </c>
      <c r="I909" s="17">
        <v>0</v>
      </c>
      <c r="J909" s="17">
        <v>193431.78353972605</v>
      </c>
      <c r="K909" s="17">
        <f t="shared" si="138"/>
        <v>56026.21646027395</v>
      </c>
      <c r="L909" s="23">
        <f t="shared" si="146"/>
        <v>12472.900000000001</v>
      </c>
      <c r="M909" s="33">
        <v>25</v>
      </c>
      <c r="N909" s="18">
        <f t="shared" si="139"/>
        <v>24.408219178082192</v>
      </c>
      <c r="O909" s="23">
        <v>20181.8</v>
      </c>
      <c r="P909" s="18">
        <f t="shared" si="140"/>
        <v>25.408219178082192</v>
      </c>
      <c r="Q909" s="18">
        <f t="shared" si="145"/>
        <v>1742.1326584109579</v>
      </c>
      <c r="R909" s="18">
        <f t="shared" si="141"/>
        <v>21923.932658410959</v>
      </c>
      <c r="S909" s="18">
        <f t="shared" si="143"/>
        <v>12472.900000000001</v>
      </c>
    </row>
    <row r="910" spans="1:19" ht="15" customHeight="1" x14ac:dyDescent="0.2">
      <c r="A910" s="14">
        <f t="shared" si="142"/>
        <v>874</v>
      </c>
      <c r="B910" s="31" t="s">
        <v>837</v>
      </c>
      <c r="C910" s="15" t="s">
        <v>3</v>
      </c>
      <c r="D910" s="31" t="s">
        <v>500</v>
      </c>
      <c r="E910" s="31"/>
      <c r="F910" s="73" t="s">
        <v>8</v>
      </c>
      <c r="G910" s="32">
        <v>25569</v>
      </c>
      <c r="H910" s="29">
        <v>45183</v>
      </c>
      <c r="I910" s="17">
        <v>0</v>
      </c>
      <c r="J910" s="17">
        <f t="shared" ref="J910" si="148">H910-L910</f>
        <v>42923.85</v>
      </c>
      <c r="K910" s="17">
        <f t="shared" si="138"/>
        <v>2259.1500000000015</v>
      </c>
      <c r="L910" s="23">
        <f t="shared" si="146"/>
        <v>2259.15</v>
      </c>
      <c r="M910" s="33">
        <v>10</v>
      </c>
      <c r="N910" s="18">
        <f t="shared" si="139"/>
        <v>50.284931506849318</v>
      </c>
      <c r="O910" s="23">
        <v>16302</v>
      </c>
      <c r="P910" s="18">
        <f t="shared" si="140"/>
        <v>51.284931506849318</v>
      </c>
      <c r="Q910" s="18">
        <f t="shared" si="145"/>
        <v>1.3642420526593926E-13</v>
      </c>
      <c r="R910" s="18">
        <f t="shared" si="141"/>
        <v>16302</v>
      </c>
      <c r="S910" s="18">
        <f t="shared" si="143"/>
        <v>2259.15</v>
      </c>
    </row>
    <row r="911" spans="1:19" ht="15" customHeight="1" x14ac:dyDescent="0.2">
      <c r="A911" s="14">
        <f t="shared" si="142"/>
        <v>875</v>
      </c>
      <c r="B911" s="31" t="s">
        <v>589</v>
      </c>
      <c r="C911" s="15" t="s">
        <v>3</v>
      </c>
      <c r="D911" s="31" t="s">
        <v>500</v>
      </c>
      <c r="E911" s="31"/>
      <c r="F911" s="73" t="s">
        <v>11</v>
      </c>
      <c r="G911" s="32">
        <v>35014</v>
      </c>
      <c r="H911" s="29">
        <v>218827</v>
      </c>
      <c r="I911" s="17">
        <v>0</v>
      </c>
      <c r="J911" s="17">
        <v>169680.25437808217</v>
      </c>
      <c r="K911" s="17">
        <f t="shared" si="138"/>
        <v>49146.745621917828</v>
      </c>
      <c r="L911" s="23">
        <f t="shared" si="146"/>
        <v>10941.35</v>
      </c>
      <c r="M911" s="33">
        <v>25</v>
      </c>
      <c r="N911" s="18">
        <f t="shared" si="139"/>
        <v>24.408219178082192</v>
      </c>
      <c r="O911" s="23">
        <v>63097.1</v>
      </c>
      <c r="P911" s="18">
        <f t="shared" si="140"/>
        <v>25.408219178082192</v>
      </c>
      <c r="Q911" s="18">
        <f t="shared" si="145"/>
        <v>1528.2158248767132</v>
      </c>
      <c r="R911" s="18">
        <f t="shared" si="141"/>
        <v>64625.315824876714</v>
      </c>
      <c r="S911" s="18">
        <f t="shared" si="143"/>
        <v>10941.35</v>
      </c>
    </row>
    <row r="912" spans="1:19" ht="15" customHeight="1" x14ac:dyDescent="0.2">
      <c r="A912" s="14">
        <f t="shared" si="142"/>
        <v>876</v>
      </c>
      <c r="B912" s="31" t="s">
        <v>838</v>
      </c>
      <c r="C912" s="15" t="s">
        <v>3</v>
      </c>
      <c r="D912" s="31" t="s">
        <v>500</v>
      </c>
      <c r="E912" s="31"/>
      <c r="F912" s="73" t="s">
        <v>12</v>
      </c>
      <c r="G912" s="32">
        <v>35014</v>
      </c>
      <c r="H912" s="29">
        <v>172420</v>
      </c>
      <c r="I912" s="17">
        <v>0</v>
      </c>
      <c r="J912" s="17">
        <v>133695.88515068495</v>
      </c>
      <c r="K912" s="17">
        <f t="shared" si="138"/>
        <v>38724.114849315054</v>
      </c>
      <c r="L912" s="23">
        <f t="shared" si="146"/>
        <v>8621</v>
      </c>
      <c r="M912" s="33">
        <v>25</v>
      </c>
      <c r="N912" s="18">
        <f t="shared" si="139"/>
        <v>24.408219178082192</v>
      </c>
      <c r="O912" s="23">
        <v>13982.1</v>
      </c>
      <c r="P912" s="18">
        <f t="shared" si="140"/>
        <v>25.408219178082192</v>
      </c>
      <c r="Q912" s="18">
        <f t="shared" si="145"/>
        <v>1204.1245939726023</v>
      </c>
      <c r="R912" s="18">
        <f t="shared" si="141"/>
        <v>15186.224593972602</v>
      </c>
      <c r="S912" s="18">
        <f t="shared" si="143"/>
        <v>8621</v>
      </c>
    </row>
    <row r="913" spans="1:19" ht="15" customHeight="1" x14ac:dyDescent="0.2">
      <c r="A913" s="14">
        <f t="shared" si="142"/>
        <v>877</v>
      </c>
      <c r="B913" s="31" t="s">
        <v>839</v>
      </c>
      <c r="C913" s="15" t="s">
        <v>3</v>
      </c>
      <c r="D913" s="31" t="s">
        <v>500</v>
      </c>
      <c r="E913" s="31"/>
      <c r="F913" s="73" t="s">
        <v>13</v>
      </c>
      <c r="G913" s="32">
        <v>35014</v>
      </c>
      <c r="H913" s="29">
        <v>169232</v>
      </c>
      <c r="I913" s="17">
        <v>0</v>
      </c>
      <c r="J913" s="17">
        <v>131223.88374794522</v>
      </c>
      <c r="K913" s="17">
        <f t="shared" si="138"/>
        <v>38008.11625205478</v>
      </c>
      <c r="L913" s="23">
        <f t="shared" si="146"/>
        <v>8461.6</v>
      </c>
      <c r="M913" s="33">
        <v>25</v>
      </c>
      <c r="N913" s="18">
        <f t="shared" si="139"/>
        <v>24.408219178082192</v>
      </c>
      <c r="O913" s="23">
        <v>135780.62150000001</v>
      </c>
      <c r="P913" s="18">
        <f t="shared" si="140"/>
        <v>25.408219178082192</v>
      </c>
      <c r="Q913" s="18">
        <f t="shared" si="145"/>
        <v>1181.8606500821913</v>
      </c>
      <c r="R913" s="18">
        <f t="shared" si="141"/>
        <v>136962.48215008219</v>
      </c>
      <c r="S913" s="18">
        <f t="shared" si="143"/>
        <v>8461.6</v>
      </c>
    </row>
    <row r="914" spans="1:19" ht="15" customHeight="1" x14ac:dyDescent="0.2">
      <c r="A914" s="14">
        <f t="shared" si="142"/>
        <v>878</v>
      </c>
      <c r="B914" s="31" t="s">
        <v>840</v>
      </c>
      <c r="C914" s="15" t="s">
        <v>3</v>
      </c>
      <c r="D914" s="31" t="s">
        <v>500</v>
      </c>
      <c r="E914" s="31"/>
      <c r="F914" s="73" t="s">
        <v>4</v>
      </c>
      <c r="G914" s="32">
        <v>20455</v>
      </c>
      <c r="H914" s="29">
        <v>75065</v>
      </c>
      <c r="I914" s="17">
        <v>0</v>
      </c>
      <c r="J914" s="17">
        <f t="shared" ref="J914" si="149">H914-L914</f>
        <v>71311.75</v>
      </c>
      <c r="K914" s="17">
        <f t="shared" si="138"/>
        <v>3753.25</v>
      </c>
      <c r="L914" s="23">
        <f t="shared" si="146"/>
        <v>3753.25</v>
      </c>
      <c r="M914" s="33">
        <v>25</v>
      </c>
      <c r="N914" s="18">
        <f t="shared" si="139"/>
        <v>64.295890410958904</v>
      </c>
      <c r="O914" s="23">
        <v>23904.85</v>
      </c>
      <c r="P914" s="18">
        <f t="shared" si="140"/>
        <v>65.295890410958904</v>
      </c>
      <c r="Q914" s="18">
        <f t="shared" si="145"/>
        <v>0</v>
      </c>
      <c r="R914" s="18">
        <f t="shared" si="141"/>
        <v>23904.85</v>
      </c>
      <c r="S914" s="18">
        <f t="shared" si="143"/>
        <v>3753.25</v>
      </c>
    </row>
    <row r="915" spans="1:19" ht="15" customHeight="1" x14ac:dyDescent="0.2">
      <c r="A915" s="14">
        <f t="shared" si="142"/>
        <v>879</v>
      </c>
      <c r="B915" s="31" t="s">
        <v>841</v>
      </c>
      <c r="C915" s="15" t="s">
        <v>3</v>
      </c>
      <c r="D915" s="31" t="s">
        <v>500</v>
      </c>
      <c r="E915" s="31"/>
      <c r="F915" s="73" t="s">
        <v>11</v>
      </c>
      <c r="G915" s="32">
        <v>35043</v>
      </c>
      <c r="H915" s="29">
        <v>2511871</v>
      </c>
      <c r="I915" s="17">
        <v>0</v>
      </c>
      <c r="J915" s="17">
        <v>1940141.6330465754</v>
      </c>
      <c r="K915" s="17">
        <f t="shared" si="138"/>
        <v>571729.36695342464</v>
      </c>
      <c r="L915" s="23">
        <f t="shared" si="146"/>
        <v>125593.55</v>
      </c>
      <c r="M915" s="33">
        <v>25</v>
      </c>
      <c r="N915" s="18">
        <f t="shared" si="139"/>
        <v>24.328767123287673</v>
      </c>
      <c r="O915" s="23">
        <v>1656318.35</v>
      </c>
      <c r="P915" s="18">
        <f t="shared" si="140"/>
        <v>25.328767123287673</v>
      </c>
      <c r="Q915" s="18">
        <f t="shared" si="145"/>
        <v>17845.432678136985</v>
      </c>
      <c r="R915" s="18">
        <f t="shared" si="141"/>
        <v>1674163.7826781371</v>
      </c>
      <c r="S915" s="18">
        <f t="shared" si="143"/>
        <v>125593.55</v>
      </c>
    </row>
    <row r="916" spans="1:19" ht="15" customHeight="1" x14ac:dyDescent="0.2">
      <c r="A916" s="14">
        <f t="shared" si="142"/>
        <v>880</v>
      </c>
      <c r="B916" s="31" t="s">
        <v>842</v>
      </c>
      <c r="C916" s="15" t="s">
        <v>3</v>
      </c>
      <c r="D916" s="31" t="s">
        <v>500</v>
      </c>
      <c r="E916" s="31"/>
      <c r="F916" s="73" t="s">
        <v>11</v>
      </c>
      <c r="G916" s="32">
        <v>35082</v>
      </c>
      <c r="H916" s="29">
        <v>448069</v>
      </c>
      <c r="I916" s="17">
        <v>0</v>
      </c>
      <c r="J916" s="17">
        <v>344264.30235616438</v>
      </c>
      <c r="K916" s="17">
        <f t="shared" si="138"/>
        <v>103804.69764383562</v>
      </c>
      <c r="L916" s="23">
        <f t="shared" si="146"/>
        <v>22403.45</v>
      </c>
      <c r="M916" s="33">
        <v>25</v>
      </c>
      <c r="N916" s="18">
        <f t="shared" si="139"/>
        <v>24.221917808219178</v>
      </c>
      <c r="O916" s="23">
        <v>4041.3</v>
      </c>
      <c r="P916" s="18">
        <f t="shared" si="140"/>
        <v>25.221917808219178</v>
      </c>
      <c r="Q916" s="18">
        <f t="shared" si="145"/>
        <v>3256.0499057534253</v>
      </c>
      <c r="R916" s="18">
        <f t="shared" si="141"/>
        <v>7297.3499057534254</v>
      </c>
      <c r="S916" s="18">
        <f t="shared" si="143"/>
        <v>22403.45</v>
      </c>
    </row>
    <row r="917" spans="1:19" ht="15" customHeight="1" x14ac:dyDescent="0.2">
      <c r="A917" s="14">
        <f t="shared" si="142"/>
        <v>881</v>
      </c>
      <c r="B917" s="31" t="s">
        <v>843</v>
      </c>
      <c r="C917" s="15" t="s">
        <v>3</v>
      </c>
      <c r="D917" s="31" t="s">
        <v>500</v>
      </c>
      <c r="E917" s="31"/>
      <c r="F917" s="73" t="s">
        <v>11</v>
      </c>
      <c r="G917" s="32">
        <v>35082</v>
      </c>
      <c r="H917" s="29">
        <v>202518</v>
      </c>
      <c r="I917" s="17">
        <v>0</v>
      </c>
      <c r="J917" s="17">
        <v>155600.40526027398</v>
      </c>
      <c r="K917" s="17">
        <f t="shared" si="138"/>
        <v>46917.594739726017</v>
      </c>
      <c r="L917" s="23">
        <f t="shared" si="146"/>
        <v>10125.900000000001</v>
      </c>
      <c r="M917" s="33">
        <v>25</v>
      </c>
      <c r="N917" s="18">
        <f t="shared" si="139"/>
        <v>24.221917808219178</v>
      </c>
      <c r="O917" s="23">
        <v>4465.95</v>
      </c>
      <c r="P917" s="18">
        <f t="shared" si="140"/>
        <v>25.221917808219178</v>
      </c>
      <c r="Q917" s="18">
        <f t="shared" si="145"/>
        <v>1471.6677895890407</v>
      </c>
      <c r="R917" s="18">
        <f t="shared" si="141"/>
        <v>5937.6177895890405</v>
      </c>
      <c r="S917" s="18">
        <f t="shared" si="143"/>
        <v>10125.900000000001</v>
      </c>
    </row>
    <row r="918" spans="1:19" ht="15" customHeight="1" x14ac:dyDescent="0.2">
      <c r="A918" s="14">
        <f t="shared" si="142"/>
        <v>882</v>
      </c>
      <c r="B918" s="31" t="s">
        <v>844</v>
      </c>
      <c r="C918" s="15" t="s">
        <v>3</v>
      </c>
      <c r="D918" s="31" t="s">
        <v>500</v>
      </c>
      <c r="E918" s="31"/>
      <c r="F918" s="73" t="s">
        <v>11</v>
      </c>
      <c r="G918" s="32">
        <v>20455</v>
      </c>
      <c r="H918" s="29">
        <v>64491</v>
      </c>
      <c r="I918" s="17">
        <v>0</v>
      </c>
      <c r="J918" s="17">
        <f t="shared" ref="J918" si="150">H918-L918</f>
        <v>61266.45</v>
      </c>
      <c r="K918" s="17">
        <f t="shared" si="138"/>
        <v>3224.5500000000029</v>
      </c>
      <c r="L918" s="23">
        <f t="shared" si="146"/>
        <v>3224.55</v>
      </c>
      <c r="M918" s="33">
        <v>25</v>
      </c>
      <c r="N918" s="18">
        <f t="shared" si="139"/>
        <v>64.295890410958904</v>
      </c>
      <c r="O918" s="23">
        <v>1081294.75</v>
      </c>
      <c r="P918" s="18">
        <f t="shared" si="140"/>
        <v>65.295890410958904</v>
      </c>
      <c r="Q918" s="18">
        <f t="shared" si="145"/>
        <v>1.0913936421275138E-13</v>
      </c>
      <c r="R918" s="18">
        <f t="shared" si="141"/>
        <v>1081294.75</v>
      </c>
      <c r="S918" s="18">
        <f t="shared" si="143"/>
        <v>3224.55</v>
      </c>
    </row>
    <row r="919" spans="1:19" ht="15" customHeight="1" x14ac:dyDescent="0.2">
      <c r="A919" s="14">
        <f t="shared" si="142"/>
        <v>883</v>
      </c>
      <c r="B919" s="31" t="s">
        <v>845</v>
      </c>
      <c r="C919" s="15" t="s">
        <v>3</v>
      </c>
      <c r="D919" s="31" t="s">
        <v>500</v>
      </c>
      <c r="E919" s="31"/>
      <c r="F919" s="73" t="s">
        <v>11</v>
      </c>
      <c r="G919" s="32">
        <v>35095</v>
      </c>
      <c r="H919" s="29">
        <v>4365950</v>
      </c>
      <c r="I919" s="17">
        <v>0</v>
      </c>
      <c r="J919" s="17">
        <v>3348575.9964383566</v>
      </c>
      <c r="K919" s="17">
        <f t="shared" si="138"/>
        <v>1017374.0035616434</v>
      </c>
      <c r="L919" s="23">
        <f t="shared" si="146"/>
        <v>218297.5</v>
      </c>
      <c r="M919" s="33">
        <v>25</v>
      </c>
      <c r="N919" s="18">
        <f t="shared" si="139"/>
        <v>24.186301369863013</v>
      </c>
      <c r="O919" s="23">
        <v>1515.25</v>
      </c>
      <c r="P919" s="18">
        <f t="shared" si="140"/>
        <v>25.186301369863013</v>
      </c>
      <c r="Q919" s="18">
        <f t="shared" si="145"/>
        <v>31963.060142465736</v>
      </c>
      <c r="R919" s="18">
        <f t="shared" si="141"/>
        <v>33478.310142465736</v>
      </c>
      <c r="S919" s="18">
        <f t="shared" si="143"/>
        <v>218297.5</v>
      </c>
    </row>
    <row r="920" spans="1:19" ht="15" customHeight="1" x14ac:dyDescent="0.2">
      <c r="A920" s="14">
        <f t="shared" si="142"/>
        <v>884</v>
      </c>
      <c r="B920" s="31" t="s">
        <v>846</v>
      </c>
      <c r="C920" s="15" t="s">
        <v>3</v>
      </c>
      <c r="D920" s="31" t="s">
        <v>500</v>
      </c>
      <c r="E920" s="31"/>
      <c r="F920" s="73" t="s">
        <v>11</v>
      </c>
      <c r="G920" s="32">
        <v>35105</v>
      </c>
      <c r="H920" s="29">
        <v>2339565</v>
      </c>
      <c r="I920" s="17">
        <v>0</v>
      </c>
      <c r="J920" s="17">
        <v>1791952.9555890411</v>
      </c>
      <c r="K920" s="17">
        <f t="shared" si="138"/>
        <v>547612.04441095889</v>
      </c>
      <c r="L920" s="23">
        <f t="shared" si="146"/>
        <v>116978.25</v>
      </c>
      <c r="M920" s="33">
        <v>25</v>
      </c>
      <c r="N920" s="18">
        <f t="shared" si="139"/>
        <v>24.158904109589042</v>
      </c>
      <c r="O920" s="23">
        <v>22628.05</v>
      </c>
      <c r="P920" s="18">
        <f t="shared" si="140"/>
        <v>25.158904109589042</v>
      </c>
      <c r="Q920" s="18">
        <f t="shared" si="145"/>
        <v>17225.351776438354</v>
      </c>
      <c r="R920" s="18">
        <f t="shared" si="141"/>
        <v>39853.401776438353</v>
      </c>
      <c r="S920" s="18">
        <f t="shared" si="143"/>
        <v>116978.25</v>
      </c>
    </row>
    <row r="921" spans="1:19" ht="15" customHeight="1" x14ac:dyDescent="0.2">
      <c r="A921" s="14">
        <f t="shared" si="142"/>
        <v>885</v>
      </c>
      <c r="B921" s="31" t="s">
        <v>847</v>
      </c>
      <c r="C921" s="15" t="s">
        <v>3</v>
      </c>
      <c r="D921" s="31" t="s">
        <v>500</v>
      </c>
      <c r="E921" s="31"/>
      <c r="F921" s="73" t="s">
        <v>11</v>
      </c>
      <c r="G921" s="32">
        <v>20455</v>
      </c>
      <c r="H921" s="29">
        <v>40632</v>
      </c>
      <c r="I921" s="17">
        <v>0</v>
      </c>
      <c r="J921" s="17">
        <f t="shared" ref="J921:J927" si="151">H921-L921</f>
        <v>38600.400000000001</v>
      </c>
      <c r="K921" s="17">
        <f t="shared" si="138"/>
        <v>2031.5999999999985</v>
      </c>
      <c r="L921" s="23">
        <f t="shared" si="146"/>
        <v>2031.6000000000001</v>
      </c>
      <c r="M921" s="33">
        <v>25</v>
      </c>
      <c r="N921" s="18">
        <f t="shared" si="139"/>
        <v>64.295890410958904</v>
      </c>
      <c r="O921" s="23">
        <v>16684.849999999999</v>
      </c>
      <c r="P921" s="18">
        <f t="shared" si="140"/>
        <v>65.295890410958904</v>
      </c>
      <c r="Q921" s="18">
        <f t="shared" si="145"/>
        <v>-6.3664629124104983E-14</v>
      </c>
      <c r="R921" s="18">
        <f t="shared" si="141"/>
        <v>16684.849999999999</v>
      </c>
      <c r="S921" s="18">
        <f t="shared" si="143"/>
        <v>2031.6000000000001</v>
      </c>
    </row>
    <row r="922" spans="1:19" ht="15" customHeight="1" x14ac:dyDescent="0.2">
      <c r="A922" s="14">
        <f t="shared" si="142"/>
        <v>886</v>
      </c>
      <c r="B922" s="31" t="s">
        <v>848</v>
      </c>
      <c r="C922" s="15" t="s">
        <v>3</v>
      </c>
      <c r="D922" s="31" t="s">
        <v>500</v>
      </c>
      <c r="E922" s="31"/>
      <c r="F922" s="73" t="s">
        <v>11</v>
      </c>
      <c r="G922" s="32">
        <v>20455</v>
      </c>
      <c r="H922" s="29">
        <v>36354</v>
      </c>
      <c r="I922" s="17">
        <v>0</v>
      </c>
      <c r="J922" s="17">
        <f t="shared" si="151"/>
        <v>34536.300000000003</v>
      </c>
      <c r="K922" s="17">
        <f t="shared" si="138"/>
        <v>1817.6999999999971</v>
      </c>
      <c r="L922" s="23">
        <f t="shared" si="146"/>
        <v>1817.7</v>
      </c>
      <c r="M922" s="33">
        <v>25</v>
      </c>
      <c r="N922" s="18">
        <f t="shared" si="139"/>
        <v>64.295890410958904</v>
      </c>
      <c r="O922" s="23">
        <v>1610658.5</v>
      </c>
      <c r="P922" s="18">
        <f t="shared" si="140"/>
        <v>65.295890410958904</v>
      </c>
      <c r="Q922" s="18">
        <f t="shared" si="145"/>
        <v>-1.1823431123048067E-13</v>
      </c>
      <c r="R922" s="18">
        <f t="shared" si="141"/>
        <v>1610658.5</v>
      </c>
      <c r="S922" s="18">
        <f t="shared" si="143"/>
        <v>1817.7</v>
      </c>
    </row>
    <row r="923" spans="1:19" ht="15" customHeight="1" x14ac:dyDescent="0.2">
      <c r="A923" s="14">
        <f t="shared" si="142"/>
        <v>887</v>
      </c>
      <c r="B923" s="31" t="s">
        <v>849</v>
      </c>
      <c r="C923" s="15" t="s">
        <v>3</v>
      </c>
      <c r="D923" s="31" t="s">
        <v>500</v>
      </c>
      <c r="E923" s="31"/>
      <c r="F923" s="73" t="s">
        <v>11</v>
      </c>
      <c r="G923" s="32">
        <v>35110</v>
      </c>
      <c r="H923" s="29">
        <v>9966948</v>
      </c>
      <c r="I923" s="17">
        <v>0</v>
      </c>
      <c r="J923" s="17">
        <v>7628838.5327342469</v>
      </c>
      <c r="K923" s="17">
        <f t="shared" si="138"/>
        <v>2338109.4672657531</v>
      </c>
      <c r="L923" s="23">
        <f t="shared" si="146"/>
        <v>498347.4</v>
      </c>
      <c r="M923" s="33">
        <v>25</v>
      </c>
      <c r="N923" s="18">
        <f t="shared" si="139"/>
        <v>24.145205479452056</v>
      </c>
      <c r="O923" s="23">
        <v>117898.8</v>
      </c>
      <c r="P923" s="18">
        <f t="shared" si="140"/>
        <v>25.145205479452056</v>
      </c>
      <c r="Q923" s="18">
        <f t="shared" si="145"/>
        <v>73590.482690630131</v>
      </c>
      <c r="R923" s="18">
        <f t="shared" si="141"/>
        <v>191489.28269063012</v>
      </c>
      <c r="S923" s="18">
        <f t="shared" si="143"/>
        <v>498347.4</v>
      </c>
    </row>
    <row r="924" spans="1:19" ht="15" customHeight="1" x14ac:dyDescent="0.2">
      <c r="A924" s="14">
        <f t="shared" si="142"/>
        <v>888</v>
      </c>
      <c r="B924" s="31" t="s">
        <v>850</v>
      </c>
      <c r="C924" s="15" t="s">
        <v>3</v>
      </c>
      <c r="D924" s="31" t="s">
        <v>500</v>
      </c>
      <c r="E924" s="31"/>
      <c r="F924" s="73" t="s">
        <v>11</v>
      </c>
      <c r="G924" s="32">
        <v>20455</v>
      </c>
      <c r="H924" s="29">
        <v>35110</v>
      </c>
      <c r="I924" s="17">
        <v>0</v>
      </c>
      <c r="J924" s="17">
        <f t="shared" si="151"/>
        <v>33354.5</v>
      </c>
      <c r="K924" s="17">
        <f t="shared" si="138"/>
        <v>1755.5</v>
      </c>
      <c r="L924" s="23">
        <f t="shared" si="146"/>
        <v>1755.5</v>
      </c>
      <c r="M924" s="33">
        <v>25</v>
      </c>
      <c r="N924" s="18">
        <f t="shared" si="139"/>
        <v>64.295890410958904</v>
      </c>
      <c r="O924" s="23">
        <v>17300.45</v>
      </c>
      <c r="P924" s="18">
        <f t="shared" si="140"/>
        <v>65.295890410958904</v>
      </c>
      <c r="Q924" s="18">
        <f t="shared" si="145"/>
        <v>0</v>
      </c>
      <c r="R924" s="18">
        <f t="shared" si="141"/>
        <v>17300.45</v>
      </c>
      <c r="S924" s="18">
        <f t="shared" si="143"/>
        <v>1755.5</v>
      </c>
    </row>
    <row r="925" spans="1:19" ht="15" customHeight="1" x14ac:dyDescent="0.2">
      <c r="A925" s="14">
        <f t="shared" si="142"/>
        <v>889</v>
      </c>
      <c r="B925" s="31" t="s">
        <v>851</v>
      </c>
      <c r="C925" s="15" t="s">
        <v>3</v>
      </c>
      <c r="D925" s="31" t="s">
        <v>500</v>
      </c>
      <c r="E925" s="31"/>
      <c r="F925" s="70" t="s">
        <v>7</v>
      </c>
      <c r="G925" s="32">
        <v>35110</v>
      </c>
      <c r="H925" s="29">
        <v>5329677</v>
      </c>
      <c r="I925" s="17">
        <v>0</v>
      </c>
      <c r="J925" s="17">
        <v>4079407.7850739732</v>
      </c>
      <c r="K925" s="17">
        <f t="shared" si="138"/>
        <v>1250269.2149260268</v>
      </c>
      <c r="L925" s="23">
        <f t="shared" si="146"/>
        <v>266483.85000000003</v>
      </c>
      <c r="M925" s="33">
        <v>25</v>
      </c>
      <c r="N925" s="18">
        <f t="shared" si="139"/>
        <v>24.145205479452056</v>
      </c>
      <c r="O925" s="23">
        <v>9500</v>
      </c>
      <c r="P925" s="18">
        <f t="shared" si="140"/>
        <v>25.145205479452056</v>
      </c>
      <c r="Q925" s="18">
        <f t="shared" si="145"/>
        <v>39351.414597041068</v>
      </c>
      <c r="R925" s="18">
        <f t="shared" si="141"/>
        <v>48851.414597041068</v>
      </c>
      <c r="S925" s="18">
        <f t="shared" si="143"/>
        <v>266483.85000000003</v>
      </c>
    </row>
    <row r="926" spans="1:19" ht="15" customHeight="1" x14ac:dyDescent="0.2">
      <c r="A926" s="14">
        <f t="shared" si="142"/>
        <v>890</v>
      </c>
      <c r="B926" s="31" t="s">
        <v>852</v>
      </c>
      <c r="C926" s="15" t="s">
        <v>3</v>
      </c>
      <c r="D926" s="31" t="s">
        <v>500</v>
      </c>
      <c r="E926" s="31"/>
      <c r="F926" s="73" t="s">
        <v>11</v>
      </c>
      <c r="G926" s="32">
        <v>20455</v>
      </c>
      <c r="H926" s="29">
        <v>34037</v>
      </c>
      <c r="I926" s="17">
        <v>0</v>
      </c>
      <c r="J926" s="17">
        <f t="shared" si="151"/>
        <v>32335.15</v>
      </c>
      <c r="K926" s="17">
        <f t="shared" si="138"/>
        <v>1701.8499999999985</v>
      </c>
      <c r="L926" s="23">
        <f t="shared" si="146"/>
        <v>1701.8500000000001</v>
      </c>
      <c r="M926" s="33">
        <v>25</v>
      </c>
      <c r="N926" s="18">
        <f t="shared" si="139"/>
        <v>64.295890410958904</v>
      </c>
      <c r="O926" s="23">
        <v>17575</v>
      </c>
      <c r="P926" s="18">
        <f t="shared" si="140"/>
        <v>65.295890410958904</v>
      </c>
      <c r="Q926" s="18">
        <f t="shared" si="145"/>
        <v>-6.3664629124104983E-14</v>
      </c>
      <c r="R926" s="18">
        <f t="shared" si="141"/>
        <v>17575</v>
      </c>
      <c r="S926" s="18">
        <f t="shared" si="143"/>
        <v>1701.8500000000001</v>
      </c>
    </row>
    <row r="927" spans="1:19" ht="15" customHeight="1" x14ac:dyDescent="0.2">
      <c r="A927" s="14">
        <f t="shared" si="142"/>
        <v>891</v>
      </c>
      <c r="B927" s="31" t="s">
        <v>853</v>
      </c>
      <c r="C927" s="15" t="s">
        <v>3</v>
      </c>
      <c r="D927" s="31" t="s">
        <v>500</v>
      </c>
      <c r="E927" s="31"/>
      <c r="F927" s="73" t="s">
        <v>11</v>
      </c>
      <c r="G927" s="32">
        <v>20455</v>
      </c>
      <c r="H927" s="29">
        <v>25831</v>
      </c>
      <c r="I927" s="17">
        <v>0</v>
      </c>
      <c r="J927" s="17">
        <f t="shared" si="151"/>
        <v>24539.45</v>
      </c>
      <c r="K927" s="17">
        <f t="shared" si="138"/>
        <v>1291.5499999999993</v>
      </c>
      <c r="L927" s="23">
        <f t="shared" si="146"/>
        <v>1291.5500000000002</v>
      </c>
      <c r="M927" s="33">
        <v>25</v>
      </c>
      <c r="N927" s="18">
        <f t="shared" si="139"/>
        <v>64.295890410958904</v>
      </c>
      <c r="O927" s="23">
        <v>9500</v>
      </c>
      <c r="P927" s="18">
        <f t="shared" si="140"/>
        <v>65.295890410958904</v>
      </c>
      <c r="Q927" s="18">
        <f t="shared" si="145"/>
        <v>-3.637978807091713E-14</v>
      </c>
      <c r="R927" s="18">
        <f t="shared" si="141"/>
        <v>9500</v>
      </c>
      <c r="S927" s="18">
        <f t="shared" si="143"/>
        <v>1291.5500000000002</v>
      </c>
    </row>
    <row r="928" spans="1:19" ht="15" customHeight="1" x14ac:dyDescent="0.2">
      <c r="A928" s="14">
        <f t="shared" si="142"/>
        <v>892</v>
      </c>
      <c r="B928" s="31" t="s">
        <v>854</v>
      </c>
      <c r="C928" s="15" t="s">
        <v>3</v>
      </c>
      <c r="D928" s="31" t="s">
        <v>500</v>
      </c>
      <c r="E928" s="31"/>
      <c r="F928" s="73" t="s">
        <v>11</v>
      </c>
      <c r="G928" s="32">
        <v>35110</v>
      </c>
      <c r="H928" s="29">
        <v>953775</v>
      </c>
      <c r="I928" s="17">
        <v>0</v>
      </c>
      <c r="J928" s="17">
        <v>730032.45041095896</v>
      </c>
      <c r="K928" s="17">
        <f t="shared" si="138"/>
        <v>223742.54958904104</v>
      </c>
      <c r="L928" s="23">
        <f t="shared" si="146"/>
        <v>47688.75</v>
      </c>
      <c r="M928" s="33">
        <v>25</v>
      </c>
      <c r="N928" s="18">
        <f t="shared" si="139"/>
        <v>24.145205479452056</v>
      </c>
      <c r="O928" s="23">
        <v>535626.15</v>
      </c>
      <c r="P928" s="18">
        <f t="shared" si="140"/>
        <v>25.145205479452056</v>
      </c>
      <c r="Q928" s="18">
        <f t="shared" si="145"/>
        <v>7042.1519835616418</v>
      </c>
      <c r="R928" s="18">
        <f t="shared" si="141"/>
        <v>542668.30198356172</v>
      </c>
      <c r="S928" s="18">
        <f t="shared" si="143"/>
        <v>47688.75</v>
      </c>
    </row>
    <row r="929" spans="1:19" ht="15" customHeight="1" x14ac:dyDescent="0.2">
      <c r="A929" s="14">
        <f t="shared" si="142"/>
        <v>893</v>
      </c>
      <c r="B929" s="31" t="s">
        <v>855</v>
      </c>
      <c r="C929" s="15" t="s">
        <v>3</v>
      </c>
      <c r="D929" s="31" t="s">
        <v>500</v>
      </c>
      <c r="E929" s="31"/>
      <c r="F929" s="73" t="s">
        <v>11</v>
      </c>
      <c r="G929" s="32">
        <v>35110</v>
      </c>
      <c r="H929" s="29">
        <v>15661</v>
      </c>
      <c r="I929" s="17">
        <v>0</v>
      </c>
      <c r="J929" s="17">
        <v>11987.143934246576</v>
      </c>
      <c r="K929" s="17">
        <f t="shared" si="138"/>
        <v>3673.8560657534235</v>
      </c>
      <c r="L929" s="23">
        <f t="shared" si="146"/>
        <v>783.05000000000007</v>
      </c>
      <c r="M929" s="33">
        <v>25</v>
      </c>
      <c r="N929" s="18">
        <f t="shared" si="139"/>
        <v>24.145205479452056</v>
      </c>
      <c r="O929" s="23">
        <v>434619.3</v>
      </c>
      <c r="P929" s="18">
        <f t="shared" si="140"/>
        <v>25.145205479452056</v>
      </c>
      <c r="Q929" s="18">
        <f t="shared" si="145"/>
        <v>115.63224263013694</v>
      </c>
      <c r="R929" s="18">
        <f t="shared" si="141"/>
        <v>434734.93224263011</v>
      </c>
      <c r="S929" s="18">
        <f t="shared" si="143"/>
        <v>783.05000000000007</v>
      </c>
    </row>
    <row r="930" spans="1:19" ht="15" customHeight="1" x14ac:dyDescent="0.2">
      <c r="A930" s="14">
        <f t="shared" si="142"/>
        <v>894</v>
      </c>
      <c r="B930" s="31" t="s">
        <v>856</v>
      </c>
      <c r="C930" s="15" t="s">
        <v>3</v>
      </c>
      <c r="D930" s="31" t="s">
        <v>500</v>
      </c>
      <c r="E930" s="31"/>
      <c r="F930" s="73" t="s">
        <v>11</v>
      </c>
      <c r="G930" s="32">
        <v>35113</v>
      </c>
      <c r="H930" s="29">
        <v>1942092</v>
      </c>
      <c r="I930" s="17">
        <v>0</v>
      </c>
      <c r="J930" s="17">
        <v>1485897.2496</v>
      </c>
      <c r="K930" s="17">
        <f t="shared" si="138"/>
        <v>456194.75040000002</v>
      </c>
      <c r="L930" s="23">
        <f t="shared" si="146"/>
        <v>97104.6</v>
      </c>
      <c r="M930" s="33">
        <v>25</v>
      </c>
      <c r="N930" s="18">
        <f t="shared" si="139"/>
        <v>24.136986301369863</v>
      </c>
      <c r="O930" s="23">
        <v>183868.7</v>
      </c>
      <c r="P930" s="18">
        <f t="shared" si="140"/>
        <v>25.136986301369863</v>
      </c>
      <c r="Q930" s="18">
        <f t="shared" si="145"/>
        <v>14363.606016000002</v>
      </c>
      <c r="R930" s="18">
        <f t="shared" si="141"/>
        <v>198232.30601600002</v>
      </c>
      <c r="S930" s="18">
        <f t="shared" si="143"/>
        <v>97104.6</v>
      </c>
    </row>
    <row r="931" spans="1:19" ht="15" customHeight="1" x14ac:dyDescent="0.2">
      <c r="A931" s="14">
        <f t="shared" si="142"/>
        <v>895</v>
      </c>
      <c r="B931" s="31" t="s">
        <v>857</v>
      </c>
      <c r="C931" s="15" t="s">
        <v>3</v>
      </c>
      <c r="D931" s="31" t="s">
        <v>500</v>
      </c>
      <c r="E931" s="31"/>
      <c r="F931" s="70" t="s">
        <v>7</v>
      </c>
      <c r="G931" s="32">
        <v>37210</v>
      </c>
      <c r="H931" s="29">
        <v>232332</v>
      </c>
      <c r="I931" s="17">
        <v>0</v>
      </c>
      <c r="J931" s="17">
        <f t="shared" ref="J931" si="152">H931-L931</f>
        <v>220715.4</v>
      </c>
      <c r="K931" s="17">
        <f t="shared" si="138"/>
        <v>11616.600000000006</v>
      </c>
      <c r="L931" s="23">
        <f t="shared" si="146"/>
        <v>11616.6</v>
      </c>
      <c r="M931" s="33">
        <v>15</v>
      </c>
      <c r="N931" s="18">
        <f t="shared" si="139"/>
        <v>18.391780821917809</v>
      </c>
      <c r="O931" s="23">
        <v>11757.2</v>
      </c>
      <c r="P931" s="18">
        <f t="shared" si="140"/>
        <v>19.391780821917809</v>
      </c>
      <c r="Q931" s="18">
        <f t="shared" si="145"/>
        <v>3.6379788070917132E-13</v>
      </c>
      <c r="R931" s="18">
        <f t="shared" si="141"/>
        <v>11757.2</v>
      </c>
      <c r="S931" s="18">
        <f t="shared" si="143"/>
        <v>11616.6</v>
      </c>
    </row>
    <row r="932" spans="1:19" ht="15" customHeight="1" x14ac:dyDescent="0.2">
      <c r="A932" s="14">
        <f t="shared" si="142"/>
        <v>896</v>
      </c>
      <c r="B932" s="31" t="s">
        <v>858</v>
      </c>
      <c r="C932" s="15" t="s">
        <v>3</v>
      </c>
      <c r="D932" s="31" t="s">
        <v>500</v>
      </c>
      <c r="E932" s="31"/>
      <c r="F932" s="73" t="s">
        <v>11</v>
      </c>
      <c r="G932" s="32">
        <v>35115</v>
      </c>
      <c r="H932" s="29">
        <v>1114054</v>
      </c>
      <c r="I932" s="17">
        <v>0</v>
      </c>
      <c r="J932" s="17">
        <v>852132.27409315074</v>
      </c>
      <c r="K932" s="17">
        <f t="shared" si="138"/>
        <v>261921.72590684926</v>
      </c>
      <c r="L932" s="23">
        <f t="shared" si="146"/>
        <v>55702.700000000004</v>
      </c>
      <c r="M932" s="33">
        <v>25</v>
      </c>
      <c r="N932" s="18">
        <f t="shared" si="139"/>
        <v>24.13150684931507</v>
      </c>
      <c r="O932" s="23">
        <v>10792</v>
      </c>
      <c r="P932" s="18">
        <f t="shared" si="140"/>
        <v>25.13150684931507</v>
      </c>
      <c r="Q932" s="18">
        <f t="shared" si="145"/>
        <v>8248.7610362739706</v>
      </c>
      <c r="R932" s="18">
        <f t="shared" si="141"/>
        <v>19040.761036273972</v>
      </c>
      <c r="S932" s="18">
        <f t="shared" si="143"/>
        <v>55702.700000000004</v>
      </c>
    </row>
    <row r="933" spans="1:19" ht="15" customHeight="1" x14ac:dyDescent="0.2">
      <c r="A933" s="14">
        <f t="shared" si="142"/>
        <v>897</v>
      </c>
      <c r="B933" s="31" t="s">
        <v>859</v>
      </c>
      <c r="C933" s="15" t="s">
        <v>3</v>
      </c>
      <c r="D933" s="31" t="s">
        <v>500</v>
      </c>
      <c r="E933" s="31"/>
      <c r="F933" s="73" t="s">
        <v>11</v>
      </c>
      <c r="G933" s="32">
        <v>35116</v>
      </c>
      <c r="H933" s="29">
        <v>2778028</v>
      </c>
      <c r="I933" s="17">
        <v>0</v>
      </c>
      <c r="J933" s="17">
        <v>2124605.3702575341</v>
      </c>
      <c r="K933" s="17">
        <f t="shared" ref="K933:K996" si="153">H933+I933-J933</f>
        <v>653422.62974246591</v>
      </c>
      <c r="L933" s="23">
        <f t="shared" si="146"/>
        <v>138901.4</v>
      </c>
      <c r="M933" s="33">
        <v>25</v>
      </c>
      <c r="N933" s="18">
        <f t="shared" ref="N933:N996" si="154">IF(($N$35-G933+1)/365&gt;0,($N$35-G933+1)/365,0)</f>
        <v>24.12876712328767</v>
      </c>
      <c r="O933" s="23">
        <v>22990</v>
      </c>
      <c r="P933" s="18">
        <f t="shared" ref="P933:P996" si="155">($P$35-G933+1)/365</f>
        <v>25.12876712328767</v>
      </c>
      <c r="Q933" s="18">
        <f t="shared" si="145"/>
        <v>20580.849189698634</v>
      </c>
      <c r="R933" s="18">
        <f t="shared" ref="R933:R996" si="156">Q933+O933</f>
        <v>43570.849189698638</v>
      </c>
      <c r="S933" s="18">
        <f t="shared" si="143"/>
        <v>138901.4</v>
      </c>
    </row>
    <row r="934" spans="1:19" ht="15" customHeight="1" x14ac:dyDescent="0.2">
      <c r="A934" s="14">
        <f t="shared" si="142"/>
        <v>898</v>
      </c>
      <c r="B934" s="31" t="s">
        <v>860</v>
      </c>
      <c r="C934" s="15" t="s">
        <v>3</v>
      </c>
      <c r="D934" s="31" t="s">
        <v>500</v>
      </c>
      <c r="E934" s="31"/>
      <c r="F934" s="73" t="s">
        <v>11</v>
      </c>
      <c r="G934" s="32">
        <v>35139</v>
      </c>
      <c r="H934" s="29">
        <v>148901</v>
      </c>
      <c r="I934" s="17">
        <v>0</v>
      </c>
      <c r="J934" s="17">
        <v>113521.3065041096</v>
      </c>
      <c r="K934" s="17">
        <f t="shared" si="153"/>
        <v>35379.693495890402</v>
      </c>
      <c r="L934" s="23">
        <f t="shared" si="146"/>
        <v>7445.05</v>
      </c>
      <c r="M934" s="33">
        <v>25</v>
      </c>
      <c r="N934" s="18">
        <f t="shared" si="154"/>
        <v>24.065753424657533</v>
      </c>
      <c r="O934" s="23">
        <v>584598.65</v>
      </c>
      <c r="P934" s="18">
        <f t="shared" si="155"/>
        <v>25.065753424657533</v>
      </c>
      <c r="Q934" s="18">
        <f t="shared" si="145"/>
        <v>1117.3857398356161</v>
      </c>
      <c r="R934" s="18">
        <f t="shared" si="156"/>
        <v>585716.03573983558</v>
      </c>
      <c r="S934" s="18">
        <f t="shared" si="143"/>
        <v>7445.05</v>
      </c>
    </row>
    <row r="935" spans="1:19" ht="15" customHeight="1" x14ac:dyDescent="0.2">
      <c r="A935" s="14">
        <f t="shared" ref="A935:A998" si="157">+A934+1</f>
        <v>899</v>
      </c>
      <c r="B935" s="31" t="s">
        <v>861</v>
      </c>
      <c r="C935" s="15" t="s">
        <v>3</v>
      </c>
      <c r="D935" s="31" t="s">
        <v>500</v>
      </c>
      <c r="E935" s="31"/>
      <c r="F935" s="73" t="s">
        <v>11</v>
      </c>
      <c r="G935" s="32">
        <v>20455</v>
      </c>
      <c r="H935" s="29">
        <v>13061</v>
      </c>
      <c r="I935" s="17">
        <v>0</v>
      </c>
      <c r="J935" s="17">
        <f t="shared" ref="J935:J939" si="158">H935-L935</f>
        <v>12407.95</v>
      </c>
      <c r="K935" s="17">
        <f t="shared" si="153"/>
        <v>653.04999999999927</v>
      </c>
      <c r="L935" s="23">
        <f t="shared" si="146"/>
        <v>653.05000000000007</v>
      </c>
      <c r="M935" s="33">
        <v>25</v>
      </c>
      <c r="N935" s="18">
        <f t="shared" si="154"/>
        <v>64.295890410958904</v>
      </c>
      <c r="O935" s="23">
        <v>195086.3</v>
      </c>
      <c r="P935" s="18">
        <f t="shared" si="155"/>
        <v>65.295890410958904</v>
      </c>
      <c r="Q935" s="18">
        <f t="shared" si="145"/>
        <v>-3.1832314562052491E-14</v>
      </c>
      <c r="R935" s="18">
        <f t="shared" si="156"/>
        <v>195086.3</v>
      </c>
      <c r="S935" s="18">
        <f t="shared" ref="S935:S998" si="159">+IF(N935&gt;P935,0,L935)</f>
        <v>653.05000000000007</v>
      </c>
    </row>
    <row r="936" spans="1:19" ht="15" customHeight="1" x14ac:dyDescent="0.2">
      <c r="A936" s="14">
        <f t="shared" si="157"/>
        <v>900</v>
      </c>
      <c r="B936" s="31" t="s">
        <v>862</v>
      </c>
      <c r="C936" s="15" t="s">
        <v>3</v>
      </c>
      <c r="D936" s="31" t="s">
        <v>500</v>
      </c>
      <c r="E936" s="31"/>
      <c r="F936" s="73" t="s">
        <v>11</v>
      </c>
      <c r="G936" s="32">
        <v>24108</v>
      </c>
      <c r="H936" s="29">
        <v>58770</v>
      </c>
      <c r="I936" s="17">
        <v>0</v>
      </c>
      <c r="J936" s="17">
        <f t="shared" si="158"/>
        <v>55831.5</v>
      </c>
      <c r="K936" s="17">
        <f t="shared" si="153"/>
        <v>2938.5</v>
      </c>
      <c r="L936" s="23">
        <f t="shared" si="146"/>
        <v>2938.5</v>
      </c>
      <c r="M936" s="33">
        <v>15</v>
      </c>
      <c r="N936" s="18">
        <f t="shared" si="154"/>
        <v>54.287671232876711</v>
      </c>
      <c r="O936" s="23">
        <v>94506.95</v>
      </c>
      <c r="P936" s="18">
        <f t="shared" si="155"/>
        <v>55.287671232876711</v>
      </c>
      <c r="Q936" s="18">
        <f t="shared" si="145"/>
        <v>0</v>
      </c>
      <c r="R936" s="18">
        <f t="shared" si="156"/>
        <v>94506.95</v>
      </c>
      <c r="S936" s="18">
        <f t="shared" si="159"/>
        <v>2938.5</v>
      </c>
    </row>
    <row r="937" spans="1:19" ht="15" customHeight="1" x14ac:dyDescent="0.2">
      <c r="A937" s="14">
        <f t="shared" si="157"/>
        <v>901</v>
      </c>
      <c r="B937" s="31" t="s">
        <v>863</v>
      </c>
      <c r="C937" s="15" t="s">
        <v>3</v>
      </c>
      <c r="D937" s="31" t="s">
        <v>500</v>
      </c>
      <c r="E937" s="31"/>
      <c r="F937" s="73" t="s">
        <v>11</v>
      </c>
      <c r="G937" s="32">
        <v>20821</v>
      </c>
      <c r="H937" s="29">
        <v>68104</v>
      </c>
      <c r="I937" s="17">
        <v>0</v>
      </c>
      <c r="J937" s="17">
        <f t="shared" si="158"/>
        <v>64698.8</v>
      </c>
      <c r="K937" s="17">
        <f t="shared" si="153"/>
        <v>3405.1999999999971</v>
      </c>
      <c r="L937" s="23">
        <f t="shared" si="146"/>
        <v>3405.2000000000003</v>
      </c>
      <c r="M937" s="33">
        <v>25</v>
      </c>
      <c r="N937" s="18">
        <f t="shared" si="154"/>
        <v>63.293150684931504</v>
      </c>
      <c r="O937" s="23">
        <v>58609.3</v>
      </c>
      <c r="P937" s="18">
        <f t="shared" si="155"/>
        <v>64.293150684931504</v>
      </c>
      <c r="Q937" s="18">
        <f t="shared" si="145"/>
        <v>-1.2732925824820997E-13</v>
      </c>
      <c r="R937" s="18">
        <f t="shared" si="156"/>
        <v>58609.3</v>
      </c>
      <c r="S937" s="18">
        <f t="shared" si="159"/>
        <v>3405.2000000000003</v>
      </c>
    </row>
    <row r="938" spans="1:19" ht="15" customHeight="1" x14ac:dyDescent="0.2">
      <c r="A938" s="14">
        <f t="shared" si="157"/>
        <v>902</v>
      </c>
      <c r="B938" s="31" t="s">
        <v>864</v>
      </c>
      <c r="C938" s="15" t="s">
        <v>3</v>
      </c>
      <c r="D938" s="31" t="s">
        <v>500</v>
      </c>
      <c r="E938" s="31"/>
      <c r="F938" s="73" t="s">
        <v>11</v>
      </c>
      <c r="G938" s="32">
        <v>20821</v>
      </c>
      <c r="H938" s="29">
        <v>24288</v>
      </c>
      <c r="I938" s="17">
        <v>0</v>
      </c>
      <c r="J938" s="17">
        <f t="shared" si="158"/>
        <v>23073.599999999999</v>
      </c>
      <c r="K938" s="17">
        <f t="shared" si="153"/>
        <v>1214.4000000000015</v>
      </c>
      <c r="L938" s="23">
        <f t="shared" si="146"/>
        <v>1214.4000000000001</v>
      </c>
      <c r="M938" s="33">
        <v>25</v>
      </c>
      <c r="N938" s="18">
        <f t="shared" si="154"/>
        <v>63.293150684931504</v>
      </c>
      <c r="O938" s="23">
        <v>386099</v>
      </c>
      <c r="P938" s="18">
        <f t="shared" si="155"/>
        <v>64.293150684931504</v>
      </c>
      <c r="Q938" s="18">
        <f t="shared" si="145"/>
        <v>5.4569682106375692E-14</v>
      </c>
      <c r="R938" s="18">
        <f t="shared" si="156"/>
        <v>386099</v>
      </c>
      <c r="S938" s="18">
        <f t="shared" si="159"/>
        <v>1214.4000000000001</v>
      </c>
    </row>
    <row r="939" spans="1:19" ht="15" customHeight="1" x14ac:dyDescent="0.2">
      <c r="A939" s="14">
        <f t="shared" si="157"/>
        <v>903</v>
      </c>
      <c r="B939" s="31" t="s">
        <v>865</v>
      </c>
      <c r="C939" s="15" t="s">
        <v>3</v>
      </c>
      <c r="D939" s="31" t="s">
        <v>500</v>
      </c>
      <c r="E939" s="31"/>
      <c r="F939" s="73" t="s">
        <v>11</v>
      </c>
      <c r="G939" s="32">
        <v>20821</v>
      </c>
      <c r="H939" s="29">
        <v>20430</v>
      </c>
      <c r="I939" s="17">
        <v>0</v>
      </c>
      <c r="J939" s="17">
        <f t="shared" si="158"/>
        <v>19408.5</v>
      </c>
      <c r="K939" s="17">
        <f t="shared" si="153"/>
        <v>1021.5</v>
      </c>
      <c r="L939" s="23">
        <f t="shared" si="146"/>
        <v>1021.5</v>
      </c>
      <c r="M939" s="33">
        <v>25</v>
      </c>
      <c r="N939" s="18">
        <f t="shared" si="154"/>
        <v>63.293150684931504</v>
      </c>
      <c r="O939" s="23">
        <v>19652.650000000001</v>
      </c>
      <c r="P939" s="18">
        <f t="shared" si="155"/>
        <v>64.293150684931504</v>
      </c>
      <c r="Q939" s="18">
        <f t="shared" si="145"/>
        <v>0</v>
      </c>
      <c r="R939" s="18">
        <f t="shared" si="156"/>
        <v>19652.650000000001</v>
      </c>
      <c r="S939" s="18">
        <f t="shared" si="159"/>
        <v>1021.5</v>
      </c>
    </row>
    <row r="940" spans="1:19" ht="15" customHeight="1" x14ac:dyDescent="0.2">
      <c r="A940" s="14">
        <f t="shared" si="157"/>
        <v>904</v>
      </c>
      <c r="B940" s="31" t="s">
        <v>866</v>
      </c>
      <c r="C940" s="15" t="s">
        <v>3</v>
      </c>
      <c r="D940" s="31" t="s">
        <v>500</v>
      </c>
      <c r="E940" s="31"/>
      <c r="F940" s="70" t="s">
        <v>7</v>
      </c>
      <c r="G940" s="32">
        <v>38473</v>
      </c>
      <c r="H940" s="29">
        <v>80300</v>
      </c>
      <c r="I940" s="17">
        <v>0</v>
      </c>
      <c r="J940" s="17">
        <v>55580.066666666666</v>
      </c>
      <c r="K940" s="17">
        <f t="shared" si="153"/>
        <v>24719.933333333334</v>
      </c>
      <c r="L940" s="23">
        <f t="shared" si="146"/>
        <v>4015</v>
      </c>
      <c r="M940" s="33">
        <v>15</v>
      </c>
      <c r="N940" s="18">
        <f t="shared" si="154"/>
        <v>14.931506849315069</v>
      </c>
      <c r="O940" s="23">
        <v>197271.3</v>
      </c>
      <c r="P940" s="18">
        <f t="shared" si="155"/>
        <v>15.931506849315069</v>
      </c>
      <c r="Q940" s="18">
        <f t="shared" si="145"/>
        <v>1380.328888888889</v>
      </c>
      <c r="R940" s="18">
        <f t="shared" si="156"/>
        <v>198651.62888888887</v>
      </c>
      <c r="S940" s="18">
        <f t="shared" si="159"/>
        <v>4015</v>
      </c>
    </row>
    <row r="941" spans="1:19" ht="15" customHeight="1" x14ac:dyDescent="0.2">
      <c r="A941" s="14">
        <f t="shared" si="157"/>
        <v>905</v>
      </c>
      <c r="B941" s="31" t="s">
        <v>867</v>
      </c>
      <c r="C941" s="15" t="s">
        <v>3</v>
      </c>
      <c r="D941" s="31" t="s">
        <v>500</v>
      </c>
      <c r="E941" s="31"/>
      <c r="F941" s="73" t="s">
        <v>11</v>
      </c>
      <c r="G941" s="32">
        <v>35504</v>
      </c>
      <c r="H941" s="29">
        <v>94351</v>
      </c>
      <c r="I941" s="17">
        <v>0</v>
      </c>
      <c r="J941" s="17">
        <v>68347.347408219168</v>
      </c>
      <c r="K941" s="17">
        <f t="shared" si="153"/>
        <v>26003.652591780832</v>
      </c>
      <c r="L941" s="23">
        <f t="shared" si="146"/>
        <v>4717.55</v>
      </c>
      <c r="M941" s="33">
        <v>25</v>
      </c>
      <c r="N941" s="18">
        <f t="shared" si="154"/>
        <v>23.065753424657533</v>
      </c>
      <c r="O941" s="23">
        <v>185104.65</v>
      </c>
      <c r="P941" s="18">
        <f t="shared" si="155"/>
        <v>24.065753424657533</v>
      </c>
      <c r="Q941" s="18">
        <f t="shared" si="145"/>
        <v>851.44410367123328</v>
      </c>
      <c r="R941" s="18">
        <f t="shared" si="156"/>
        <v>185956.09410367123</v>
      </c>
      <c r="S941" s="18">
        <f t="shared" si="159"/>
        <v>4717.55</v>
      </c>
    </row>
    <row r="942" spans="1:19" ht="15" customHeight="1" x14ac:dyDescent="0.2">
      <c r="A942" s="14">
        <f t="shared" si="157"/>
        <v>906</v>
      </c>
      <c r="B942" s="31" t="s">
        <v>868</v>
      </c>
      <c r="C942" s="15" t="s">
        <v>3</v>
      </c>
      <c r="D942" s="31" t="s">
        <v>500</v>
      </c>
      <c r="E942" s="31"/>
      <c r="F942" s="73" t="s">
        <v>11</v>
      </c>
      <c r="G942" s="32">
        <v>20821</v>
      </c>
      <c r="H942" s="29">
        <v>7754</v>
      </c>
      <c r="I942" s="17">
        <v>0</v>
      </c>
      <c r="J942" s="17">
        <f t="shared" ref="J942:J1005" si="160">H942-L942</f>
        <v>7366.3</v>
      </c>
      <c r="K942" s="17">
        <f t="shared" si="153"/>
        <v>387.69999999999982</v>
      </c>
      <c r="L942" s="23">
        <f t="shared" si="146"/>
        <v>387.70000000000005</v>
      </c>
      <c r="M942" s="33">
        <v>25</v>
      </c>
      <c r="N942" s="18">
        <f t="shared" si="154"/>
        <v>63.293150684931504</v>
      </c>
      <c r="O942" s="23">
        <v>3152.1</v>
      </c>
      <c r="P942" s="18">
        <f t="shared" si="155"/>
        <v>64.293150684931504</v>
      </c>
      <c r="Q942" s="18">
        <f t="shared" si="145"/>
        <v>-9.0949470177292826E-15</v>
      </c>
      <c r="R942" s="18">
        <f t="shared" si="156"/>
        <v>3152.1</v>
      </c>
      <c r="S942" s="18">
        <f t="shared" si="159"/>
        <v>387.70000000000005</v>
      </c>
    </row>
    <row r="943" spans="1:19" ht="15" customHeight="1" x14ac:dyDescent="0.2">
      <c r="A943" s="14">
        <f t="shared" si="157"/>
        <v>907</v>
      </c>
      <c r="B943" s="31" t="s">
        <v>869</v>
      </c>
      <c r="C943" s="15" t="s">
        <v>3</v>
      </c>
      <c r="D943" s="31" t="s">
        <v>500</v>
      </c>
      <c r="E943" s="31"/>
      <c r="F943" s="73" t="s">
        <v>11</v>
      </c>
      <c r="G943" s="32">
        <v>20821</v>
      </c>
      <c r="H943" s="29">
        <v>2960</v>
      </c>
      <c r="I943" s="17">
        <v>0</v>
      </c>
      <c r="J943" s="17">
        <f t="shared" si="160"/>
        <v>2812</v>
      </c>
      <c r="K943" s="17">
        <f t="shared" si="153"/>
        <v>148</v>
      </c>
      <c r="L943" s="23">
        <f t="shared" si="146"/>
        <v>148</v>
      </c>
      <c r="M943" s="33">
        <v>25</v>
      </c>
      <c r="N943" s="18">
        <f t="shared" si="154"/>
        <v>63.293150684931504</v>
      </c>
      <c r="O943" s="23">
        <v>2850</v>
      </c>
      <c r="P943" s="18">
        <f t="shared" si="155"/>
        <v>64.293150684931504</v>
      </c>
      <c r="Q943" s="18">
        <f t="shared" si="145"/>
        <v>0</v>
      </c>
      <c r="R943" s="18">
        <f t="shared" si="156"/>
        <v>2850</v>
      </c>
      <c r="S943" s="18">
        <f t="shared" si="159"/>
        <v>148</v>
      </c>
    </row>
    <row r="944" spans="1:19" ht="15" customHeight="1" x14ac:dyDescent="0.2">
      <c r="A944" s="14">
        <f t="shared" si="157"/>
        <v>908</v>
      </c>
      <c r="B944" s="31" t="s">
        <v>870</v>
      </c>
      <c r="C944" s="15" t="s">
        <v>3</v>
      </c>
      <c r="D944" s="31" t="s">
        <v>500</v>
      </c>
      <c r="E944" s="31"/>
      <c r="F944" s="73" t="s">
        <v>7</v>
      </c>
      <c r="G944" s="32">
        <v>20821</v>
      </c>
      <c r="H944" s="29">
        <v>1281</v>
      </c>
      <c r="I944" s="17">
        <v>0</v>
      </c>
      <c r="J944" s="17">
        <f t="shared" si="160"/>
        <v>1216.95</v>
      </c>
      <c r="K944" s="17">
        <f t="shared" si="153"/>
        <v>64.049999999999955</v>
      </c>
      <c r="L944" s="23">
        <f t="shared" si="146"/>
        <v>64.05</v>
      </c>
      <c r="M944" s="33">
        <v>25</v>
      </c>
      <c r="N944" s="18">
        <f t="shared" si="154"/>
        <v>63.293150684931504</v>
      </c>
      <c r="O944" s="23">
        <v>273220</v>
      </c>
      <c r="P944" s="18">
        <f t="shared" si="155"/>
        <v>64.293150684931504</v>
      </c>
      <c r="Q944" s="18">
        <f t="shared" si="145"/>
        <v>-1.7053025658242404E-15</v>
      </c>
      <c r="R944" s="18">
        <f t="shared" si="156"/>
        <v>273220</v>
      </c>
      <c r="S944" s="18">
        <f t="shared" si="159"/>
        <v>64.05</v>
      </c>
    </row>
    <row r="945" spans="1:19" ht="15" customHeight="1" x14ac:dyDescent="0.2">
      <c r="A945" s="14">
        <f t="shared" si="157"/>
        <v>909</v>
      </c>
      <c r="B945" s="31" t="s">
        <v>871</v>
      </c>
      <c r="C945" s="15" t="s">
        <v>3</v>
      </c>
      <c r="D945" s="31" t="s">
        <v>500</v>
      </c>
      <c r="E945" s="31"/>
      <c r="F945" s="73" t="s">
        <v>8</v>
      </c>
      <c r="G945" s="32">
        <v>20821</v>
      </c>
      <c r="H945" s="29">
        <v>384</v>
      </c>
      <c r="I945" s="17">
        <v>0</v>
      </c>
      <c r="J945" s="17">
        <f t="shared" si="160"/>
        <v>364.8</v>
      </c>
      <c r="K945" s="17">
        <f t="shared" si="153"/>
        <v>19.199999999999989</v>
      </c>
      <c r="L945" s="23">
        <f t="shared" si="146"/>
        <v>19.200000000000003</v>
      </c>
      <c r="M945" s="33">
        <v>25</v>
      </c>
      <c r="N945" s="18">
        <f t="shared" si="154"/>
        <v>63.293150684931504</v>
      </c>
      <c r="O945" s="23">
        <v>3263630.95</v>
      </c>
      <c r="P945" s="18">
        <f t="shared" si="155"/>
        <v>64.293150684931504</v>
      </c>
      <c r="Q945" s="18">
        <f t="shared" si="145"/>
        <v>-5.6843418860808016E-16</v>
      </c>
      <c r="R945" s="18">
        <f t="shared" si="156"/>
        <v>3263630.95</v>
      </c>
      <c r="S945" s="18">
        <f t="shared" si="159"/>
        <v>19.200000000000003</v>
      </c>
    </row>
    <row r="946" spans="1:19" ht="15" customHeight="1" x14ac:dyDescent="0.2">
      <c r="A946" s="14">
        <f t="shared" si="157"/>
        <v>910</v>
      </c>
      <c r="B946" s="31" t="s">
        <v>872</v>
      </c>
      <c r="C946" s="15" t="s">
        <v>3</v>
      </c>
      <c r="D946" s="31" t="s">
        <v>500</v>
      </c>
      <c r="E946" s="31"/>
      <c r="F946" s="73" t="s">
        <v>4</v>
      </c>
      <c r="G946" s="32">
        <v>24473</v>
      </c>
      <c r="H946" s="29">
        <v>8200</v>
      </c>
      <c r="I946" s="17">
        <v>0</v>
      </c>
      <c r="J946" s="17">
        <f t="shared" si="160"/>
        <v>7790</v>
      </c>
      <c r="K946" s="17">
        <f t="shared" si="153"/>
        <v>410</v>
      </c>
      <c r="L946" s="23">
        <f t="shared" si="146"/>
        <v>410</v>
      </c>
      <c r="M946" s="33">
        <v>15</v>
      </c>
      <c r="N946" s="18">
        <f t="shared" si="154"/>
        <v>53.287671232876711</v>
      </c>
      <c r="O946" s="23">
        <v>653902.1</v>
      </c>
      <c r="P946" s="18">
        <f t="shared" si="155"/>
        <v>54.287671232876711</v>
      </c>
      <c r="Q946" s="18">
        <f t="shared" si="145"/>
        <v>0</v>
      </c>
      <c r="R946" s="18">
        <f t="shared" si="156"/>
        <v>653902.1</v>
      </c>
      <c r="S946" s="18">
        <f t="shared" si="159"/>
        <v>410</v>
      </c>
    </row>
    <row r="947" spans="1:19" ht="15" customHeight="1" x14ac:dyDescent="0.2">
      <c r="A947" s="14">
        <f t="shared" si="157"/>
        <v>911</v>
      </c>
      <c r="B947" s="31" t="s">
        <v>873</v>
      </c>
      <c r="C947" s="15" t="s">
        <v>3</v>
      </c>
      <c r="D947" s="31" t="s">
        <v>500</v>
      </c>
      <c r="E947" s="31"/>
      <c r="F947" s="73" t="s">
        <v>14</v>
      </c>
      <c r="G947" s="32">
        <v>24473</v>
      </c>
      <c r="H947" s="29">
        <v>7867</v>
      </c>
      <c r="I947" s="17">
        <v>0</v>
      </c>
      <c r="J947" s="17">
        <f t="shared" si="160"/>
        <v>7473.65</v>
      </c>
      <c r="K947" s="17">
        <f t="shared" si="153"/>
        <v>393.35000000000036</v>
      </c>
      <c r="L947" s="23">
        <f t="shared" si="146"/>
        <v>393.35</v>
      </c>
      <c r="M947" s="33">
        <v>15</v>
      </c>
      <c r="N947" s="18">
        <f t="shared" si="154"/>
        <v>53.287671232876711</v>
      </c>
      <c r="O947" s="23">
        <v>103823.6</v>
      </c>
      <c r="P947" s="18">
        <f t="shared" si="155"/>
        <v>54.287671232876711</v>
      </c>
      <c r="Q947" s="18">
        <f t="shared" si="145"/>
        <v>2.2737367544323207E-14</v>
      </c>
      <c r="R947" s="18">
        <f t="shared" si="156"/>
        <v>103823.6</v>
      </c>
      <c r="S947" s="18">
        <f t="shared" si="159"/>
        <v>393.35</v>
      </c>
    </row>
    <row r="948" spans="1:19" ht="15" customHeight="1" x14ac:dyDescent="0.2">
      <c r="A948" s="14">
        <f t="shared" si="157"/>
        <v>912</v>
      </c>
      <c r="B948" s="31" t="s">
        <v>874</v>
      </c>
      <c r="C948" s="15" t="s">
        <v>3</v>
      </c>
      <c r="D948" s="31" t="s">
        <v>500</v>
      </c>
      <c r="E948" s="31"/>
      <c r="F948" s="73" t="s">
        <v>11</v>
      </c>
      <c r="G948" s="32">
        <v>21186</v>
      </c>
      <c r="H948" s="29">
        <v>45054</v>
      </c>
      <c r="I948" s="17">
        <v>0</v>
      </c>
      <c r="J948" s="17">
        <f t="shared" si="160"/>
        <v>42801.3</v>
      </c>
      <c r="K948" s="17">
        <f t="shared" si="153"/>
        <v>2252.6999999999971</v>
      </c>
      <c r="L948" s="23">
        <f t="shared" si="146"/>
        <v>2252.7000000000003</v>
      </c>
      <c r="M948" s="33">
        <v>25</v>
      </c>
      <c r="N948" s="18">
        <f t="shared" si="154"/>
        <v>62.293150684931504</v>
      </c>
      <c r="O948" s="23">
        <v>24945.1</v>
      </c>
      <c r="P948" s="18">
        <f t="shared" si="155"/>
        <v>63.293150684931504</v>
      </c>
      <c r="Q948" s="18">
        <f t="shared" si="145"/>
        <v>-1.2732925824820997E-13</v>
      </c>
      <c r="R948" s="18">
        <f t="shared" si="156"/>
        <v>24945.1</v>
      </c>
      <c r="S948" s="18">
        <f t="shared" si="159"/>
        <v>2252.7000000000003</v>
      </c>
    </row>
    <row r="949" spans="1:19" ht="15" customHeight="1" x14ac:dyDescent="0.2">
      <c r="A949" s="14">
        <f t="shared" si="157"/>
        <v>913</v>
      </c>
      <c r="B949" s="31" t="s">
        <v>875</v>
      </c>
      <c r="C949" s="15" t="s">
        <v>3</v>
      </c>
      <c r="D949" s="31" t="s">
        <v>500</v>
      </c>
      <c r="E949" s="31"/>
      <c r="F949" s="73" t="s">
        <v>15</v>
      </c>
      <c r="G949" s="32">
        <v>21186</v>
      </c>
      <c r="H949" s="29">
        <v>9192</v>
      </c>
      <c r="I949" s="17">
        <v>0</v>
      </c>
      <c r="J949" s="17">
        <f t="shared" si="160"/>
        <v>8732.4</v>
      </c>
      <c r="K949" s="17">
        <f t="shared" si="153"/>
        <v>459.60000000000036</v>
      </c>
      <c r="L949" s="23">
        <f t="shared" si="146"/>
        <v>459.6</v>
      </c>
      <c r="M949" s="33">
        <v>25</v>
      </c>
      <c r="N949" s="18">
        <f t="shared" si="154"/>
        <v>62.293150684931504</v>
      </c>
      <c r="O949" s="23">
        <v>24551.8</v>
      </c>
      <c r="P949" s="18">
        <f t="shared" si="155"/>
        <v>63.293150684931504</v>
      </c>
      <c r="Q949" s="18">
        <f t="shared" si="145"/>
        <v>1.3642420526593923E-14</v>
      </c>
      <c r="R949" s="18">
        <f t="shared" si="156"/>
        <v>24551.8</v>
      </c>
      <c r="S949" s="18">
        <f t="shared" si="159"/>
        <v>459.6</v>
      </c>
    </row>
    <row r="950" spans="1:19" ht="15" customHeight="1" x14ac:dyDescent="0.2">
      <c r="A950" s="14">
        <f t="shared" si="157"/>
        <v>914</v>
      </c>
      <c r="B950" s="31" t="s">
        <v>876</v>
      </c>
      <c r="C950" s="15" t="s">
        <v>3</v>
      </c>
      <c r="D950" s="31" t="s">
        <v>500</v>
      </c>
      <c r="E950" s="31"/>
      <c r="F950" s="73" t="s">
        <v>11</v>
      </c>
      <c r="G950" s="32">
        <v>35751</v>
      </c>
      <c r="H950" s="29">
        <v>3850</v>
      </c>
      <c r="I950" s="17">
        <v>0</v>
      </c>
      <c r="J950" s="17">
        <v>2689.915890410959</v>
      </c>
      <c r="K950" s="17">
        <f t="shared" si="153"/>
        <v>1160.084109589041</v>
      </c>
      <c r="L950" s="23">
        <f t="shared" si="146"/>
        <v>192.5</v>
      </c>
      <c r="M950" s="33">
        <v>25</v>
      </c>
      <c r="N950" s="18">
        <f t="shared" si="154"/>
        <v>22.389041095890413</v>
      </c>
      <c r="O950" s="23">
        <v>23679.7</v>
      </c>
      <c r="P950" s="18">
        <f t="shared" si="155"/>
        <v>23.389041095890413</v>
      </c>
      <c r="Q950" s="18">
        <f t="shared" si="145"/>
        <v>38.703364383561642</v>
      </c>
      <c r="R950" s="18">
        <f t="shared" si="156"/>
        <v>23718.403364383561</v>
      </c>
      <c r="S950" s="18">
        <f t="shared" si="159"/>
        <v>192.5</v>
      </c>
    </row>
    <row r="951" spans="1:19" ht="15" customHeight="1" x14ac:dyDescent="0.2">
      <c r="A951" s="14">
        <f t="shared" si="157"/>
        <v>915</v>
      </c>
      <c r="B951" s="31" t="s">
        <v>877</v>
      </c>
      <c r="C951" s="15" t="s">
        <v>3</v>
      </c>
      <c r="D951" s="31" t="s">
        <v>500</v>
      </c>
      <c r="E951" s="31"/>
      <c r="F951" s="73" t="s">
        <v>4</v>
      </c>
      <c r="G951" s="32">
        <v>21186</v>
      </c>
      <c r="H951" s="29">
        <v>2835</v>
      </c>
      <c r="I951" s="17">
        <v>0</v>
      </c>
      <c r="J951" s="17">
        <f t="shared" si="160"/>
        <v>2693.25</v>
      </c>
      <c r="K951" s="17">
        <f t="shared" si="153"/>
        <v>141.75</v>
      </c>
      <c r="L951" s="23">
        <f t="shared" si="146"/>
        <v>141.75</v>
      </c>
      <c r="M951" s="33">
        <v>25</v>
      </c>
      <c r="N951" s="18">
        <f t="shared" si="154"/>
        <v>62.293150684931504</v>
      </c>
      <c r="O951" s="23">
        <v>13957.4</v>
      </c>
      <c r="P951" s="18">
        <f t="shared" si="155"/>
        <v>63.293150684931504</v>
      </c>
      <c r="Q951" s="18">
        <f t="shared" ref="Q951:Q1014" si="161">(P951-N951)/M951*(K951-L951)</f>
        <v>0</v>
      </c>
      <c r="R951" s="18">
        <f t="shared" si="156"/>
        <v>13957.4</v>
      </c>
      <c r="S951" s="18">
        <f t="shared" si="159"/>
        <v>141.75</v>
      </c>
    </row>
    <row r="952" spans="1:19" ht="15" customHeight="1" x14ac:dyDescent="0.2">
      <c r="A952" s="14">
        <f t="shared" si="157"/>
        <v>916</v>
      </c>
      <c r="B952" s="31" t="s">
        <v>878</v>
      </c>
      <c r="C952" s="15" t="s">
        <v>3</v>
      </c>
      <c r="D952" s="31" t="s">
        <v>500</v>
      </c>
      <c r="E952" s="31"/>
      <c r="F952" s="73" t="s">
        <v>14</v>
      </c>
      <c r="G952" s="32">
        <v>24838</v>
      </c>
      <c r="H952" s="29">
        <v>8485</v>
      </c>
      <c r="I952" s="17">
        <v>0</v>
      </c>
      <c r="J952" s="17">
        <f t="shared" si="160"/>
        <v>8060.75</v>
      </c>
      <c r="K952" s="17">
        <f t="shared" si="153"/>
        <v>424.25</v>
      </c>
      <c r="L952" s="23">
        <f t="shared" ref="L952:L1015" si="162">H952*0.05</f>
        <v>424.25</v>
      </c>
      <c r="M952" s="33">
        <v>15</v>
      </c>
      <c r="N952" s="18">
        <f t="shared" si="154"/>
        <v>52.287671232876711</v>
      </c>
      <c r="O952" s="23">
        <v>467435.15</v>
      </c>
      <c r="P952" s="18">
        <f t="shared" si="155"/>
        <v>53.287671232876711</v>
      </c>
      <c r="Q952" s="18">
        <f t="shared" si="161"/>
        <v>0</v>
      </c>
      <c r="R952" s="18">
        <f t="shared" si="156"/>
        <v>467435.15</v>
      </c>
      <c r="S952" s="18">
        <f t="shared" si="159"/>
        <v>424.25</v>
      </c>
    </row>
    <row r="953" spans="1:19" ht="15" customHeight="1" x14ac:dyDescent="0.2">
      <c r="A953" s="14">
        <f t="shared" si="157"/>
        <v>917</v>
      </c>
      <c r="B953" s="31" t="s">
        <v>879</v>
      </c>
      <c r="C953" s="15" t="s">
        <v>3</v>
      </c>
      <c r="D953" s="31" t="s">
        <v>500</v>
      </c>
      <c r="E953" s="31"/>
      <c r="F953" s="73" t="s">
        <v>8</v>
      </c>
      <c r="G953" s="32">
        <v>21551</v>
      </c>
      <c r="H953" s="29">
        <v>253277</v>
      </c>
      <c r="I953" s="17">
        <v>0</v>
      </c>
      <c r="J953" s="17">
        <f t="shared" si="160"/>
        <v>240613.15</v>
      </c>
      <c r="K953" s="17">
        <f t="shared" si="153"/>
        <v>12663.850000000006</v>
      </c>
      <c r="L953" s="23">
        <f t="shared" si="162"/>
        <v>12663.85</v>
      </c>
      <c r="M953" s="33">
        <v>25</v>
      </c>
      <c r="N953" s="18">
        <f t="shared" si="154"/>
        <v>61.293150684931504</v>
      </c>
      <c r="O953" s="23">
        <v>4192619.8</v>
      </c>
      <c r="P953" s="18">
        <f t="shared" si="155"/>
        <v>62.293150684931504</v>
      </c>
      <c r="Q953" s="18">
        <f t="shared" si="161"/>
        <v>2.1827872842550277E-13</v>
      </c>
      <c r="R953" s="18">
        <f t="shared" si="156"/>
        <v>4192619.8</v>
      </c>
      <c r="S953" s="18">
        <f t="shared" si="159"/>
        <v>12663.85</v>
      </c>
    </row>
    <row r="954" spans="1:19" ht="15" customHeight="1" x14ac:dyDescent="0.2">
      <c r="A954" s="14">
        <f t="shared" si="157"/>
        <v>918</v>
      </c>
      <c r="B954" s="31" t="s">
        <v>880</v>
      </c>
      <c r="C954" s="15" t="s">
        <v>3</v>
      </c>
      <c r="D954" s="31" t="s">
        <v>500</v>
      </c>
      <c r="E954" s="31"/>
      <c r="F954" s="73" t="s">
        <v>8</v>
      </c>
      <c r="G954" s="32">
        <v>21551</v>
      </c>
      <c r="H954" s="29">
        <v>2985</v>
      </c>
      <c r="I954" s="17">
        <v>0</v>
      </c>
      <c r="J954" s="17">
        <f t="shared" si="160"/>
        <v>2835.75</v>
      </c>
      <c r="K954" s="17">
        <f t="shared" si="153"/>
        <v>149.25</v>
      </c>
      <c r="L954" s="23">
        <f t="shared" si="162"/>
        <v>149.25</v>
      </c>
      <c r="M954" s="33">
        <v>25</v>
      </c>
      <c r="N954" s="18">
        <f t="shared" si="154"/>
        <v>61.293150684931504</v>
      </c>
      <c r="O954" s="23">
        <v>2413887.2999999998</v>
      </c>
      <c r="P954" s="18">
        <f t="shared" si="155"/>
        <v>62.293150684931504</v>
      </c>
      <c r="Q954" s="18">
        <f t="shared" si="161"/>
        <v>0</v>
      </c>
      <c r="R954" s="18">
        <f t="shared" si="156"/>
        <v>2413887.2999999998</v>
      </c>
      <c r="S954" s="18">
        <f t="shared" si="159"/>
        <v>149.25</v>
      </c>
    </row>
    <row r="955" spans="1:19" ht="15" customHeight="1" x14ac:dyDescent="0.2">
      <c r="A955" s="14">
        <f t="shared" si="157"/>
        <v>919</v>
      </c>
      <c r="B955" s="31" t="s">
        <v>881</v>
      </c>
      <c r="C955" s="15" t="s">
        <v>3</v>
      </c>
      <c r="D955" s="31" t="s">
        <v>500</v>
      </c>
      <c r="E955" s="31"/>
      <c r="F955" s="73" t="s">
        <v>8</v>
      </c>
      <c r="G955" s="32">
        <v>25204</v>
      </c>
      <c r="H955" s="29">
        <v>2586</v>
      </c>
      <c r="I955" s="17">
        <v>0</v>
      </c>
      <c r="J955" s="17">
        <f t="shared" si="160"/>
        <v>2456.6999999999998</v>
      </c>
      <c r="K955" s="17">
        <f t="shared" si="153"/>
        <v>129.30000000000018</v>
      </c>
      <c r="L955" s="23">
        <f t="shared" si="162"/>
        <v>129.30000000000001</v>
      </c>
      <c r="M955" s="33">
        <v>15</v>
      </c>
      <c r="N955" s="18">
        <f t="shared" si="154"/>
        <v>51.284931506849318</v>
      </c>
      <c r="O955" s="23">
        <v>1019730</v>
      </c>
      <c r="P955" s="18">
        <f t="shared" si="155"/>
        <v>52.284931506849318</v>
      </c>
      <c r="Q955" s="18">
        <f t="shared" si="161"/>
        <v>1.1368683772161604E-14</v>
      </c>
      <c r="R955" s="18">
        <f t="shared" si="156"/>
        <v>1019730</v>
      </c>
      <c r="S955" s="18">
        <f t="shared" si="159"/>
        <v>129.30000000000001</v>
      </c>
    </row>
    <row r="956" spans="1:19" ht="15" customHeight="1" x14ac:dyDescent="0.2">
      <c r="A956" s="14">
        <f t="shared" si="157"/>
        <v>920</v>
      </c>
      <c r="B956" s="31" t="s">
        <v>882</v>
      </c>
      <c r="C956" s="15" t="s">
        <v>3</v>
      </c>
      <c r="D956" s="31" t="s">
        <v>500</v>
      </c>
      <c r="E956" s="31"/>
      <c r="F956" s="73" t="s">
        <v>11</v>
      </c>
      <c r="G956" s="32">
        <v>21916</v>
      </c>
      <c r="H956" s="29">
        <v>28662</v>
      </c>
      <c r="I956" s="17">
        <v>0</v>
      </c>
      <c r="J956" s="17">
        <f t="shared" si="160"/>
        <v>27228.9</v>
      </c>
      <c r="K956" s="17">
        <f t="shared" si="153"/>
        <v>1433.0999999999985</v>
      </c>
      <c r="L956" s="23">
        <f t="shared" si="162"/>
        <v>1433.1000000000001</v>
      </c>
      <c r="M956" s="33">
        <v>25</v>
      </c>
      <c r="N956" s="18">
        <f t="shared" si="154"/>
        <v>60.293150684931504</v>
      </c>
      <c r="O956" s="23">
        <v>848714.8</v>
      </c>
      <c r="P956" s="18">
        <f t="shared" si="155"/>
        <v>61.293150684931504</v>
      </c>
      <c r="Q956" s="18">
        <f t="shared" si="161"/>
        <v>-6.3664629124104983E-14</v>
      </c>
      <c r="R956" s="18">
        <f t="shared" si="156"/>
        <v>848714.8</v>
      </c>
      <c r="S956" s="18">
        <f t="shared" si="159"/>
        <v>1433.1000000000001</v>
      </c>
    </row>
    <row r="957" spans="1:19" ht="15" customHeight="1" x14ac:dyDescent="0.2">
      <c r="A957" s="14">
        <f t="shared" si="157"/>
        <v>921</v>
      </c>
      <c r="B957" s="31" t="s">
        <v>883</v>
      </c>
      <c r="C957" s="15" t="s">
        <v>3</v>
      </c>
      <c r="D957" s="31" t="s">
        <v>500</v>
      </c>
      <c r="E957" s="31"/>
      <c r="F957" s="73" t="s">
        <v>4</v>
      </c>
      <c r="G957" s="32">
        <v>21916</v>
      </c>
      <c r="H957" s="29">
        <v>27708</v>
      </c>
      <c r="I957" s="17">
        <v>0</v>
      </c>
      <c r="J957" s="17">
        <f t="shared" si="160"/>
        <v>26322.6</v>
      </c>
      <c r="K957" s="17">
        <f t="shared" si="153"/>
        <v>1385.4000000000015</v>
      </c>
      <c r="L957" s="23">
        <f t="shared" si="162"/>
        <v>1385.4</v>
      </c>
      <c r="M957" s="33">
        <v>25</v>
      </c>
      <c r="N957" s="18">
        <f t="shared" si="154"/>
        <v>60.293150684931504</v>
      </c>
      <c r="O957" s="23">
        <v>732105.15</v>
      </c>
      <c r="P957" s="18">
        <f t="shared" si="155"/>
        <v>61.293150684931504</v>
      </c>
      <c r="Q957" s="18">
        <f t="shared" si="161"/>
        <v>5.4569682106375692E-14</v>
      </c>
      <c r="R957" s="18">
        <f t="shared" si="156"/>
        <v>732105.15</v>
      </c>
      <c r="S957" s="18">
        <f t="shared" si="159"/>
        <v>1385.4</v>
      </c>
    </row>
    <row r="958" spans="1:19" ht="15" customHeight="1" x14ac:dyDescent="0.2">
      <c r="A958" s="14">
        <f t="shared" si="157"/>
        <v>922</v>
      </c>
      <c r="B958" s="31" t="s">
        <v>884</v>
      </c>
      <c r="C958" s="15" t="s">
        <v>3</v>
      </c>
      <c r="D958" s="31" t="s">
        <v>500</v>
      </c>
      <c r="E958" s="31"/>
      <c r="F958" s="73" t="s">
        <v>4</v>
      </c>
      <c r="G958" s="32">
        <v>21916</v>
      </c>
      <c r="H958" s="29">
        <v>23216</v>
      </c>
      <c r="I958" s="17">
        <v>0</v>
      </c>
      <c r="J958" s="17">
        <f t="shared" si="160"/>
        <v>22055.200000000001</v>
      </c>
      <c r="K958" s="17">
        <f t="shared" si="153"/>
        <v>1160.7999999999993</v>
      </c>
      <c r="L958" s="23">
        <f t="shared" si="162"/>
        <v>1160.8</v>
      </c>
      <c r="M958" s="33">
        <v>25</v>
      </c>
      <c r="N958" s="18">
        <f t="shared" si="154"/>
        <v>60.293150684931504</v>
      </c>
      <c r="O958" s="23">
        <v>603037.77</v>
      </c>
      <c r="P958" s="18">
        <f t="shared" si="155"/>
        <v>61.293150684931504</v>
      </c>
      <c r="Q958" s="18">
        <f t="shared" si="161"/>
        <v>-2.7284841053187846E-14</v>
      </c>
      <c r="R958" s="18">
        <f t="shared" si="156"/>
        <v>603037.77</v>
      </c>
      <c r="S958" s="18">
        <f t="shared" si="159"/>
        <v>1160.8</v>
      </c>
    </row>
    <row r="959" spans="1:19" ht="15" customHeight="1" x14ac:dyDescent="0.2">
      <c r="A959" s="14">
        <f t="shared" si="157"/>
        <v>923</v>
      </c>
      <c r="B959" s="31" t="s">
        <v>885</v>
      </c>
      <c r="C959" s="15" t="s">
        <v>3</v>
      </c>
      <c r="D959" s="31" t="s">
        <v>500</v>
      </c>
      <c r="E959" s="31"/>
      <c r="F959" s="73" t="s">
        <v>11</v>
      </c>
      <c r="G959" s="32">
        <v>21916</v>
      </c>
      <c r="H959" s="29">
        <v>7080</v>
      </c>
      <c r="I959" s="17">
        <v>0</v>
      </c>
      <c r="J959" s="17">
        <f t="shared" si="160"/>
        <v>6726</v>
      </c>
      <c r="K959" s="17">
        <f t="shared" si="153"/>
        <v>354</v>
      </c>
      <c r="L959" s="23">
        <f t="shared" si="162"/>
        <v>354</v>
      </c>
      <c r="M959" s="33">
        <v>25</v>
      </c>
      <c r="N959" s="18">
        <f t="shared" si="154"/>
        <v>60.293150684931504</v>
      </c>
      <c r="O959" s="23">
        <v>544413.65</v>
      </c>
      <c r="P959" s="18">
        <f t="shared" si="155"/>
        <v>61.293150684931504</v>
      </c>
      <c r="Q959" s="18">
        <f t="shared" si="161"/>
        <v>0</v>
      </c>
      <c r="R959" s="18">
        <f t="shared" si="156"/>
        <v>544413.65</v>
      </c>
      <c r="S959" s="18">
        <f t="shared" si="159"/>
        <v>354</v>
      </c>
    </row>
    <row r="960" spans="1:19" ht="15" customHeight="1" x14ac:dyDescent="0.2">
      <c r="A960" s="14">
        <f t="shared" si="157"/>
        <v>924</v>
      </c>
      <c r="B960" s="31" t="s">
        <v>886</v>
      </c>
      <c r="C960" s="15" t="s">
        <v>3</v>
      </c>
      <c r="D960" s="31" t="s">
        <v>500</v>
      </c>
      <c r="E960" s="31"/>
      <c r="F960" s="73" t="s">
        <v>13</v>
      </c>
      <c r="G960" s="32">
        <v>21916</v>
      </c>
      <c r="H960" s="29">
        <v>411</v>
      </c>
      <c r="I960" s="17">
        <v>0</v>
      </c>
      <c r="J960" s="17">
        <f t="shared" si="160"/>
        <v>390.45</v>
      </c>
      <c r="K960" s="17">
        <f t="shared" si="153"/>
        <v>20.550000000000011</v>
      </c>
      <c r="L960" s="23">
        <f t="shared" si="162"/>
        <v>20.55</v>
      </c>
      <c r="M960" s="33">
        <v>25</v>
      </c>
      <c r="N960" s="18">
        <f t="shared" si="154"/>
        <v>60.293150684931504</v>
      </c>
      <c r="O960" s="23">
        <v>356503.65</v>
      </c>
      <c r="P960" s="18">
        <f t="shared" si="155"/>
        <v>61.293150684931504</v>
      </c>
      <c r="Q960" s="18">
        <f t="shared" si="161"/>
        <v>4.263256414560601E-16</v>
      </c>
      <c r="R960" s="18">
        <f t="shared" si="156"/>
        <v>356503.65</v>
      </c>
      <c r="S960" s="18">
        <f t="shared" si="159"/>
        <v>20.55</v>
      </c>
    </row>
    <row r="961" spans="1:19" ht="15" customHeight="1" x14ac:dyDescent="0.2">
      <c r="A961" s="14">
        <f t="shared" si="157"/>
        <v>925</v>
      </c>
      <c r="B961" s="31" t="s">
        <v>887</v>
      </c>
      <c r="C961" s="15" t="s">
        <v>3</v>
      </c>
      <c r="D961" s="31" t="s">
        <v>500</v>
      </c>
      <c r="E961" s="31"/>
      <c r="F961" s="73" t="s">
        <v>8</v>
      </c>
      <c r="G961" s="32">
        <v>27395</v>
      </c>
      <c r="H961" s="29">
        <v>5780</v>
      </c>
      <c r="I961" s="17">
        <v>0</v>
      </c>
      <c r="J961" s="17">
        <f t="shared" si="160"/>
        <v>5491</v>
      </c>
      <c r="K961" s="17">
        <f t="shared" si="153"/>
        <v>289</v>
      </c>
      <c r="L961" s="23">
        <f t="shared" si="162"/>
        <v>289</v>
      </c>
      <c r="M961" s="33">
        <v>10</v>
      </c>
      <c r="N961" s="18">
        <f t="shared" si="154"/>
        <v>45.282191780821918</v>
      </c>
      <c r="O961" s="23">
        <v>140657</v>
      </c>
      <c r="P961" s="18">
        <f t="shared" si="155"/>
        <v>46.282191780821918</v>
      </c>
      <c r="Q961" s="18">
        <f t="shared" si="161"/>
        <v>0</v>
      </c>
      <c r="R961" s="18">
        <f t="shared" si="156"/>
        <v>140657</v>
      </c>
      <c r="S961" s="18">
        <f t="shared" si="159"/>
        <v>289</v>
      </c>
    </row>
    <row r="962" spans="1:19" ht="15" customHeight="1" x14ac:dyDescent="0.2">
      <c r="A962" s="14">
        <f t="shared" si="157"/>
        <v>926</v>
      </c>
      <c r="B962" s="31" t="s">
        <v>885</v>
      </c>
      <c r="C962" s="15" t="s">
        <v>3</v>
      </c>
      <c r="D962" s="31" t="s">
        <v>500</v>
      </c>
      <c r="E962" s="31"/>
      <c r="F962" s="73" t="s">
        <v>11</v>
      </c>
      <c r="G962" s="32">
        <v>22282</v>
      </c>
      <c r="H962" s="29">
        <v>220773</v>
      </c>
      <c r="I962" s="17">
        <v>0</v>
      </c>
      <c r="J962" s="17">
        <f t="shared" si="160"/>
        <v>209734.35</v>
      </c>
      <c r="K962" s="17">
        <f t="shared" si="153"/>
        <v>11038.649999999994</v>
      </c>
      <c r="L962" s="23">
        <f t="shared" si="162"/>
        <v>11038.650000000001</v>
      </c>
      <c r="M962" s="33">
        <v>25</v>
      </c>
      <c r="N962" s="18">
        <f t="shared" si="154"/>
        <v>59.290410958904111</v>
      </c>
      <c r="O962" s="23">
        <v>110136.35</v>
      </c>
      <c r="P962" s="18">
        <f t="shared" si="155"/>
        <v>60.290410958904111</v>
      </c>
      <c r="Q962" s="18">
        <f t="shared" si="161"/>
        <v>-2.9103830456733704E-13</v>
      </c>
      <c r="R962" s="18">
        <f t="shared" si="156"/>
        <v>110136.35</v>
      </c>
      <c r="S962" s="18">
        <f t="shared" si="159"/>
        <v>11038.650000000001</v>
      </c>
    </row>
    <row r="963" spans="1:19" ht="15" customHeight="1" x14ac:dyDescent="0.2">
      <c r="A963" s="14">
        <f t="shared" si="157"/>
        <v>927</v>
      </c>
      <c r="B963" s="31" t="s">
        <v>888</v>
      </c>
      <c r="C963" s="15" t="s">
        <v>3</v>
      </c>
      <c r="D963" s="31" t="s">
        <v>500</v>
      </c>
      <c r="E963" s="31"/>
      <c r="F963" s="73" t="s">
        <v>15</v>
      </c>
      <c r="G963" s="32">
        <v>22282</v>
      </c>
      <c r="H963" s="29">
        <v>73826</v>
      </c>
      <c r="I963" s="17">
        <v>0</v>
      </c>
      <c r="J963" s="17">
        <f t="shared" si="160"/>
        <v>70134.7</v>
      </c>
      <c r="K963" s="17">
        <f t="shared" si="153"/>
        <v>3691.3000000000029</v>
      </c>
      <c r="L963" s="23">
        <f t="shared" si="162"/>
        <v>3691.3</v>
      </c>
      <c r="M963" s="33">
        <v>25</v>
      </c>
      <c r="N963" s="18">
        <f t="shared" si="154"/>
        <v>59.290410958904111</v>
      </c>
      <c r="O963" s="23">
        <v>85984.5</v>
      </c>
      <c r="P963" s="18">
        <f t="shared" si="155"/>
        <v>60.290410958904111</v>
      </c>
      <c r="Q963" s="18">
        <f t="shared" si="161"/>
        <v>1.0913936421275138E-13</v>
      </c>
      <c r="R963" s="18">
        <f t="shared" si="156"/>
        <v>85984.5</v>
      </c>
      <c r="S963" s="18">
        <f t="shared" si="159"/>
        <v>3691.3</v>
      </c>
    </row>
    <row r="964" spans="1:19" ht="15" customHeight="1" x14ac:dyDescent="0.2">
      <c r="A964" s="14">
        <f t="shared" si="157"/>
        <v>928</v>
      </c>
      <c r="B964" s="31" t="s">
        <v>889</v>
      </c>
      <c r="C964" s="15" t="s">
        <v>3</v>
      </c>
      <c r="D964" s="31" t="s">
        <v>500</v>
      </c>
      <c r="E964" s="31"/>
      <c r="F964" s="73" t="s">
        <v>11</v>
      </c>
      <c r="G964" s="32">
        <v>22282</v>
      </c>
      <c r="H964" s="29">
        <v>42900</v>
      </c>
      <c r="I964" s="17">
        <v>0</v>
      </c>
      <c r="J964" s="17">
        <f t="shared" si="160"/>
        <v>40755</v>
      </c>
      <c r="K964" s="17">
        <f t="shared" si="153"/>
        <v>2145</v>
      </c>
      <c r="L964" s="23">
        <f t="shared" si="162"/>
        <v>2145</v>
      </c>
      <c r="M964" s="33">
        <v>25</v>
      </c>
      <c r="N964" s="18">
        <f t="shared" si="154"/>
        <v>59.290410958904111</v>
      </c>
      <c r="O964" s="23">
        <v>73685.8</v>
      </c>
      <c r="P964" s="18">
        <f t="shared" si="155"/>
        <v>60.290410958904111</v>
      </c>
      <c r="Q964" s="18">
        <f t="shared" si="161"/>
        <v>0</v>
      </c>
      <c r="R964" s="18">
        <f t="shared" si="156"/>
        <v>73685.8</v>
      </c>
      <c r="S964" s="18">
        <f t="shared" si="159"/>
        <v>2145</v>
      </c>
    </row>
    <row r="965" spans="1:19" ht="15" customHeight="1" x14ac:dyDescent="0.2">
      <c r="A965" s="14">
        <f t="shared" si="157"/>
        <v>929</v>
      </c>
      <c r="B965" s="31" t="s">
        <v>886</v>
      </c>
      <c r="C965" s="15" t="s">
        <v>3</v>
      </c>
      <c r="D965" s="31" t="s">
        <v>500</v>
      </c>
      <c r="E965" s="31"/>
      <c r="F965" s="73" t="s">
        <v>13</v>
      </c>
      <c r="G965" s="32">
        <v>22282</v>
      </c>
      <c r="H965" s="29">
        <v>2940</v>
      </c>
      <c r="I965" s="17">
        <v>0</v>
      </c>
      <c r="J965" s="17">
        <f t="shared" si="160"/>
        <v>2793</v>
      </c>
      <c r="K965" s="17">
        <f t="shared" si="153"/>
        <v>147</v>
      </c>
      <c r="L965" s="23">
        <f t="shared" si="162"/>
        <v>147</v>
      </c>
      <c r="M965" s="33">
        <v>25</v>
      </c>
      <c r="N965" s="18">
        <f t="shared" si="154"/>
        <v>59.290410958904111</v>
      </c>
      <c r="O965" s="23">
        <v>47534.2</v>
      </c>
      <c r="P965" s="18">
        <f t="shared" si="155"/>
        <v>60.290410958904111</v>
      </c>
      <c r="Q965" s="18">
        <f t="shared" si="161"/>
        <v>0</v>
      </c>
      <c r="R965" s="18">
        <f t="shared" si="156"/>
        <v>47534.2</v>
      </c>
      <c r="S965" s="18">
        <f t="shared" si="159"/>
        <v>147</v>
      </c>
    </row>
    <row r="966" spans="1:19" ht="15" customHeight="1" x14ac:dyDescent="0.2">
      <c r="A966" s="14">
        <f t="shared" si="157"/>
        <v>930</v>
      </c>
      <c r="B966" s="31" t="s">
        <v>890</v>
      </c>
      <c r="C966" s="15" t="s">
        <v>3</v>
      </c>
      <c r="D966" s="31" t="s">
        <v>500</v>
      </c>
      <c r="E966" s="31"/>
      <c r="F966" s="73" t="s">
        <v>11</v>
      </c>
      <c r="G966" s="32">
        <v>22282</v>
      </c>
      <c r="H966" s="29">
        <v>2801</v>
      </c>
      <c r="I966" s="17">
        <v>0</v>
      </c>
      <c r="J966" s="17">
        <f t="shared" si="160"/>
        <v>2660.95</v>
      </c>
      <c r="K966" s="17">
        <f t="shared" si="153"/>
        <v>140.05000000000018</v>
      </c>
      <c r="L966" s="23">
        <f t="shared" si="162"/>
        <v>140.05000000000001</v>
      </c>
      <c r="M966" s="33">
        <v>25</v>
      </c>
      <c r="N966" s="18">
        <f t="shared" si="154"/>
        <v>59.290410958904111</v>
      </c>
      <c r="O966" s="23">
        <v>35428.35</v>
      </c>
      <c r="P966" s="18">
        <f t="shared" si="155"/>
        <v>60.290410958904111</v>
      </c>
      <c r="Q966" s="18">
        <f t="shared" si="161"/>
        <v>6.8212102632969615E-15</v>
      </c>
      <c r="R966" s="18">
        <f t="shared" si="156"/>
        <v>35428.35</v>
      </c>
      <c r="S966" s="18">
        <f t="shared" si="159"/>
        <v>140.05000000000001</v>
      </c>
    </row>
    <row r="967" spans="1:19" ht="15" customHeight="1" x14ac:dyDescent="0.2">
      <c r="A967" s="14">
        <f t="shared" si="157"/>
        <v>931</v>
      </c>
      <c r="B967" s="31" t="s">
        <v>891</v>
      </c>
      <c r="C967" s="15" t="s">
        <v>3</v>
      </c>
      <c r="D967" s="31" t="s">
        <v>500</v>
      </c>
      <c r="E967" s="31"/>
      <c r="F967" s="73" t="s">
        <v>4</v>
      </c>
      <c r="G967" s="32">
        <v>22282</v>
      </c>
      <c r="H967" s="29">
        <v>2597</v>
      </c>
      <c r="I967" s="17">
        <v>0</v>
      </c>
      <c r="J967" s="17">
        <f t="shared" si="160"/>
        <v>2467.15</v>
      </c>
      <c r="K967" s="17">
        <f t="shared" si="153"/>
        <v>129.84999999999991</v>
      </c>
      <c r="L967" s="23">
        <f t="shared" si="162"/>
        <v>129.85</v>
      </c>
      <c r="M967" s="33">
        <v>25</v>
      </c>
      <c r="N967" s="18">
        <f t="shared" si="154"/>
        <v>59.290410958904111</v>
      </c>
      <c r="O967" s="23">
        <v>32438.7</v>
      </c>
      <c r="P967" s="18">
        <f t="shared" si="155"/>
        <v>60.290410958904111</v>
      </c>
      <c r="Q967" s="18">
        <f t="shared" si="161"/>
        <v>-3.4106051316484808E-15</v>
      </c>
      <c r="R967" s="18">
        <f t="shared" si="156"/>
        <v>32438.7</v>
      </c>
      <c r="S967" s="18">
        <f t="shared" si="159"/>
        <v>129.85</v>
      </c>
    </row>
    <row r="968" spans="1:19" ht="15" customHeight="1" x14ac:dyDescent="0.2">
      <c r="A968" s="14">
        <f t="shared" si="157"/>
        <v>932</v>
      </c>
      <c r="B968" s="31" t="s">
        <v>892</v>
      </c>
      <c r="C968" s="15" t="s">
        <v>3</v>
      </c>
      <c r="D968" s="31" t="s">
        <v>500</v>
      </c>
      <c r="E968" s="31"/>
      <c r="F968" s="73" t="s">
        <v>4</v>
      </c>
      <c r="G968" s="32">
        <v>22282</v>
      </c>
      <c r="H968" s="29">
        <v>2466</v>
      </c>
      <c r="I968" s="17">
        <v>0</v>
      </c>
      <c r="J968" s="17">
        <f t="shared" si="160"/>
        <v>2342.6999999999998</v>
      </c>
      <c r="K968" s="17">
        <f t="shared" si="153"/>
        <v>123.30000000000018</v>
      </c>
      <c r="L968" s="23">
        <f t="shared" si="162"/>
        <v>123.30000000000001</v>
      </c>
      <c r="M968" s="33">
        <v>25</v>
      </c>
      <c r="N968" s="18">
        <f t="shared" si="154"/>
        <v>59.290410958904111</v>
      </c>
      <c r="O968" s="23">
        <v>5649.65</v>
      </c>
      <c r="P968" s="18">
        <f t="shared" si="155"/>
        <v>60.290410958904111</v>
      </c>
      <c r="Q968" s="18">
        <f t="shared" si="161"/>
        <v>6.8212102632969615E-15</v>
      </c>
      <c r="R968" s="18">
        <f t="shared" si="156"/>
        <v>5649.65</v>
      </c>
      <c r="S968" s="18">
        <f t="shared" si="159"/>
        <v>123.30000000000001</v>
      </c>
    </row>
    <row r="969" spans="1:19" ht="15" customHeight="1" x14ac:dyDescent="0.2">
      <c r="A969" s="14">
        <f t="shared" si="157"/>
        <v>933</v>
      </c>
      <c r="B969" s="31" t="s">
        <v>893</v>
      </c>
      <c r="C969" s="15" t="s">
        <v>3</v>
      </c>
      <c r="D969" s="31" t="s">
        <v>500</v>
      </c>
      <c r="E969" s="31"/>
      <c r="F969" s="73" t="s">
        <v>15</v>
      </c>
      <c r="G969" s="32">
        <v>22647</v>
      </c>
      <c r="H969" s="29">
        <v>364070</v>
      </c>
      <c r="I969" s="17">
        <v>0</v>
      </c>
      <c r="J969" s="17">
        <f t="shared" si="160"/>
        <v>345866.5</v>
      </c>
      <c r="K969" s="17">
        <f t="shared" si="153"/>
        <v>18203.5</v>
      </c>
      <c r="L969" s="23">
        <f t="shared" si="162"/>
        <v>18203.5</v>
      </c>
      <c r="M969" s="33">
        <v>25</v>
      </c>
      <c r="N969" s="18">
        <f t="shared" si="154"/>
        <v>58.290410958904111</v>
      </c>
      <c r="O969" s="23">
        <v>3923.5</v>
      </c>
      <c r="P969" s="18">
        <f t="shared" si="155"/>
        <v>59.290410958904111</v>
      </c>
      <c r="Q969" s="18">
        <f t="shared" si="161"/>
        <v>0</v>
      </c>
      <c r="R969" s="18">
        <f t="shared" si="156"/>
        <v>3923.5</v>
      </c>
      <c r="S969" s="18">
        <f t="shared" si="159"/>
        <v>18203.5</v>
      </c>
    </row>
    <row r="970" spans="1:19" ht="15" customHeight="1" x14ac:dyDescent="0.2">
      <c r="A970" s="14">
        <f t="shared" si="157"/>
        <v>934</v>
      </c>
      <c r="B970" s="31" t="s">
        <v>894</v>
      </c>
      <c r="C970" s="15" t="s">
        <v>3</v>
      </c>
      <c r="D970" s="31" t="s">
        <v>500</v>
      </c>
      <c r="E970" s="31"/>
      <c r="F970" s="73" t="s">
        <v>4</v>
      </c>
      <c r="G970" s="32">
        <v>22647</v>
      </c>
      <c r="H970" s="29">
        <v>40000</v>
      </c>
      <c r="I970" s="17">
        <v>0</v>
      </c>
      <c r="J970" s="17">
        <f t="shared" si="160"/>
        <v>38000</v>
      </c>
      <c r="K970" s="17">
        <f t="shared" si="153"/>
        <v>2000</v>
      </c>
      <c r="L970" s="23">
        <f t="shared" si="162"/>
        <v>2000</v>
      </c>
      <c r="M970" s="33">
        <v>25</v>
      </c>
      <c r="N970" s="18">
        <f t="shared" si="154"/>
        <v>58.290410958904111</v>
      </c>
      <c r="O970" s="23">
        <v>351243.5</v>
      </c>
      <c r="P970" s="18">
        <f t="shared" si="155"/>
        <v>59.290410958904111</v>
      </c>
      <c r="Q970" s="18">
        <f t="shared" si="161"/>
        <v>0</v>
      </c>
      <c r="R970" s="18">
        <f t="shared" si="156"/>
        <v>351243.5</v>
      </c>
      <c r="S970" s="18">
        <f t="shared" si="159"/>
        <v>2000</v>
      </c>
    </row>
    <row r="971" spans="1:19" ht="15" customHeight="1" x14ac:dyDescent="0.2">
      <c r="A971" s="14">
        <f t="shared" si="157"/>
        <v>935</v>
      </c>
      <c r="B971" s="31" t="s">
        <v>895</v>
      </c>
      <c r="C971" s="15" t="s">
        <v>3</v>
      </c>
      <c r="D971" s="31" t="s">
        <v>500</v>
      </c>
      <c r="E971" s="31"/>
      <c r="F971" s="73" t="s">
        <v>11</v>
      </c>
      <c r="G971" s="32">
        <v>36945</v>
      </c>
      <c r="H971" s="29">
        <v>3905</v>
      </c>
      <c r="I971" s="17">
        <v>0</v>
      </c>
      <c r="J971" s="17">
        <v>2242.9250136986302</v>
      </c>
      <c r="K971" s="17">
        <f t="shared" si="153"/>
        <v>1662.0749863013698</v>
      </c>
      <c r="L971" s="23">
        <f t="shared" si="162"/>
        <v>195.25</v>
      </c>
      <c r="M971" s="33">
        <v>25</v>
      </c>
      <c r="N971" s="18">
        <f t="shared" si="154"/>
        <v>19.117808219178084</v>
      </c>
      <c r="O971" s="23">
        <v>199253.95</v>
      </c>
      <c r="P971" s="18">
        <f t="shared" si="155"/>
        <v>20.117808219178084</v>
      </c>
      <c r="Q971" s="18">
        <f t="shared" si="161"/>
        <v>58.672999452054796</v>
      </c>
      <c r="R971" s="18">
        <f t="shared" si="156"/>
        <v>199312.62299945205</v>
      </c>
      <c r="S971" s="18">
        <f t="shared" si="159"/>
        <v>195.25</v>
      </c>
    </row>
    <row r="972" spans="1:19" ht="15" customHeight="1" x14ac:dyDescent="0.2">
      <c r="A972" s="14">
        <f t="shared" si="157"/>
        <v>936</v>
      </c>
      <c r="B972" s="31" t="s">
        <v>896</v>
      </c>
      <c r="C972" s="15" t="s">
        <v>3</v>
      </c>
      <c r="D972" s="31" t="s">
        <v>500</v>
      </c>
      <c r="E972" s="31"/>
      <c r="F972" s="73" t="s">
        <v>4</v>
      </c>
      <c r="G972" s="32">
        <v>22647</v>
      </c>
      <c r="H972" s="29">
        <v>3607</v>
      </c>
      <c r="I972" s="17">
        <v>0</v>
      </c>
      <c r="J972" s="17">
        <f t="shared" si="160"/>
        <v>3426.65</v>
      </c>
      <c r="K972" s="17">
        <f t="shared" si="153"/>
        <v>180.34999999999991</v>
      </c>
      <c r="L972" s="23">
        <f t="shared" si="162"/>
        <v>180.35000000000002</v>
      </c>
      <c r="M972" s="33">
        <v>25</v>
      </c>
      <c r="N972" s="18">
        <f t="shared" si="154"/>
        <v>58.290410958904111</v>
      </c>
      <c r="O972" s="23">
        <v>1012550.85</v>
      </c>
      <c r="P972" s="18">
        <f t="shared" si="155"/>
        <v>59.290410958904111</v>
      </c>
      <c r="Q972" s="18">
        <f t="shared" si="161"/>
        <v>-4.5474735088646413E-15</v>
      </c>
      <c r="R972" s="18">
        <f t="shared" si="156"/>
        <v>1012550.85</v>
      </c>
      <c r="S972" s="18">
        <f t="shared" si="159"/>
        <v>180.35000000000002</v>
      </c>
    </row>
    <row r="973" spans="1:19" ht="15" customHeight="1" x14ac:dyDescent="0.2">
      <c r="A973" s="14">
        <f t="shared" si="157"/>
        <v>937</v>
      </c>
      <c r="B973" s="31" t="s">
        <v>897</v>
      </c>
      <c r="C973" s="15" t="s">
        <v>3</v>
      </c>
      <c r="D973" s="31" t="s">
        <v>500</v>
      </c>
      <c r="E973" s="31"/>
      <c r="F973" s="73" t="s">
        <v>11</v>
      </c>
      <c r="G973" s="32">
        <v>22647</v>
      </c>
      <c r="H973" s="29">
        <v>1202</v>
      </c>
      <c r="I973" s="17">
        <v>0</v>
      </c>
      <c r="J973" s="17">
        <f t="shared" si="160"/>
        <v>1141.9000000000001</v>
      </c>
      <c r="K973" s="17">
        <f t="shared" si="153"/>
        <v>60.099999999999909</v>
      </c>
      <c r="L973" s="23">
        <f t="shared" si="162"/>
        <v>60.1</v>
      </c>
      <c r="M973" s="33">
        <v>25</v>
      </c>
      <c r="N973" s="18">
        <f t="shared" si="154"/>
        <v>58.290410958904111</v>
      </c>
      <c r="O973" s="23">
        <v>1271986.3500000001</v>
      </c>
      <c r="P973" s="18">
        <f t="shared" si="155"/>
        <v>59.290410958904111</v>
      </c>
      <c r="Q973" s="18">
        <f t="shared" si="161"/>
        <v>-3.6948222259525211E-15</v>
      </c>
      <c r="R973" s="18">
        <f t="shared" si="156"/>
        <v>1271986.3500000001</v>
      </c>
      <c r="S973" s="18">
        <f t="shared" si="159"/>
        <v>60.1</v>
      </c>
    </row>
    <row r="974" spans="1:19" ht="15" customHeight="1" x14ac:dyDescent="0.2">
      <c r="A974" s="14">
        <f t="shared" si="157"/>
        <v>938</v>
      </c>
      <c r="B974" s="31" t="s">
        <v>898</v>
      </c>
      <c r="C974" s="15" t="s">
        <v>3</v>
      </c>
      <c r="D974" s="31" t="s">
        <v>500</v>
      </c>
      <c r="E974" s="31"/>
      <c r="F974" s="73" t="s">
        <v>4</v>
      </c>
      <c r="G974" s="32">
        <v>22647</v>
      </c>
      <c r="H974" s="29">
        <v>293</v>
      </c>
      <c r="I974" s="17">
        <v>0</v>
      </c>
      <c r="J974" s="17">
        <f t="shared" si="160"/>
        <v>278.35000000000002</v>
      </c>
      <c r="K974" s="17">
        <f t="shared" si="153"/>
        <v>14.649999999999977</v>
      </c>
      <c r="L974" s="23">
        <f t="shared" si="162"/>
        <v>14.65</v>
      </c>
      <c r="M974" s="33">
        <v>25</v>
      </c>
      <c r="N974" s="18">
        <f t="shared" si="154"/>
        <v>58.290410958904111</v>
      </c>
      <c r="O974" s="23">
        <v>1229853.8500000001</v>
      </c>
      <c r="P974" s="18">
        <f t="shared" si="155"/>
        <v>59.290410958904111</v>
      </c>
      <c r="Q974" s="18">
        <f t="shared" si="161"/>
        <v>-9.2370555648813027E-16</v>
      </c>
      <c r="R974" s="18">
        <f t="shared" si="156"/>
        <v>1229853.8500000001</v>
      </c>
      <c r="S974" s="18">
        <f t="shared" si="159"/>
        <v>14.65</v>
      </c>
    </row>
    <row r="975" spans="1:19" ht="15" customHeight="1" x14ac:dyDescent="0.2">
      <c r="A975" s="14">
        <f t="shared" si="157"/>
        <v>939</v>
      </c>
      <c r="B975" s="31" t="s">
        <v>765</v>
      </c>
      <c r="C975" s="15" t="s">
        <v>3</v>
      </c>
      <c r="D975" s="31" t="s">
        <v>500</v>
      </c>
      <c r="E975" s="31"/>
      <c r="F975" s="73" t="s">
        <v>4</v>
      </c>
      <c r="G975" s="32">
        <v>26299</v>
      </c>
      <c r="H975" s="29">
        <v>26177</v>
      </c>
      <c r="I975" s="17">
        <v>0</v>
      </c>
      <c r="J975" s="17">
        <f t="shared" si="160"/>
        <v>24868.15</v>
      </c>
      <c r="K975" s="17">
        <f t="shared" si="153"/>
        <v>1308.8499999999985</v>
      </c>
      <c r="L975" s="23">
        <f t="shared" si="162"/>
        <v>1308.8500000000001</v>
      </c>
      <c r="M975" s="33">
        <v>15</v>
      </c>
      <c r="N975" s="18">
        <f t="shared" si="154"/>
        <v>48.284931506849318</v>
      </c>
      <c r="O975" s="23">
        <v>156851.65</v>
      </c>
      <c r="P975" s="18">
        <f t="shared" si="155"/>
        <v>49.284931506849318</v>
      </c>
      <c r="Q975" s="18">
        <f t="shared" si="161"/>
        <v>-1.0610771520684163E-13</v>
      </c>
      <c r="R975" s="18">
        <f t="shared" si="156"/>
        <v>156851.65</v>
      </c>
      <c r="S975" s="18">
        <f t="shared" si="159"/>
        <v>1308.8500000000001</v>
      </c>
    </row>
    <row r="976" spans="1:19" ht="15" customHeight="1" x14ac:dyDescent="0.2">
      <c r="A976" s="14">
        <f t="shared" si="157"/>
        <v>940</v>
      </c>
      <c r="B976" s="31" t="s">
        <v>899</v>
      </c>
      <c r="C976" s="15" t="s">
        <v>3</v>
      </c>
      <c r="D976" s="31" t="s">
        <v>500</v>
      </c>
      <c r="E976" s="31"/>
      <c r="F976" s="73" t="s">
        <v>4</v>
      </c>
      <c r="G976" s="32">
        <v>23012</v>
      </c>
      <c r="H976" s="29">
        <v>53964</v>
      </c>
      <c r="I976" s="17">
        <v>0</v>
      </c>
      <c r="J976" s="17">
        <f t="shared" si="160"/>
        <v>51265.8</v>
      </c>
      <c r="K976" s="17">
        <f t="shared" si="153"/>
        <v>2698.1999999999971</v>
      </c>
      <c r="L976" s="23">
        <f t="shared" si="162"/>
        <v>2698.2000000000003</v>
      </c>
      <c r="M976" s="33">
        <v>25</v>
      </c>
      <c r="N976" s="18">
        <f t="shared" si="154"/>
        <v>57.290410958904111</v>
      </c>
      <c r="O976" s="23">
        <v>153862</v>
      </c>
      <c r="P976" s="18">
        <f t="shared" si="155"/>
        <v>58.290410958904111</v>
      </c>
      <c r="Q976" s="18">
        <f t="shared" si="161"/>
        <v>-1.2732925824820997E-13</v>
      </c>
      <c r="R976" s="18">
        <f t="shared" si="156"/>
        <v>153862</v>
      </c>
      <c r="S976" s="18">
        <f t="shared" si="159"/>
        <v>2698.2000000000003</v>
      </c>
    </row>
    <row r="977" spans="1:19" ht="15" customHeight="1" x14ac:dyDescent="0.2">
      <c r="A977" s="14">
        <f t="shared" si="157"/>
        <v>941</v>
      </c>
      <c r="B977" s="31" t="s">
        <v>900</v>
      </c>
      <c r="C977" s="15" t="s">
        <v>3</v>
      </c>
      <c r="D977" s="31" t="s">
        <v>500</v>
      </c>
      <c r="E977" s="31"/>
      <c r="F977" s="73" t="s">
        <v>15</v>
      </c>
      <c r="G977" s="32">
        <v>23012</v>
      </c>
      <c r="H977" s="29">
        <v>21099</v>
      </c>
      <c r="I977" s="17">
        <v>0</v>
      </c>
      <c r="J977" s="17">
        <f t="shared" si="160"/>
        <v>20044.05</v>
      </c>
      <c r="K977" s="17">
        <f t="shared" si="153"/>
        <v>1054.9500000000007</v>
      </c>
      <c r="L977" s="23">
        <f t="shared" si="162"/>
        <v>1054.95</v>
      </c>
      <c r="M977" s="33">
        <v>25</v>
      </c>
      <c r="N977" s="18">
        <f t="shared" si="154"/>
        <v>57.290410958904111</v>
      </c>
      <c r="O977" s="23">
        <v>124515.55</v>
      </c>
      <c r="P977" s="18">
        <f t="shared" si="155"/>
        <v>58.290410958904111</v>
      </c>
      <c r="Q977" s="18">
        <f t="shared" si="161"/>
        <v>2.7284841053187846E-14</v>
      </c>
      <c r="R977" s="18">
        <f t="shared" si="156"/>
        <v>124515.55</v>
      </c>
      <c r="S977" s="18">
        <f t="shared" si="159"/>
        <v>1054.95</v>
      </c>
    </row>
    <row r="978" spans="1:19" ht="15" customHeight="1" x14ac:dyDescent="0.2">
      <c r="A978" s="14">
        <f t="shared" si="157"/>
        <v>942</v>
      </c>
      <c r="B978" s="31" t="s">
        <v>901</v>
      </c>
      <c r="C978" s="15" t="s">
        <v>3</v>
      </c>
      <c r="D978" s="31" t="s">
        <v>500</v>
      </c>
      <c r="E978" s="31"/>
      <c r="F978" s="73" t="s">
        <v>4</v>
      </c>
      <c r="G978" s="32">
        <v>23012</v>
      </c>
      <c r="H978" s="29">
        <v>8609</v>
      </c>
      <c r="I978" s="17">
        <v>0</v>
      </c>
      <c r="J978" s="17">
        <f t="shared" si="160"/>
        <v>8178.55</v>
      </c>
      <c r="K978" s="17">
        <f t="shared" si="153"/>
        <v>430.44999999999982</v>
      </c>
      <c r="L978" s="23">
        <f t="shared" si="162"/>
        <v>430.45000000000005</v>
      </c>
      <c r="M978" s="33">
        <v>25</v>
      </c>
      <c r="N978" s="18">
        <f t="shared" si="154"/>
        <v>57.290410958904111</v>
      </c>
      <c r="O978" s="23">
        <v>107317.7</v>
      </c>
      <c r="P978" s="18">
        <f t="shared" si="155"/>
        <v>58.290410958904111</v>
      </c>
      <c r="Q978" s="18">
        <f t="shared" si="161"/>
        <v>-9.0949470177292826E-15</v>
      </c>
      <c r="R978" s="18">
        <f t="shared" si="156"/>
        <v>107317.7</v>
      </c>
      <c r="S978" s="18">
        <f t="shared" si="159"/>
        <v>430.45000000000005</v>
      </c>
    </row>
    <row r="979" spans="1:19" ht="15" customHeight="1" x14ac:dyDescent="0.2">
      <c r="A979" s="14">
        <f t="shared" si="157"/>
        <v>943</v>
      </c>
      <c r="B979" s="31" t="s">
        <v>902</v>
      </c>
      <c r="C979" s="15" t="s">
        <v>3</v>
      </c>
      <c r="D979" s="31" t="s">
        <v>500</v>
      </c>
      <c r="E979" s="31"/>
      <c r="F979" s="73" t="s">
        <v>4</v>
      </c>
      <c r="G979" s="32">
        <v>23012</v>
      </c>
      <c r="H979" s="29">
        <v>7236</v>
      </c>
      <c r="I979" s="17">
        <v>0</v>
      </c>
      <c r="J979" s="17">
        <f t="shared" si="160"/>
        <v>6874.2</v>
      </c>
      <c r="K979" s="17">
        <f t="shared" si="153"/>
        <v>361.80000000000018</v>
      </c>
      <c r="L979" s="23">
        <f t="shared" si="162"/>
        <v>361.8</v>
      </c>
      <c r="M979" s="33">
        <v>25</v>
      </c>
      <c r="N979" s="18">
        <f t="shared" si="154"/>
        <v>57.290410958904111</v>
      </c>
      <c r="O979" s="23">
        <v>103982.25</v>
      </c>
      <c r="P979" s="18">
        <f t="shared" si="155"/>
        <v>58.290410958904111</v>
      </c>
      <c r="Q979" s="18">
        <f t="shared" si="161"/>
        <v>6.8212102632969615E-15</v>
      </c>
      <c r="R979" s="18">
        <f t="shared" si="156"/>
        <v>103982.25</v>
      </c>
      <c r="S979" s="18">
        <f t="shared" si="159"/>
        <v>361.8</v>
      </c>
    </row>
    <row r="980" spans="1:19" ht="15" customHeight="1" x14ac:dyDescent="0.2">
      <c r="A980" s="14">
        <f t="shared" si="157"/>
        <v>944</v>
      </c>
      <c r="B980" s="31" t="s">
        <v>903</v>
      </c>
      <c r="C980" s="15" t="s">
        <v>3</v>
      </c>
      <c r="D980" s="31" t="s">
        <v>500</v>
      </c>
      <c r="E980" s="31"/>
      <c r="F980" s="73" t="s">
        <v>11</v>
      </c>
      <c r="G980" s="32">
        <v>23012</v>
      </c>
      <c r="H980" s="29">
        <v>6151</v>
      </c>
      <c r="I980" s="17">
        <v>0</v>
      </c>
      <c r="J980" s="17">
        <f t="shared" si="160"/>
        <v>5843.45</v>
      </c>
      <c r="K980" s="17">
        <f t="shared" si="153"/>
        <v>307.55000000000018</v>
      </c>
      <c r="L980" s="23">
        <f t="shared" si="162"/>
        <v>307.55</v>
      </c>
      <c r="M980" s="33">
        <v>25</v>
      </c>
      <c r="N980" s="18">
        <f t="shared" si="154"/>
        <v>57.290410958904111</v>
      </c>
      <c r="O980" s="23">
        <v>92064.5</v>
      </c>
      <c r="P980" s="18">
        <f t="shared" si="155"/>
        <v>58.290410958904111</v>
      </c>
      <c r="Q980" s="18">
        <f t="shared" si="161"/>
        <v>6.8212102632969615E-15</v>
      </c>
      <c r="R980" s="18">
        <f t="shared" si="156"/>
        <v>92064.5</v>
      </c>
      <c r="S980" s="18">
        <f t="shared" si="159"/>
        <v>307.55</v>
      </c>
    </row>
    <row r="981" spans="1:19" ht="15" customHeight="1" x14ac:dyDescent="0.2">
      <c r="A981" s="14">
        <f t="shared" si="157"/>
        <v>945</v>
      </c>
      <c r="B981" s="31" t="s">
        <v>904</v>
      </c>
      <c r="C981" s="15" t="s">
        <v>3</v>
      </c>
      <c r="D981" s="31" t="s">
        <v>500</v>
      </c>
      <c r="E981" s="31"/>
      <c r="F981" s="73" t="s">
        <v>11</v>
      </c>
      <c r="G981" s="32">
        <v>23012</v>
      </c>
      <c r="H981" s="29">
        <v>5533</v>
      </c>
      <c r="I981" s="17">
        <v>0</v>
      </c>
      <c r="J981" s="17">
        <f t="shared" si="160"/>
        <v>5256.35</v>
      </c>
      <c r="K981" s="17">
        <f t="shared" si="153"/>
        <v>276.64999999999964</v>
      </c>
      <c r="L981" s="23">
        <f t="shared" si="162"/>
        <v>276.65000000000003</v>
      </c>
      <c r="M981" s="33">
        <v>25</v>
      </c>
      <c r="N981" s="18">
        <f t="shared" si="154"/>
        <v>57.290410958904111</v>
      </c>
      <c r="O981" s="23">
        <v>83391.95</v>
      </c>
      <c r="P981" s="18">
        <f t="shared" si="155"/>
        <v>58.290410958904111</v>
      </c>
      <c r="Q981" s="18">
        <f t="shared" si="161"/>
        <v>-1.5916157281026246E-14</v>
      </c>
      <c r="R981" s="18">
        <f t="shared" si="156"/>
        <v>83391.95</v>
      </c>
      <c r="S981" s="18">
        <f t="shared" si="159"/>
        <v>276.65000000000003</v>
      </c>
    </row>
    <row r="982" spans="1:19" ht="15" customHeight="1" x14ac:dyDescent="0.2">
      <c r="A982" s="14">
        <f t="shared" si="157"/>
        <v>946</v>
      </c>
      <c r="B982" s="31" t="s">
        <v>905</v>
      </c>
      <c r="C982" s="15" t="s">
        <v>3</v>
      </c>
      <c r="D982" s="31" t="s">
        <v>500</v>
      </c>
      <c r="E982" s="31"/>
      <c r="F982" s="73" t="s">
        <v>11</v>
      </c>
      <c r="G982" s="32">
        <v>23012</v>
      </c>
      <c r="H982" s="29">
        <v>2527</v>
      </c>
      <c r="I982" s="17">
        <v>0</v>
      </c>
      <c r="J982" s="17">
        <f t="shared" si="160"/>
        <v>2400.65</v>
      </c>
      <c r="K982" s="17">
        <f t="shared" si="153"/>
        <v>126.34999999999991</v>
      </c>
      <c r="L982" s="23">
        <f t="shared" si="162"/>
        <v>126.35000000000001</v>
      </c>
      <c r="M982" s="33">
        <v>25</v>
      </c>
      <c r="N982" s="18">
        <f t="shared" si="154"/>
        <v>57.290410958904111</v>
      </c>
      <c r="O982" s="23">
        <v>80243.649999999994</v>
      </c>
      <c r="P982" s="18">
        <f t="shared" si="155"/>
        <v>58.290410958904111</v>
      </c>
      <c r="Q982" s="18">
        <f t="shared" si="161"/>
        <v>-3.9790393202565614E-15</v>
      </c>
      <c r="R982" s="18">
        <f t="shared" si="156"/>
        <v>80243.649999999994</v>
      </c>
      <c r="S982" s="18">
        <f t="shared" si="159"/>
        <v>126.35000000000001</v>
      </c>
    </row>
    <row r="983" spans="1:19" ht="15" customHeight="1" x14ac:dyDescent="0.2">
      <c r="A983" s="14">
        <f t="shared" si="157"/>
        <v>947</v>
      </c>
      <c r="B983" s="31" t="s">
        <v>906</v>
      </c>
      <c r="C983" s="15" t="s">
        <v>3</v>
      </c>
      <c r="D983" s="31" t="s">
        <v>500</v>
      </c>
      <c r="E983" s="31"/>
      <c r="F983" s="73" t="s">
        <v>11</v>
      </c>
      <c r="G983" s="32">
        <v>23012</v>
      </c>
      <c r="H983" s="29">
        <v>2185</v>
      </c>
      <c r="I983" s="17">
        <v>0</v>
      </c>
      <c r="J983" s="17">
        <f t="shared" si="160"/>
        <v>2075.75</v>
      </c>
      <c r="K983" s="17">
        <f t="shared" si="153"/>
        <v>109.25</v>
      </c>
      <c r="L983" s="23">
        <f t="shared" si="162"/>
        <v>109.25</v>
      </c>
      <c r="M983" s="33">
        <v>25</v>
      </c>
      <c r="N983" s="18">
        <f t="shared" si="154"/>
        <v>57.290410958904111</v>
      </c>
      <c r="O983" s="23">
        <v>78156.5</v>
      </c>
      <c r="P983" s="18">
        <f t="shared" si="155"/>
        <v>58.290410958904111</v>
      </c>
      <c r="Q983" s="18">
        <f t="shared" si="161"/>
        <v>0</v>
      </c>
      <c r="R983" s="18">
        <f t="shared" si="156"/>
        <v>78156.5</v>
      </c>
      <c r="S983" s="18">
        <f t="shared" si="159"/>
        <v>109.25</v>
      </c>
    </row>
    <row r="984" spans="1:19" ht="15" customHeight="1" x14ac:dyDescent="0.2">
      <c r="A984" s="14">
        <f t="shared" si="157"/>
        <v>948</v>
      </c>
      <c r="B984" s="31" t="s">
        <v>896</v>
      </c>
      <c r="C984" s="15" t="s">
        <v>3</v>
      </c>
      <c r="D984" s="31" t="s">
        <v>500</v>
      </c>
      <c r="E984" s="31"/>
      <c r="F984" s="73" t="s">
        <v>11</v>
      </c>
      <c r="G984" s="32">
        <v>23012</v>
      </c>
      <c r="H984" s="29">
        <v>938</v>
      </c>
      <c r="I984" s="17">
        <v>0</v>
      </c>
      <c r="J984" s="17">
        <f t="shared" si="160"/>
        <v>891.1</v>
      </c>
      <c r="K984" s="17">
        <f t="shared" si="153"/>
        <v>46.899999999999977</v>
      </c>
      <c r="L984" s="23">
        <f t="shared" si="162"/>
        <v>46.900000000000006</v>
      </c>
      <c r="M984" s="33">
        <v>25</v>
      </c>
      <c r="N984" s="18">
        <f t="shared" si="154"/>
        <v>57.290410958904111</v>
      </c>
      <c r="O984" s="23">
        <v>78131.8</v>
      </c>
      <c r="P984" s="18">
        <f t="shared" si="155"/>
        <v>58.290410958904111</v>
      </c>
      <c r="Q984" s="18">
        <f t="shared" si="161"/>
        <v>-1.1368683772161603E-15</v>
      </c>
      <c r="R984" s="18">
        <f t="shared" si="156"/>
        <v>78131.8</v>
      </c>
      <c r="S984" s="18">
        <f t="shared" si="159"/>
        <v>46.900000000000006</v>
      </c>
    </row>
    <row r="985" spans="1:19" ht="15" customHeight="1" x14ac:dyDescent="0.2">
      <c r="A985" s="14">
        <f t="shared" si="157"/>
        <v>949</v>
      </c>
      <c r="B985" s="31" t="s">
        <v>907</v>
      </c>
      <c r="C985" s="15" t="s">
        <v>3</v>
      </c>
      <c r="D985" s="31" t="s">
        <v>500</v>
      </c>
      <c r="E985" s="31"/>
      <c r="F985" s="73" t="s">
        <v>11</v>
      </c>
      <c r="G985" s="32">
        <v>23012</v>
      </c>
      <c r="H985" s="29">
        <v>390</v>
      </c>
      <c r="I985" s="17">
        <v>0</v>
      </c>
      <c r="J985" s="17">
        <f t="shared" si="160"/>
        <v>370.5</v>
      </c>
      <c r="K985" s="17">
        <f t="shared" si="153"/>
        <v>19.5</v>
      </c>
      <c r="L985" s="23">
        <f t="shared" si="162"/>
        <v>19.5</v>
      </c>
      <c r="M985" s="33">
        <v>25</v>
      </c>
      <c r="N985" s="18">
        <f t="shared" si="154"/>
        <v>57.290410958904111</v>
      </c>
      <c r="O985" s="23">
        <v>51511.85</v>
      </c>
      <c r="P985" s="18">
        <f t="shared" si="155"/>
        <v>58.290410958904111</v>
      </c>
      <c r="Q985" s="18">
        <f t="shared" si="161"/>
        <v>0</v>
      </c>
      <c r="R985" s="18">
        <f t="shared" si="156"/>
        <v>51511.85</v>
      </c>
      <c r="S985" s="18">
        <f t="shared" si="159"/>
        <v>19.5</v>
      </c>
    </row>
    <row r="986" spans="1:19" ht="15" customHeight="1" x14ac:dyDescent="0.2">
      <c r="A986" s="14">
        <f t="shared" si="157"/>
        <v>950</v>
      </c>
      <c r="B986" s="31" t="s">
        <v>908</v>
      </c>
      <c r="C986" s="15" t="s">
        <v>3</v>
      </c>
      <c r="D986" s="31" t="s">
        <v>500</v>
      </c>
      <c r="E986" s="31"/>
      <c r="F986" s="73" t="s">
        <v>11</v>
      </c>
      <c r="G986" s="32">
        <v>23377</v>
      </c>
      <c r="H986" s="29">
        <v>30047</v>
      </c>
      <c r="I986" s="17">
        <v>0</v>
      </c>
      <c r="J986" s="17">
        <f t="shared" si="160"/>
        <v>28544.65</v>
      </c>
      <c r="K986" s="17">
        <f t="shared" si="153"/>
        <v>1502.3499999999985</v>
      </c>
      <c r="L986" s="23">
        <f t="shared" si="162"/>
        <v>1502.3500000000001</v>
      </c>
      <c r="M986" s="33">
        <v>25</v>
      </c>
      <c r="N986" s="18">
        <f t="shared" si="154"/>
        <v>56.290410958904111</v>
      </c>
      <c r="O986" s="23">
        <v>34517.300000000003</v>
      </c>
      <c r="P986" s="18">
        <f t="shared" si="155"/>
        <v>57.290410958904111</v>
      </c>
      <c r="Q986" s="18">
        <f t="shared" si="161"/>
        <v>-6.3664629124104983E-14</v>
      </c>
      <c r="R986" s="18">
        <f t="shared" si="156"/>
        <v>34517.300000000003</v>
      </c>
      <c r="S986" s="18">
        <f t="shared" si="159"/>
        <v>1502.3500000000001</v>
      </c>
    </row>
    <row r="987" spans="1:19" ht="15" customHeight="1" x14ac:dyDescent="0.2">
      <c r="A987" s="14">
        <f t="shared" si="157"/>
        <v>951</v>
      </c>
      <c r="B987" s="31" t="s">
        <v>752</v>
      </c>
      <c r="C987" s="15" t="s">
        <v>3</v>
      </c>
      <c r="D987" s="31" t="s">
        <v>500</v>
      </c>
      <c r="E987" s="31"/>
      <c r="F987" s="73" t="s">
        <v>15</v>
      </c>
      <c r="G987" s="32">
        <v>23377</v>
      </c>
      <c r="H987" s="29">
        <v>16777</v>
      </c>
      <c r="I987" s="17">
        <v>0</v>
      </c>
      <c r="J987" s="17">
        <f t="shared" si="160"/>
        <v>15938.15</v>
      </c>
      <c r="K987" s="17">
        <f t="shared" si="153"/>
        <v>838.85000000000036</v>
      </c>
      <c r="L987" s="23">
        <f t="shared" si="162"/>
        <v>838.85</v>
      </c>
      <c r="M987" s="33">
        <v>25</v>
      </c>
      <c r="N987" s="18">
        <f t="shared" si="154"/>
        <v>56.290410958904111</v>
      </c>
      <c r="O987" s="23">
        <v>29757.8</v>
      </c>
      <c r="P987" s="18">
        <f t="shared" si="155"/>
        <v>57.290410958904111</v>
      </c>
      <c r="Q987" s="18">
        <f t="shared" si="161"/>
        <v>1.3642420526593923E-14</v>
      </c>
      <c r="R987" s="18">
        <f t="shared" si="156"/>
        <v>29757.8</v>
      </c>
      <c r="S987" s="18">
        <f t="shared" si="159"/>
        <v>838.85</v>
      </c>
    </row>
    <row r="988" spans="1:19" ht="15" customHeight="1" x14ac:dyDescent="0.2">
      <c r="A988" s="14">
        <f t="shared" si="157"/>
        <v>952</v>
      </c>
      <c r="B988" s="31" t="s">
        <v>909</v>
      </c>
      <c r="C988" s="15" t="s">
        <v>3</v>
      </c>
      <c r="D988" s="31" t="s">
        <v>500</v>
      </c>
      <c r="E988" s="31"/>
      <c r="F988" s="73" t="s">
        <v>11</v>
      </c>
      <c r="G988" s="32">
        <v>23377</v>
      </c>
      <c r="H988" s="29">
        <v>7599</v>
      </c>
      <c r="I988" s="17">
        <v>0</v>
      </c>
      <c r="J988" s="17">
        <f t="shared" si="160"/>
        <v>7219.05</v>
      </c>
      <c r="K988" s="17">
        <f t="shared" si="153"/>
        <v>379.94999999999982</v>
      </c>
      <c r="L988" s="23">
        <f t="shared" si="162"/>
        <v>379.95000000000005</v>
      </c>
      <c r="M988" s="33">
        <v>25</v>
      </c>
      <c r="N988" s="18">
        <f t="shared" si="154"/>
        <v>56.290410958904111</v>
      </c>
      <c r="O988" s="23">
        <v>19687.714500000002</v>
      </c>
      <c r="P988" s="18">
        <f t="shared" si="155"/>
        <v>57.290410958904111</v>
      </c>
      <c r="Q988" s="18">
        <f t="shared" si="161"/>
        <v>-9.0949470177292826E-15</v>
      </c>
      <c r="R988" s="18">
        <f t="shared" si="156"/>
        <v>19687.714500000002</v>
      </c>
      <c r="S988" s="18">
        <f t="shared" si="159"/>
        <v>379.95000000000005</v>
      </c>
    </row>
    <row r="989" spans="1:19" ht="15" customHeight="1" x14ac:dyDescent="0.2">
      <c r="A989" s="14">
        <f t="shared" si="157"/>
        <v>953</v>
      </c>
      <c r="B989" s="31" t="s">
        <v>910</v>
      </c>
      <c r="C989" s="15" t="s">
        <v>3</v>
      </c>
      <c r="D989" s="31" t="s">
        <v>500</v>
      </c>
      <c r="E989" s="31"/>
      <c r="F989" s="73" t="s">
        <v>11</v>
      </c>
      <c r="G989" s="32">
        <v>23377</v>
      </c>
      <c r="H989" s="29">
        <v>7316</v>
      </c>
      <c r="I989" s="17">
        <v>0</v>
      </c>
      <c r="J989" s="17">
        <f t="shared" si="160"/>
        <v>6950.2</v>
      </c>
      <c r="K989" s="17">
        <f t="shared" si="153"/>
        <v>365.80000000000018</v>
      </c>
      <c r="L989" s="23">
        <f t="shared" si="162"/>
        <v>365.8</v>
      </c>
      <c r="M989" s="33">
        <v>25</v>
      </c>
      <c r="N989" s="18">
        <f t="shared" si="154"/>
        <v>56.290410958904111</v>
      </c>
      <c r="O989" s="23">
        <v>13199.3</v>
      </c>
      <c r="P989" s="18">
        <f t="shared" si="155"/>
        <v>57.290410958904111</v>
      </c>
      <c r="Q989" s="18">
        <f t="shared" si="161"/>
        <v>6.8212102632969615E-15</v>
      </c>
      <c r="R989" s="18">
        <f t="shared" si="156"/>
        <v>13199.3</v>
      </c>
      <c r="S989" s="18">
        <f t="shared" si="159"/>
        <v>365.8</v>
      </c>
    </row>
    <row r="990" spans="1:19" ht="15" customHeight="1" x14ac:dyDescent="0.2">
      <c r="A990" s="14">
        <f t="shared" si="157"/>
        <v>954</v>
      </c>
      <c r="B990" s="31" t="s">
        <v>911</v>
      </c>
      <c r="C990" s="15" t="s">
        <v>3</v>
      </c>
      <c r="D990" s="31" t="s">
        <v>500</v>
      </c>
      <c r="E990" s="31"/>
      <c r="F990" s="73" t="s">
        <v>11</v>
      </c>
      <c r="G990" s="32">
        <v>23377</v>
      </c>
      <c r="H990" s="29">
        <v>7001</v>
      </c>
      <c r="I990" s="17">
        <v>0</v>
      </c>
      <c r="J990" s="17">
        <f t="shared" si="160"/>
        <v>6650.95</v>
      </c>
      <c r="K990" s="17">
        <f t="shared" si="153"/>
        <v>350.05000000000018</v>
      </c>
      <c r="L990" s="23">
        <f t="shared" si="162"/>
        <v>350.05</v>
      </c>
      <c r="M990" s="33">
        <v>25</v>
      </c>
      <c r="N990" s="18">
        <f t="shared" si="154"/>
        <v>56.290410958904111</v>
      </c>
      <c r="O990" s="23">
        <v>8450.25</v>
      </c>
      <c r="P990" s="18">
        <f t="shared" si="155"/>
        <v>57.290410958904111</v>
      </c>
      <c r="Q990" s="18">
        <f t="shared" si="161"/>
        <v>6.8212102632969615E-15</v>
      </c>
      <c r="R990" s="18">
        <f t="shared" si="156"/>
        <v>8450.25</v>
      </c>
      <c r="S990" s="18">
        <f t="shared" si="159"/>
        <v>350.05</v>
      </c>
    </row>
    <row r="991" spans="1:19" ht="15" customHeight="1" x14ac:dyDescent="0.2">
      <c r="A991" s="14">
        <f t="shared" si="157"/>
        <v>955</v>
      </c>
      <c r="B991" s="31" t="s">
        <v>912</v>
      </c>
      <c r="C991" s="15" t="s">
        <v>3</v>
      </c>
      <c r="D991" s="31" t="s">
        <v>500</v>
      </c>
      <c r="E991" s="31"/>
      <c r="F991" s="73" t="s">
        <v>11</v>
      </c>
      <c r="G991" s="32">
        <v>23377</v>
      </c>
      <c r="H991" s="29">
        <v>5199</v>
      </c>
      <c r="I991" s="17">
        <v>0</v>
      </c>
      <c r="J991" s="17">
        <f t="shared" si="160"/>
        <v>4939.05</v>
      </c>
      <c r="K991" s="17">
        <f t="shared" si="153"/>
        <v>259.94999999999982</v>
      </c>
      <c r="L991" s="23">
        <f t="shared" si="162"/>
        <v>259.95</v>
      </c>
      <c r="M991" s="33">
        <v>25</v>
      </c>
      <c r="N991" s="18">
        <f t="shared" si="154"/>
        <v>56.290410958904111</v>
      </c>
      <c r="O991" s="23">
        <v>4908.6499999999996</v>
      </c>
      <c r="P991" s="18">
        <f t="shared" si="155"/>
        <v>57.290410958904111</v>
      </c>
      <c r="Q991" s="18">
        <f t="shared" si="161"/>
        <v>-6.8212102632969615E-15</v>
      </c>
      <c r="R991" s="18">
        <f t="shared" si="156"/>
        <v>4908.6499999999996</v>
      </c>
      <c r="S991" s="18">
        <f t="shared" si="159"/>
        <v>259.95</v>
      </c>
    </row>
    <row r="992" spans="1:19" ht="15" customHeight="1" x14ac:dyDescent="0.2">
      <c r="A992" s="14">
        <f t="shared" si="157"/>
        <v>956</v>
      </c>
      <c r="B992" s="31" t="s">
        <v>900</v>
      </c>
      <c r="C992" s="15" t="s">
        <v>3</v>
      </c>
      <c r="D992" s="31" t="s">
        <v>500</v>
      </c>
      <c r="E992" s="31"/>
      <c r="F992" s="73" t="s">
        <v>15</v>
      </c>
      <c r="G992" s="32">
        <v>23377</v>
      </c>
      <c r="H992" s="29">
        <v>4194</v>
      </c>
      <c r="I992" s="17">
        <v>0</v>
      </c>
      <c r="J992" s="17">
        <f t="shared" si="160"/>
        <v>3984.3</v>
      </c>
      <c r="K992" s="17">
        <f t="shared" si="153"/>
        <v>209.69999999999982</v>
      </c>
      <c r="L992" s="23">
        <f t="shared" si="162"/>
        <v>209.70000000000002</v>
      </c>
      <c r="M992" s="33">
        <v>25</v>
      </c>
      <c r="N992" s="18">
        <f t="shared" si="154"/>
        <v>56.290410958904111</v>
      </c>
      <c r="O992" s="23">
        <v>2771.15</v>
      </c>
      <c r="P992" s="18">
        <f t="shared" si="155"/>
        <v>57.290410958904111</v>
      </c>
      <c r="Q992" s="18">
        <f t="shared" si="161"/>
        <v>-7.9580786405131228E-15</v>
      </c>
      <c r="R992" s="18">
        <f t="shared" si="156"/>
        <v>2771.15</v>
      </c>
      <c r="S992" s="18">
        <f t="shared" si="159"/>
        <v>209.70000000000002</v>
      </c>
    </row>
    <row r="993" spans="1:19" ht="15" customHeight="1" x14ac:dyDescent="0.2">
      <c r="A993" s="14">
        <f t="shared" si="157"/>
        <v>957</v>
      </c>
      <c r="B993" s="31" t="s">
        <v>913</v>
      </c>
      <c r="C993" s="15" t="s">
        <v>3</v>
      </c>
      <c r="D993" s="31" t="s">
        <v>500</v>
      </c>
      <c r="E993" s="31"/>
      <c r="F993" s="73" t="s">
        <v>8</v>
      </c>
      <c r="G993" s="32">
        <v>23377</v>
      </c>
      <c r="H993" s="29">
        <v>3656</v>
      </c>
      <c r="I993" s="17">
        <v>0</v>
      </c>
      <c r="J993" s="17">
        <f t="shared" si="160"/>
        <v>3473.2</v>
      </c>
      <c r="K993" s="17">
        <f t="shared" si="153"/>
        <v>182.80000000000018</v>
      </c>
      <c r="L993" s="23">
        <f t="shared" si="162"/>
        <v>182.8</v>
      </c>
      <c r="M993" s="33">
        <v>25</v>
      </c>
      <c r="N993" s="18">
        <f t="shared" si="154"/>
        <v>56.290410958904111</v>
      </c>
      <c r="O993" s="23">
        <v>80905.8</v>
      </c>
      <c r="P993" s="18">
        <f t="shared" si="155"/>
        <v>57.290410958904111</v>
      </c>
      <c r="Q993" s="18">
        <f t="shared" si="161"/>
        <v>6.8212102632969615E-15</v>
      </c>
      <c r="R993" s="18">
        <f t="shared" si="156"/>
        <v>80905.8</v>
      </c>
      <c r="S993" s="18">
        <f t="shared" si="159"/>
        <v>182.8</v>
      </c>
    </row>
    <row r="994" spans="1:19" ht="15" customHeight="1" x14ac:dyDescent="0.2">
      <c r="A994" s="14">
        <f t="shared" si="157"/>
        <v>958</v>
      </c>
      <c r="B994" s="31" t="s">
        <v>914</v>
      </c>
      <c r="C994" s="15" t="s">
        <v>3</v>
      </c>
      <c r="D994" s="31" t="s">
        <v>500</v>
      </c>
      <c r="E994" s="31"/>
      <c r="F994" s="73" t="s">
        <v>8</v>
      </c>
      <c r="G994" s="32">
        <v>23377</v>
      </c>
      <c r="H994" s="29">
        <v>1643</v>
      </c>
      <c r="I994" s="17">
        <v>0</v>
      </c>
      <c r="J994" s="17">
        <f t="shared" si="160"/>
        <v>1560.85</v>
      </c>
      <c r="K994" s="17">
        <f t="shared" si="153"/>
        <v>82.150000000000091</v>
      </c>
      <c r="L994" s="23">
        <f t="shared" si="162"/>
        <v>82.15</v>
      </c>
      <c r="M994" s="33">
        <v>25</v>
      </c>
      <c r="N994" s="18">
        <f t="shared" si="154"/>
        <v>56.290410958904111</v>
      </c>
      <c r="O994" s="23">
        <v>28959.8</v>
      </c>
      <c r="P994" s="18">
        <f t="shared" si="155"/>
        <v>57.290410958904111</v>
      </c>
      <c r="Q994" s="18">
        <f t="shared" si="161"/>
        <v>3.4106051316484808E-15</v>
      </c>
      <c r="R994" s="18">
        <f t="shared" si="156"/>
        <v>28959.8</v>
      </c>
      <c r="S994" s="18">
        <f t="shared" si="159"/>
        <v>82.15</v>
      </c>
    </row>
    <row r="995" spans="1:19" ht="15" customHeight="1" x14ac:dyDescent="0.2">
      <c r="A995" s="14">
        <f t="shared" si="157"/>
        <v>959</v>
      </c>
      <c r="B995" s="31" t="s">
        <v>896</v>
      </c>
      <c r="C995" s="15" t="s">
        <v>3</v>
      </c>
      <c r="D995" s="31" t="s">
        <v>500</v>
      </c>
      <c r="E995" s="31"/>
      <c r="F995" s="73" t="s">
        <v>4</v>
      </c>
      <c r="G995" s="32">
        <v>23377</v>
      </c>
      <c r="H995" s="29">
        <v>583</v>
      </c>
      <c r="I995" s="17">
        <v>0</v>
      </c>
      <c r="J995" s="17">
        <f t="shared" si="160"/>
        <v>553.85</v>
      </c>
      <c r="K995" s="17">
        <f t="shared" si="153"/>
        <v>29.149999999999977</v>
      </c>
      <c r="L995" s="23">
        <f t="shared" si="162"/>
        <v>29.150000000000002</v>
      </c>
      <c r="M995" s="33">
        <v>25</v>
      </c>
      <c r="N995" s="18">
        <f t="shared" si="154"/>
        <v>56.290410958904111</v>
      </c>
      <c r="O995" s="23">
        <v>46815.05</v>
      </c>
      <c r="P995" s="18">
        <f t="shared" si="155"/>
        <v>57.290410958904111</v>
      </c>
      <c r="Q995" s="18">
        <f t="shared" si="161"/>
        <v>-9.9475983006414035E-16</v>
      </c>
      <c r="R995" s="18">
        <f t="shared" si="156"/>
        <v>46815.05</v>
      </c>
      <c r="S995" s="18">
        <f t="shared" si="159"/>
        <v>29.150000000000002</v>
      </c>
    </row>
    <row r="996" spans="1:19" ht="15" customHeight="1" x14ac:dyDescent="0.2">
      <c r="A996" s="14">
        <f t="shared" si="157"/>
        <v>960</v>
      </c>
      <c r="B996" s="31" t="s">
        <v>823</v>
      </c>
      <c r="C996" s="15" t="s">
        <v>3</v>
      </c>
      <c r="D996" s="31" t="s">
        <v>500</v>
      </c>
      <c r="E996" s="31"/>
      <c r="F996" s="73" t="s">
        <v>11</v>
      </c>
      <c r="G996" s="32">
        <v>23377</v>
      </c>
      <c r="H996" s="29">
        <v>24</v>
      </c>
      <c r="I996" s="17">
        <v>0</v>
      </c>
      <c r="J996" s="17">
        <f t="shared" si="160"/>
        <v>22.8</v>
      </c>
      <c r="K996" s="17">
        <f t="shared" si="153"/>
        <v>1.1999999999999993</v>
      </c>
      <c r="L996" s="23">
        <f t="shared" si="162"/>
        <v>1.2000000000000002</v>
      </c>
      <c r="M996" s="33">
        <v>25</v>
      </c>
      <c r="N996" s="18">
        <f t="shared" si="154"/>
        <v>56.290410958904111</v>
      </c>
      <c r="O996" s="23">
        <v>125144.45</v>
      </c>
      <c r="P996" s="18">
        <f t="shared" si="155"/>
        <v>57.290410958904111</v>
      </c>
      <c r="Q996" s="18">
        <f t="shared" si="161"/>
        <v>-3.552713678800501E-17</v>
      </c>
      <c r="R996" s="18">
        <f t="shared" si="156"/>
        <v>125144.45</v>
      </c>
      <c r="S996" s="18">
        <f t="shared" si="159"/>
        <v>1.2000000000000002</v>
      </c>
    </row>
    <row r="997" spans="1:19" ht="15" customHeight="1" x14ac:dyDescent="0.2">
      <c r="A997" s="14">
        <f t="shared" si="157"/>
        <v>961</v>
      </c>
      <c r="B997" s="31" t="s">
        <v>915</v>
      </c>
      <c r="C997" s="15" t="s">
        <v>3</v>
      </c>
      <c r="D997" s="31" t="s">
        <v>500</v>
      </c>
      <c r="E997" s="31"/>
      <c r="F997" s="73" t="s">
        <v>11</v>
      </c>
      <c r="G997" s="32">
        <v>28856</v>
      </c>
      <c r="H997" s="29">
        <v>12771</v>
      </c>
      <c r="I997" s="17">
        <v>0</v>
      </c>
      <c r="J997" s="17">
        <f t="shared" si="160"/>
        <v>12132.45</v>
      </c>
      <c r="K997" s="17">
        <f t="shared" ref="K997:K1060" si="163">H997+I997-J997</f>
        <v>638.54999999999927</v>
      </c>
      <c r="L997" s="23">
        <f t="shared" si="162"/>
        <v>638.55000000000007</v>
      </c>
      <c r="M997" s="33">
        <v>10</v>
      </c>
      <c r="N997" s="18">
        <f t="shared" ref="N997:N1060" si="164">IF(($N$35-G997+1)/365&gt;0,($N$35-G997+1)/365,0)</f>
        <v>41.279452054794518</v>
      </c>
      <c r="O997" s="23">
        <v>1581252.2</v>
      </c>
      <c r="P997" s="18">
        <f t="shared" ref="P997:P1060" si="165">($P$35-G997+1)/365</f>
        <v>42.279452054794518</v>
      </c>
      <c r="Q997" s="18">
        <f t="shared" si="161"/>
        <v>-7.9580786405131228E-14</v>
      </c>
      <c r="R997" s="18">
        <f t="shared" ref="R997:R1060" si="166">Q997+O997</f>
        <v>1581252.2</v>
      </c>
      <c r="S997" s="18">
        <f t="shared" si="159"/>
        <v>638.55000000000007</v>
      </c>
    </row>
    <row r="998" spans="1:19" ht="15" customHeight="1" x14ac:dyDescent="0.2">
      <c r="A998" s="14">
        <f t="shared" si="157"/>
        <v>962</v>
      </c>
      <c r="B998" s="31" t="s">
        <v>916</v>
      </c>
      <c r="C998" s="15" t="s">
        <v>3</v>
      </c>
      <c r="D998" s="31" t="s">
        <v>500</v>
      </c>
      <c r="E998" s="31"/>
      <c r="F998" s="73" t="s">
        <v>11</v>
      </c>
      <c r="G998" s="32">
        <v>23743</v>
      </c>
      <c r="H998" s="29">
        <v>145953</v>
      </c>
      <c r="I998" s="17">
        <v>0</v>
      </c>
      <c r="J998" s="17">
        <f t="shared" si="160"/>
        <v>138655.35</v>
      </c>
      <c r="K998" s="17">
        <f t="shared" si="163"/>
        <v>7297.6499999999942</v>
      </c>
      <c r="L998" s="23">
        <f t="shared" si="162"/>
        <v>7297.6500000000005</v>
      </c>
      <c r="M998" s="33">
        <v>25</v>
      </c>
      <c r="N998" s="18">
        <f t="shared" si="164"/>
        <v>55.287671232876711</v>
      </c>
      <c r="O998" s="23">
        <v>937206.35</v>
      </c>
      <c r="P998" s="18">
        <f t="shared" si="165"/>
        <v>56.287671232876711</v>
      </c>
      <c r="Q998" s="18">
        <f t="shared" si="161"/>
        <v>-2.5465851649641993E-13</v>
      </c>
      <c r="R998" s="18">
        <f t="shared" si="166"/>
        <v>937206.35</v>
      </c>
      <c r="S998" s="18">
        <f t="shared" si="159"/>
        <v>7297.6500000000005</v>
      </c>
    </row>
    <row r="999" spans="1:19" ht="15" customHeight="1" x14ac:dyDescent="0.2">
      <c r="A999" s="14">
        <f t="shared" ref="A999:A1062" si="167">+A998+1</f>
        <v>963</v>
      </c>
      <c r="B999" s="31" t="s">
        <v>917</v>
      </c>
      <c r="C999" s="15" t="s">
        <v>3</v>
      </c>
      <c r="D999" s="31" t="s">
        <v>500</v>
      </c>
      <c r="E999" s="31"/>
      <c r="F999" s="73" t="s">
        <v>11</v>
      </c>
      <c r="G999" s="32">
        <v>23743</v>
      </c>
      <c r="H999" s="29">
        <v>133006</v>
      </c>
      <c r="I999" s="17">
        <v>0</v>
      </c>
      <c r="J999" s="17">
        <f t="shared" si="160"/>
        <v>126355.7</v>
      </c>
      <c r="K999" s="17">
        <f t="shared" si="163"/>
        <v>6650.3000000000029</v>
      </c>
      <c r="L999" s="23">
        <f t="shared" si="162"/>
        <v>6650.3</v>
      </c>
      <c r="M999" s="33">
        <v>25</v>
      </c>
      <c r="N999" s="18">
        <f t="shared" si="164"/>
        <v>55.287671232876711</v>
      </c>
      <c r="O999" s="23">
        <v>771090.3</v>
      </c>
      <c r="P999" s="18">
        <f t="shared" si="165"/>
        <v>56.287671232876711</v>
      </c>
      <c r="Q999" s="18">
        <f t="shared" si="161"/>
        <v>1.0913936421275138E-13</v>
      </c>
      <c r="R999" s="18">
        <f t="shared" si="166"/>
        <v>771090.3</v>
      </c>
      <c r="S999" s="18">
        <f t="shared" ref="S999:S1062" si="168">+IF(N999&gt;P999,0,L999)</f>
        <v>6650.3</v>
      </c>
    </row>
    <row r="1000" spans="1:19" ht="15" customHeight="1" x14ac:dyDescent="0.2">
      <c r="A1000" s="14">
        <f t="shared" si="167"/>
        <v>964</v>
      </c>
      <c r="B1000" s="31" t="s">
        <v>918</v>
      </c>
      <c r="C1000" s="15" t="s">
        <v>3</v>
      </c>
      <c r="D1000" s="31" t="s">
        <v>500</v>
      </c>
      <c r="E1000" s="31"/>
      <c r="F1000" s="73" t="s">
        <v>11</v>
      </c>
      <c r="G1000" s="32">
        <v>23743</v>
      </c>
      <c r="H1000" s="29">
        <v>41135</v>
      </c>
      <c r="I1000" s="17">
        <v>0</v>
      </c>
      <c r="J1000" s="17">
        <f t="shared" si="160"/>
        <v>39078.25</v>
      </c>
      <c r="K1000" s="17">
        <f t="shared" si="163"/>
        <v>2056.75</v>
      </c>
      <c r="L1000" s="23">
        <f t="shared" si="162"/>
        <v>2056.75</v>
      </c>
      <c r="M1000" s="33">
        <v>25</v>
      </c>
      <c r="N1000" s="18">
        <f t="shared" si="164"/>
        <v>55.287671232876711</v>
      </c>
      <c r="O1000" s="23">
        <v>404383.65</v>
      </c>
      <c r="P1000" s="18">
        <f t="shared" si="165"/>
        <v>56.287671232876711</v>
      </c>
      <c r="Q1000" s="18">
        <f t="shared" si="161"/>
        <v>0</v>
      </c>
      <c r="R1000" s="18">
        <f t="shared" si="166"/>
        <v>404383.65</v>
      </c>
      <c r="S1000" s="18">
        <f t="shared" si="168"/>
        <v>2056.75</v>
      </c>
    </row>
    <row r="1001" spans="1:19" ht="15" customHeight="1" x14ac:dyDescent="0.2">
      <c r="A1001" s="14">
        <f t="shared" si="167"/>
        <v>965</v>
      </c>
      <c r="B1001" s="31" t="s">
        <v>919</v>
      </c>
      <c r="C1001" s="15" t="s">
        <v>3</v>
      </c>
      <c r="D1001" s="31" t="s">
        <v>500</v>
      </c>
      <c r="E1001" s="31"/>
      <c r="F1001" s="73" t="s">
        <v>11</v>
      </c>
      <c r="G1001" s="32">
        <v>23743</v>
      </c>
      <c r="H1001" s="29">
        <v>10379</v>
      </c>
      <c r="I1001" s="17">
        <v>0</v>
      </c>
      <c r="J1001" s="17">
        <f t="shared" si="160"/>
        <v>9860.0499999999993</v>
      </c>
      <c r="K1001" s="17">
        <f t="shared" si="163"/>
        <v>518.95000000000073</v>
      </c>
      <c r="L1001" s="23">
        <f t="shared" si="162"/>
        <v>518.95000000000005</v>
      </c>
      <c r="M1001" s="33">
        <v>25</v>
      </c>
      <c r="N1001" s="18">
        <f t="shared" si="164"/>
        <v>55.287671232876711</v>
      </c>
      <c r="O1001" s="23">
        <v>169177.9</v>
      </c>
      <c r="P1001" s="18">
        <f t="shared" si="165"/>
        <v>56.287671232876711</v>
      </c>
      <c r="Q1001" s="18">
        <f t="shared" si="161"/>
        <v>2.7284841053187846E-14</v>
      </c>
      <c r="R1001" s="18">
        <f t="shared" si="166"/>
        <v>169177.9</v>
      </c>
      <c r="S1001" s="18">
        <f t="shared" si="168"/>
        <v>518.95000000000005</v>
      </c>
    </row>
    <row r="1002" spans="1:19" ht="15" customHeight="1" x14ac:dyDescent="0.2">
      <c r="A1002" s="14">
        <f t="shared" si="167"/>
        <v>966</v>
      </c>
      <c r="B1002" s="31" t="s">
        <v>920</v>
      </c>
      <c r="C1002" s="15" t="s">
        <v>3</v>
      </c>
      <c r="D1002" s="31" t="s">
        <v>500</v>
      </c>
      <c r="E1002" s="31"/>
      <c r="F1002" s="73" t="s">
        <v>11</v>
      </c>
      <c r="G1002" s="32">
        <v>23743</v>
      </c>
      <c r="H1002" s="29">
        <v>6928</v>
      </c>
      <c r="I1002" s="17">
        <v>0</v>
      </c>
      <c r="J1002" s="17">
        <f t="shared" si="160"/>
        <v>6581.6</v>
      </c>
      <c r="K1002" s="17">
        <f t="shared" si="163"/>
        <v>346.39999999999964</v>
      </c>
      <c r="L1002" s="23">
        <f t="shared" si="162"/>
        <v>346.40000000000003</v>
      </c>
      <c r="M1002" s="33">
        <v>25</v>
      </c>
      <c r="N1002" s="18">
        <f t="shared" si="164"/>
        <v>55.287671232876711</v>
      </c>
      <c r="O1002" s="23">
        <v>164992.20000000001</v>
      </c>
      <c r="P1002" s="18">
        <f t="shared" si="165"/>
        <v>56.287671232876711</v>
      </c>
      <c r="Q1002" s="18">
        <f t="shared" si="161"/>
        <v>-1.5916157281026246E-14</v>
      </c>
      <c r="R1002" s="18">
        <f t="shared" si="166"/>
        <v>164992.20000000001</v>
      </c>
      <c r="S1002" s="18">
        <f t="shared" si="168"/>
        <v>346.40000000000003</v>
      </c>
    </row>
    <row r="1003" spans="1:19" ht="15" customHeight="1" x14ac:dyDescent="0.2">
      <c r="A1003" s="14">
        <f t="shared" si="167"/>
        <v>967</v>
      </c>
      <c r="B1003" s="31" t="s">
        <v>921</v>
      </c>
      <c r="C1003" s="15" t="s">
        <v>3</v>
      </c>
      <c r="D1003" s="31" t="s">
        <v>500</v>
      </c>
      <c r="E1003" s="31"/>
      <c r="F1003" s="73" t="s">
        <v>11</v>
      </c>
      <c r="G1003" s="32">
        <v>23743</v>
      </c>
      <c r="H1003" s="29">
        <v>6739</v>
      </c>
      <c r="I1003" s="17">
        <v>0</v>
      </c>
      <c r="J1003" s="17">
        <f t="shared" si="160"/>
        <v>6402.05</v>
      </c>
      <c r="K1003" s="17">
        <f t="shared" si="163"/>
        <v>336.94999999999982</v>
      </c>
      <c r="L1003" s="23">
        <f t="shared" si="162"/>
        <v>336.95000000000005</v>
      </c>
      <c r="M1003" s="33">
        <v>25</v>
      </c>
      <c r="N1003" s="18">
        <f t="shared" si="164"/>
        <v>55.287671232876711</v>
      </c>
      <c r="O1003" s="23">
        <v>161418.29999999999</v>
      </c>
      <c r="P1003" s="18">
        <f t="shared" si="165"/>
        <v>56.287671232876711</v>
      </c>
      <c r="Q1003" s="18">
        <f t="shared" si="161"/>
        <v>-9.0949470177292826E-15</v>
      </c>
      <c r="R1003" s="18">
        <f t="shared" si="166"/>
        <v>161418.29999999999</v>
      </c>
      <c r="S1003" s="18">
        <f t="shared" si="168"/>
        <v>336.95000000000005</v>
      </c>
    </row>
    <row r="1004" spans="1:19" ht="15" customHeight="1" x14ac:dyDescent="0.2">
      <c r="A1004" s="14">
        <f t="shared" si="167"/>
        <v>968</v>
      </c>
      <c r="B1004" s="31" t="s">
        <v>922</v>
      </c>
      <c r="C1004" s="15" t="s">
        <v>3</v>
      </c>
      <c r="D1004" s="31" t="s">
        <v>500</v>
      </c>
      <c r="E1004" s="31"/>
      <c r="F1004" s="73" t="s">
        <v>11</v>
      </c>
      <c r="G1004" s="32">
        <v>23743</v>
      </c>
      <c r="H1004" s="29">
        <v>6399</v>
      </c>
      <c r="I1004" s="17">
        <v>0</v>
      </c>
      <c r="J1004" s="17">
        <f t="shared" si="160"/>
        <v>6079.05</v>
      </c>
      <c r="K1004" s="17">
        <f t="shared" si="163"/>
        <v>319.94999999999982</v>
      </c>
      <c r="L1004" s="23">
        <f t="shared" si="162"/>
        <v>319.95000000000005</v>
      </c>
      <c r="M1004" s="33">
        <v>25</v>
      </c>
      <c r="N1004" s="18">
        <f t="shared" si="164"/>
        <v>55.287671232876711</v>
      </c>
      <c r="O1004" s="23">
        <v>96261.6</v>
      </c>
      <c r="P1004" s="18">
        <f t="shared" si="165"/>
        <v>56.287671232876711</v>
      </c>
      <c r="Q1004" s="18">
        <f t="shared" si="161"/>
        <v>-9.0949470177292826E-15</v>
      </c>
      <c r="R1004" s="18">
        <f t="shared" si="166"/>
        <v>96261.6</v>
      </c>
      <c r="S1004" s="18">
        <f t="shared" si="168"/>
        <v>319.95000000000005</v>
      </c>
    </row>
    <row r="1005" spans="1:19" ht="15" customHeight="1" x14ac:dyDescent="0.2">
      <c r="A1005" s="14">
        <f t="shared" si="167"/>
        <v>969</v>
      </c>
      <c r="B1005" s="31" t="s">
        <v>911</v>
      </c>
      <c r="C1005" s="15" t="s">
        <v>3</v>
      </c>
      <c r="D1005" s="31" t="s">
        <v>500</v>
      </c>
      <c r="E1005" s="31"/>
      <c r="F1005" s="73" t="s">
        <v>11</v>
      </c>
      <c r="G1005" s="32">
        <v>23743</v>
      </c>
      <c r="H1005" s="29">
        <v>2855</v>
      </c>
      <c r="I1005" s="17">
        <v>0</v>
      </c>
      <c r="J1005" s="17">
        <f t="shared" si="160"/>
        <v>2712.25</v>
      </c>
      <c r="K1005" s="17">
        <f t="shared" si="163"/>
        <v>142.75</v>
      </c>
      <c r="L1005" s="23">
        <f t="shared" si="162"/>
        <v>142.75</v>
      </c>
      <c r="M1005" s="33">
        <v>25</v>
      </c>
      <c r="N1005" s="18">
        <f t="shared" si="164"/>
        <v>55.287671232876711</v>
      </c>
      <c r="O1005" s="23">
        <v>94466.1</v>
      </c>
      <c r="P1005" s="18">
        <f t="shared" si="165"/>
        <v>56.287671232876711</v>
      </c>
      <c r="Q1005" s="18">
        <f t="shared" si="161"/>
        <v>0</v>
      </c>
      <c r="R1005" s="18">
        <f t="shared" si="166"/>
        <v>94466.1</v>
      </c>
      <c r="S1005" s="18">
        <f t="shared" si="168"/>
        <v>142.75</v>
      </c>
    </row>
    <row r="1006" spans="1:19" ht="15" customHeight="1" x14ac:dyDescent="0.2">
      <c r="A1006" s="14">
        <f t="shared" si="167"/>
        <v>970</v>
      </c>
      <c r="B1006" s="31" t="s">
        <v>923</v>
      </c>
      <c r="C1006" s="15" t="s">
        <v>3</v>
      </c>
      <c r="D1006" s="31" t="s">
        <v>500</v>
      </c>
      <c r="E1006" s="31"/>
      <c r="F1006" s="73" t="s">
        <v>11</v>
      </c>
      <c r="G1006" s="32">
        <v>23743</v>
      </c>
      <c r="H1006" s="29">
        <v>1712</v>
      </c>
      <c r="I1006" s="17">
        <v>0</v>
      </c>
      <c r="J1006" s="17">
        <f t="shared" ref="J1006:J1069" si="169">H1006-L1006</f>
        <v>1626.4</v>
      </c>
      <c r="K1006" s="17">
        <f t="shared" si="163"/>
        <v>85.599999999999909</v>
      </c>
      <c r="L1006" s="23">
        <f t="shared" si="162"/>
        <v>85.600000000000009</v>
      </c>
      <c r="M1006" s="33">
        <v>25</v>
      </c>
      <c r="N1006" s="18">
        <f t="shared" si="164"/>
        <v>55.287671232876711</v>
      </c>
      <c r="O1006" s="23">
        <v>87723</v>
      </c>
      <c r="P1006" s="18">
        <f t="shared" si="165"/>
        <v>56.287671232876711</v>
      </c>
      <c r="Q1006" s="18">
        <f t="shared" si="161"/>
        <v>-3.9790393202565614E-15</v>
      </c>
      <c r="R1006" s="18">
        <f t="shared" si="166"/>
        <v>87723</v>
      </c>
      <c r="S1006" s="18">
        <f t="shared" si="168"/>
        <v>85.600000000000009</v>
      </c>
    </row>
    <row r="1007" spans="1:19" ht="15" customHeight="1" x14ac:dyDescent="0.2">
      <c r="A1007" s="14">
        <f t="shared" si="167"/>
        <v>971</v>
      </c>
      <c r="B1007" s="31" t="s">
        <v>924</v>
      </c>
      <c r="C1007" s="15" t="s">
        <v>3</v>
      </c>
      <c r="D1007" s="31" t="s">
        <v>500</v>
      </c>
      <c r="E1007" s="31"/>
      <c r="F1007" s="73" t="s">
        <v>15</v>
      </c>
      <c r="G1007" s="32">
        <v>23743</v>
      </c>
      <c r="H1007" s="29">
        <v>1232</v>
      </c>
      <c r="I1007" s="17">
        <v>0</v>
      </c>
      <c r="J1007" s="17">
        <f t="shared" si="169"/>
        <v>1170.4000000000001</v>
      </c>
      <c r="K1007" s="17">
        <f t="shared" si="163"/>
        <v>61.599999999999909</v>
      </c>
      <c r="L1007" s="23">
        <f t="shared" si="162"/>
        <v>61.6</v>
      </c>
      <c r="M1007" s="33">
        <v>25</v>
      </c>
      <c r="N1007" s="18">
        <f t="shared" si="164"/>
        <v>55.287671232876711</v>
      </c>
      <c r="O1007" s="23">
        <v>84040.8</v>
      </c>
      <c r="P1007" s="18">
        <f t="shared" si="165"/>
        <v>56.287671232876711</v>
      </c>
      <c r="Q1007" s="18">
        <f t="shared" si="161"/>
        <v>-3.6948222259525211E-15</v>
      </c>
      <c r="R1007" s="18">
        <f t="shared" si="166"/>
        <v>84040.8</v>
      </c>
      <c r="S1007" s="18">
        <f t="shared" si="168"/>
        <v>61.6</v>
      </c>
    </row>
    <row r="1008" spans="1:19" ht="15" customHeight="1" x14ac:dyDescent="0.2">
      <c r="A1008" s="14">
        <f t="shared" si="167"/>
        <v>972</v>
      </c>
      <c r="B1008" s="31" t="s">
        <v>925</v>
      </c>
      <c r="C1008" s="15" t="s">
        <v>3</v>
      </c>
      <c r="D1008" s="31" t="s">
        <v>500</v>
      </c>
      <c r="E1008" s="31"/>
      <c r="F1008" s="73" t="s">
        <v>11</v>
      </c>
      <c r="G1008" s="32">
        <v>23743</v>
      </c>
      <c r="H1008" s="29">
        <v>223</v>
      </c>
      <c r="I1008" s="17">
        <v>0</v>
      </c>
      <c r="J1008" s="17">
        <f t="shared" si="169"/>
        <v>211.85</v>
      </c>
      <c r="K1008" s="17">
        <f t="shared" si="163"/>
        <v>11.150000000000006</v>
      </c>
      <c r="L1008" s="23">
        <f t="shared" si="162"/>
        <v>11.15</v>
      </c>
      <c r="M1008" s="33">
        <v>25</v>
      </c>
      <c r="N1008" s="18">
        <f t="shared" si="164"/>
        <v>55.287671232876711</v>
      </c>
      <c r="O1008" s="23">
        <v>71258.55</v>
      </c>
      <c r="P1008" s="18">
        <f t="shared" si="165"/>
        <v>56.287671232876711</v>
      </c>
      <c r="Q1008" s="18">
        <f t="shared" si="161"/>
        <v>2.1316282072803005E-16</v>
      </c>
      <c r="R1008" s="18">
        <f t="shared" si="166"/>
        <v>71258.55</v>
      </c>
      <c r="S1008" s="18">
        <f t="shared" si="168"/>
        <v>11.15</v>
      </c>
    </row>
    <row r="1009" spans="1:19" ht="15" customHeight="1" x14ac:dyDescent="0.2">
      <c r="A1009" s="14">
        <f t="shared" si="167"/>
        <v>973</v>
      </c>
      <c r="B1009" s="31" t="s">
        <v>926</v>
      </c>
      <c r="C1009" s="15" t="s">
        <v>3</v>
      </c>
      <c r="D1009" s="31" t="s">
        <v>500</v>
      </c>
      <c r="E1009" s="31"/>
      <c r="F1009" s="73" t="s">
        <v>11</v>
      </c>
      <c r="G1009" s="32">
        <v>24108</v>
      </c>
      <c r="H1009" s="29">
        <v>44662</v>
      </c>
      <c r="I1009" s="17">
        <v>0</v>
      </c>
      <c r="J1009" s="17">
        <f t="shared" si="169"/>
        <v>42428.9</v>
      </c>
      <c r="K1009" s="17">
        <f t="shared" si="163"/>
        <v>2233.0999999999985</v>
      </c>
      <c r="L1009" s="23">
        <f t="shared" si="162"/>
        <v>2233.1</v>
      </c>
      <c r="M1009" s="33">
        <v>25</v>
      </c>
      <c r="N1009" s="18">
        <f t="shared" si="164"/>
        <v>54.287671232876711</v>
      </c>
      <c r="O1009" s="23">
        <v>55948.35</v>
      </c>
      <c r="P1009" s="18">
        <f t="shared" si="165"/>
        <v>55.287671232876711</v>
      </c>
      <c r="Q1009" s="18">
        <f t="shared" si="161"/>
        <v>-5.4569682106375692E-14</v>
      </c>
      <c r="R1009" s="18">
        <f t="shared" si="166"/>
        <v>55948.35</v>
      </c>
      <c r="S1009" s="18">
        <f t="shared" si="168"/>
        <v>2233.1</v>
      </c>
    </row>
    <row r="1010" spans="1:19" ht="15" customHeight="1" x14ac:dyDescent="0.2">
      <c r="A1010" s="14">
        <f t="shared" si="167"/>
        <v>974</v>
      </c>
      <c r="B1010" s="31" t="s">
        <v>927</v>
      </c>
      <c r="C1010" s="15" t="s">
        <v>3</v>
      </c>
      <c r="D1010" s="31" t="s">
        <v>500</v>
      </c>
      <c r="E1010" s="31"/>
      <c r="F1010" s="73" t="s">
        <v>11</v>
      </c>
      <c r="G1010" s="32">
        <v>24108</v>
      </c>
      <c r="H1010" s="29">
        <v>36728</v>
      </c>
      <c r="I1010" s="17">
        <v>0</v>
      </c>
      <c r="J1010" s="17">
        <f t="shared" si="169"/>
        <v>34891.599999999999</v>
      </c>
      <c r="K1010" s="17">
        <f t="shared" si="163"/>
        <v>1836.4000000000015</v>
      </c>
      <c r="L1010" s="23">
        <f t="shared" si="162"/>
        <v>1836.4</v>
      </c>
      <c r="M1010" s="33">
        <v>25</v>
      </c>
      <c r="N1010" s="18">
        <f t="shared" si="164"/>
        <v>54.287671232876711</v>
      </c>
      <c r="O1010" s="23">
        <v>51395</v>
      </c>
      <c r="P1010" s="18">
        <f t="shared" si="165"/>
        <v>55.287671232876711</v>
      </c>
      <c r="Q1010" s="18">
        <f t="shared" si="161"/>
        <v>5.4569682106375692E-14</v>
      </c>
      <c r="R1010" s="18">
        <f t="shared" si="166"/>
        <v>51395</v>
      </c>
      <c r="S1010" s="18">
        <f t="shared" si="168"/>
        <v>1836.4</v>
      </c>
    </row>
    <row r="1011" spans="1:19" ht="15" customHeight="1" x14ac:dyDescent="0.2">
      <c r="A1011" s="14">
        <f t="shared" si="167"/>
        <v>975</v>
      </c>
      <c r="B1011" s="31" t="s">
        <v>928</v>
      </c>
      <c r="C1011" s="15" t="s">
        <v>3</v>
      </c>
      <c r="D1011" s="31" t="s">
        <v>500</v>
      </c>
      <c r="E1011" s="31"/>
      <c r="F1011" s="73" t="s">
        <v>8</v>
      </c>
      <c r="G1011" s="32">
        <v>24108</v>
      </c>
      <c r="H1011" s="29">
        <v>30197</v>
      </c>
      <c r="I1011" s="17">
        <v>0</v>
      </c>
      <c r="J1011" s="17">
        <f t="shared" si="169"/>
        <v>28687.15</v>
      </c>
      <c r="K1011" s="17">
        <f t="shared" si="163"/>
        <v>1509.8499999999985</v>
      </c>
      <c r="L1011" s="23">
        <f t="shared" si="162"/>
        <v>1509.8500000000001</v>
      </c>
      <c r="M1011" s="33">
        <v>25</v>
      </c>
      <c r="N1011" s="18">
        <f t="shared" si="164"/>
        <v>54.287671232876711</v>
      </c>
      <c r="O1011" s="23">
        <v>49874.05</v>
      </c>
      <c r="P1011" s="18">
        <f t="shared" si="165"/>
        <v>55.287671232876711</v>
      </c>
      <c r="Q1011" s="18">
        <f t="shared" si="161"/>
        <v>-6.3664629124104983E-14</v>
      </c>
      <c r="R1011" s="18">
        <f t="shared" si="166"/>
        <v>49874.05</v>
      </c>
      <c r="S1011" s="18">
        <f t="shared" si="168"/>
        <v>1509.8500000000001</v>
      </c>
    </row>
    <row r="1012" spans="1:19" ht="15" customHeight="1" x14ac:dyDescent="0.2">
      <c r="A1012" s="14">
        <f t="shared" si="167"/>
        <v>976</v>
      </c>
      <c r="B1012" s="31" t="s">
        <v>929</v>
      </c>
      <c r="C1012" s="15" t="s">
        <v>3</v>
      </c>
      <c r="D1012" s="31" t="s">
        <v>500</v>
      </c>
      <c r="E1012" s="31"/>
      <c r="F1012" s="73" t="s">
        <v>11</v>
      </c>
      <c r="G1012" s="32">
        <v>24108</v>
      </c>
      <c r="H1012" s="29">
        <v>12296</v>
      </c>
      <c r="I1012" s="17">
        <v>0</v>
      </c>
      <c r="J1012" s="17">
        <f t="shared" si="169"/>
        <v>11681.2</v>
      </c>
      <c r="K1012" s="17">
        <f t="shared" si="163"/>
        <v>614.79999999999927</v>
      </c>
      <c r="L1012" s="23">
        <f t="shared" si="162"/>
        <v>614.80000000000007</v>
      </c>
      <c r="M1012" s="33">
        <v>25</v>
      </c>
      <c r="N1012" s="18">
        <f t="shared" si="164"/>
        <v>54.287671232876711</v>
      </c>
      <c r="O1012" s="23">
        <v>41298.400000000001</v>
      </c>
      <c r="P1012" s="18">
        <f t="shared" si="165"/>
        <v>55.287671232876711</v>
      </c>
      <c r="Q1012" s="18">
        <f t="shared" si="161"/>
        <v>-3.1832314562052491E-14</v>
      </c>
      <c r="R1012" s="18">
        <f t="shared" si="166"/>
        <v>41298.400000000001</v>
      </c>
      <c r="S1012" s="18">
        <f t="shared" si="168"/>
        <v>614.80000000000007</v>
      </c>
    </row>
    <row r="1013" spans="1:19" ht="15" customHeight="1" x14ac:dyDescent="0.2">
      <c r="A1013" s="14">
        <f t="shared" si="167"/>
        <v>977</v>
      </c>
      <c r="B1013" s="31" t="s">
        <v>930</v>
      </c>
      <c r="C1013" s="15" t="s">
        <v>3</v>
      </c>
      <c r="D1013" s="31" t="s">
        <v>500</v>
      </c>
      <c r="E1013" s="31"/>
      <c r="F1013" s="73" t="s">
        <v>11</v>
      </c>
      <c r="G1013" s="32">
        <v>24108</v>
      </c>
      <c r="H1013" s="29">
        <v>11389</v>
      </c>
      <c r="I1013" s="17">
        <v>0</v>
      </c>
      <c r="J1013" s="17">
        <f t="shared" si="169"/>
        <v>10819.55</v>
      </c>
      <c r="K1013" s="17">
        <f t="shared" si="163"/>
        <v>569.45000000000073</v>
      </c>
      <c r="L1013" s="23">
        <f t="shared" si="162"/>
        <v>569.45000000000005</v>
      </c>
      <c r="M1013" s="33">
        <v>25</v>
      </c>
      <c r="N1013" s="18">
        <f t="shared" si="164"/>
        <v>54.287671232876711</v>
      </c>
      <c r="O1013" s="23">
        <v>40056.75</v>
      </c>
      <c r="P1013" s="18">
        <f t="shared" si="165"/>
        <v>55.287671232876711</v>
      </c>
      <c r="Q1013" s="18">
        <f t="shared" si="161"/>
        <v>2.7284841053187846E-14</v>
      </c>
      <c r="R1013" s="18">
        <f t="shared" si="166"/>
        <v>40056.75</v>
      </c>
      <c r="S1013" s="18">
        <f t="shared" si="168"/>
        <v>569.45000000000005</v>
      </c>
    </row>
    <row r="1014" spans="1:19" ht="15" customHeight="1" x14ac:dyDescent="0.2">
      <c r="A1014" s="14">
        <f t="shared" si="167"/>
        <v>978</v>
      </c>
      <c r="B1014" s="31" t="s">
        <v>931</v>
      </c>
      <c r="C1014" s="15" t="s">
        <v>3</v>
      </c>
      <c r="D1014" s="31" t="s">
        <v>500</v>
      </c>
      <c r="E1014" s="31"/>
      <c r="F1014" s="73" t="s">
        <v>11</v>
      </c>
      <c r="G1014" s="32">
        <v>24108</v>
      </c>
      <c r="H1014" s="29">
        <v>3183</v>
      </c>
      <c r="I1014" s="17">
        <v>0</v>
      </c>
      <c r="J1014" s="17">
        <f t="shared" si="169"/>
        <v>3023.85</v>
      </c>
      <c r="K1014" s="17">
        <f t="shared" si="163"/>
        <v>159.15000000000009</v>
      </c>
      <c r="L1014" s="23">
        <f t="shared" si="162"/>
        <v>159.15</v>
      </c>
      <c r="M1014" s="33">
        <v>25</v>
      </c>
      <c r="N1014" s="18">
        <f t="shared" si="164"/>
        <v>54.287671232876711</v>
      </c>
      <c r="O1014" s="23">
        <v>34759.550000000003</v>
      </c>
      <c r="P1014" s="18">
        <f t="shared" si="165"/>
        <v>55.287671232876711</v>
      </c>
      <c r="Q1014" s="18">
        <f t="shared" si="161"/>
        <v>3.4106051316484808E-15</v>
      </c>
      <c r="R1014" s="18">
        <f t="shared" si="166"/>
        <v>34759.550000000003</v>
      </c>
      <c r="S1014" s="18">
        <f t="shared" si="168"/>
        <v>159.15</v>
      </c>
    </row>
    <row r="1015" spans="1:19" ht="15" customHeight="1" x14ac:dyDescent="0.2">
      <c r="A1015" s="14">
        <f t="shared" si="167"/>
        <v>979</v>
      </c>
      <c r="B1015" s="31" t="s">
        <v>932</v>
      </c>
      <c r="C1015" s="15" t="s">
        <v>3</v>
      </c>
      <c r="D1015" s="31" t="s">
        <v>500</v>
      </c>
      <c r="E1015" s="31"/>
      <c r="F1015" s="73" t="s">
        <v>11</v>
      </c>
      <c r="G1015" s="32">
        <v>24108</v>
      </c>
      <c r="H1015" s="29">
        <v>1083</v>
      </c>
      <c r="I1015" s="17">
        <v>0</v>
      </c>
      <c r="J1015" s="17">
        <f t="shared" si="169"/>
        <v>1028.8499999999999</v>
      </c>
      <c r="K1015" s="17">
        <f t="shared" si="163"/>
        <v>54.150000000000091</v>
      </c>
      <c r="L1015" s="23">
        <f t="shared" si="162"/>
        <v>54.150000000000006</v>
      </c>
      <c r="M1015" s="33">
        <v>25</v>
      </c>
      <c r="N1015" s="18">
        <f t="shared" si="164"/>
        <v>54.287671232876711</v>
      </c>
      <c r="O1015" s="23">
        <v>22554.9</v>
      </c>
      <c r="P1015" s="18">
        <f t="shared" si="165"/>
        <v>55.287671232876711</v>
      </c>
      <c r="Q1015" s="18">
        <f t="shared" ref="Q1015:Q1078" si="170">(P1015-N1015)/M1015*(K1015-L1015)</f>
        <v>3.4106051316484808E-15</v>
      </c>
      <c r="R1015" s="18">
        <f t="shared" si="166"/>
        <v>22554.9</v>
      </c>
      <c r="S1015" s="18">
        <f t="shared" si="168"/>
        <v>54.150000000000006</v>
      </c>
    </row>
    <row r="1016" spans="1:19" ht="15" customHeight="1" x14ac:dyDescent="0.2">
      <c r="A1016" s="14">
        <f t="shared" si="167"/>
        <v>980</v>
      </c>
      <c r="B1016" s="31" t="s">
        <v>933</v>
      </c>
      <c r="C1016" s="15" t="s">
        <v>3</v>
      </c>
      <c r="D1016" s="31" t="s">
        <v>500</v>
      </c>
      <c r="E1016" s="31"/>
      <c r="F1016" s="73" t="s">
        <v>11</v>
      </c>
      <c r="G1016" s="32">
        <v>24108</v>
      </c>
      <c r="H1016" s="29">
        <v>428</v>
      </c>
      <c r="I1016" s="17">
        <v>0</v>
      </c>
      <c r="J1016" s="17">
        <f t="shared" si="169"/>
        <v>406.6</v>
      </c>
      <c r="K1016" s="17">
        <f t="shared" si="163"/>
        <v>21.399999999999977</v>
      </c>
      <c r="L1016" s="23">
        <f t="shared" ref="L1016:L1079" si="171">H1016*0.05</f>
        <v>21.400000000000002</v>
      </c>
      <c r="M1016" s="33">
        <v>25</v>
      </c>
      <c r="N1016" s="18">
        <f t="shared" si="164"/>
        <v>54.287671232876711</v>
      </c>
      <c r="O1016" s="23">
        <v>20094.400000000001</v>
      </c>
      <c r="P1016" s="18">
        <f t="shared" si="165"/>
        <v>55.287671232876711</v>
      </c>
      <c r="Q1016" s="18">
        <f t="shared" si="170"/>
        <v>-9.9475983006414035E-16</v>
      </c>
      <c r="R1016" s="18">
        <f t="shared" si="166"/>
        <v>20094.400000000001</v>
      </c>
      <c r="S1016" s="18">
        <f t="shared" si="168"/>
        <v>21.400000000000002</v>
      </c>
    </row>
    <row r="1017" spans="1:19" ht="15" customHeight="1" x14ac:dyDescent="0.2">
      <c r="A1017" s="14">
        <f t="shared" si="167"/>
        <v>981</v>
      </c>
      <c r="B1017" s="31" t="s">
        <v>934</v>
      </c>
      <c r="C1017" s="15" t="s">
        <v>3</v>
      </c>
      <c r="D1017" s="31" t="s">
        <v>500</v>
      </c>
      <c r="E1017" s="31"/>
      <c r="F1017" s="73" t="s">
        <v>11</v>
      </c>
      <c r="G1017" s="32">
        <v>27760</v>
      </c>
      <c r="H1017" s="29">
        <v>55847</v>
      </c>
      <c r="I1017" s="17">
        <v>0</v>
      </c>
      <c r="J1017" s="17">
        <f t="shared" si="169"/>
        <v>53054.65</v>
      </c>
      <c r="K1017" s="17">
        <f t="shared" si="163"/>
        <v>2792.3499999999985</v>
      </c>
      <c r="L1017" s="23">
        <f t="shared" si="171"/>
        <v>2792.3500000000004</v>
      </c>
      <c r="M1017" s="33">
        <v>15</v>
      </c>
      <c r="N1017" s="18">
        <f t="shared" si="164"/>
        <v>44.282191780821918</v>
      </c>
      <c r="O1017" s="23">
        <v>2480.4499999999998</v>
      </c>
      <c r="P1017" s="18">
        <f t="shared" si="165"/>
        <v>45.282191780821918</v>
      </c>
      <c r="Q1017" s="18">
        <f t="shared" si="170"/>
        <v>-1.2126596023639043E-13</v>
      </c>
      <c r="R1017" s="18">
        <f t="shared" si="166"/>
        <v>2480.4499999999998</v>
      </c>
      <c r="S1017" s="18">
        <f t="shared" si="168"/>
        <v>2792.3500000000004</v>
      </c>
    </row>
    <row r="1018" spans="1:19" ht="15" customHeight="1" x14ac:dyDescent="0.2">
      <c r="A1018" s="14">
        <f t="shared" si="167"/>
        <v>982</v>
      </c>
      <c r="B1018" s="31" t="s">
        <v>935</v>
      </c>
      <c r="C1018" s="15" t="s">
        <v>3</v>
      </c>
      <c r="D1018" s="31" t="s">
        <v>500</v>
      </c>
      <c r="E1018" s="31"/>
      <c r="F1018" s="73" t="s">
        <v>11</v>
      </c>
      <c r="G1018" s="32">
        <v>27760</v>
      </c>
      <c r="H1018" s="29">
        <v>16892</v>
      </c>
      <c r="I1018" s="17">
        <v>0</v>
      </c>
      <c r="J1018" s="17">
        <f t="shared" si="169"/>
        <v>16047.4</v>
      </c>
      <c r="K1018" s="17">
        <f t="shared" si="163"/>
        <v>844.60000000000036</v>
      </c>
      <c r="L1018" s="23">
        <f t="shared" si="171"/>
        <v>844.6</v>
      </c>
      <c r="M1018" s="33">
        <v>15</v>
      </c>
      <c r="N1018" s="18">
        <f t="shared" si="164"/>
        <v>44.282191780821918</v>
      </c>
      <c r="O1018" s="23">
        <v>77710</v>
      </c>
      <c r="P1018" s="18">
        <f t="shared" si="165"/>
        <v>45.282191780821918</v>
      </c>
      <c r="Q1018" s="18">
        <f t="shared" si="170"/>
        <v>2.2737367544323207E-14</v>
      </c>
      <c r="R1018" s="18">
        <f t="shared" si="166"/>
        <v>77710</v>
      </c>
      <c r="S1018" s="18">
        <f t="shared" si="168"/>
        <v>844.6</v>
      </c>
    </row>
    <row r="1019" spans="1:19" ht="15" customHeight="1" x14ac:dyDescent="0.2">
      <c r="A1019" s="14">
        <f t="shared" si="167"/>
        <v>983</v>
      </c>
      <c r="B1019" s="31" t="s">
        <v>935</v>
      </c>
      <c r="C1019" s="15" t="s">
        <v>3</v>
      </c>
      <c r="D1019" s="31" t="s">
        <v>500</v>
      </c>
      <c r="E1019" s="31"/>
      <c r="F1019" s="73" t="s">
        <v>11</v>
      </c>
      <c r="G1019" s="32">
        <v>27760</v>
      </c>
      <c r="H1019" s="29">
        <v>15227</v>
      </c>
      <c r="I1019" s="17">
        <v>0</v>
      </c>
      <c r="J1019" s="17">
        <f t="shared" si="169"/>
        <v>14465.65</v>
      </c>
      <c r="K1019" s="17">
        <f t="shared" si="163"/>
        <v>761.35000000000036</v>
      </c>
      <c r="L1019" s="23">
        <f t="shared" si="171"/>
        <v>761.35</v>
      </c>
      <c r="M1019" s="33">
        <v>15</v>
      </c>
      <c r="N1019" s="18">
        <f t="shared" si="164"/>
        <v>44.282191780821918</v>
      </c>
      <c r="O1019" s="23">
        <f>7252242.05-2500000</f>
        <v>4752242.05</v>
      </c>
      <c r="P1019" s="18">
        <f t="shared" si="165"/>
        <v>45.282191780821918</v>
      </c>
      <c r="Q1019" s="18">
        <f t="shared" si="170"/>
        <v>2.2737367544323207E-14</v>
      </c>
      <c r="R1019" s="18">
        <f t="shared" si="166"/>
        <v>4752242.05</v>
      </c>
      <c r="S1019" s="18">
        <f t="shared" si="168"/>
        <v>761.35</v>
      </c>
    </row>
    <row r="1020" spans="1:19" ht="15" customHeight="1" x14ac:dyDescent="0.2">
      <c r="A1020" s="14">
        <f t="shared" si="167"/>
        <v>984</v>
      </c>
      <c r="B1020" s="31" t="s">
        <v>936</v>
      </c>
      <c r="C1020" s="15" t="s">
        <v>3</v>
      </c>
      <c r="D1020" s="31" t="s">
        <v>500</v>
      </c>
      <c r="E1020" s="31"/>
      <c r="F1020" s="73" t="s">
        <v>11</v>
      </c>
      <c r="G1020" s="32">
        <v>27760</v>
      </c>
      <c r="H1020" s="29">
        <v>6417</v>
      </c>
      <c r="I1020" s="17">
        <v>0</v>
      </c>
      <c r="J1020" s="17">
        <f t="shared" si="169"/>
        <v>6096.15</v>
      </c>
      <c r="K1020" s="17">
        <f t="shared" si="163"/>
        <v>320.85000000000036</v>
      </c>
      <c r="L1020" s="23">
        <f t="shared" si="171"/>
        <v>320.85000000000002</v>
      </c>
      <c r="M1020" s="33">
        <v>15</v>
      </c>
      <c r="N1020" s="18">
        <f t="shared" si="164"/>
        <v>44.282191780821918</v>
      </c>
      <c r="O1020" s="23">
        <v>2930558.1</v>
      </c>
      <c r="P1020" s="18">
        <f t="shared" si="165"/>
        <v>45.282191780821918</v>
      </c>
      <c r="Q1020" s="18">
        <f t="shared" si="170"/>
        <v>2.2737367544323207E-14</v>
      </c>
      <c r="R1020" s="18">
        <f t="shared" si="166"/>
        <v>2930558.1</v>
      </c>
      <c r="S1020" s="18">
        <f t="shared" si="168"/>
        <v>320.85000000000002</v>
      </c>
    </row>
    <row r="1021" spans="1:19" ht="15" customHeight="1" x14ac:dyDescent="0.2">
      <c r="A1021" s="14">
        <f t="shared" si="167"/>
        <v>985</v>
      </c>
      <c r="B1021" s="31" t="s">
        <v>936</v>
      </c>
      <c r="C1021" s="15" t="s">
        <v>3</v>
      </c>
      <c r="D1021" s="31" t="s">
        <v>500</v>
      </c>
      <c r="E1021" s="31"/>
      <c r="F1021" s="73" t="s">
        <v>11</v>
      </c>
      <c r="G1021" s="32">
        <v>27760</v>
      </c>
      <c r="H1021" s="29">
        <v>5435</v>
      </c>
      <c r="I1021" s="17">
        <v>0</v>
      </c>
      <c r="J1021" s="17">
        <f t="shared" si="169"/>
        <v>5163.25</v>
      </c>
      <c r="K1021" s="17">
        <f t="shared" si="163"/>
        <v>271.75</v>
      </c>
      <c r="L1021" s="23">
        <f t="shared" si="171"/>
        <v>271.75</v>
      </c>
      <c r="M1021" s="33">
        <v>15</v>
      </c>
      <c r="N1021" s="18">
        <f t="shared" si="164"/>
        <v>44.282191780821918</v>
      </c>
      <c r="O1021" s="23">
        <v>670870.05000000005</v>
      </c>
      <c r="P1021" s="18">
        <f t="shared" si="165"/>
        <v>45.282191780821918</v>
      </c>
      <c r="Q1021" s="18">
        <f t="shared" si="170"/>
        <v>0</v>
      </c>
      <c r="R1021" s="18">
        <f t="shared" si="166"/>
        <v>670870.05000000005</v>
      </c>
      <c r="S1021" s="18">
        <f t="shared" si="168"/>
        <v>271.75</v>
      </c>
    </row>
    <row r="1022" spans="1:19" ht="15" customHeight="1" x14ac:dyDescent="0.2">
      <c r="A1022" s="14">
        <f t="shared" si="167"/>
        <v>986</v>
      </c>
      <c r="B1022" s="31" t="s">
        <v>937</v>
      </c>
      <c r="C1022" s="15" t="s">
        <v>3</v>
      </c>
      <c r="D1022" s="31" t="s">
        <v>500</v>
      </c>
      <c r="E1022" s="31"/>
      <c r="F1022" s="73" t="s">
        <v>11</v>
      </c>
      <c r="G1022" s="32">
        <v>24473</v>
      </c>
      <c r="H1022" s="29">
        <v>456297</v>
      </c>
      <c r="I1022" s="17">
        <v>0</v>
      </c>
      <c r="J1022" s="17">
        <f t="shared" si="169"/>
        <v>433482.15</v>
      </c>
      <c r="K1022" s="17">
        <f t="shared" si="163"/>
        <v>22814.849999999977</v>
      </c>
      <c r="L1022" s="23">
        <f t="shared" si="171"/>
        <v>22814.850000000002</v>
      </c>
      <c r="M1022" s="33">
        <v>25</v>
      </c>
      <c r="N1022" s="18">
        <f t="shared" si="164"/>
        <v>53.287671232876711</v>
      </c>
      <c r="O1022" s="23">
        <v>582964.65</v>
      </c>
      <c r="P1022" s="18">
        <f t="shared" si="165"/>
        <v>54.287671232876711</v>
      </c>
      <c r="Q1022" s="18">
        <f t="shared" si="170"/>
        <v>-1.0186340659856797E-12</v>
      </c>
      <c r="R1022" s="18">
        <f t="shared" si="166"/>
        <v>582964.65</v>
      </c>
      <c r="S1022" s="18">
        <f t="shared" si="168"/>
        <v>22814.850000000002</v>
      </c>
    </row>
    <row r="1023" spans="1:19" ht="15" customHeight="1" x14ac:dyDescent="0.2">
      <c r="A1023" s="14">
        <f t="shared" si="167"/>
        <v>987</v>
      </c>
      <c r="B1023" s="31" t="s">
        <v>938</v>
      </c>
      <c r="C1023" s="15" t="s">
        <v>3</v>
      </c>
      <c r="D1023" s="31" t="s">
        <v>500</v>
      </c>
      <c r="E1023" s="31"/>
      <c r="F1023" s="73" t="s">
        <v>11</v>
      </c>
      <c r="G1023" s="32">
        <v>24473</v>
      </c>
      <c r="H1023" s="29">
        <v>39353</v>
      </c>
      <c r="I1023" s="17">
        <v>0</v>
      </c>
      <c r="J1023" s="17">
        <f t="shared" si="169"/>
        <v>37385.35</v>
      </c>
      <c r="K1023" s="17">
        <f t="shared" si="163"/>
        <v>1967.6500000000015</v>
      </c>
      <c r="L1023" s="23">
        <f t="shared" si="171"/>
        <v>1967.65</v>
      </c>
      <c r="M1023" s="33">
        <v>25</v>
      </c>
      <c r="N1023" s="18">
        <f t="shared" si="164"/>
        <v>53.287671232876711</v>
      </c>
      <c r="O1023" s="23">
        <v>440272.75</v>
      </c>
      <c r="P1023" s="18">
        <f t="shared" si="165"/>
        <v>54.287671232876711</v>
      </c>
      <c r="Q1023" s="18">
        <f t="shared" si="170"/>
        <v>5.4569682106375692E-14</v>
      </c>
      <c r="R1023" s="18">
        <f t="shared" si="166"/>
        <v>440272.75</v>
      </c>
      <c r="S1023" s="18">
        <f t="shared" si="168"/>
        <v>1967.65</v>
      </c>
    </row>
    <row r="1024" spans="1:19" ht="15" customHeight="1" x14ac:dyDescent="0.2">
      <c r="A1024" s="14">
        <f t="shared" si="167"/>
        <v>988</v>
      </c>
      <c r="B1024" s="31" t="s">
        <v>939</v>
      </c>
      <c r="C1024" s="15" t="s">
        <v>3</v>
      </c>
      <c r="D1024" s="31" t="s">
        <v>500</v>
      </c>
      <c r="E1024" s="31"/>
      <c r="F1024" s="70" t="s">
        <v>7</v>
      </c>
      <c r="G1024" s="32">
        <v>24473</v>
      </c>
      <c r="H1024" s="29">
        <v>17199</v>
      </c>
      <c r="I1024" s="17">
        <v>0</v>
      </c>
      <c r="J1024" s="17">
        <f t="shared" si="169"/>
        <v>16339.05</v>
      </c>
      <c r="K1024" s="17">
        <f t="shared" si="163"/>
        <v>859.95000000000073</v>
      </c>
      <c r="L1024" s="23">
        <f t="shared" si="171"/>
        <v>859.95</v>
      </c>
      <c r="M1024" s="33">
        <v>25</v>
      </c>
      <c r="N1024" s="18">
        <f t="shared" si="164"/>
        <v>53.287671232876711</v>
      </c>
      <c r="O1024" s="23">
        <v>310118</v>
      </c>
      <c r="P1024" s="18">
        <f t="shared" si="165"/>
        <v>54.287671232876711</v>
      </c>
      <c r="Q1024" s="18">
        <f t="shared" si="170"/>
        <v>2.7284841053187846E-14</v>
      </c>
      <c r="R1024" s="18">
        <f t="shared" si="166"/>
        <v>310118</v>
      </c>
      <c r="S1024" s="18">
        <f t="shared" si="168"/>
        <v>859.95</v>
      </c>
    </row>
    <row r="1025" spans="1:19" ht="15" customHeight="1" x14ac:dyDescent="0.2">
      <c r="A1025" s="14">
        <f t="shared" si="167"/>
        <v>989</v>
      </c>
      <c r="B1025" s="31" t="s">
        <v>604</v>
      </c>
      <c r="C1025" s="15" t="s">
        <v>3</v>
      </c>
      <c r="D1025" s="31" t="s">
        <v>500</v>
      </c>
      <c r="E1025" s="31"/>
      <c r="F1025" s="73" t="s">
        <v>11</v>
      </c>
      <c r="G1025" s="32">
        <v>29587</v>
      </c>
      <c r="H1025" s="29">
        <v>6249</v>
      </c>
      <c r="I1025" s="17">
        <v>0</v>
      </c>
      <c r="J1025" s="17">
        <f t="shared" si="169"/>
        <v>5936.55</v>
      </c>
      <c r="K1025" s="17">
        <f t="shared" si="163"/>
        <v>312.44999999999982</v>
      </c>
      <c r="L1025" s="23">
        <f t="shared" si="171"/>
        <v>312.45000000000005</v>
      </c>
      <c r="M1025" s="33">
        <v>15</v>
      </c>
      <c r="N1025" s="18">
        <f t="shared" si="164"/>
        <v>39.276712328767125</v>
      </c>
      <c r="O1025" s="23">
        <v>302551.25</v>
      </c>
      <c r="P1025" s="18">
        <f t="shared" si="165"/>
        <v>40.276712328767125</v>
      </c>
      <c r="Q1025" s="18">
        <f t="shared" si="170"/>
        <v>-1.5158245029548804E-14</v>
      </c>
      <c r="R1025" s="18">
        <f t="shared" si="166"/>
        <v>302551.25</v>
      </c>
      <c r="S1025" s="18">
        <f t="shared" si="168"/>
        <v>312.45000000000005</v>
      </c>
    </row>
    <row r="1026" spans="1:19" ht="15" customHeight="1" x14ac:dyDescent="0.2">
      <c r="A1026" s="14">
        <f t="shared" si="167"/>
        <v>990</v>
      </c>
      <c r="B1026" s="31" t="s">
        <v>940</v>
      </c>
      <c r="C1026" s="15" t="s">
        <v>3</v>
      </c>
      <c r="D1026" s="31" t="s">
        <v>500</v>
      </c>
      <c r="E1026" s="31"/>
      <c r="F1026" s="73" t="s">
        <v>11</v>
      </c>
      <c r="G1026" s="32">
        <v>24473</v>
      </c>
      <c r="H1026" s="29">
        <v>14409</v>
      </c>
      <c r="I1026" s="17">
        <v>0</v>
      </c>
      <c r="J1026" s="17">
        <f t="shared" si="169"/>
        <v>13688.55</v>
      </c>
      <c r="K1026" s="17">
        <f t="shared" si="163"/>
        <v>720.45000000000073</v>
      </c>
      <c r="L1026" s="23">
        <f t="shared" si="171"/>
        <v>720.45</v>
      </c>
      <c r="M1026" s="33">
        <v>25</v>
      </c>
      <c r="N1026" s="18">
        <f t="shared" si="164"/>
        <v>53.287671232876711</v>
      </c>
      <c r="O1026" s="23">
        <v>225927.1</v>
      </c>
      <c r="P1026" s="18">
        <f t="shared" si="165"/>
        <v>54.287671232876711</v>
      </c>
      <c r="Q1026" s="18">
        <f t="shared" si="170"/>
        <v>2.7284841053187846E-14</v>
      </c>
      <c r="R1026" s="18">
        <f t="shared" si="166"/>
        <v>225927.1</v>
      </c>
      <c r="S1026" s="18">
        <f t="shared" si="168"/>
        <v>720.45</v>
      </c>
    </row>
    <row r="1027" spans="1:19" ht="15" customHeight="1" x14ac:dyDescent="0.2">
      <c r="A1027" s="14">
        <f t="shared" si="167"/>
        <v>991</v>
      </c>
      <c r="B1027" s="31" t="s">
        <v>941</v>
      </c>
      <c r="C1027" s="15" t="s">
        <v>3</v>
      </c>
      <c r="D1027" s="31" t="s">
        <v>500</v>
      </c>
      <c r="E1027" s="31"/>
      <c r="F1027" s="73" t="s">
        <v>11</v>
      </c>
      <c r="G1027" s="32">
        <v>24473</v>
      </c>
      <c r="H1027" s="29">
        <v>14133</v>
      </c>
      <c r="I1027" s="17">
        <v>0</v>
      </c>
      <c r="J1027" s="17">
        <f t="shared" si="169"/>
        <v>13426.35</v>
      </c>
      <c r="K1027" s="17">
        <f t="shared" si="163"/>
        <v>706.64999999999964</v>
      </c>
      <c r="L1027" s="23">
        <f t="shared" si="171"/>
        <v>706.65000000000009</v>
      </c>
      <c r="M1027" s="33">
        <v>25</v>
      </c>
      <c r="N1027" s="18">
        <f t="shared" si="164"/>
        <v>53.287671232876711</v>
      </c>
      <c r="O1027" s="23">
        <v>199614</v>
      </c>
      <c r="P1027" s="18">
        <f t="shared" si="165"/>
        <v>54.287671232876711</v>
      </c>
      <c r="Q1027" s="18">
        <f t="shared" si="170"/>
        <v>-1.8189894035458565E-14</v>
      </c>
      <c r="R1027" s="18">
        <f t="shared" si="166"/>
        <v>199614</v>
      </c>
      <c r="S1027" s="18">
        <f t="shared" si="168"/>
        <v>706.65000000000009</v>
      </c>
    </row>
    <row r="1028" spans="1:19" ht="15" customHeight="1" x14ac:dyDescent="0.2">
      <c r="A1028" s="14">
        <f t="shared" si="167"/>
        <v>992</v>
      </c>
      <c r="B1028" s="31" t="s">
        <v>942</v>
      </c>
      <c r="C1028" s="15" t="s">
        <v>3</v>
      </c>
      <c r="D1028" s="31" t="s">
        <v>500</v>
      </c>
      <c r="E1028" s="31"/>
      <c r="F1028" s="73" t="s">
        <v>11</v>
      </c>
      <c r="G1028" s="32">
        <v>24473</v>
      </c>
      <c r="H1028" s="29">
        <v>13989</v>
      </c>
      <c r="I1028" s="17">
        <v>0</v>
      </c>
      <c r="J1028" s="17">
        <f t="shared" si="169"/>
        <v>13289.55</v>
      </c>
      <c r="K1028" s="17">
        <f t="shared" si="163"/>
        <v>699.45000000000073</v>
      </c>
      <c r="L1028" s="23">
        <f t="shared" si="171"/>
        <v>699.45</v>
      </c>
      <c r="M1028" s="33">
        <v>25</v>
      </c>
      <c r="N1028" s="18">
        <f t="shared" si="164"/>
        <v>53.287671232876711</v>
      </c>
      <c r="O1028" s="23">
        <v>179822.65</v>
      </c>
      <c r="P1028" s="18">
        <f t="shared" si="165"/>
        <v>54.287671232876711</v>
      </c>
      <c r="Q1028" s="18">
        <f t="shared" si="170"/>
        <v>2.7284841053187846E-14</v>
      </c>
      <c r="R1028" s="18">
        <f t="shared" si="166"/>
        <v>179822.65</v>
      </c>
      <c r="S1028" s="18">
        <f t="shared" si="168"/>
        <v>699.45</v>
      </c>
    </row>
    <row r="1029" spans="1:19" ht="15" customHeight="1" x14ac:dyDescent="0.2">
      <c r="A1029" s="14">
        <f t="shared" si="167"/>
        <v>993</v>
      </c>
      <c r="B1029" s="31" t="s">
        <v>902</v>
      </c>
      <c r="C1029" s="15" t="s">
        <v>3</v>
      </c>
      <c r="D1029" s="31" t="s">
        <v>500</v>
      </c>
      <c r="E1029" s="31"/>
      <c r="F1029" s="73" t="s">
        <v>11</v>
      </c>
      <c r="G1029" s="32">
        <v>24473</v>
      </c>
      <c r="H1029" s="29">
        <v>12361</v>
      </c>
      <c r="I1029" s="17">
        <v>0</v>
      </c>
      <c r="J1029" s="17">
        <f t="shared" si="169"/>
        <v>11742.95</v>
      </c>
      <c r="K1029" s="17">
        <f t="shared" si="163"/>
        <v>618.04999999999927</v>
      </c>
      <c r="L1029" s="23">
        <f t="shared" si="171"/>
        <v>618.05000000000007</v>
      </c>
      <c r="M1029" s="33">
        <v>25</v>
      </c>
      <c r="N1029" s="18">
        <f t="shared" si="164"/>
        <v>53.287671232876711</v>
      </c>
      <c r="O1029" s="23">
        <v>149874.85</v>
      </c>
      <c r="P1029" s="18">
        <f t="shared" si="165"/>
        <v>54.287671232876711</v>
      </c>
      <c r="Q1029" s="18">
        <f t="shared" si="170"/>
        <v>-3.1832314562052491E-14</v>
      </c>
      <c r="R1029" s="18">
        <f t="shared" si="166"/>
        <v>149874.85</v>
      </c>
      <c r="S1029" s="18">
        <f t="shared" si="168"/>
        <v>618.05000000000007</v>
      </c>
    </row>
    <row r="1030" spans="1:19" ht="15" customHeight="1" x14ac:dyDescent="0.2">
      <c r="A1030" s="14">
        <f t="shared" si="167"/>
        <v>994</v>
      </c>
      <c r="B1030" s="31" t="s">
        <v>943</v>
      </c>
      <c r="C1030" s="15" t="s">
        <v>3</v>
      </c>
      <c r="D1030" s="31" t="s">
        <v>500</v>
      </c>
      <c r="E1030" s="31"/>
      <c r="F1030" s="73" t="s">
        <v>11</v>
      </c>
      <c r="G1030" s="32">
        <v>29952</v>
      </c>
      <c r="H1030" s="29">
        <v>12074</v>
      </c>
      <c r="I1030" s="17">
        <v>0</v>
      </c>
      <c r="J1030" s="17">
        <f t="shared" si="169"/>
        <v>11470.3</v>
      </c>
      <c r="K1030" s="17">
        <f t="shared" si="163"/>
        <v>603.70000000000073</v>
      </c>
      <c r="L1030" s="23">
        <f t="shared" si="171"/>
        <v>603.70000000000005</v>
      </c>
      <c r="M1030" s="33">
        <v>15</v>
      </c>
      <c r="N1030" s="18">
        <f t="shared" si="164"/>
        <v>38.276712328767125</v>
      </c>
      <c r="O1030" s="23">
        <v>75437.600000000006</v>
      </c>
      <c r="P1030" s="18">
        <f t="shared" si="165"/>
        <v>39.276712328767125</v>
      </c>
      <c r="Q1030" s="18">
        <f t="shared" si="170"/>
        <v>4.5474735088646414E-14</v>
      </c>
      <c r="R1030" s="18">
        <f t="shared" si="166"/>
        <v>75437.600000000006</v>
      </c>
      <c r="S1030" s="18">
        <f t="shared" si="168"/>
        <v>603.70000000000005</v>
      </c>
    </row>
    <row r="1031" spans="1:19" ht="15" customHeight="1" x14ac:dyDescent="0.2">
      <c r="A1031" s="14">
        <f t="shared" si="167"/>
        <v>995</v>
      </c>
      <c r="B1031" s="31" t="s">
        <v>944</v>
      </c>
      <c r="C1031" s="15" t="s">
        <v>3</v>
      </c>
      <c r="D1031" s="31" t="s">
        <v>500</v>
      </c>
      <c r="E1031" s="31"/>
      <c r="F1031" s="73" t="s">
        <v>8</v>
      </c>
      <c r="G1031" s="32">
        <v>24473</v>
      </c>
      <c r="H1031" s="29">
        <v>10058</v>
      </c>
      <c r="I1031" s="17">
        <v>0</v>
      </c>
      <c r="J1031" s="17">
        <f t="shared" si="169"/>
        <v>9555.1</v>
      </c>
      <c r="K1031" s="17">
        <f t="shared" si="163"/>
        <v>502.89999999999964</v>
      </c>
      <c r="L1031" s="23">
        <f t="shared" si="171"/>
        <v>502.90000000000003</v>
      </c>
      <c r="M1031" s="33">
        <v>25</v>
      </c>
      <c r="N1031" s="18">
        <f t="shared" si="164"/>
        <v>53.287671232876711</v>
      </c>
      <c r="O1031" s="23">
        <v>55345.1</v>
      </c>
      <c r="P1031" s="18">
        <f t="shared" si="165"/>
        <v>54.287671232876711</v>
      </c>
      <c r="Q1031" s="18">
        <f t="shared" si="170"/>
        <v>-1.5916157281026246E-14</v>
      </c>
      <c r="R1031" s="18">
        <f t="shared" si="166"/>
        <v>55345.1</v>
      </c>
      <c r="S1031" s="18">
        <f t="shared" si="168"/>
        <v>502.90000000000003</v>
      </c>
    </row>
    <row r="1032" spans="1:19" ht="15" customHeight="1" x14ac:dyDescent="0.2">
      <c r="A1032" s="14">
        <f t="shared" si="167"/>
        <v>996</v>
      </c>
      <c r="B1032" s="31" t="s">
        <v>945</v>
      </c>
      <c r="C1032" s="15" t="s">
        <v>3</v>
      </c>
      <c r="D1032" s="31" t="s">
        <v>500</v>
      </c>
      <c r="E1032" s="31"/>
      <c r="F1032" s="73" t="s">
        <v>11</v>
      </c>
      <c r="G1032" s="32">
        <v>24473</v>
      </c>
      <c r="H1032" s="29">
        <v>9277</v>
      </c>
      <c r="I1032" s="17">
        <v>0</v>
      </c>
      <c r="J1032" s="17">
        <f t="shared" si="169"/>
        <v>8813.15</v>
      </c>
      <c r="K1032" s="17">
        <f t="shared" si="163"/>
        <v>463.85000000000036</v>
      </c>
      <c r="L1032" s="23">
        <f t="shared" si="171"/>
        <v>463.85</v>
      </c>
      <c r="M1032" s="33">
        <v>25</v>
      </c>
      <c r="N1032" s="18">
        <f t="shared" si="164"/>
        <v>53.287671232876711</v>
      </c>
      <c r="O1032" s="23">
        <v>48051</v>
      </c>
      <c r="P1032" s="18">
        <f t="shared" si="165"/>
        <v>54.287671232876711</v>
      </c>
      <c r="Q1032" s="18">
        <f t="shared" si="170"/>
        <v>1.3642420526593923E-14</v>
      </c>
      <c r="R1032" s="18">
        <f t="shared" si="166"/>
        <v>48051</v>
      </c>
      <c r="S1032" s="18">
        <f t="shared" si="168"/>
        <v>463.85</v>
      </c>
    </row>
    <row r="1033" spans="1:19" ht="15" customHeight="1" x14ac:dyDescent="0.2">
      <c r="A1033" s="14">
        <f t="shared" si="167"/>
        <v>997</v>
      </c>
      <c r="B1033" s="31" t="s">
        <v>946</v>
      </c>
      <c r="C1033" s="15" t="s">
        <v>3</v>
      </c>
      <c r="D1033" s="31" t="s">
        <v>500</v>
      </c>
      <c r="E1033" s="31"/>
      <c r="F1033" s="73" t="s">
        <v>11</v>
      </c>
      <c r="G1033" s="32">
        <v>24473</v>
      </c>
      <c r="H1033" s="29">
        <v>7789</v>
      </c>
      <c r="I1033" s="17">
        <v>0</v>
      </c>
      <c r="J1033" s="17">
        <f t="shared" si="169"/>
        <v>7399.55</v>
      </c>
      <c r="K1033" s="17">
        <f t="shared" si="163"/>
        <v>389.44999999999982</v>
      </c>
      <c r="L1033" s="23">
        <f t="shared" si="171"/>
        <v>389.45000000000005</v>
      </c>
      <c r="M1033" s="33">
        <v>25</v>
      </c>
      <c r="N1033" s="18">
        <f t="shared" si="164"/>
        <v>53.287671232876711</v>
      </c>
      <c r="O1033" s="23">
        <v>42199.95</v>
      </c>
      <c r="P1033" s="18">
        <f t="shared" si="165"/>
        <v>54.287671232876711</v>
      </c>
      <c r="Q1033" s="18">
        <f t="shared" si="170"/>
        <v>-9.0949470177292826E-15</v>
      </c>
      <c r="R1033" s="18">
        <f t="shared" si="166"/>
        <v>42199.95</v>
      </c>
      <c r="S1033" s="18">
        <f t="shared" si="168"/>
        <v>389.45000000000005</v>
      </c>
    </row>
    <row r="1034" spans="1:19" ht="15" customHeight="1" x14ac:dyDescent="0.2">
      <c r="A1034" s="14">
        <f t="shared" si="167"/>
        <v>998</v>
      </c>
      <c r="B1034" s="31" t="s">
        <v>926</v>
      </c>
      <c r="C1034" s="15" t="s">
        <v>3</v>
      </c>
      <c r="D1034" s="31" t="s">
        <v>500</v>
      </c>
      <c r="E1034" s="31"/>
      <c r="F1034" s="73" t="s">
        <v>11</v>
      </c>
      <c r="G1034" s="32">
        <v>24473</v>
      </c>
      <c r="H1034" s="29">
        <v>5339</v>
      </c>
      <c r="I1034" s="17">
        <v>0</v>
      </c>
      <c r="J1034" s="17">
        <f t="shared" si="169"/>
        <v>5072.05</v>
      </c>
      <c r="K1034" s="17">
        <f t="shared" si="163"/>
        <v>266.94999999999982</v>
      </c>
      <c r="L1034" s="23">
        <f t="shared" si="171"/>
        <v>266.95</v>
      </c>
      <c r="M1034" s="33">
        <v>25</v>
      </c>
      <c r="N1034" s="18">
        <f t="shared" si="164"/>
        <v>53.287671232876711</v>
      </c>
      <c r="O1034" s="23">
        <v>29068.1</v>
      </c>
      <c r="P1034" s="18">
        <f t="shared" si="165"/>
        <v>54.287671232876711</v>
      </c>
      <c r="Q1034" s="18">
        <f t="shared" si="170"/>
        <v>-6.8212102632969615E-15</v>
      </c>
      <c r="R1034" s="18">
        <f t="shared" si="166"/>
        <v>29068.1</v>
      </c>
      <c r="S1034" s="18">
        <f t="shared" si="168"/>
        <v>266.95</v>
      </c>
    </row>
    <row r="1035" spans="1:19" ht="15" customHeight="1" x14ac:dyDescent="0.2">
      <c r="A1035" s="14">
        <f t="shared" si="167"/>
        <v>999</v>
      </c>
      <c r="B1035" s="31" t="s">
        <v>947</v>
      </c>
      <c r="C1035" s="15" t="s">
        <v>3</v>
      </c>
      <c r="D1035" s="31" t="s">
        <v>500</v>
      </c>
      <c r="E1035" s="31"/>
      <c r="F1035" s="70" t="s">
        <v>7</v>
      </c>
      <c r="G1035" s="32">
        <v>37256</v>
      </c>
      <c r="H1035" s="29">
        <v>232332</v>
      </c>
      <c r="I1035" s="17">
        <v>0</v>
      </c>
      <c r="J1035" s="17">
        <f t="shared" si="169"/>
        <v>220715.4</v>
      </c>
      <c r="K1035" s="17">
        <f t="shared" si="163"/>
        <v>11616.600000000006</v>
      </c>
      <c r="L1035" s="23">
        <f t="shared" si="171"/>
        <v>11616.6</v>
      </c>
      <c r="M1035" s="33">
        <v>15</v>
      </c>
      <c r="N1035" s="18">
        <f t="shared" si="164"/>
        <v>18.265753424657536</v>
      </c>
      <c r="O1035" s="23">
        <v>23590.400000000001</v>
      </c>
      <c r="P1035" s="18">
        <f t="shared" si="165"/>
        <v>19.265753424657536</v>
      </c>
      <c r="Q1035" s="18">
        <f t="shared" si="170"/>
        <v>3.6379788070917132E-13</v>
      </c>
      <c r="R1035" s="18">
        <f t="shared" si="166"/>
        <v>23590.400000000001</v>
      </c>
      <c r="S1035" s="18">
        <f t="shared" si="168"/>
        <v>11616.6</v>
      </c>
    </row>
    <row r="1036" spans="1:19" ht="15" customHeight="1" x14ac:dyDescent="0.2">
      <c r="A1036" s="14">
        <f t="shared" si="167"/>
        <v>1000</v>
      </c>
      <c r="B1036" s="31" t="s">
        <v>929</v>
      </c>
      <c r="C1036" s="15" t="s">
        <v>3</v>
      </c>
      <c r="D1036" s="31" t="s">
        <v>500</v>
      </c>
      <c r="E1036" s="31"/>
      <c r="F1036" s="73" t="s">
        <v>11</v>
      </c>
      <c r="G1036" s="32">
        <v>24473</v>
      </c>
      <c r="H1036" s="29">
        <v>572</v>
      </c>
      <c r="I1036" s="17">
        <v>0</v>
      </c>
      <c r="J1036" s="17">
        <f t="shared" si="169"/>
        <v>543.4</v>
      </c>
      <c r="K1036" s="17">
        <f t="shared" si="163"/>
        <v>28.600000000000023</v>
      </c>
      <c r="L1036" s="23">
        <f t="shared" si="171"/>
        <v>28.6</v>
      </c>
      <c r="M1036" s="33">
        <v>25</v>
      </c>
      <c r="N1036" s="18">
        <f t="shared" si="164"/>
        <v>53.287671232876711</v>
      </c>
      <c r="O1036" s="23">
        <v>13967.85</v>
      </c>
      <c r="P1036" s="18">
        <f t="shared" si="165"/>
        <v>54.287671232876711</v>
      </c>
      <c r="Q1036" s="18">
        <f t="shared" si="170"/>
        <v>8.5265128291212019E-16</v>
      </c>
      <c r="R1036" s="18">
        <f t="shared" si="166"/>
        <v>13967.85</v>
      </c>
      <c r="S1036" s="18">
        <f t="shared" si="168"/>
        <v>28.6</v>
      </c>
    </row>
    <row r="1037" spans="1:19" ht="15" customHeight="1" x14ac:dyDescent="0.2">
      <c r="A1037" s="14">
        <f t="shared" si="167"/>
        <v>1001</v>
      </c>
      <c r="B1037" s="31" t="s">
        <v>948</v>
      </c>
      <c r="C1037" s="15" t="s">
        <v>3</v>
      </c>
      <c r="D1037" s="31" t="s">
        <v>500</v>
      </c>
      <c r="E1037" s="31"/>
      <c r="F1037" s="73" t="s">
        <v>11</v>
      </c>
      <c r="G1037" s="32">
        <v>24838</v>
      </c>
      <c r="H1037" s="29">
        <v>51416</v>
      </c>
      <c r="I1037" s="17">
        <v>0</v>
      </c>
      <c r="J1037" s="17">
        <f t="shared" si="169"/>
        <v>48845.2</v>
      </c>
      <c r="K1037" s="17">
        <f t="shared" si="163"/>
        <v>2570.8000000000029</v>
      </c>
      <c r="L1037" s="23">
        <f t="shared" si="171"/>
        <v>2570.8000000000002</v>
      </c>
      <c r="M1037" s="33">
        <v>25</v>
      </c>
      <c r="N1037" s="18">
        <f t="shared" si="164"/>
        <v>52.287671232876711</v>
      </c>
      <c r="O1037" s="23">
        <v>16340</v>
      </c>
      <c r="P1037" s="18">
        <f t="shared" si="165"/>
        <v>53.287671232876711</v>
      </c>
      <c r="Q1037" s="18">
        <f t="shared" si="170"/>
        <v>1.0913936421275138E-13</v>
      </c>
      <c r="R1037" s="18">
        <f t="shared" si="166"/>
        <v>16340</v>
      </c>
      <c r="S1037" s="18">
        <f t="shared" si="168"/>
        <v>2570.8000000000002</v>
      </c>
    </row>
    <row r="1038" spans="1:19" ht="15" customHeight="1" x14ac:dyDescent="0.2">
      <c r="A1038" s="14">
        <f t="shared" si="167"/>
        <v>1002</v>
      </c>
      <c r="B1038" s="31" t="s">
        <v>943</v>
      </c>
      <c r="C1038" s="15" t="s">
        <v>3</v>
      </c>
      <c r="D1038" s="31" t="s">
        <v>500</v>
      </c>
      <c r="E1038" s="31"/>
      <c r="F1038" s="73" t="s">
        <v>11</v>
      </c>
      <c r="G1038" s="32">
        <v>30682</v>
      </c>
      <c r="H1038" s="29">
        <v>35601</v>
      </c>
      <c r="I1038" s="17">
        <v>0</v>
      </c>
      <c r="J1038" s="17">
        <f t="shared" si="169"/>
        <v>33820.949999999997</v>
      </c>
      <c r="K1038" s="17">
        <f t="shared" si="163"/>
        <v>1780.0500000000029</v>
      </c>
      <c r="L1038" s="23">
        <f t="shared" si="171"/>
        <v>1780.0500000000002</v>
      </c>
      <c r="M1038" s="33">
        <v>15</v>
      </c>
      <c r="N1038" s="18">
        <f t="shared" si="164"/>
        <v>36.276712328767125</v>
      </c>
      <c r="O1038" s="23">
        <v>31580.536499999998</v>
      </c>
      <c r="P1038" s="18">
        <f t="shared" si="165"/>
        <v>37.276712328767125</v>
      </c>
      <c r="Q1038" s="18">
        <f t="shared" si="170"/>
        <v>1.8189894035458566E-13</v>
      </c>
      <c r="R1038" s="18">
        <f t="shared" si="166"/>
        <v>31580.536499999998</v>
      </c>
      <c r="S1038" s="18">
        <f t="shared" si="168"/>
        <v>1780.0500000000002</v>
      </c>
    </row>
    <row r="1039" spans="1:19" ht="15" customHeight="1" x14ac:dyDescent="0.2">
      <c r="A1039" s="14">
        <f t="shared" si="167"/>
        <v>1003</v>
      </c>
      <c r="B1039" s="31" t="s">
        <v>941</v>
      </c>
      <c r="C1039" s="15" t="s">
        <v>3</v>
      </c>
      <c r="D1039" s="31" t="s">
        <v>500</v>
      </c>
      <c r="E1039" s="31"/>
      <c r="F1039" s="73" t="s">
        <v>11</v>
      </c>
      <c r="G1039" s="32">
        <v>24838</v>
      </c>
      <c r="H1039" s="29">
        <v>3463</v>
      </c>
      <c r="I1039" s="17">
        <v>0</v>
      </c>
      <c r="J1039" s="17">
        <f t="shared" si="169"/>
        <v>3289.85</v>
      </c>
      <c r="K1039" s="17">
        <f t="shared" si="163"/>
        <v>173.15000000000009</v>
      </c>
      <c r="L1039" s="23">
        <f t="shared" si="171"/>
        <v>173.15</v>
      </c>
      <c r="M1039" s="33">
        <v>25</v>
      </c>
      <c r="N1039" s="18">
        <f t="shared" si="164"/>
        <v>52.287671232876711</v>
      </c>
      <c r="O1039" s="23">
        <v>49548.2</v>
      </c>
      <c r="P1039" s="18">
        <f t="shared" si="165"/>
        <v>53.287671232876711</v>
      </c>
      <c r="Q1039" s="18">
        <f t="shared" si="170"/>
        <v>3.4106051316484808E-15</v>
      </c>
      <c r="R1039" s="18">
        <f t="shared" si="166"/>
        <v>49548.2</v>
      </c>
      <c r="S1039" s="18">
        <f t="shared" si="168"/>
        <v>173.15</v>
      </c>
    </row>
    <row r="1040" spans="1:19" ht="15" customHeight="1" x14ac:dyDescent="0.2">
      <c r="A1040" s="14">
        <f t="shared" si="167"/>
        <v>1004</v>
      </c>
      <c r="B1040" s="31" t="s">
        <v>949</v>
      </c>
      <c r="C1040" s="15" t="s">
        <v>3</v>
      </c>
      <c r="D1040" s="31" t="s">
        <v>500</v>
      </c>
      <c r="E1040" s="31"/>
      <c r="F1040" s="73" t="s">
        <v>11</v>
      </c>
      <c r="G1040" s="32">
        <v>24838</v>
      </c>
      <c r="H1040" s="29">
        <v>1821</v>
      </c>
      <c r="I1040" s="17">
        <v>0</v>
      </c>
      <c r="J1040" s="17">
        <f t="shared" si="169"/>
        <v>1729.95</v>
      </c>
      <c r="K1040" s="17">
        <f t="shared" si="163"/>
        <v>91.049999999999955</v>
      </c>
      <c r="L1040" s="23">
        <f t="shared" si="171"/>
        <v>91.050000000000011</v>
      </c>
      <c r="M1040" s="33">
        <v>25</v>
      </c>
      <c r="N1040" s="18">
        <f t="shared" si="164"/>
        <v>52.287671232876711</v>
      </c>
      <c r="O1040" s="23">
        <v>52840.9</v>
      </c>
      <c r="P1040" s="18">
        <f t="shared" si="165"/>
        <v>53.287671232876711</v>
      </c>
      <c r="Q1040" s="18">
        <f t="shared" si="170"/>
        <v>-2.2737367544323206E-15</v>
      </c>
      <c r="R1040" s="18">
        <f t="shared" si="166"/>
        <v>52840.9</v>
      </c>
      <c r="S1040" s="18">
        <f t="shared" si="168"/>
        <v>91.050000000000011</v>
      </c>
    </row>
    <row r="1041" spans="1:19" ht="15" customHeight="1" x14ac:dyDescent="0.2">
      <c r="A1041" s="14">
        <f t="shared" si="167"/>
        <v>1005</v>
      </c>
      <c r="B1041" s="31" t="s">
        <v>929</v>
      </c>
      <c r="C1041" s="15" t="s">
        <v>3</v>
      </c>
      <c r="D1041" s="31" t="s">
        <v>500</v>
      </c>
      <c r="E1041" s="31"/>
      <c r="F1041" s="73" t="s">
        <v>11</v>
      </c>
      <c r="G1041" s="32">
        <v>24838</v>
      </c>
      <c r="H1041" s="29">
        <v>373</v>
      </c>
      <c r="I1041" s="17">
        <v>0</v>
      </c>
      <c r="J1041" s="17">
        <f t="shared" si="169"/>
        <v>354.35</v>
      </c>
      <c r="K1041" s="17">
        <f t="shared" si="163"/>
        <v>18.649999999999977</v>
      </c>
      <c r="L1041" s="23">
        <f t="shared" si="171"/>
        <v>18.650000000000002</v>
      </c>
      <c r="M1041" s="33">
        <v>25</v>
      </c>
      <c r="N1041" s="18">
        <f t="shared" si="164"/>
        <v>52.287671232876711</v>
      </c>
      <c r="O1041" s="23">
        <v>42725.3</v>
      </c>
      <c r="P1041" s="18">
        <f t="shared" si="165"/>
        <v>53.287671232876711</v>
      </c>
      <c r="Q1041" s="18">
        <f t="shared" si="170"/>
        <v>-9.9475983006414035E-16</v>
      </c>
      <c r="R1041" s="18">
        <f t="shared" si="166"/>
        <v>42725.3</v>
      </c>
      <c r="S1041" s="18">
        <f t="shared" si="168"/>
        <v>18.650000000000002</v>
      </c>
    </row>
    <row r="1042" spans="1:19" ht="15" customHeight="1" x14ac:dyDescent="0.2">
      <c r="A1042" s="14">
        <f t="shared" si="167"/>
        <v>1006</v>
      </c>
      <c r="B1042" s="31" t="s">
        <v>950</v>
      </c>
      <c r="C1042" s="15" t="s">
        <v>3</v>
      </c>
      <c r="D1042" s="31" t="s">
        <v>500</v>
      </c>
      <c r="E1042" s="31"/>
      <c r="F1042" s="73" t="s">
        <v>11</v>
      </c>
      <c r="G1042" s="32">
        <v>25204</v>
      </c>
      <c r="H1042" s="29">
        <v>29222</v>
      </c>
      <c r="I1042" s="17">
        <v>0</v>
      </c>
      <c r="J1042" s="17">
        <f t="shared" si="169"/>
        <v>27760.9</v>
      </c>
      <c r="K1042" s="17">
        <f t="shared" si="163"/>
        <v>1461.0999999999985</v>
      </c>
      <c r="L1042" s="23">
        <f t="shared" si="171"/>
        <v>1461.1000000000001</v>
      </c>
      <c r="M1042" s="33">
        <v>25</v>
      </c>
      <c r="N1042" s="18">
        <f t="shared" si="164"/>
        <v>51.284931506849318</v>
      </c>
      <c r="O1042" s="23">
        <v>133097.85</v>
      </c>
      <c r="P1042" s="18">
        <f t="shared" si="165"/>
        <v>52.284931506849318</v>
      </c>
      <c r="Q1042" s="18">
        <f t="shared" si="170"/>
        <v>-6.3664629124104983E-14</v>
      </c>
      <c r="R1042" s="18">
        <f t="shared" si="166"/>
        <v>133097.85</v>
      </c>
      <c r="S1042" s="18">
        <f t="shared" si="168"/>
        <v>1461.1000000000001</v>
      </c>
    </row>
    <row r="1043" spans="1:19" ht="15" customHeight="1" x14ac:dyDescent="0.2">
      <c r="A1043" s="14">
        <f t="shared" si="167"/>
        <v>1007</v>
      </c>
      <c r="B1043" s="31" t="s">
        <v>951</v>
      </c>
      <c r="C1043" s="15" t="s">
        <v>3</v>
      </c>
      <c r="D1043" s="31" t="s">
        <v>500</v>
      </c>
      <c r="E1043" s="31"/>
      <c r="F1043" s="73" t="s">
        <v>11</v>
      </c>
      <c r="G1043" s="32">
        <v>25204</v>
      </c>
      <c r="H1043" s="29">
        <v>2750</v>
      </c>
      <c r="I1043" s="17">
        <v>0</v>
      </c>
      <c r="J1043" s="17">
        <f t="shared" si="169"/>
        <v>2612.5</v>
      </c>
      <c r="K1043" s="17">
        <f t="shared" si="163"/>
        <v>137.5</v>
      </c>
      <c r="L1043" s="23">
        <f t="shared" si="171"/>
        <v>137.5</v>
      </c>
      <c r="M1043" s="33">
        <v>25</v>
      </c>
      <c r="N1043" s="18">
        <f t="shared" si="164"/>
        <v>51.284931506849318</v>
      </c>
      <c r="O1043" s="23">
        <v>35997.4</v>
      </c>
      <c r="P1043" s="18">
        <f t="shared" si="165"/>
        <v>52.284931506849318</v>
      </c>
      <c r="Q1043" s="18">
        <f t="shared" si="170"/>
        <v>0</v>
      </c>
      <c r="R1043" s="18">
        <f t="shared" si="166"/>
        <v>35997.4</v>
      </c>
      <c r="S1043" s="18">
        <f t="shared" si="168"/>
        <v>137.5</v>
      </c>
    </row>
    <row r="1044" spans="1:19" ht="15" customHeight="1" x14ac:dyDescent="0.2">
      <c r="A1044" s="14">
        <f t="shared" si="167"/>
        <v>1008</v>
      </c>
      <c r="B1044" s="31" t="s">
        <v>952</v>
      </c>
      <c r="C1044" s="15" t="s">
        <v>3</v>
      </c>
      <c r="D1044" s="31" t="s">
        <v>500</v>
      </c>
      <c r="E1044" s="31"/>
      <c r="F1044" s="73" t="s">
        <v>11</v>
      </c>
      <c r="G1044" s="32">
        <v>25204</v>
      </c>
      <c r="H1044" s="29">
        <v>2420</v>
      </c>
      <c r="I1044" s="17">
        <v>0</v>
      </c>
      <c r="J1044" s="17">
        <f t="shared" si="169"/>
        <v>2299</v>
      </c>
      <c r="K1044" s="17">
        <f t="shared" si="163"/>
        <v>121</v>
      </c>
      <c r="L1044" s="23">
        <f t="shared" si="171"/>
        <v>121</v>
      </c>
      <c r="M1044" s="33">
        <v>25</v>
      </c>
      <c r="N1044" s="18">
        <f t="shared" si="164"/>
        <v>51.284931506849318</v>
      </c>
      <c r="O1044" s="23">
        <v>30674.55</v>
      </c>
      <c r="P1044" s="18">
        <f t="shared" si="165"/>
        <v>52.284931506849318</v>
      </c>
      <c r="Q1044" s="18">
        <f t="shared" si="170"/>
        <v>0</v>
      </c>
      <c r="R1044" s="18">
        <f t="shared" si="166"/>
        <v>30674.55</v>
      </c>
      <c r="S1044" s="18">
        <f t="shared" si="168"/>
        <v>121</v>
      </c>
    </row>
    <row r="1045" spans="1:19" ht="15" customHeight="1" x14ac:dyDescent="0.2">
      <c r="A1045" s="14">
        <f t="shared" si="167"/>
        <v>1009</v>
      </c>
      <c r="B1045" s="31" t="s">
        <v>949</v>
      </c>
      <c r="C1045" s="15" t="s">
        <v>3</v>
      </c>
      <c r="D1045" s="31" t="s">
        <v>500</v>
      </c>
      <c r="E1045" s="31"/>
      <c r="F1045" s="73" t="s">
        <v>11</v>
      </c>
      <c r="G1045" s="32">
        <v>25204</v>
      </c>
      <c r="H1045" s="29">
        <v>1839</v>
      </c>
      <c r="I1045" s="17">
        <v>0</v>
      </c>
      <c r="J1045" s="17">
        <f t="shared" si="169"/>
        <v>1747.05</v>
      </c>
      <c r="K1045" s="17">
        <f t="shared" si="163"/>
        <v>91.950000000000045</v>
      </c>
      <c r="L1045" s="23">
        <f t="shared" si="171"/>
        <v>91.95</v>
      </c>
      <c r="M1045" s="33">
        <v>25</v>
      </c>
      <c r="N1045" s="18">
        <f t="shared" si="164"/>
        <v>51.284931506849318</v>
      </c>
      <c r="O1045" s="23">
        <v>236852.1</v>
      </c>
      <c r="P1045" s="18">
        <f t="shared" si="165"/>
        <v>52.284931506849318</v>
      </c>
      <c r="Q1045" s="18">
        <f t="shared" si="170"/>
        <v>1.7053025658242404E-15</v>
      </c>
      <c r="R1045" s="18">
        <f t="shared" si="166"/>
        <v>236852.1</v>
      </c>
      <c r="S1045" s="18">
        <f t="shared" si="168"/>
        <v>91.95</v>
      </c>
    </row>
    <row r="1046" spans="1:19" ht="15" customHeight="1" x14ac:dyDescent="0.2">
      <c r="A1046" s="14">
        <f t="shared" si="167"/>
        <v>1010</v>
      </c>
      <c r="B1046" s="31" t="s">
        <v>953</v>
      </c>
      <c r="C1046" s="15" t="s">
        <v>3</v>
      </c>
      <c r="D1046" s="31" t="s">
        <v>500</v>
      </c>
      <c r="E1046" s="31"/>
      <c r="F1046" s="73" t="s">
        <v>11</v>
      </c>
      <c r="G1046" s="32">
        <v>25204</v>
      </c>
      <c r="H1046" s="29">
        <v>848</v>
      </c>
      <c r="I1046" s="17">
        <v>0</v>
      </c>
      <c r="J1046" s="17">
        <f t="shared" si="169"/>
        <v>805.6</v>
      </c>
      <c r="K1046" s="17">
        <f t="shared" si="163"/>
        <v>42.399999999999977</v>
      </c>
      <c r="L1046" s="23">
        <f t="shared" si="171"/>
        <v>42.400000000000006</v>
      </c>
      <c r="M1046" s="33">
        <v>25</v>
      </c>
      <c r="N1046" s="18">
        <f t="shared" si="164"/>
        <v>51.284931506849318</v>
      </c>
      <c r="O1046" s="23">
        <v>239747.7</v>
      </c>
      <c r="P1046" s="18">
        <f t="shared" si="165"/>
        <v>52.284931506849318</v>
      </c>
      <c r="Q1046" s="18">
        <f t="shared" si="170"/>
        <v>-1.1368683772161603E-15</v>
      </c>
      <c r="R1046" s="18">
        <f t="shared" si="166"/>
        <v>239747.7</v>
      </c>
      <c r="S1046" s="18">
        <f t="shared" si="168"/>
        <v>42.400000000000006</v>
      </c>
    </row>
    <row r="1047" spans="1:19" ht="15" customHeight="1" x14ac:dyDescent="0.2">
      <c r="A1047" s="14">
        <f t="shared" si="167"/>
        <v>1011</v>
      </c>
      <c r="B1047" s="31" t="s">
        <v>954</v>
      </c>
      <c r="C1047" s="15" t="s">
        <v>3</v>
      </c>
      <c r="D1047" s="31" t="s">
        <v>500</v>
      </c>
      <c r="E1047" s="31"/>
      <c r="F1047" s="73" t="s">
        <v>11</v>
      </c>
      <c r="G1047" s="32">
        <v>25204</v>
      </c>
      <c r="H1047" s="29">
        <v>520</v>
      </c>
      <c r="I1047" s="17">
        <v>0</v>
      </c>
      <c r="J1047" s="17">
        <f t="shared" si="169"/>
        <v>494</v>
      </c>
      <c r="K1047" s="17">
        <f t="shared" si="163"/>
        <v>26</v>
      </c>
      <c r="L1047" s="23">
        <f t="shared" si="171"/>
        <v>26</v>
      </c>
      <c r="M1047" s="33">
        <v>25</v>
      </c>
      <c r="N1047" s="18">
        <f t="shared" si="164"/>
        <v>51.284931506849318</v>
      </c>
      <c r="O1047" s="23">
        <v>34.200000000000003</v>
      </c>
      <c r="P1047" s="18">
        <f t="shared" si="165"/>
        <v>52.284931506849318</v>
      </c>
      <c r="Q1047" s="18">
        <f t="shared" si="170"/>
        <v>0</v>
      </c>
      <c r="R1047" s="18">
        <f t="shared" si="166"/>
        <v>34.200000000000003</v>
      </c>
      <c r="S1047" s="18">
        <f t="shared" si="168"/>
        <v>26</v>
      </c>
    </row>
    <row r="1048" spans="1:19" ht="15" customHeight="1" x14ac:dyDescent="0.2">
      <c r="A1048" s="14">
        <f t="shared" si="167"/>
        <v>1012</v>
      </c>
      <c r="B1048" s="31" t="s">
        <v>955</v>
      </c>
      <c r="C1048" s="15" t="s">
        <v>3</v>
      </c>
      <c r="D1048" s="31" t="s">
        <v>500</v>
      </c>
      <c r="E1048" s="31"/>
      <c r="F1048" s="73" t="s">
        <v>11</v>
      </c>
      <c r="G1048" s="32">
        <v>25204</v>
      </c>
      <c r="H1048" s="29">
        <v>402</v>
      </c>
      <c r="I1048" s="17">
        <v>0</v>
      </c>
      <c r="J1048" s="17">
        <f t="shared" si="169"/>
        <v>381.9</v>
      </c>
      <c r="K1048" s="17">
        <f t="shared" si="163"/>
        <v>20.100000000000023</v>
      </c>
      <c r="L1048" s="23">
        <f t="shared" si="171"/>
        <v>20.100000000000001</v>
      </c>
      <c r="M1048" s="33">
        <v>25</v>
      </c>
      <c r="N1048" s="18">
        <f t="shared" si="164"/>
        <v>51.284931506849318</v>
      </c>
      <c r="O1048" s="23">
        <v>126.35</v>
      </c>
      <c r="P1048" s="18">
        <f t="shared" si="165"/>
        <v>52.284931506849318</v>
      </c>
      <c r="Q1048" s="18">
        <f t="shared" si="170"/>
        <v>8.5265128291212019E-16</v>
      </c>
      <c r="R1048" s="18">
        <f t="shared" si="166"/>
        <v>126.35</v>
      </c>
      <c r="S1048" s="18">
        <f t="shared" si="168"/>
        <v>20.100000000000001</v>
      </c>
    </row>
    <row r="1049" spans="1:19" ht="15" customHeight="1" x14ac:dyDescent="0.2">
      <c r="A1049" s="14">
        <f t="shared" si="167"/>
        <v>1013</v>
      </c>
      <c r="B1049" s="31" t="s">
        <v>956</v>
      </c>
      <c r="C1049" s="15" t="s">
        <v>3</v>
      </c>
      <c r="D1049" s="31" t="s">
        <v>500</v>
      </c>
      <c r="E1049" s="31"/>
      <c r="F1049" s="73" t="s">
        <v>11</v>
      </c>
      <c r="G1049" s="32">
        <v>25569</v>
      </c>
      <c r="H1049" s="29">
        <v>29089</v>
      </c>
      <c r="I1049" s="17">
        <v>0</v>
      </c>
      <c r="J1049" s="17">
        <f t="shared" si="169"/>
        <v>27634.55</v>
      </c>
      <c r="K1049" s="17">
        <f t="shared" si="163"/>
        <v>1454.4500000000007</v>
      </c>
      <c r="L1049" s="23">
        <f t="shared" si="171"/>
        <v>1454.45</v>
      </c>
      <c r="M1049" s="33">
        <v>25</v>
      </c>
      <c r="N1049" s="18">
        <f t="shared" si="164"/>
        <v>50.284931506849318</v>
      </c>
      <c r="O1049" s="23">
        <v>2198.3000000000002</v>
      </c>
      <c r="P1049" s="18">
        <f t="shared" si="165"/>
        <v>51.284931506849318</v>
      </c>
      <c r="Q1049" s="18">
        <f t="shared" si="170"/>
        <v>2.7284841053187846E-14</v>
      </c>
      <c r="R1049" s="18">
        <f t="shared" si="166"/>
        <v>2198.3000000000002</v>
      </c>
      <c r="S1049" s="18">
        <f t="shared" si="168"/>
        <v>1454.45</v>
      </c>
    </row>
    <row r="1050" spans="1:19" ht="15" customHeight="1" x14ac:dyDescent="0.2">
      <c r="A1050" s="14">
        <f t="shared" si="167"/>
        <v>1014</v>
      </c>
      <c r="B1050" s="31" t="s">
        <v>957</v>
      </c>
      <c r="C1050" s="15" t="s">
        <v>3</v>
      </c>
      <c r="D1050" s="31" t="s">
        <v>500</v>
      </c>
      <c r="E1050" s="31"/>
      <c r="F1050" s="73" t="s">
        <v>11</v>
      </c>
      <c r="G1050" s="32">
        <v>25569</v>
      </c>
      <c r="H1050" s="29">
        <v>17949</v>
      </c>
      <c r="I1050" s="17">
        <v>0</v>
      </c>
      <c r="J1050" s="17">
        <f t="shared" si="169"/>
        <v>17051.55</v>
      </c>
      <c r="K1050" s="17">
        <f t="shared" si="163"/>
        <v>897.45000000000073</v>
      </c>
      <c r="L1050" s="23">
        <f t="shared" si="171"/>
        <v>897.45</v>
      </c>
      <c r="M1050" s="33">
        <v>25</v>
      </c>
      <c r="N1050" s="18">
        <f t="shared" si="164"/>
        <v>50.284931506849318</v>
      </c>
      <c r="O1050" s="23">
        <v>731.5</v>
      </c>
      <c r="P1050" s="18">
        <f t="shared" si="165"/>
        <v>51.284931506849318</v>
      </c>
      <c r="Q1050" s="18">
        <f t="shared" si="170"/>
        <v>2.7284841053187846E-14</v>
      </c>
      <c r="R1050" s="18">
        <f t="shared" si="166"/>
        <v>731.5</v>
      </c>
      <c r="S1050" s="18">
        <f t="shared" si="168"/>
        <v>897.45</v>
      </c>
    </row>
    <row r="1051" spans="1:19" ht="15" customHeight="1" x14ac:dyDescent="0.2">
      <c r="A1051" s="14">
        <f t="shared" si="167"/>
        <v>1015</v>
      </c>
      <c r="B1051" s="31" t="s">
        <v>958</v>
      </c>
      <c r="C1051" s="15" t="s">
        <v>3</v>
      </c>
      <c r="D1051" s="31" t="s">
        <v>500</v>
      </c>
      <c r="E1051" s="31"/>
      <c r="F1051" s="73" t="s">
        <v>11</v>
      </c>
      <c r="G1051" s="32">
        <v>25569</v>
      </c>
      <c r="H1051" s="29">
        <v>5453</v>
      </c>
      <c r="I1051" s="17">
        <v>0</v>
      </c>
      <c r="J1051" s="17">
        <f t="shared" si="169"/>
        <v>5180.3500000000004</v>
      </c>
      <c r="K1051" s="17">
        <f t="shared" si="163"/>
        <v>272.64999999999964</v>
      </c>
      <c r="L1051" s="23">
        <f t="shared" si="171"/>
        <v>272.65000000000003</v>
      </c>
      <c r="M1051" s="33">
        <v>25</v>
      </c>
      <c r="N1051" s="18">
        <f t="shared" si="164"/>
        <v>50.284931506849318</v>
      </c>
      <c r="O1051" s="23">
        <v>299010.59999999998</v>
      </c>
      <c r="P1051" s="18">
        <f t="shared" si="165"/>
        <v>51.284931506849318</v>
      </c>
      <c r="Q1051" s="18">
        <f t="shared" si="170"/>
        <v>-1.5916157281026246E-14</v>
      </c>
      <c r="R1051" s="18">
        <f t="shared" si="166"/>
        <v>299010.59999999998</v>
      </c>
      <c r="S1051" s="18">
        <f t="shared" si="168"/>
        <v>272.65000000000003</v>
      </c>
    </row>
    <row r="1052" spans="1:19" ht="15" customHeight="1" x14ac:dyDescent="0.2">
      <c r="A1052" s="14">
        <f t="shared" si="167"/>
        <v>1016</v>
      </c>
      <c r="B1052" s="31" t="s">
        <v>959</v>
      </c>
      <c r="C1052" s="15" t="s">
        <v>3</v>
      </c>
      <c r="D1052" s="31" t="s">
        <v>500</v>
      </c>
      <c r="E1052" s="31"/>
      <c r="F1052" s="73" t="s">
        <v>11</v>
      </c>
      <c r="G1052" s="32">
        <v>25569</v>
      </c>
      <c r="H1052" s="29">
        <v>2029</v>
      </c>
      <c r="I1052" s="17">
        <v>0</v>
      </c>
      <c r="J1052" s="17">
        <f t="shared" si="169"/>
        <v>1927.55</v>
      </c>
      <c r="K1052" s="17">
        <f t="shared" si="163"/>
        <v>101.45000000000005</v>
      </c>
      <c r="L1052" s="23">
        <f t="shared" si="171"/>
        <v>101.45</v>
      </c>
      <c r="M1052" s="33">
        <v>25</v>
      </c>
      <c r="N1052" s="18">
        <f t="shared" si="164"/>
        <v>50.284931506849318</v>
      </c>
      <c r="O1052" s="23">
        <v>29018.7</v>
      </c>
      <c r="P1052" s="18">
        <f t="shared" si="165"/>
        <v>51.284931506849318</v>
      </c>
      <c r="Q1052" s="18">
        <f t="shared" si="170"/>
        <v>1.7053025658242404E-15</v>
      </c>
      <c r="R1052" s="18">
        <f t="shared" si="166"/>
        <v>29018.7</v>
      </c>
      <c r="S1052" s="18">
        <f t="shared" si="168"/>
        <v>101.45</v>
      </c>
    </row>
    <row r="1053" spans="1:19" ht="15" customHeight="1" x14ac:dyDescent="0.2">
      <c r="A1053" s="14">
        <f t="shared" si="167"/>
        <v>1017</v>
      </c>
      <c r="B1053" s="31" t="s">
        <v>960</v>
      </c>
      <c r="C1053" s="15" t="s">
        <v>3</v>
      </c>
      <c r="D1053" s="31" t="s">
        <v>500</v>
      </c>
      <c r="E1053" s="31"/>
      <c r="F1053" s="73" t="s">
        <v>11</v>
      </c>
      <c r="G1053" s="32">
        <v>25569</v>
      </c>
      <c r="H1053" s="29">
        <v>1139</v>
      </c>
      <c r="I1053" s="17">
        <v>0</v>
      </c>
      <c r="J1053" s="17">
        <f t="shared" si="169"/>
        <v>1082.05</v>
      </c>
      <c r="K1053" s="17">
        <f t="shared" si="163"/>
        <v>56.950000000000045</v>
      </c>
      <c r="L1053" s="23">
        <f t="shared" si="171"/>
        <v>56.95</v>
      </c>
      <c r="M1053" s="33">
        <v>25</v>
      </c>
      <c r="N1053" s="18">
        <f t="shared" si="164"/>
        <v>50.284931506849318</v>
      </c>
      <c r="O1053" s="23">
        <v>260551.75</v>
      </c>
      <c r="P1053" s="18">
        <f t="shared" si="165"/>
        <v>51.284931506849318</v>
      </c>
      <c r="Q1053" s="18">
        <f t="shared" si="170"/>
        <v>1.7053025658242404E-15</v>
      </c>
      <c r="R1053" s="18">
        <f t="shared" si="166"/>
        <v>260551.75</v>
      </c>
      <c r="S1053" s="18">
        <f t="shared" si="168"/>
        <v>56.95</v>
      </c>
    </row>
    <row r="1054" spans="1:19" ht="15" customHeight="1" x14ac:dyDescent="0.2">
      <c r="A1054" s="14">
        <f t="shared" si="167"/>
        <v>1018</v>
      </c>
      <c r="B1054" s="31" t="s">
        <v>961</v>
      </c>
      <c r="C1054" s="15" t="s">
        <v>3</v>
      </c>
      <c r="D1054" s="31" t="s">
        <v>500</v>
      </c>
      <c r="E1054" s="31"/>
      <c r="F1054" s="73" t="s">
        <v>7</v>
      </c>
      <c r="G1054" s="32">
        <v>25569</v>
      </c>
      <c r="H1054" s="29">
        <v>204</v>
      </c>
      <c r="I1054" s="17">
        <v>0</v>
      </c>
      <c r="J1054" s="17">
        <f t="shared" si="169"/>
        <v>193.8</v>
      </c>
      <c r="K1054" s="17">
        <f t="shared" si="163"/>
        <v>10.199999999999989</v>
      </c>
      <c r="L1054" s="23">
        <f t="shared" si="171"/>
        <v>10.200000000000001</v>
      </c>
      <c r="M1054" s="33">
        <v>25</v>
      </c>
      <c r="N1054" s="18">
        <f t="shared" si="164"/>
        <v>50.284931506849318</v>
      </c>
      <c r="O1054" s="23">
        <v>34731.050000000003</v>
      </c>
      <c r="P1054" s="18">
        <f t="shared" si="165"/>
        <v>51.284931506849318</v>
      </c>
      <c r="Q1054" s="18">
        <f t="shared" si="170"/>
        <v>-4.9737991503207018E-16</v>
      </c>
      <c r="R1054" s="18">
        <f t="shared" si="166"/>
        <v>34731.050000000003</v>
      </c>
      <c r="S1054" s="18">
        <f t="shared" si="168"/>
        <v>10.200000000000001</v>
      </c>
    </row>
    <row r="1055" spans="1:19" ht="15" customHeight="1" x14ac:dyDescent="0.2">
      <c r="A1055" s="14">
        <f t="shared" si="167"/>
        <v>1019</v>
      </c>
      <c r="B1055" s="31" t="s">
        <v>962</v>
      </c>
      <c r="C1055" s="15" t="s">
        <v>3</v>
      </c>
      <c r="D1055" s="31" t="s">
        <v>500</v>
      </c>
      <c r="E1055" s="31"/>
      <c r="F1055" s="73" t="s">
        <v>11</v>
      </c>
      <c r="G1055" s="32">
        <v>25934</v>
      </c>
      <c r="H1055" s="29">
        <v>58971</v>
      </c>
      <c r="I1055" s="17">
        <v>0</v>
      </c>
      <c r="J1055" s="17">
        <f t="shared" si="169"/>
        <v>56022.45</v>
      </c>
      <c r="K1055" s="17">
        <f t="shared" si="163"/>
        <v>2948.5500000000029</v>
      </c>
      <c r="L1055" s="23">
        <f t="shared" si="171"/>
        <v>2948.55</v>
      </c>
      <c r="M1055" s="33">
        <v>25</v>
      </c>
      <c r="N1055" s="18">
        <f t="shared" si="164"/>
        <v>49.284931506849318</v>
      </c>
      <c r="O1055" s="23">
        <v>543180.55000000005</v>
      </c>
      <c r="P1055" s="18">
        <f t="shared" si="165"/>
        <v>50.284931506849318</v>
      </c>
      <c r="Q1055" s="18">
        <f t="shared" si="170"/>
        <v>1.0913936421275138E-13</v>
      </c>
      <c r="R1055" s="18">
        <f t="shared" si="166"/>
        <v>543180.55000000005</v>
      </c>
      <c r="S1055" s="18">
        <f t="shared" si="168"/>
        <v>2948.55</v>
      </c>
    </row>
    <row r="1056" spans="1:19" ht="15" customHeight="1" x14ac:dyDescent="0.2">
      <c r="A1056" s="14">
        <f t="shared" si="167"/>
        <v>1020</v>
      </c>
      <c r="B1056" s="31" t="s">
        <v>963</v>
      </c>
      <c r="C1056" s="15" t="s">
        <v>3</v>
      </c>
      <c r="D1056" s="31" t="s">
        <v>500</v>
      </c>
      <c r="E1056" s="31"/>
      <c r="F1056" s="73" t="s">
        <v>11</v>
      </c>
      <c r="G1056" s="32">
        <v>25934</v>
      </c>
      <c r="H1056" s="29">
        <v>25062</v>
      </c>
      <c r="I1056" s="17">
        <v>0</v>
      </c>
      <c r="J1056" s="17">
        <f t="shared" si="169"/>
        <v>23808.9</v>
      </c>
      <c r="K1056" s="17">
        <f t="shared" si="163"/>
        <v>1253.0999999999985</v>
      </c>
      <c r="L1056" s="23">
        <f t="shared" si="171"/>
        <v>1253.1000000000001</v>
      </c>
      <c r="M1056" s="33">
        <v>25</v>
      </c>
      <c r="N1056" s="18">
        <f t="shared" si="164"/>
        <v>49.284931506849318</v>
      </c>
      <c r="O1056" s="23">
        <v>483884.4</v>
      </c>
      <c r="P1056" s="18">
        <f t="shared" si="165"/>
        <v>50.284931506849318</v>
      </c>
      <c r="Q1056" s="18">
        <f t="shared" si="170"/>
        <v>-6.3664629124104983E-14</v>
      </c>
      <c r="R1056" s="18">
        <f t="shared" si="166"/>
        <v>483884.4</v>
      </c>
      <c r="S1056" s="18">
        <f t="shared" si="168"/>
        <v>1253.1000000000001</v>
      </c>
    </row>
    <row r="1057" spans="1:19" ht="15" customHeight="1" x14ac:dyDescent="0.2">
      <c r="A1057" s="14">
        <f t="shared" si="167"/>
        <v>1021</v>
      </c>
      <c r="B1057" s="31" t="s">
        <v>964</v>
      </c>
      <c r="C1057" s="15" t="s">
        <v>3</v>
      </c>
      <c r="D1057" s="31" t="s">
        <v>500</v>
      </c>
      <c r="E1057" s="31"/>
      <c r="F1057" s="73" t="s">
        <v>11</v>
      </c>
      <c r="G1057" s="32">
        <v>25934</v>
      </c>
      <c r="H1057" s="29">
        <v>3410</v>
      </c>
      <c r="I1057" s="17">
        <v>0</v>
      </c>
      <c r="J1057" s="17">
        <f t="shared" si="169"/>
        <v>3239.5</v>
      </c>
      <c r="K1057" s="17">
        <f t="shared" si="163"/>
        <v>170.5</v>
      </c>
      <c r="L1057" s="23">
        <f t="shared" si="171"/>
        <v>170.5</v>
      </c>
      <c r="M1057" s="33">
        <v>25</v>
      </c>
      <c r="N1057" s="18">
        <f t="shared" si="164"/>
        <v>49.284931506849318</v>
      </c>
      <c r="O1057" s="23">
        <v>39059.25</v>
      </c>
      <c r="P1057" s="18">
        <f t="shared" si="165"/>
        <v>50.284931506849318</v>
      </c>
      <c r="Q1057" s="18">
        <f t="shared" si="170"/>
        <v>0</v>
      </c>
      <c r="R1057" s="18">
        <f t="shared" si="166"/>
        <v>39059.25</v>
      </c>
      <c r="S1057" s="18">
        <f t="shared" si="168"/>
        <v>170.5</v>
      </c>
    </row>
    <row r="1058" spans="1:19" ht="15" customHeight="1" x14ac:dyDescent="0.2">
      <c r="A1058" s="14">
        <f t="shared" si="167"/>
        <v>1022</v>
      </c>
      <c r="B1058" s="31" t="s">
        <v>965</v>
      </c>
      <c r="C1058" s="15" t="s">
        <v>3</v>
      </c>
      <c r="D1058" s="31" t="s">
        <v>500</v>
      </c>
      <c r="E1058" s="31"/>
      <c r="F1058" s="73" t="s">
        <v>11</v>
      </c>
      <c r="G1058" s="32">
        <v>25934</v>
      </c>
      <c r="H1058" s="29">
        <v>2042</v>
      </c>
      <c r="I1058" s="17">
        <v>0</v>
      </c>
      <c r="J1058" s="17">
        <f t="shared" si="169"/>
        <v>1939.9</v>
      </c>
      <c r="K1058" s="17">
        <f t="shared" si="163"/>
        <v>102.09999999999991</v>
      </c>
      <c r="L1058" s="23">
        <f t="shared" si="171"/>
        <v>102.10000000000001</v>
      </c>
      <c r="M1058" s="33">
        <v>25</v>
      </c>
      <c r="N1058" s="18">
        <f t="shared" si="164"/>
        <v>49.284931506849318</v>
      </c>
      <c r="O1058" s="23">
        <v>262154.40000000002</v>
      </c>
      <c r="P1058" s="18">
        <f t="shared" si="165"/>
        <v>50.284931506849318</v>
      </c>
      <c r="Q1058" s="18">
        <f t="shared" si="170"/>
        <v>-3.9790393202565614E-15</v>
      </c>
      <c r="R1058" s="18">
        <f t="shared" si="166"/>
        <v>262154.40000000002</v>
      </c>
      <c r="S1058" s="18">
        <f t="shared" si="168"/>
        <v>102.10000000000001</v>
      </c>
    </row>
    <row r="1059" spans="1:19" ht="15" customHeight="1" x14ac:dyDescent="0.2">
      <c r="A1059" s="14">
        <f t="shared" si="167"/>
        <v>1023</v>
      </c>
      <c r="B1059" s="31" t="s">
        <v>966</v>
      </c>
      <c r="C1059" s="15" t="s">
        <v>3</v>
      </c>
      <c r="D1059" s="31" t="s">
        <v>500</v>
      </c>
      <c r="E1059" s="31"/>
      <c r="F1059" s="73" t="s">
        <v>11</v>
      </c>
      <c r="G1059" s="32">
        <v>26299</v>
      </c>
      <c r="H1059" s="29">
        <v>268027</v>
      </c>
      <c r="I1059" s="17">
        <v>0</v>
      </c>
      <c r="J1059" s="17">
        <f t="shared" si="169"/>
        <v>254625.65</v>
      </c>
      <c r="K1059" s="17">
        <f t="shared" si="163"/>
        <v>13401.350000000006</v>
      </c>
      <c r="L1059" s="23">
        <f t="shared" si="171"/>
        <v>13401.35</v>
      </c>
      <c r="M1059" s="33">
        <v>25</v>
      </c>
      <c r="N1059" s="18">
        <f t="shared" si="164"/>
        <v>48.284931506849318</v>
      </c>
      <c r="O1059" s="23">
        <v>6809.4004999999997</v>
      </c>
      <c r="P1059" s="18">
        <f t="shared" si="165"/>
        <v>49.284931506849318</v>
      </c>
      <c r="Q1059" s="18">
        <f t="shared" si="170"/>
        <v>2.1827872842550277E-13</v>
      </c>
      <c r="R1059" s="18">
        <f t="shared" si="166"/>
        <v>6809.4004999999997</v>
      </c>
      <c r="S1059" s="18">
        <f t="shared" si="168"/>
        <v>13401.35</v>
      </c>
    </row>
    <row r="1060" spans="1:19" ht="15" customHeight="1" x14ac:dyDescent="0.2">
      <c r="A1060" s="14">
        <f t="shared" si="167"/>
        <v>1024</v>
      </c>
      <c r="B1060" s="31" t="s">
        <v>967</v>
      </c>
      <c r="C1060" s="15" t="s">
        <v>3</v>
      </c>
      <c r="D1060" s="31" t="s">
        <v>500</v>
      </c>
      <c r="E1060" s="31"/>
      <c r="F1060" s="73" t="s">
        <v>11</v>
      </c>
      <c r="G1060" s="32">
        <v>26299</v>
      </c>
      <c r="H1060" s="29">
        <v>27820</v>
      </c>
      <c r="I1060" s="17">
        <v>0</v>
      </c>
      <c r="J1060" s="17">
        <f t="shared" si="169"/>
        <v>26429</v>
      </c>
      <c r="K1060" s="17">
        <f t="shared" si="163"/>
        <v>1391</v>
      </c>
      <c r="L1060" s="23">
        <f t="shared" si="171"/>
        <v>1391</v>
      </c>
      <c r="M1060" s="33">
        <v>25</v>
      </c>
      <c r="N1060" s="18">
        <f t="shared" si="164"/>
        <v>48.284931506849318</v>
      </c>
      <c r="O1060" s="23">
        <v>2151.75</v>
      </c>
      <c r="P1060" s="18">
        <f t="shared" si="165"/>
        <v>49.284931506849318</v>
      </c>
      <c r="Q1060" s="18">
        <f t="shared" si="170"/>
        <v>0</v>
      </c>
      <c r="R1060" s="18">
        <f t="shared" si="166"/>
        <v>2151.75</v>
      </c>
      <c r="S1060" s="18">
        <f t="shared" si="168"/>
        <v>1391</v>
      </c>
    </row>
    <row r="1061" spans="1:19" ht="15" customHeight="1" x14ac:dyDescent="0.2">
      <c r="A1061" s="14">
        <f t="shared" si="167"/>
        <v>1025</v>
      </c>
      <c r="B1061" s="31" t="s">
        <v>950</v>
      </c>
      <c r="C1061" s="15" t="s">
        <v>3</v>
      </c>
      <c r="D1061" s="31" t="s">
        <v>500</v>
      </c>
      <c r="E1061" s="31"/>
      <c r="F1061" s="73" t="s">
        <v>11</v>
      </c>
      <c r="G1061" s="32">
        <v>26299</v>
      </c>
      <c r="H1061" s="29">
        <v>1580</v>
      </c>
      <c r="I1061" s="17">
        <v>0</v>
      </c>
      <c r="J1061" s="17">
        <f t="shared" si="169"/>
        <v>1501</v>
      </c>
      <c r="K1061" s="17">
        <f t="shared" ref="K1061:K1124" si="172">H1061+I1061-J1061</f>
        <v>79</v>
      </c>
      <c r="L1061" s="23">
        <f t="shared" si="171"/>
        <v>79</v>
      </c>
      <c r="M1061" s="33">
        <v>25</v>
      </c>
      <c r="N1061" s="18">
        <f t="shared" ref="N1061:N1124" si="173">IF(($N$35-G1061+1)/365&gt;0,($N$35-G1061+1)/365,0)</f>
        <v>48.284931506849318</v>
      </c>
      <c r="O1061" s="23">
        <v>2786.35</v>
      </c>
      <c r="P1061" s="18">
        <f t="shared" ref="P1061:P1124" si="174">($P$35-G1061+1)/365</f>
        <v>49.284931506849318</v>
      </c>
      <c r="Q1061" s="18">
        <f t="shared" si="170"/>
        <v>0</v>
      </c>
      <c r="R1061" s="18">
        <f t="shared" ref="R1061:R1124" si="175">Q1061+O1061</f>
        <v>2786.35</v>
      </c>
      <c r="S1061" s="18">
        <f t="shared" si="168"/>
        <v>79</v>
      </c>
    </row>
    <row r="1062" spans="1:19" ht="15" customHeight="1" x14ac:dyDescent="0.2">
      <c r="A1062" s="14">
        <f t="shared" si="167"/>
        <v>1026</v>
      </c>
      <c r="B1062" s="31" t="s">
        <v>968</v>
      </c>
      <c r="C1062" s="15" t="s">
        <v>3</v>
      </c>
      <c r="D1062" s="31" t="s">
        <v>500</v>
      </c>
      <c r="E1062" s="31"/>
      <c r="F1062" s="73" t="s">
        <v>4</v>
      </c>
      <c r="G1062" s="32">
        <v>31778</v>
      </c>
      <c r="H1062" s="29">
        <v>220468</v>
      </c>
      <c r="I1062" s="17">
        <v>0</v>
      </c>
      <c r="J1062" s="17">
        <f t="shared" si="169"/>
        <v>209444.6</v>
      </c>
      <c r="K1062" s="17">
        <f t="shared" si="172"/>
        <v>11023.399999999994</v>
      </c>
      <c r="L1062" s="23">
        <f t="shared" si="171"/>
        <v>11023.400000000001</v>
      </c>
      <c r="M1062" s="33">
        <v>10</v>
      </c>
      <c r="N1062" s="18">
        <f t="shared" si="173"/>
        <v>33.273972602739725</v>
      </c>
      <c r="O1062" s="23">
        <v>2771.15</v>
      </c>
      <c r="P1062" s="18">
        <f t="shared" si="174"/>
        <v>34.273972602739725</v>
      </c>
      <c r="Q1062" s="18">
        <f t="shared" si="170"/>
        <v>-7.2759576141834263E-13</v>
      </c>
      <c r="R1062" s="18">
        <f t="shared" si="175"/>
        <v>2771.1499999999992</v>
      </c>
      <c r="S1062" s="18">
        <f t="shared" si="168"/>
        <v>11023.400000000001</v>
      </c>
    </row>
    <row r="1063" spans="1:19" ht="15" customHeight="1" x14ac:dyDescent="0.2">
      <c r="A1063" s="14">
        <f t="shared" ref="A1063:A1126" si="176">+A1062+1</f>
        <v>1027</v>
      </c>
      <c r="B1063" s="31" t="s">
        <v>969</v>
      </c>
      <c r="C1063" s="15" t="s">
        <v>3</v>
      </c>
      <c r="D1063" s="31" t="s">
        <v>500</v>
      </c>
      <c r="E1063" s="31"/>
      <c r="F1063" s="73" t="s">
        <v>11</v>
      </c>
      <c r="G1063" s="32">
        <v>26665</v>
      </c>
      <c r="H1063" s="29">
        <v>38226</v>
      </c>
      <c r="I1063" s="17">
        <v>0</v>
      </c>
      <c r="J1063" s="17">
        <f t="shared" si="169"/>
        <v>36314.699999999997</v>
      </c>
      <c r="K1063" s="17">
        <f t="shared" si="172"/>
        <v>1911.3000000000029</v>
      </c>
      <c r="L1063" s="23">
        <f t="shared" si="171"/>
        <v>1911.3000000000002</v>
      </c>
      <c r="M1063" s="33">
        <v>25</v>
      </c>
      <c r="N1063" s="18">
        <f t="shared" si="173"/>
        <v>47.282191780821918</v>
      </c>
      <c r="O1063" s="23">
        <v>34166.293999999994</v>
      </c>
      <c r="P1063" s="18">
        <f t="shared" si="174"/>
        <v>48.282191780821918</v>
      </c>
      <c r="Q1063" s="18">
        <f t="shared" si="170"/>
        <v>1.0913936421275138E-13</v>
      </c>
      <c r="R1063" s="18">
        <f t="shared" si="175"/>
        <v>34166.293999999994</v>
      </c>
      <c r="S1063" s="18">
        <f t="shared" ref="S1063:S1126" si="177">+IF(N1063&gt;P1063,0,L1063)</f>
        <v>1911.3000000000002</v>
      </c>
    </row>
    <row r="1064" spans="1:19" ht="15" customHeight="1" x14ac:dyDescent="0.2">
      <c r="A1064" s="14">
        <f t="shared" si="176"/>
        <v>1028</v>
      </c>
      <c r="B1064" s="31" t="s">
        <v>970</v>
      </c>
      <c r="C1064" s="15" t="s">
        <v>3</v>
      </c>
      <c r="D1064" s="31" t="s">
        <v>500</v>
      </c>
      <c r="E1064" s="31"/>
      <c r="F1064" s="73" t="s">
        <v>11</v>
      </c>
      <c r="G1064" s="32">
        <v>26665</v>
      </c>
      <c r="H1064" s="29">
        <v>25598</v>
      </c>
      <c r="I1064" s="17">
        <v>0</v>
      </c>
      <c r="J1064" s="17">
        <f t="shared" si="169"/>
        <v>24318.1</v>
      </c>
      <c r="K1064" s="17">
        <f t="shared" si="172"/>
        <v>1279.9000000000015</v>
      </c>
      <c r="L1064" s="23">
        <f t="shared" si="171"/>
        <v>1279.9000000000001</v>
      </c>
      <c r="M1064" s="33">
        <v>25</v>
      </c>
      <c r="N1064" s="18">
        <f t="shared" si="173"/>
        <v>47.282191780821918</v>
      </c>
      <c r="O1064" s="23">
        <v>476729</v>
      </c>
      <c r="P1064" s="18">
        <f t="shared" si="174"/>
        <v>48.282191780821918</v>
      </c>
      <c r="Q1064" s="18">
        <f t="shared" si="170"/>
        <v>5.4569682106375692E-14</v>
      </c>
      <c r="R1064" s="18">
        <f t="shared" si="175"/>
        <v>476729</v>
      </c>
      <c r="S1064" s="18">
        <f t="shared" si="177"/>
        <v>1279.9000000000001</v>
      </c>
    </row>
    <row r="1065" spans="1:19" ht="15" customHeight="1" x14ac:dyDescent="0.2">
      <c r="A1065" s="14">
        <f t="shared" si="176"/>
        <v>1029</v>
      </c>
      <c r="B1065" s="31" t="s">
        <v>971</v>
      </c>
      <c r="C1065" s="15" t="s">
        <v>3</v>
      </c>
      <c r="D1065" s="31" t="s">
        <v>500</v>
      </c>
      <c r="E1065" s="31"/>
      <c r="F1065" s="73" t="s">
        <v>14</v>
      </c>
      <c r="G1065" s="32">
        <v>30317</v>
      </c>
      <c r="H1065" s="29">
        <v>463245</v>
      </c>
      <c r="I1065" s="17">
        <v>0</v>
      </c>
      <c r="J1065" s="17">
        <f t="shared" si="169"/>
        <v>440082.75</v>
      </c>
      <c r="K1065" s="17">
        <f t="shared" si="172"/>
        <v>23162.25</v>
      </c>
      <c r="L1065" s="23">
        <f t="shared" si="171"/>
        <v>23162.25</v>
      </c>
      <c r="M1065" s="33">
        <v>15</v>
      </c>
      <c r="N1065" s="18">
        <f t="shared" si="173"/>
        <v>37.276712328767125</v>
      </c>
      <c r="O1065" s="23">
        <v>1080321</v>
      </c>
      <c r="P1065" s="18">
        <f t="shared" si="174"/>
        <v>38.276712328767125</v>
      </c>
      <c r="Q1065" s="18">
        <f t="shared" si="170"/>
        <v>0</v>
      </c>
      <c r="R1065" s="18">
        <f t="shared" si="175"/>
        <v>1080321</v>
      </c>
      <c r="S1065" s="18">
        <f t="shared" si="177"/>
        <v>23162.25</v>
      </c>
    </row>
    <row r="1066" spans="1:19" ht="15" customHeight="1" x14ac:dyDescent="0.2">
      <c r="A1066" s="14">
        <f t="shared" si="176"/>
        <v>1030</v>
      </c>
      <c r="B1066" s="31" t="s">
        <v>972</v>
      </c>
      <c r="C1066" s="15" t="s">
        <v>3</v>
      </c>
      <c r="D1066" s="31" t="s">
        <v>500</v>
      </c>
      <c r="E1066" s="31"/>
      <c r="F1066" s="73" t="s">
        <v>14</v>
      </c>
      <c r="G1066" s="32">
        <v>30317</v>
      </c>
      <c r="H1066" s="29">
        <v>75161</v>
      </c>
      <c r="I1066" s="17">
        <v>0</v>
      </c>
      <c r="J1066" s="17">
        <f t="shared" si="169"/>
        <v>71402.95</v>
      </c>
      <c r="K1066" s="17">
        <f t="shared" si="172"/>
        <v>3758.0500000000029</v>
      </c>
      <c r="L1066" s="23">
        <f t="shared" si="171"/>
        <v>3758.05</v>
      </c>
      <c r="M1066" s="33">
        <v>15</v>
      </c>
      <c r="N1066" s="18">
        <f t="shared" si="173"/>
        <v>37.276712328767125</v>
      </c>
      <c r="O1066" s="23">
        <v>24509.05</v>
      </c>
      <c r="P1066" s="18">
        <f t="shared" si="174"/>
        <v>38.276712328767125</v>
      </c>
      <c r="Q1066" s="18">
        <f t="shared" si="170"/>
        <v>1.8189894035458566E-13</v>
      </c>
      <c r="R1066" s="18">
        <f t="shared" si="175"/>
        <v>24509.05</v>
      </c>
      <c r="S1066" s="18">
        <f t="shared" si="177"/>
        <v>3758.05</v>
      </c>
    </row>
    <row r="1067" spans="1:19" ht="15" customHeight="1" x14ac:dyDescent="0.2">
      <c r="A1067" s="14">
        <f t="shared" si="176"/>
        <v>1031</v>
      </c>
      <c r="B1067" s="31" t="s">
        <v>973</v>
      </c>
      <c r="C1067" s="15" t="s">
        <v>3</v>
      </c>
      <c r="D1067" s="31" t="s">
        <v>500</v>
      </c>
      <c r="E1067" s="31"/>
      <c r="F1067" s="73" t="s">
        <v>11</v>
      </c>
      <c r="G1067" s="32">
        <v>32143</v>
      </c>
      <c r="H1067" s="29">
        <v>23817</v>
      </c>
      <c r="I1067" s="17">
        <v>0</v>
      </c>
      <c r="J1067" s="17">
        <f t="shared" si="169"/>
        <v>22626.15</v>
      </c>
      <c r="K1067" s="17">
        <f t="shared" si="172"/>
        <v>1190.8499999999985</v>
      </c>
      <c r="L1067" s="23">
        <f t="shared" si="171"/>
        <v>1190.8500000000001</v>
      </c>
      <c r="M1067" s="33">
        <v>10</v>
      </c>
      <c r="N1067" s="18">
        <f t="shared" si="173"/>
        <v>32.273972602739725</v>
      </c>
      <c r="O1067" s="23">
        <v>40470</v>
      </c>
      <c r="P1067" s="18">
        <f t="shared" si="174"/>
        <v>33.273972602739725</v>
      </c>
      <c r="Q1067" s="18">
        <f t="shared" si="170"/>
        <v>-1.5916157281026246E-13</v>
      </c>
      <c r="R1067" s="18">
        <f t="shared" si="175"/>
        <v>40470</v>
      </c>
      <c r="S1067" s="18">
        <f t="shared" si="177"/>
        <v>1190.8500000000001</v>
      </c>
    </row>
    <row r="1068" spans="1:19" ht="15" customHeight="1" x14ac:dyDescent="0.2">
      <c r="A1068" s="14">
        <f t="shared" si="176"/>
        <v>1032</v>
      </c>
      <c r="B1068" s="31" t="s">
        <v>974</v>
      </c>
      <c r="C1068" s="15" t="s">
        <v>3</v>
      </c>
      <c r="D1068" s="31" t="s">
        <v>500</v>
      </c>
      <c r="E1068" s="31"/>
      <c r="F1068" s="73" t="s">
        <v>11</v>
      </c>
      <c r="G1068" s="32">
        <v>32143</v>
      </c>
      <c r="H1068" s="29">
        <v>3679</v>
      </c>
      <c r="I1068" s="17">
        <v>0</v>
      </c>
      <c r="J1068" s="17">
        <f t="shared" si="169"/>
        <v>3495.05</v>
      </c>
      <c r="K1068" s="17">
        <f t="shared" si="172"/>
        <v>183.94999999999982</v>
      </c>
      <c r="L1068" s="23">
        <f t="shared" si="171"/>
        <v>183.95000000000002</v>
      </c>
      <c r="M1068" s="33">
        <v>10</v>
      </c>
      <c r="N1068" s="18">
        <f t="shared" si="173"/>
        <v>32.273972602739725</v>
      </c>
      <c r="O1068" s="23">
        <v>57000</v>
      </c>
      <c r="P1068" s="18">
        <f t="shared" si="174"/>
        <v>33.273972602739725</v>
      </c>
      <c r="Q1068" s="18">
        <f t="shared" si="170"/>
        <v>-1.9895196601282807E-14</v>
      </c>
      <c r="R1068" s="18">
        <f t="shared" si="175"/>
        <v>57000</v>
      </c>
      <c r="S1068" s="18">
        <f t="shared" si="177"/>
        <v>183.95000000000002</v>
      </c>
    </row>
    <row r="1069" spans="1:19" ht="15" customHeight="1" x14ac:dyDescent="0.2">
      <c r="A1069" s="14">
        <f t="shared" si="176"/>
        <v>1033</v>
      </c>
      <c r="B1069" s="31" t="s">
        <v>975</v>
      </c>
      <c r="C1069" s="15" t="s">
        <v>3</v>
      </c>
      <c r="D1069" s="31" t="s">
        <v>500</v>
      </c>
      <c r="E1069" s="31"/>
      <c r="F1069" s="73" t="s">
        <v>11</v>
      </c>
      <c r="G1069" s="32">
        <v>27395</v>
      </c>
      <c r="H1069" s="29">
        <v>5700</v>
      </c>
      <c r="I1069" s="17">
        <v>0</v>
      </c>
      <c r="J1069" s="17">
        <f t="shared" si="169"/>
        <v>5415</v>
      </c>
      <c r="K1069" s="17">
        <f t="shared" si="172"/>
        <v>285</v>
      </c>
      <c r="L1069" s="23">
        <f t="shared" si="171"/>
        <v>285</v>
      </c>
      <c r="M1069" s="33">
        <v>25</v>
      </c>
      <c r="N1069" s="18">
        <f t="shared" si="173"/>
        <v>45.282191780821918</v>
      </c>
      <c r="O1069" s="23">
        <v>22800</v>
      </c>
      <c r="P1069" s="18">
        <f t="shared" si="174"/>
        <v>46.282191780821918</v>
      </c>
      <c r="Q1069" s="18">
        <f t="shared" si="170"/>
        <v>0</v>
      </c>
      <c r="R1069" s="18">
        <f t="shared" si="175"/>
        <v>22800</v>
      </c>
      <c r="S1069" s="18">
        <f t="shared" si="177"/>
        <v>285</v>
      </c>
    </row>
    <row r="1070" spans="1:19" ht="15" customHeight="1" x14ac:dyDescent="0.2">
      <c r="A1070" s="14">
        <f t="shared" si="176"/>
        <v>1034</v>
      </c>
      <c r="B1070" s="31" t="s">
        <v>976</v>
      </c>
      <c r="C1070" s="15" t="s">
        <v>3</v>
      </c>
      <c r="D1070" s="31" t="s">
        <v>500</v>
      </c>
      <c r="E1070" s="31"/>
      <c r="F1070" s="73" t="s">
        <v>11</v>
      </c>
      <c r="G1070" s="32">
        <v>27395</v>
      </c>
      <c r="H1070" s="29">
        <v>93</v>
      </c>
      <c r="I1070" s="17">
        <v>0</v>
      </c>
      <c r="J1070" s="17">
        <f t="shared" ref="J1070:J1133" si="178">H1070-L1070</f>
        <v>88.35</v>
      </c>
      <c r="K1070" s="17">
        <f t="shared" si="172"/>
        <v>4.6500000000000057</v>
      </c>
      <c r="L1070" s="23">
        <f t="shared" si="171"/>
        <v>4.6500000000000004</v>
      </c>
      <c r="M1070" s="33">
        <v>25</v>
      </c>
      <c r="N1070" s="18">
        <f t="shared" si="173"/>
        <v>45.282191780821918</v>
      </c>
      <c r="O1070" s="23">
        <v>23655</v>
      </c>
      <c r="P1070" s="18">
        <f t="shared" si="174"/>
        <v>46.282191780821918</v>
      </c>
      <c r="Q1070" s="18">
        <f t="shared" si="170"/>
        <v>2.1316282072803005E-16</v>
      </c>
      <c r="R1070" s="18">
        <f t="shared" si="175"/>
        <v>23655</v>
      </c>
      <c r="S1070" s="18">
        <f t="shared" si="177"/>
        <v>4.6500000000000004</v>
      </c>
    </row>
    <row r="1071" spans="1:19" ht="15" customHeight="1" x14ac:dyDescent="0.2">
      <c r="A1071" s="14">
        <f t="shared" si="176"/>
        <v>1035</v>
      </c>
      <c r="B1071" s="31" t="s">
        <v>977</v>
      </c>
      <c r="C1071" s="15" t="s">
        <v>3</v>
      </c>
      <c r="D1071" s="31" t="s">
        <v>500</v>
      </c>
      <c r="E1071" s="31"/>
      <c r="F1071" s="73" t="s">
        <v>11</v>
      </c>
      <c r="G1071" s="32">
        <v>33115</v>
      </c>
      <c r="H1071" s="29">
        <v>18253</v>
      </c>
      <c r="I1071" s="17">
        <v>0</v>
      </c>
      <c r="J1071" s="17">
        <f t="shared" si="178"/>
        <v>17340.349999999999</v>
      </c>
      <c r="K1071" s="17">
        <f t="shared" si="172"/>
        <v>912.65000000000146</v>
      </c>
      <c r="L1071" s="23">
        <f t="shared" si="171"/>
        <v>912.65000000000009</v>
      </c>
      <c r="M1071" s="33">
        <v>10</v>
      </c>
      <c r="N1071" s="18">
        <f t="shared" si="173"/>
        <v>29.610958904109587</v>
      </c>
      <c r="O1071" s="23">
        <v>15105</v>
      </c>
      <c r="P1071" s="18">
        <f t="shared" si="174"/>
        <v>30.610958904109587</v>
      </c>
      <c r="Q1071" s="18">
        <f t="shared" si="170"/>
        <v>1.3642420526593926E-13</v>
      </c>
      <c r="R1071" s="18">
        <f t="shared" si="175"/>
        <v>15105</v>
      </c>
      <c r="S1071" s="18">
        <f t="shared" si="177"/>
        <v>912.65000000000009</v>
      </c>
    </row>
    <row r="1072" spans="1:19" ht="15" customHeight="1" x14ac:dyDescent="0.2">
      <c r="A1072" s="14">
        <f t="shared" si="176"/>
        <v>1036</v>
      </c>
      <c r="B1072" s="31" t="s">
        <v>978</v>
      </c>
      <c r="C1072" s="15" t="s">
        <v>3</v>
      </c>
      <c r="D1072" s="31" t="s">
        <v>500</v>
      </c>
      <c r="E1072" s="31"/>
      <c r="F1072" s="73" t="s">
        <v>8</v>
      </c>
      <c r="G1072" s="32">
        <v>27760</v>
      </c>
      <c r="H1072" s="29">
        <v>109376</v>
      </c>
      <c r="I1072" s="17">
        <v>0</v>
      </c>
      <c r="J1072" s="17">
        <f t="shared" si="178"/>
        <v>103907.2</v>
      </c>
      <c r="K1072" s="17">
        <f t="shared" si="172"/>
        <v>5468.8000000000029</v>
      </c>
      <c r="L1072" s="23">
        <f t="shared" si="171"/>
        <v>5468.8</v>
      </c>
      <c r="M1072" s="33">
        <v>25</v>
      </c>
      <c r="N1072" s="18">
        <f t="shared" si="173"/>
        <v>44.282191780821918</v>
      </c>
      <c r="O1072" s="23">
        <v>130340</v>
      </c>
      <c r="P1072" s="18">
        <f t="shared" si="174"/>
        <v>45.282191780821918</v>
      </c>
      <c r="Q1072" s="18">
        <f t="shared" si="170"/>
        <v>1.0913936421275138E-13</v>
      </c>
      <c r="R1072" s="18">
        <f t="shared" si="175"/>
        <v>130340</v>
      </c>
      <c r="S1072" s="18">
        <f t="shared" si="177"/>
        <v>5468.8</v>
      </c>
    </row>
    <row r="1073" spans="1:19" ht="15" customHeight="1" x14ac:dyDescent="0.2">
      <c r="A1073" s="14">
        <f t="shared" si="176"/>
        <v>1037</v>
      </c>
      <c r="B1073" s="31" t="s">
        <v>978</v>
      </c>
      <c r="C1073" s="15" t="s">
        <v>3</v>
      </c>
      <c r="D1073" s="31" t="s">
        <v>500</v>
      </c>
      <c r="E1073" s="31"/>
      <c r="F1073" s="73" t="s">
        <v>8</v>
      </c>
      <c r="G1073" s="32">
        <v>27760</v>
      </c>
      <c r="H1073" s="29">
        <v>96016</v>
      </c>
      <c r="I1073" s="17">
        <v>0</v>
      </c>
      <c r="J1073" s="17">
        <f t="shared" si="178"/>
        <v>91215.2</v>
      </c>
      <c r="K1073" s="17">
        <f t="shared" si="172"/>
        <v>4800.8000000000029</v>
      </c>
      <c r="L1073" s="23">
        <f t="shared" si="171"/>
        <v>4800.8</v>
      </c>
      <c r="M1073" s="33">
        <v>25</v>
      </c>
      <c r="N1073" s="18">
        <f t="shared" si="173"/>
        <v>44.282191780821918</v>
      </c>
      <c r="O1073" s="23">
        <v>9499.0499999999993</v>
      </c>
      <c r="P1073" s="18">
        <f t="shared" si="174"/>
        <v>45.282191780821918</v>
      </c>
      <c r="Q1073" s="18">
        <f t="shared" si="170"/>
        <v>1.0913936421275138E-13</v>
      </c>
      <c r="R1073" s="18">
        <f t="shared" si="175"/>
        <v>9499.0499999999993</v>
      </c>
      <c r="S1073" s="18">
        <f t="shared" si="177"/>
        <v>4800.8</v>
      </c>
    </row>
    <row r="1074" spans="1:19" ht="15" customHeight="1" x14ac:dyDescent="0.2">
      <c r="A1074" s="14">
        <f t="shared" si="176"/>
        <v>1038</v>
      </c>
      <c r="B1074" s="31" t="s">
        <v>979</v>
      </c>
      <c r="C1074" s="15" t="s">
        <v>3</v>
      </c>
      <c r="D1074" s="31" t="s">
        <v>500</v>
      </c>
      <c r="E1074" s="31"/>
      <c r="F1074" s="73" t="s">
        <v>8</v>
      </c>
      <c r="G1074" s="32">
        <v>27760</v>
      </c>
      <c r="H1074" s="29">
        <v>49622</v>
      </c>
      <c r="I1074" s="17">
        <v>0</v>
      </c>
      <c r="J1074" s="17">
        <f t="shared" si="178"/>
        <v>47140.9</v>
      </c>
      <c r="K1074" s="17">
        <f t="shared" si="172"/>
        <v>2481.0999999999985</v>
      </c>
      <c r="L1074" s="23">
        <f t="shared" si="171"/>
        <v>2481.1000000000004</v>
      </c>
      <c r="M1074" s="33">
        <v>25</v>
      </c>
      <c r="N1074" s="18">
        <f t="shared" si="173"/>
        <v>44.282191780821918</v>
      </c>
      <c r="O1074" s="23">
        <v>40754.050000000003</v>
      </c>
      <c r="P1074" s="18">
        <f t="shared" si="174"/>
        <v>45.282191780821918</v>
      </c>
      <c r="Q1074" s="18">
        <f t="shared" si="170"/>
        <v>-7.2759576141834261E-14</v>
      </c>
      <c r="R1074" s="18">
        <f t="shared" si="175"/>
        <v>40754.050000000003</v>
      </c>
      <c r="S1074" s="18">
        <f t="shared" si="177"/>
        <v>2481.1000000000004</v>
      </c>
    </row>
    <row r="1075" spans="1:19" ht="15" customHeight="1" x14ac:dyDescent="0.2">
      <c r="A1075" s="14">
        <f t="shared" si="176"/>
        <v>1039</v>
      </c>
      <c r="B1075" s="31" t="s">
        <v>980</v>
      </c>
      <c r="C1075" s="15" t="s">
        <v>3</v>
      </c>
      <c r="D1075" s="31" t="s">
        <v>500</v>
      </c>
      <c r="E1075" s="31"/>
      <c r="F1075" s="73" t="s">
        <v>8</v>
      </c>
      <c r="G1075" s="32">
        <v>27760</v>
      </c>
      <c r="H1075" s="29">
        <v>6252</v>
      </c>
      <c r="I1075" s="17">
        <v>0</v>
      </c>
      <c r="J1075" s="17">
        <f t="shared" si="178"/>
        <v>5939.4</v>
      </c>
      <c r="K1075" s="17">
        <f t="shared" si="172"/>
        <v>312.60000000000036</v>
      </c>
      <c r="L1075" s="23">
        <f t="shared" si="171"/>
        <v>312.60000000000002</v>
      </c>
      <c r="M1075" s="33">
        <v>25</v>
      </c>
      <c r="N1075" s="18">
        <f t="shared" si="173"/>
        <v>44.282191780821918</v>
      </c>
      <c r="O1075" s="23">
        <v>54150</v>
      </c>
      <c r="P1075" s="18">
        <f t="shared" si="174"/>
        <v>45.282191780821918</v>
      </c>
      <c r="Q1075" s="18">
        <f t="shared" si="170"/>
        <v>1.3642420526593923E-14</v>
      </c>
      <c r="R1075" s="18">
        <f t="shared" si="175"/>
        <v>54150</v>
      </c>
      <c r="S1075" s="18">
        <f t="shared" si="177"/>
        <v>312.60000000000002</v>
      </c>
    </row>
    <row r="1076" spans="1:19" ht="15" customHeight="1" x14ac:dyDescent="0.2">
      <c r="A1076" s="14">
        <f t="shared" si="176"/>
        <v>1040</v>
      </c>
      <c r="B1076" s="31" t="s">
        <v>981</v>
      </c>
      <c r="C1076" s="15" t="s">
        <v>3</v>
      </c>
      <c r="D1076" s="31" t="s">
        <v>500</v>
      </c>
      <c r="E1076" s="31"/>
      <c r="F1076" s="73" t="s">
        <v>14</v>
      </c>
      <c r="G1076" s="32">
        <v>31413</v>
      </c>
      <c r="H1076" s="29">
        <v>721067</v>
      </c>
      <c r="I1076" s="17">
        <v>0</v>
      </c>
      <c r="J1076" s="17">
        <f t="shared" si="178"/>
        <v>685013.65</v>
      </c>
      <c r="K1076" s="17">
        <f t="shared" si="172"/>
        <v>36053.349999999977</v>
      </c>
      <c r="L1076" s="23">
        <f t="shared" si="171"/>
        <v>36053.35</v>
      </c>
      <c r="M1076" s="33">
        <v>15</v>
      </c>
      <c r="N1076" s="18">
        <f t="shared" si="173"/>
        <v>34.273972602739725</v>
      </c>
      <c r="O1076" s="23">
        <v>56050</v>
      </c>
      <c r="P1076" s="18">
        <f t="shared" si="174"/>
        <v>35.273972602739725</v>
      </c>
      <c r="Q1076" s="18">
        <f t="shared" si="170"/>
        <v>-1.4551915228366853E-12</v>
      </c>
      <c r="R1076" s="18">
        <f t="shared" si="175"/>
        <v>56050</v>
      </c>
      <c r="S1076" s="18">
        <f t="shared" si="177"/>
        <v>36053.35</v>
      </c>
    </row>
    <row r="1077" spans="1:19" ht="15" customHeight="1" x14ac:dyDescent="0.2">
      <c r="A1077" s="14">
        <f t="shared" si="176"/>
        <v>1041</v>
      </c>
      <c r="B1077" s="31" t="s">
        <v>735</v>
      </c>
      <c r="C1077" s="15" t="s">
        <v>3</v>
      </c>
      <c r="D1077" s="31" t="s">
        <v>500</v>
      </c>
      <c r="E1077" s="31"/>
      <c r="F1077" s="73" t="s">
        <v>4</v>
      </c>
      <c r="G1077" s="32">
        <v>31413</v>
      </c>
      <c r="H1077" s="29">
        <v>20325</v>
      </c>
      <c r="I1077" s="17">
        <v>0</v>
      </c>
      <c r="J1077" s="17">
        <f t="shared" si="178"/>
        <v>19308.75</v>
      </c>
      <c r="K1077" s="17">
        <f t="shared" si="172"/>
        <v>1016.25</v>
      </c>
      <c r="L1077" s="23">
        <f t="shared" si="171"/>
        <v>1016.25</v>
      </c>
      <c r="M1077" s="33">
        <v>15</v>
      </c>
      <c r="N1077" s="18">
        <f t="shared" si="173"/>
        <v>34.273972602739725</v>
      </c>
      <c r="O1077" s="23">
        <v>5795</v>
      </c>
      <c r="P1077" s="18">
        <f t="shared" si="174"/>
        <v>35.273972602739725</v>
      </c>
      <c r="Q1077" s="18">
        <f t="shared" si="170"/>
        <v>0</v>
      </c>
      <c r="R1077" s="18">
        <f t="shared" si="175"/>
        <v>5795</v>
      </c>
      <c r="S1077" s="18">
        <f t="shared" si="177"/>
        <v>1016.25</v>
      </c>
    </row>
    <row r="1078" spans="1:19" ht="15" customHeight="1" x14ac:dyDescent="0.2">
      <c r="A1078" s="14">
        <f t="shared" si="176"/>
        <v>1042</v>
      </c>
      <c r="B1078" s="31" t="s">
        <v>982</v>
      </c>
      <c r="C1078" s="15" t="s">
        <v>3</v>
      </c>
      <c r="D1078" s="31" t="s">
        <v>500</v>
      </c>
      <c r="E1078" s="31"/>
      <c r="F1078" s="70" t="s">
        <v>7</v>
      </c>
      <c r="G1078" s="32">
        <v>36129</v>
      </c>
      <c r="H1078" s="29">
        <v>795068</v>
      </c>
      <c r="I1078" s="17">
        <v>0</v>
      </c>
      <c r="J1078" s="17">
        <f t="shared" si="178"/>
        <v>755314.6</v>
      </c>
      <c r="K1078" s="17">
        <f t="shared" si="172"/>
        <v>39753.400000000023</v>
      </c>
      <c r="L1078" s="23">
        <f t="shared" si="171"/>
        <v>39753.4</v>
      </c>
      <c r="M1078" s="33">
        <v>15</v>
      </c>
      <c r="N1078" s="18">
        <f t="shared" si="173"/>
        <v>21.353424657534248</v>
      </c>
      <c r="O1078" s="23">
        <v>9526.125</v>
      </c>
      <c r="P1078" s="18">
        <f t="shared" si="174"/>
        <v>22.353424657534248</v>
      </c>
      <c r="Q1078" s="18">
        <f t="shared" si="170"/>
        <v>1.4551915228366853E-12</v>
      </c>
      <c r="R1078" s="18">
        <f t="shared" si="175"/>
        <v>9526.1250000000018</v>
      </c>
      <c r="S1078" s="18">
        <f t="shared" si="177"/>
        <v>39753.4</v>
      </c>
    </row>
    <row r="1079" spans="1:19" ht="15" customHeight="1" x14ac:dyDescent="0.2">
      <c r="A1079" s="14">
        <f t="shared" si="176"/>
        <v>1043</v>
      </c>
      <c r="B1079" s="31" t="s">
        <v>983</v>
      </c>
      <c r="C1079" s="15" t="s">
        <v>3</v>
      </c>
      <c r="D1079" s="31" t="s">
        <v>500</v>
      </c>
      <c r="E1079" s="31"/>
      <c r="F1079" s="73" t="s">
        <v>8</v>
      </c>
      <c r="G1079" s="32">
        <v>33560</v>
      </c>
      <c r="H1079" s="29">
        <v>14125</v>
      </c>
      <c r="I1079" s="17">
        <v>0</v>
      </c>
      <c r="J1079" s="17">
        <f t="shared" si="178"/>
        <v>13418.75</v>
      </c>
      <c r="K1079" s="17">
        <f t="shared" si="172"/>
        <v>706.25</v>
      </c>
      <c r="L1079" s="23">
        <f t="shared" si="171"/>
        <v>706.25</v>
      </c>
      <c r="M1079" s="33">
        <v>10</v>
      </c>
      <c r="N1079" s="18">
        <f t="shared" si="173"/>
        <v>28.391780821917809</v>
      </c>
      <c r="O1079" s="23">
        <v>47500</v>
      </c>
      <c r="P1079" s="18">
        <f t="shared" si="174"/>
        <v>29.391780821917809</v>
      </c>
      <c r="Q1079" s="18">
        <f t="shared" ref="Q1079:Q1142" si="179">(P1079-N1079)/M1079*(K1079-L1079)</f>
        <v>0</v>
      </c>
      <c r="R1079" s="18">
        <f t="shared" si="175"/>
        <v>47500</v>
      </c>
      <c r="S1079" s="18">
        <f t="shared" si="177"/>
        <v>706.25</v>
      </c>
    </row>
    <row r="1080" spans="1:19" ht="15" customHeight="1" x14ac:dyDescent="0.2">
      <c r="A1080" s="14">
        <f t="shared" si="176"/>
        <v>1044</v>
      </c>
      <c r="B1080" s="31" t="s">
        <v>984</v>
      </c>
      <c r="C1080" s="15" t="s">
        <v>3</v>
      </c>
      <c r="D1080" s="31" t="s">
        <v>500</v>
      </c>
      <c r="E1080" s="31"/>
      <c r="F1080" s="73" t="s">
        <v>8</v>
      </c>
      <c r="G1080" s="32">
        <v>28126</v>
      </c>
      <c r="H1080" s="29">
        <v>2400975</v>
      </c>
      <c r="I1080" s="17">
        <v>0</v>
      </c>
      <c r="J1080" s="17">
        <f t="shared" si="178"/>
        <v>2280926.25</v>
      </c>
      <c r="K1080" s="17">
        <f t="shared" si="172"/>
        <v>120048.75</v>
      </c>
      <c r="L1080" s="23">
        <f t="shared" ref="L1080:L1143" si="180">H1080*0.05</f>
        <v>120048.75</v>
      </c>
      <c r="M1080" s="33">
        <v>25</v>
      </c>
      <c r="N1080" s="18">
        <f t="shared" si="173"/>
        <v>43.279452054794518</v>
      </c>
      <c r="O1080" s="23">
        <v>2850</v>
      </c>
      <c r="P1080" s="18">
        <f t="shared" si="174"/>
        <v>44.279452054794518</v>
      </c>
      <c r="Q1080" s="18">
        <f t="shared" si="179"/>
        <v>0</v>
      </c>
      <c r="R1080" s="18">
        <f t="shared" si="175"/>
        <v>2850</v>
      </c>
      <c r="S1080" s="18">
        <f t="shared" si="177"/>
        <v>120048.75</v>
      </c>
    </row>
    <row r="1081" spans="1:19" ht="15" customHeight="1" x14ac:dyDescent="0.2">
      <c r="A1081" s="14">
        <f t="shared" si="176"/>
        <v>1045</v>
      </c>
      <c r="B1081" s="31" t="s">
        <v>985</v>
      </c>
      <c r="C1081" s="15" t="s">
        <v>3</v>
      </c>
      <c r="D1081" s="31" t="s">
        <v>500</v>
      </c>
      <c r="E1081" s="31"/>
      <c r="F1081" s="73" t="s">
        <v>11</v>
      </c>
      <c r="G1081" s="32">
        <v>28126</v>
      </c>
      <c r="H1081" s="29">
        <v>812666</v>
      </c>
      <c r="I1081" s="17">
        <v>0</v>
      </c>
      <c r="J1081" s="17">
        <f t="shared" si="178"/>
        <v>772032.7</v>
      </c>
      <c r="K1081" s="17">
        <f t="shared" si="172"/>
        <v>40633.300000000047</v>
      </c>
      <c r="L1081" s="23">
        <f t="shared" si="180"/>
        <v>40633.300000000003</v>
      </c>
      <c r="M1081" s="33">
        <v>25</v>
      </c>
      <c r="N1081" s="18">
        <f t="shared" si="173"/>
        <v>43.279452054794518</v>
      </c>
      <c r="O1081" s="23">
        <v>1520</v>
      </c>
      <c r="P1081" s="18">
        <f t="shared" si="174"/>
        <v>44.279452054794518</v>
      </c>
      <c r="Q1081" s="18">
        <f t="shared" si="179"/>
        <v>1.7462298274040222E-12</v>
      </c>
      <c r="R1081" s="18">
        <f t="shared" si="175"/>
        <v>1520.0000000000018</v>
      </c>
      <c r="S1081" s="18">
        <f t="shared" si="177"/>
        <v>40633.300000000003</v>
      </c>
    </row>
    <row r="1082" spans="1:19" ht="15" customHeight="1" x14ac:dyDescent="0.2">
      <c r="A1082" s="14">
        <f t="shared" si="176"/>
        <v>1046</v>
      </c>
      <c r="B1082" s="31" t="s">
        <v>986</v>
      </c>
      <c r="C1082" s="15" t="s">
        <v>3</v>
      </c>
      <c r="D1082" s="31" t="s">
        <v>500</v>
      </c>
      <c r="E1082" s="31"/>
      <c r="F1082" s="73" t="s">
        <v>8</v>
      </c>
      <c r="G1082" s="32">
        <v>28126</v>
      </c>
      <c r="H1082" s="29">
        <v>541373</v>
      </c>
      <c r="I1082" s="17">
        <v>0</v>
      </c>
      <c r="J1082" s="17">
        <f t="shared" si="178"/>
        <v>514304.35</v>
      </c>
      <c r="K1082" s="17">
        <f t="shared" si="172"/>
        <v>27068.650000000023</v>
      </c>
      <c r="L1082" s="23">
        <f t="shared" si="180"/>
        <v>27068.65</v>
      </c>
      <c r="M1082" s="33">
        <v>25</v>
      </c>
      <c r="N1082" s="18">
        <f t="shared" si="173"/>
        <v>43.279452054794518</v>
      </c>
      <c r="O1082" s="23">
        <v>403.75</v>
      </c>
      <c r="P1082" s="18">
        <f t="shared" si="174"/>
        <v>44.279452054794518</v>
      </c>
      <c r="Q1082" s="18">
        <f t="shared" si="179"/>
        <v>8.7311491370201108E-13</v>
      </c>
      <c r="R1082" s="18">
        <f t="shared" si="175"/>
        <v>403.75000000000085</v>
      </c>
      <c r="S1082" s="18">
        <f t="shared" si="177"/>
        <v>27068.65</v>
      </c>
    </row>
    <row r="1083" spans="1:19" ht="15" customHeight="1" x14ac:dyDescent="0.2">
      <c r="A1083" s="14">
        <f t="shared" si="176"/>
        <v>1047</v>
      </c>
      <c r="B1083" s="31" t="s">
        <v>987</v>
      </c>
      <c r="C1083" s="15" t="s">
        <v>3</v>
      </c>
      <c r="D1083" s="31" t="s">
        <v>500</v>
      </c>
      <c r="E1083" s="31"/>
      <c r="F1083" s="73" t="s">
        <v>11</v>
      </c>
      <c r="G1083" s="32">
        <v>28126</v>
      </c>
      <c r="H1083" s="29">
        <v>469620</v>
      </c>
      <c r="I1083" s="17">
        <v>0</v>
      </c>
      <c r="J1083" s="17">
        <f t="shared" si="178"/>
        <v>446139</v>
      </c>
      <c r="K1083" s="17">
        <f t="shared" si="172"/>
        <v>23481</v>
      </c>
      <c r="L1083" s="23">
        <f t="shared" si="180"/>
        <v>23481</v>
      </c>
      <c r="M1083" s="33">
        <v>25</v>
      </c>
      <c r="N1083" s="18">
        <f t="shared" si="173"/>
        <v>43.279452054794518</v>
      </c>
      <c r="O1083" s="23">
        <v>1615</v>
      </c>
      <c r="P1083" s="18">
        <f t="shared" si="174"/>
        <v>44.279452054794518</v>
      </c>
      <c r="Q1083" s="18">
        <f t="shared" si="179"/>
        <v>0</v>
      </c>
      <c r="R1083" s="18">
        <f t="shared" si="175"/>
        <v>1615</v>
      </c>
      <c r="S1083" s="18">
        <f t="shared" si="177"/>
        <v>23481</v>
      </c>
    </row>
    <row r="1084" spans="1:19" ht="15" customHeight="1" x14ac:dyDescent="0.2">
      <c r="A1084" s="14">
        <f t="shared" si="176"/>
        <v>1048</v>
      </c>
      <c r="B1084" s="31" t="s">
        <v>988</v>
      </c>
      <c r="C1084" s="15" t="s">
        <v>3</v>
      </c>
      <c r="D1084" s="31" t="s">
        <v>500</v>
      </c>
      <c r="E1084" s="31"/>
      <c r="F1084" s="73" t="s">
        <v>11</v>
      </c>
      <c r="G1084" s="32">
        <v>28126</v>
      </c>
      <c r="H1084" s="29">
        <v>398271</v>
      </c>
      <c r="I1084" s="17">
        <v>0</v>
      </c>
      <c r="J1084" s="17">
        <f t="shared" si="178"/>
        <v>378357.45</v>
      </c>
      <c r="K1084" s="17">
        <f t="shared" si="172"/>
        <v>19913.549999999988</v>
      </c>
      <c r="L1084" s="23">
        <f t="shared" si="180"/>
        <v>19913.550000000003</v>
      </c>
      <c r="M1084" s="33">
        <v>25</v>
      </c>
      <c r="N1084" s="18">
        <f t="shared" si="173"/>
        <v>43.279452054794518</v>
      </c>
      <c r="O1084" s="23">
        <v>1472.5</v>
      </c>
      <c r="P1084" s="18">
        <f t="shared" si="174"/>
        <v>44.279452054794518</v>
      </c>
      <c r="Q1084" s="18">
        <f t="shared" si="179"/>
        <v>-5.8207660913467408E-13</v>
      </c>
      <c r="R1084" s="18">
        <f t="shared" si="175"/>
        <v>1472.4999999999993</v>
      </c>
      <c r="S1084" s="18">
        <f t="shared" si="177"/>
        <v>19913.550000000003</v>
      </c>
    </row>
    <row r="1085" spans="1:19" ht="15" customHeight="1" x14ac:dyDescent="0.2">
      <c r="A1085" s="14">
        <f t="shared" si="176"/>
        <v>1049</v>
      </c>
      <c r="B1085" s="31" t="s">
        <v>989</v>
      </c>
      <c r="C1085" s="15" t="s">
        <v>3</v>
      </c>
      <c r="D1085" s="31" t="s">
        <v>500</v>
      </c>
      <c r="E1085" s="31"/>
      <c r="F1085" s="73" t="s">
        <v>11</v>
      </c>
      <c r="G1085" s="32">
        <v>28126</v>
      </c>
      <c r="H1085" s="29">
        <v>315722</v>
      </c>
      <c r="I1085" s="17">
        <v>0</v>
      </c>
      <c r="J1085" s="17">
        <f t="shared" si="178"/>
        <v>299935.90000000002</v>
      </c>
      <c r="K1085" s="17">
        <f t="shared" si="172"/>
        <v>15786.099999999977</v>
      </c>
      <c r="L1085" s="23">
        <f t="shared" si="180"/>
        <v>15786.1</v>
      </c>
      <c r="M1085" s="33">
        <v>25</v>
      </c>
      <c r="N1085" s="18">
        <f t="shared" si="173"/>
        <v>43.279452054794518</v>
      </c>
      <c r="O1085" s="23">
        <v>50255</v>
      </c>
      <c r="P1085" s="18">
        <f t="shared" si="174"/>
        <v>44.279452054794518</v>
      </c>
      <c r="Q1085" s="18">
        <f t="shared" si="179"/>
        <v>-9.458744898438454E-13</v>
      </c>
      <c r="R1085" s="18">
        <f t="shared" si="175"/>
        <v>50255</v>
      </c>
      <c r="S1085" s="18">
        <f t="shared" si="177"/>
        <v>15786.1</v>
      </c>
    </row>
    <row r="1086" spans="1:19" ht="15" customHeight="1" x14ac:dyDescent="0.2">
      <c r="A1086" s="14">
        <f t="shared" si="176"/>
        <v>1050</v>
      </c>
      <c r="B1086" s="31" t="s">
        <v>990</v>
      </c>
      <c r="C1086" s="15" t="s">
        <v>3</v>
      </c>
      <c r="D1086" s="31" t="s">
        <v>500</v>
      </c>
      <c r="E1086" s="31"/>
      <c r="F1086" s="73" t="s">
        <v>11</v>
      </c>
      <c r="G1086" s="32">
        <v>28126</v>
      </c>
      <c r="H1086" s="29">
        <v>304249</v>
      </c>
      <c r="I1086" s="17">
        <v>0</v>
      </c>
      <c r="J1086" s="17">
        <f t="shared" si="178"/>
        <v>289036.55</v>
      </c>
      <c r="K1086" s="17">
        <f t="shared" si="172"/>
        <v>15212.450000000012</v>
      </c>
      <c r="L1086" s="23">
        <f t="shared" si="180"/>
        <v>15212.45</v>
      </c>
      <c r="M1086" s="33">
        <v>25</v>
      </c>
      <c r="N1086" s="18">
        <f t="shared" si="173"/>
        <v>43.279452054794518</v>
      </c>
      <c r="O1086" s="23">
        <v>56458.385999999999</v>
      </c>
      <c r="P1086" s="18">
        <f t="shared" si="174"/>
        <v>44.279452054794518</v>
      </c>
      <c r="Q1086" s="18">
        <f t="shared" si="179"/>
        <v>4.3655745685100554E-13</v>
      </c>
      <c r="R1086" s="18">
        <f t="shared" si="175"/>
        <v>56458.385999999999</v>
      </c>
      <c r="S1086" s="18">
        <f t="shared" si="177"/>
        <v>15212.45</v>
      </c>
    </row>
    <row r="1087" spans="1:19" ht="15" customHeight="1" x14ac:dyDescent="0.2">
      <c r="A1087" s="14">
        <f t="shared" si="176"/>
        <v>1051</v>
      </c>
      <c r="B1087" s="31" t="s">
        <v>991</v>
      </c>
      <c r="C1087" s="15" t="s">
        <v>3</v>
      </c>
      <c r="D1087" s="31" t="s">
        <v>500</v>
      </c>
      <c r="E1087" s="31"/>
      <c r="F1087" s="73" t="s">
        <v>8</v>
      </c>
      <c r="G1087" s="32">
        <v>28126</v>
      </c>
      <c r="H1087" s="29">
        <v>101151</v>
      </c>
      <c r="I1087" s="17">
        <v>0</v>
      </c>
      <c r="J1087" s="17">
        <f t="shared" si="178"/>
        <v>96093.45</v>
      </c>
      <c r="K1087" s="17">
        <f t="shared" si="172"/>
        <v>5057.5500000000029</v>
      </c>
      <c r="L1087" s="23">
        <f t="shared" si="180"/>
        <v>5057.55</v>
      </c>
      <c r="M1087" s="33">
        <v>25</v>
      </c>
      <c r="N1087" s="18">
        <f t="shared" si="173"/>
        <v>43.279452054794518</v>
      </c>
      <c r="O1087" s="23">
        <v>2498.5</v>
      </c>
      <c r="P1087" s="18">
        <f t="shared" si="174"/>
        <v>44.279452054794518</v>
      </c>
      <c r="Q1087" s="18">
        <f t="shared" si="179"/>
        <v>1.0913936421275138E-13</v>
      </c>
      <c r="R1087" s="18">
        <f t="shared" si="175"/>
        <v>2498.5</v>
      </c>
      <c r="S1087" s="18">
        <f t="shared" si="177"/>
        <v>5057.55</v>
      </c>
    </row>
    <row r="1088" spans="1:19" ht="15" customHeight="1" x14ac:dyDescent="0.2">
      <c r="A1088" s="14">
        <f t="shared" si="176"/>
        <v>1052</v>
      </c>
      <c r="B1088" s="31" t="s">
        <v>875</v>
      </c>
      <c r="C1088" s="15" t="s">
        <v>3</v>
      </c>
      <c r="D1088" s="31" t="s">
        <v>500</v>
      </c>
      <c r="E1088" s="31"/>
      <c r="F1088" s="73" t="s">
        <v>15</v>
      </c>
      <c r="G1088" s="32">
        <v>28126</v>
      </c>
      <c r="H1088" s="29">
        <v>97053</v>
      </c>
      <c r="I1088" s="17">
        <v>0</v>
      </c>
      <c r="J1088" s="17">
        <f t="shared" si="178"/>
        <v>92200.35</v>
      </c>
      <c r="K1088" s="17">
        <f t="shared" si="172"/>
        <v>4852.6499999999942</v>
      </c>
      <c r="L1088" s="23">
        <f t="shared" si="180"/>
        <v>4852.6500000000005</v>
      </c>
      <c r="M1088" s="33">
        <v>25</v>
      </c>
      <c r="N1088" s="18">
        <f t="shared" si="173"/>
        <v>43.279452054794518</v>
      </c>
      <c r="O1088" s="23">
        <v>5225</v>
      </c>
      <c r="P1088" s="18">
        <f t="shared" si="174"/>
        <v>44.279452054794518</v>
      </c>
      <c r="Q1088" s="18">
        <f t="shared" si="179"/>
        <v>-2.5465851649641993E-13</v>
      </c>
      <c r="R1088" s="18">
        <f t="shared" si="175"/>
        <v>5225</v>
      </c>
      <c r="S1088" s="18">
        <f t="shared" si="177"/>
        <v>4852.6500000000005</v>
      </c>
    </row>
    <row r="1089" spans="1:19" ht="15" customHeight="1" x14ac:dyDescent="0.2">
      <c r="A1089" s="14">
        <f t="shared" si="176"/>
        <v>1053</v>
      </c>
      <c r="B1089" s="31" t="s">
        <v>992</v>
      </c>
      <c r="C1089" s="15" t="s">
        <v>3</v>
      </c>
      <c r="D1089" s="31" t="s">
        <v>500</v>
      </c>
      <c r="E1089" s="31"/>
      <c r="F1089" s="73" t="s">
        <v>11</v>
      </c>
      <c r="G1089" s="32">
        <v>28126</v>
      </c>
      <c r="H1089" s="29">
        <v>81693</v>
      </c>
      <c r="I1089" s="17">
        <v>0</v>
      </c>
      <c r="J1089" s="17">
        <f t="shared" si="178"/>
        <v>77608.350000000006</v>
      </c>
      <c r="K1089" s="17">
        <f t="shared" si="172"/>
        <v>4084.6499999999942</v>
      </c>
      <c r="L1089" s="23">
        <f t="shared" si="180"/>
        <v>4084.65</v>
      </c>
      <c r="M1089" s="33">
        <v>25</v>
      </c>
      <c r="N1089" s="18">
        <f t="shared" si="173"/>
        <v>43.279452054794518</v>
      </c>
      <c r="O1089" s="23">
        <v>54340</v>
      </c>
      <c r="P1089" s="18">
        <f t="shared" si="174"/>
        <v>44.279452054794518</v>
      </c>
      <c r="Q1089" s="18">
        <f t="shared" si="179"/>
        <v>-2.3646862246096135E-13</v>
      </c>
      <c r="R1089" s="18">
        <f t="shared" si="175"/>
        <v>54340</v>
      </c>
      <c r="S1089" s="18">
        <f t="shared" si="177"/>
        <v>4084.65</v>
      </c>
    </row>
    <row r="1090" spans="1:19" ht="15" customHeight="1" x14ac:dyDescent="0.2">
      <c r="A1090" s="14">
        <f t="shared" si="176"/>
        <v>1054</v>
      </c>
      <c r="B1090" s="31" t="s">
        <v>993</v>
      </c>
      <c r="C1090" s="15" t="s">
        <v>3</v>
      </c>
      <c r="D1090" s="31" t="s">
        <v>500</v>
      </c>
      <c r="E1090" s="31"/>
      <c r="F1090" s="73" t="s">
        <v>11</v>
      </c>
      <c r="G1090" s="32">
        <v>28126</v>
      </c>
      <c r="H1090" s="29">
        <v>76032</v>
      </c>
      <c r="I1090" s="17">
        <v>0</v>
      </c>
      <c r="J1090" s="17">
        <f t="shared" si="178"/>
        <v>72230.399999999994</v>
      </c>
      <c r="K1090" s="17">
        <f t="shared" si="172"/>
        <v>3801.6000000000058</v>
      </c>
      <c r="L1090" s="23">
        <f t="shared" si="180"/>
        <v>3801.6000000000004</v>
      </c>
      <c r="M1090" s="33">
        <v>25</v>
      </c>
      <c r="N1090" s="18">
        <f t="shared" si="173"/>
        <v>43.279452054794518</v>
      </c>
      <c r="O1090" s="23">
        <v>163020</v>
      </c>
      <c r="P1090" s="18">
        <f t="shared" si="174"/>
        <v>44.279452054794518</v>
      </c>
      <c r="Q1090" s="18">
        <f t="shared" si="179"/>
        <v>2.1827872842550277E-13</v>
      </c>
      <c r="R1090" s="18">
        <f t="shared" si="175"/>
        <v>163020</v>
      </c>
      <c r="S1090" s="18">
        <f t="shared" si="177"/>
        <v>3801.6000000000004</v>
      </c>
    </row>
    <row r="1091" spans="1:19" ht="15" customHeight="1" x14ac:dyDescent="0.2">
      <c r="A1091" s="14">
        <f t="shared" si="176"/>
        <v>1055</v>
      </c>
      <c r="B1091" s="31" t="s">
        <v>994</v>
      </c>
      <c r="C1091" s="15" t="s">
        <v>3</v>
      </c>
      <c r="D1091" s="31" t="s">
        <v>500</v>
      </c>
      <c r="E1091" s="31"/>
      <c r="F1091" s="73" t="s">
        <v>11</v>
      </c>
      <c r="G1091" s="32">
        <v>28126</v>
      </c>
      <c r="H1091" s="29">
        <v>63633</v>
      </c>
      <c r="I1091" s="17">
        <v>0</v>
      </c>
      <c r="J1091" s="17">
        <f t="shared" si="178"/>
        <v>60451.35</v>
      </c>
      <c r="K1091" s="17">
        <f t="shared" si="172"/>
        <v>3181.6500000000015</v>
      </c>
      <c r="L1091" s="23">
        <f t="shared" si="180"/>
        <v>3181.65</v>
      </c>
      <c r="M1091" s="33">
        <v>25</v>
      </c>
      <c r="N1091" s="18">
        <f t="shared" si="173"/>
        <v>43.279452054794518</v>
      </c>
      <c r="O1091" s="23">
        <v>23465</v>
      </c>
      <c r="P1091" s="18">
        <f t="shared" si="174"/>
        <v>44.279452054794518</v>
      </c>
      <c r="Q1091" s="18">
        <f t="shared" si="179"/>
        <v>5.4569682106375692E-14</v>
      </c>
      <c r="R1091" s="18">
        <f t="shared" si="175"/>
        <v>23465</v>
      </c>
      <c r="S1091" s="18">
        <f t="shared" si="177"/>
        <v>3181.65</v>
      </c>
    </row>
    <row r="1092" spans="1:19" ht="15" customHeight="1" x14ac:dyDescent="0.2">
      <c r="A1092" s="14">
        <f t="shared" si="176"/>
        <v>1056</v>
      </c>
      <c r="B1092" s="31" t="s">
        <v>995</v>
      </c>
      <c r="C1092" s="15" t="s">
        <v>3</v>
      </c>
      <c r="D1092" s="31" t="s">
        <v>500</v>
      </c>
      <c r="E1092" s="31"/>
      <c r="F1092" s="73" t="s">
        <v>11</v>
      </c>
      <c r="G1092" s="32">
        <v>28126</v>
      </c>
      <c r="H1092" s="29">
        <v>63025</v>
      </c>
      <c r="I1092" s="17">
        <v>0</v>
      </c>
      <c r="J1092" s="17">
        <f t="shared" si="178"/>
        <v>59873.75</v>
      </c>
      <c r="K1092" s="17">
        <f t="shared" si="172"/>
        <v>3151.25</v>
      </c>
      <c r="L1092" s="23">
        <f t="shared" si="180"/>
        <v>3151.25</v>
      </c>
      <c r="M1092" s="33">
        <v>25</v>
      </c>
      <c r="N1092" s="18">
        <f t="shared" si="173"/>
        <v>43.279452054794518</v>
      </c>
      <c r="O1092" s="23">
        <v>6555</v>
      </c>
      <c r="P1092" s="18">
        <f t="shared" si="174"/>
        <v>44.279452054794518</v>
      </c>
      <c r="Q1092" s="18">
        <f t="shared" si="179"/>
        <v>0</v>
      </c>
      <c r="R1092" s="18">
        <f t="shared" si="175"/>
        <v>6555</v>
      </c>
      <c r="S1092" s="18">
        <f t="shared" si="177"/>
        <v>3151.25</v>
      </c>
    </row>
    <row r="1093" spans="1:19" ht="15" customHeight="1" x14ac:dyDescent="0.2">
      <c r="A1093" s="14">
        <f t="shared" si="176"/>
        <v>1057</v>
      </c>
      <c r="B1093" s="31" t="s">
        <v>996</v>
      </c>
      <c r="C1093" s="15" t="s">
        <v>3</v>
      </c>
      <c r="D1093" s="31" t="s">
        <v>500</v>
      </c>
      <c r="E1093" s="31"/>
      <c r="F1093" s="73" t="s">
        <v>11</v>
      </c>
      <c r="G1093" s="32">
        <v>28126</v>
      </c>
      <c r="H1093" s="29">
        <v>36010</v>
      </c>
      <c r="I1093" s="17">
        <v>0</v>
      </c>
      <c r="J1093" s="17">
        <f t="shared" si="178"/>
        <v>34209.5</v>
      </c>
      <c r="K1093" s="17">
        <f t="shared" si="172"/>
        <v>1800.5</v>
      </c>
      <c r="L1093" s="23">
        <f t="shared" si="180"/>
        <v>1800.5</v>
      </c>
      <c r="M1093" s="33">
        <v>25</v>
      </c>
      <c r="N1093" s="18">
        <f t="shared" si="173"/>
        <v>43.279452054794518</v>
      </c>
      <c r="O1093" s="23">
        <v>7695</v>
      </c>
      <c r="P1093" s="18">
        <f t="shared" si="174"/>
        <v>44.279452054794518</v>
      </c>
      <c r="Q1093" s="18">
        <f t="shared" si="179"/>
        <v>0</v>
      </c>
      <c r="R1093" s="18">
        <f t="shared" si="175"/>
        <v>7695</v>
      </c>
      <c r="S1093" s="18">
        <f t="shared" si="177"/>
        <v>1800.5</v>
      </c>
    </row>
    <row r="1094" spans="1:19" ht="15" customHeight="1" x14ac:dyDescent="0.2">
      <c r="A1094" s="14">
        <f t="shared" si="176"/>
        <v>1058</v>
      </c>
      <c r="B1094" s="31" t="s">
        <v>997</v>
      </c>
      <c r="C1094" s="15" t="s">
        <v>3</v>
      </c>
      <c r="D1094" s="31" t="s">
        <v>500</v>
      </c>
      <c r="E1094" s="31"/>
      <c r="F1094" s="73" t="s">
        <v>11</v>
      </c>
      <c r="G1094" s="32">
        <v>28126</v>
      </c>
      <c r="H1094" s="29">
        <v>31120</v>
      </c>
      <c r="I1094" s="17">
        <v>0</v>
      </c>
      <c r="J1094" s="17">
        <f t="shared" si="178"/>
        <v>29564</v>
      </c>
      <c r="K1094" s="17">
        <f t="shared" si="172"/>
        <v>1556</v>
      </c>
      <c r="L1094" s="23">
        <f t="shared" si="180"/>
        <v>1556</v>
      </c>
      <c r="M1094" s="33">
        <v>25</v>
      </c>
      <c r="N1094" s="18">
        <f t="shared" si="173"/>
        <v>43.279452054794518</v>
      </c>
      <c r="O1094" s="23">
        <v>7600</v>
      </c>
      <c r="P1094" s="18">
        <f t="shared" si="174"/>
        <v>44.279452054794518</v>
      </c>
      <c r="Q1094" s="18">
        <f t="shared" si="179"/>
        <v>0</v>
      </c>
      <c r="R1094" s="18">
        <f t="shared" si="175"/>
        <v>7600</v>
      </c>
      <c r="S1094" s="18">
        <f t="shared" si="177"/>
        <v>1556</v>
      </c>
    </row>
    <row r="1095" spans="1:19" ht="15" customHeight="1" x14ac:dyDescent="0.2">
      <c r="A1095" s="14">
        <f t="shared" si="176"/>
        <v>1059</v>
      </c>
      <c r="B1095" s="31" t="s">
        <v>998</v>
      </c>
      <c r="C1095" s="15" t="s">
        <v>3</v>
      </c>
      <c r="D1095" s="31" t="s">
        <v>500</v>
      </c>
      <c r="E1095" s="31"/>
      <c r="F1095" s="73" t="s">
        <v>4</v>
      </c>
      <c r="G1095" s="32">
        <v>28126</v>
      </c>
      <c r="H1095" s="29">
        <v>25354</v>
      </c>
      <c r="I1095" s="17">
        <v>0</v>
      </c>
      <c r="J1095" s="17">
        <f t="shared" si="178"/>
        <v>24086.3</v>
      </c>
      <c r="K1095" s="17">
        <f t="shared" si="172"/>
        <v>1267.7000000000007</v>
      </c>
      <c r="L1095" s="23">
        <f t="shared" si="180"/>
        <v>1267.7</v>
      </c>
      <c r="M1095" s="33">
        <v>25</v>
      </c>
      <c r="N1095" s="18">
        <f t="shared" si="173"/>
        <v>43.279452054794518</v>
      </c>
      <c r="O1095" s="23">
        <v>21185</v>
      </c>
      <c r="P1095" s="18">
        <f t="shared" si="174"/>
        <v>44.279452054794518</v>
      </c>
      <c r="Q1095" s="18">
        <f t="shared" si="179"/>
        <v>2.7284841053187846E-14</v>
      </c>
      <c r="R1095" s="18">
        <f t="shared" si="175"/>
        <v>21185</v>
      </c>
      <c r="S1095" s="18">
        <f t="shared" si="177"/>
        <v>1267.7</v>
      </c>
    </row>
    <row r="1096" spans="1:19" ht="15" customHeight="1" x14ac:dyDescent="0.2">
      <c r="A1096" s="14">
        <f t="shared" si="176"/>
        <v>1060</v>
      </c>
      <c r="B1096" s="31" t="s">
        <v>999</v>
      </c>
      <c r="C1096" s="15" t="s">
        <v>3</v>
      </c>
      <c r="D1096" s="31" t="s">
        <v>500</v>
      </c>
      <c r="E1096" s="31"/>
      <c r="F1096" s="73" t="s">
        <v>13</v>
      </c>
      <c r="G1096" s="32">
        <v>28126</v>
      </c>
      <c r="H1096" s="29">
        <v>18900</v>
      </c>
      <c r="I1096" s="17">
        <v>0</v>
      </c>
      <c r="J1096" s="17">
        <f t="shared" si="178"/>
        <v>17955</v>
      </c>
      <c r="K1096" s="17">
        <f t="shared" si="172"/>
        <v>945</v>
      </c>
      <c r="L1096" s="23">
        <f t="shared" si="180"/>
        <v>945</v>
      </c>
      <c r="M1096" s="33">
        <v>25</v>
      </c>
      <c r="N1096" s="18">
        <f t="shared" si="173"/>
        <v>43.279452054794518</v>
      </c>
      <c r="O1096" s="23">
        <v>34713</v>
      </c>
      <c r="P1096" s="18">
        <f t="shared" si="174"/>
        <v>44.279452054794518</v>
      </c>
      <c r="Q1096" s="18">
        <f t="shared" si="179"/>
        <v>0</v>
      </c>
      <c r="R1096" s="18">
        <f t="shared" si="175"/>
        <v>34713</v>
      </c>
      <c r="S1096" s="18">
        <f t="shared" si="177"/>
        <v>945</v>
      </c>
    </row>
    <row r="1097" spans="1:19" ht="15" customHeight="1" x14ac:dyDescent="0.2">
      <c r="A1097" s="14">
        <f t="shared" si="176"/>
        <v>1061</v>
      </c>
      <c r="B1097" s="31" t="s">
        <v>1000</v>
      </c>
      <c r="C1097" s="15" t="s">
        <v>3</v>
      </c>
      <c r="D1097" s="31" t="s">
        <v>500</v>
      </c>
      <c r="E1097" s="31"/>
      <c r="F1097" s="73" t="s">
        <v>15</v>
      </c>
      <c r="G1097" s="32">
        <v>28126</v>
      </c>
      <c r="H1097" s="29">
        <v>16691</v>
      </c>
      <c r="I1097" s="17">
        <v>0</v>
      </c>
      <c r="J1097" s="17">
        <f t="shared" si="178"/>
        <v>15856.45</v>
      </c>
      <c r="K1097" s="17">
        <f t="shared" si="172"/>
        <v>834.54999999999927</v>
      </c>
      <c r="L1097" s="23">
        <f t="shared" si="180"/>
        <v>834.55000000000007</v>
      </c>
      <c r="M1097" s="33">
        <v>25</v>
      </c>
      <c r="N1097" s="18">
        <f t="shared" si="173"/>
        <v>43.279452054794518</v>
      </c>
      <c r="O1097" s="23">
        <v>78849.05</v>
      </c>
      <c r="P1097" s="18">
        <f t="shared" si="174"/>
        <v>44.279452054794518</v>
      </c>
      <c r="Q1097" s="18">
        <f t="shared" si="179"/>
        <v>-3.1832314562052491E-14</v>
      </c>
      <c r="R1097" s="18">
        <f t="shared" si="175"/>
        <v>78849.05</v>
      </c>
      <c r="S1097" s="18">
        <f t="shared" si="177"/>
        <v>834.55000000000007</v>
      </c>
    </row>
    <row r="1098" spans="1:19" ht="15" customHeight="1" x14ac:dyDescent="0.2">
      <c r="A1098" s="14">
        <f t="shared" si="176"/>
        <v>1062</v>
      </c>
      <c r="B1098" s="31" t="s">
        <v>875</v>
      </c>
      <c r="C1098" s="15" t="s">
        <v>3</v>
      </c>
      <c r="D1098" s="31" t="s">
        <v>500</v>
      </c>
      <c r="E1098" s="31"/>
      <c r="F1098" s="73" t="s">
        <v>15</v>
      </c>
      <c r="G1098" s="32">
        <v>28126</v>
      </c>
      <c r="H1098" s="29">
        <v>12854</v>
      </c>
      <c r="I1098" s="17">
        <v>0</v>
      </c>
      <c r="J1098" s="17">
        <f t="shared" si="178"/>
        <v>12211.3</v>
      </c>
      <c r="K1098" s="17">
        <f t="shared" si="172"/>
        <v>642.70000000000073</v>
      </c>
      <c r="L1098" s="23">
        <f t="shared" si="180"/>
        <v>642.70000000000005</v>
      </c>
      <c r="M1098" s="33">
        <v>25</v>
      </c>
      <c r="N1098" s="18">
        <f t="shared" si="173"/>
        <v>43.279452054794518</v>
      </c>
      <c r="O1098" s="23">
        <v>102742.5</v>
      </c>
      <c r="P1098" s="18">
        <f t="shared" si="174"/>
        <v>44.279452054794518</v>
      </c>
      <c r="Q1098" s="18">
        <f t="shared" si="179"/>
        <v>2.7284841053187846E-14</v>
      </c>
      <c r="R1098" s="18">
        <f t="shared" si="175"/>
        <v>102742.5</v>
      </c>
      <c r="S1098" s="18">
        <f t="shared" si="177"/>
        <v>642.70000000000005</v>
      </c>
    </row>
    <row r="1099" spans="1:19" ht="15" customHeight="1" x14ac:dyDescent="0.2">
      <c r="A1099" s="14">
        <f t="shared" si="176"/>
        <v>1063</v>
      </c>
      <c r="B1099" s="31" t="s">
        <v>959</v>
      </c>
      <c r="C1099" s="15" t="s">
        <v>3</v>
      </c>
      <c r="D1099" s="31" t="s">
        <v>500</v>
      </c>
      <c r="E1099" s="31"/>
      <c r="F1099" s="73" t="s">
        <v>11</v>
      </c>
      <c r="G1099" s="32">
        <v>28126</v>
      </c>
      <c r="H1099" s="29">
        <v>12615</v>
      </c>
      <c r="I1099" s="17">
        <v>0</v>
      </c>
      <c r="J1099" s="17">
        <f t="shared" si="178"/>
        <v>11984.25</v>
      </c>
      <c r="K1099" s="17">
        <f t="shared" si="172"/>
        <v>630.75</v>
      </c>
      <c r="L1099" s="23">
        <f t="shared" si="180"/>
        <v>630.75</v>
      </c>
      <c r="M1099" s="33">
        <v>25</v>
      </c>
      <c r="N1099" s="18">
        <f t="shared" si="173"/>
        <v>43.279452054794518</v>
      </c>
      <c r="O1099" s="23">
        <v>6555</v>
      </c>
      <c r="P1099" s="18">
        <f t="shared" si="174"/>
        <v>44.279452054794518</v>
      </c>
      <c r="Q1099" s="18">
        <f t="shared" si="179"/>
        <v>0</v>
      </c>
      <c r="R1099" s="18">
        <f t="shared" si="175"/>
        <v>6555</v>
      </c>
      <c r="S1099" s="18">
        <f t="shared" si="177"/>
        <v>630.75</v>
      </c>
    </row>
    <row r="1100" spans="1:19" ht="15" customHeight="1" x14ac:dyDescent="0.2">
      <c r="A1100" s="14">
        <f t="shared" si="176"/>
        <v>1064</v>
      </c>
      <c r="B1100" s="31" t="s">
        <v>1001</v>
      </c>
      <c r="C1100" s="15" t="s">
        <v>3</v>
      </c>
      <c r="D1100" s="31" t="s">
        <v>500</v>
      </c>
      <c r="E1100" s="31"/>
      <c r="F1100" s="73" t="s">
        <v>14</v>
      </c>
      <c r="G1100" s="32">
        <v>31778</v>
      </c>
      <c r="H1100" s="29">
        <v>183342</v>
      </c>
      <c r="I1100" s="17">
        <v>0</v>
      </c>
      <c r="J1100" s="17">
        <f t="shared" si="178"/>
        <v>174174.9</v>
      </c>
      <c r="K1100" s="17">
        <f t="shared" si="172"/>
        <v>9167.1000000000058</v>
      </c>
      <c r="L1100" s="23">
        <f t="shared" si="180"/>
        <v>9167.1</v>
      </c>
      <c r="M1100" s="33">
        <v>15</v>
      </c>
      <c r="N1100" s="18">
        <f t="shared" si="173"/>
        <v>33.273972602739725</v>
      </c>
      <c r="O1100" s="23">
        <v>18050.2945</v>
      </c>
      <c r="P1100" s="18">
        <f t="shared" si="174"/>
        <v>34.273972602739725</v>
      </c>
      <c r="Q1100" s="18">
        <f t="shared" si="179"/>
        <v>3.6379788070917132E-13</v>
      </c>
      <c r="R1100" s="18">
        <f t="shared" si="175"/>
        <v>18050.2945</v>
      </c>
      <c r="S1100" s="18">
        <f t="shared" si="177"/>
        <v>9167.1</v>
      </c>
    </row>
    <row r="1101" spans="1:19" ht="15" customHeight="1" x14ac:dyDescent="0.2">
      <c r="A1101" s="14">
        <f t="shared" si="176"/>
        <v>1065</v>
      </c>
      <c r="B1101" s="31" t="s">
        <v>1002</v>
      </c>
      <c r="C1101" s="15" t="s">
        <v>3</v>
      </c>
      <c r="D1101" s="31" t="s">
        <v>500</v>
      </c>
      <c r="E1101" s="31"/>
      <c r="F1101" s="73" t="s">
        <v>4</v>
      </c>
      <c r="G1101" s="32">
        <v>31778</v>
      </c>
      <c r="H1101" s="29">
        <v>21566</v>
      </c>
      <c r="I1101" s="17">
        <v>0</v>
      </c>
      <c r="J1101" s="17">
        <f t="shared" si="178"/>
        <v>20487.7</v>
      </c>
      <c r="K1101" s="17">
        <f t="shared" si="172"/>
        <v>1078.2999999999993</v>
      </c>
      <c r="L1101" s="23">
        <f t="shared" si="180"/>
        <v>1078.3</v>
      </c>
      <c r="M1101" s="33">
        <v>15</v>
      </c>
      <c r="N1101" s="18">
        <f t="shared" si="173"/>
        <v>33.273972602739725</v>
      </c>
      <c r="O1101" s="23">
        <v>50074.5</v>
      </c>
      <c r="P1101" s="18">
        <f t="shared" si="174"/>
        <v>34.273972602739725</v>
      </c>
      <c r="Q1101" s="18">
        <f t="shared" si="179"/>
        <v>-4.5474735088646414E-14</v>
      </c>
      <c r="R1101" s="18">
        <f t="shared" si="175"/>
        <v>50074.5</v>
      </c>
      <c r="S1101" s="18">
        <f t="shared" si="177"/>
        <v>1078.3</v>
      </c>
    </row>
    <row r="1102" spans="1:19" ht="15" customHeight="1" x14ac:dyDescent="0.2">
      <c r="A1102" s="14">
        <f t="shared" si="176"/>
        <v>1066</v>
      </c>
      <c r="B1102" s="31" t="s">
        <v>1003</v>
      </c>
      <c r="C1102" s="15" t="s">
        <v>3</v>
      </c>
      <c r="D1102" s="31" t="s">
        <v>500</v>
      </c>
      <c r="E1102" s="31"/>
      <c r="F1102" s="73" t="s">
        <v>11</v>
      </c>
      <c r="G1102" s="32">
        <v>28491</v>
      </c>
      <c r="H1102" s="29">
        <v>194723</v>
      </c>
      <c r="I1102" s="17">
        <v>0</v>
      </c>
      <c r="J1102" s="17">
        <f t="shared" si="178"/>
        <v>184986.85</v>
      </c>
      <c r="K1102" s="17">
        <f t="shared" si="172"/>
        <v>9736.1499999999942</v>
      </c>
      <c r="L1102" s="23">
        <f t="shared" si="180"/>
        <v>9736.15</v>
      </c>
      <c r="M1102" s="33">
        <v>25</v>
      </c>
      <c r="N1102" s="18">
        <f t="shared" si="173"/>
        <v>42.279452054794518</v>
      </c>
      <c r="O1102" s="23">
        <v>439128</v>
      </c>
      <c r="P1102" s="18">
        <f t="shared" si="174"/>
        <v>43.279452054794518</v>
      </c>
      <c r="Q1102" s="18">
        <f t="shared" si="179"/>
        <v>-2.1827872842550277E-13</v>
      </c>
      <c r="R1102" s="18">
        <f t="shared" si="175"/>
        <v>439128</v>
      </c>
      <c r="S1102" s="18">
        <f t="shared" si="177"/>
        <v>9736.15</v>
      </c>
    </row>
    <row r="1103" spans="1:19" ht="15" customHeight="1" x14ac:dyDescent="0.2">
      <c r="A1103" s="14">
        <f t="shared" si="176"/>
        <v>1067</v>
      </c>
      <c r="B1103" s="31" t="s">
        <v>1004</v>
      </c>
      <c r="C1103" s="15" t="s">
        <v>3</v>
      </c>
      <c r="D1103" s="31" t="s">
        <v>500</v>
      </c>
      <c r="E1103" s="31"/>
      <c r="F1103" s="73" t="s">
        <v>4</v>
      </c>
      <c r="G1103" s="32">
        <v>28491</v>
      </c>
      <c r="H1103" s="29">
        <v>58777</v>
      </c>
      <c r="I1103" s="17">
        <v>0</v>
      </c>
      <c r="J1103" s="17">
        <f t="shared" si="178"/>
        <v>55838.15</v>
      </c>
      <c r="K1103" s="17">
        <f t="shared" si="172"/>
        <v>2938.8499999999985</v>
      </c>
      <c r="L1103" s="23">
        <f t="shared" si="180"/>
        <v>2938.8500000000004</v>
      </c>
      <c r="M1103" s="33">
        <v>25</v>
      </c>
      <c r="N1103" s="18">
        <f t="shared" si="173"/>
        <v>42.279452054794518</v>
      </c>
      <c r="O1103" s="23">
        <v>50074.5</v>
      </c>
      <c r="P1103" s="18">
        <f t="shared" si="174"/>
        <v>43.279452054794518</v>
      </c>
      <c r="Q1103" s="18">
        <f t="shared" si="179"/>
        <v>-7.2759576141834261E-14</v>
      </c>
      <c r="R1103" s="18">
        <f t="shared" si="175"/>
        <v>50074.5</v>
      </c>
      <c r="S1103" s="18">
        <f t="shared" si="177"/>
        <v>2938.8500000000004</v>
      </c>
    </row>
    <row r="1104" spans="1:19" ht="15" customHeight="1" x14ac:dyDescent="0.2">
      <c r="A1104" s="14">
        <f t="shared" si="176"/>
        <v>1068</v>
      </c>
      <c r="B1104" s="31" t="s">
        <v>1005</v>
      </c>
      <c r="C1104" s="15" t="s">
        <v>3</v>
      </c>
      <c r="D1104" s="31" t="s">
        <v>500</v>
      </c>
      <c r="E1104" s="31"/>
      <c r="F1104" s="73" t="s">
        <v>11</v>
      </c>
      <c r="G1104" s="32">
        <v>28491</v>
      </c>
      <c r="H1104" s="29">
        <v>35464</v>
      </c>
      <c r="I1104" s="17">
        <v>0</v>
      </c>
      <c r="J1104" s="17">
        <f t="shared" si="178"/>
        <v>33690.800000000003</v>
      </c>
      <c r="K1104" s="17">
        <f t="shared" si="172"/>
        <v>1773.1999999999971</v>
      </c>
      <c r="L1104" s="23">
        <f t="shared" si="180"/>
        <v>1773.2</v>
      </c>
      <c r="M1104" s="33">
        <v>25</v>
      </c>
      <c r="N1104" s="18">
        <f t="shared" si="173"/>
        <v>42.279452054794518</v>
      </c>
      <c r="O1104" s="23">
        <v>35150</v>
      </c>
      <c r="P1104" s="18">
        <f t="shared" si="174"/>
        <v>43.279452054794518</v>
      </c>
      <c r="Q1104" s="18">
        <f t="shared" si="179"/>
        <v>-1.1823431123048067E-13</v>
      </c>
      <c r="R1104" s="18">
        <f t="shared" si="175"/>
        <v>35150</v>
      </c>
      <c r="S1104" s="18">
        <f t="shared" si="177"/>
        <v>1773.2</v>
      </c>
    </row>
    <row r="1105" spans="1:19" ht="15" customHeight="1" x14ac:dyDescent="0.2">
      <c r="A1105" s="14">
        <f t="shared" si="176"/>
        <v>1069</v>
      </c>
      <c r="B1105" s="31" t="s">
        <v>1006</v>
      </c>
      <c r="C1105" s="15" t="s">
        <v>3</v>
      </c>
      <c r="D1105" s="31" t="s">
        <v>500</v>
      </c>
      <c r="E1105" s="31"/>
      <c r="F1105" s="73" t="s">
        <v>11</v>
      </c>
      <c r="G1105" s="32">
        <v>28491</v>
      </c>
      <c r="H1105" s="29">
        <v>20712</v>
      </c>
      <c r="I1105" s="17">
        <v>0</v>
      </c>
      <c r="J1105" s="17">
        <f t="shared" si="178"/>
        <v>19676.400000000001</v>
      </c>
      <c r="K1105" s="17">
        <f t="shared" si="172"/>
        <v>1035.5999999999985</v>
      </c>
      <c r="L1105" s="23">
        <f t="shared" si="180"/>
        <v>1035.6000000000001</v>
      </c>
      <c r="M1105" s="33">
        <v>25</v>
      </c>
      <c r="N1105" s="18">
        <f t="shared" si="173"/>
        <v>42.279452054794518</v>
      </c>
      <c r="O1105" s="23">
        <v>18525</v>
      </c>
      <c r="P1105" s="18">
        <f t="shared" si="174"/>
        <v>43.279452054794518</v>
      </c>
      <c r="Q1105" s="18">
        <f t="shared" si="179"/>
        <v>-6.3664629124104983E-14</v>
      </c>
      <c r="R1105" s="18">
        <f t="shared" si="175"/>
        <v>18525</v>
      </c>
      <c r="S1105" s="18">
        <f t="shared" si="177"/>
        <v>1035.6000000000001</v>
      </c>
    </row>
    <row r="1106" spans="1:19" ht="15" customHeight="1" x14ac:dyDescent="0.2">
      <c r="A1106" s="14">
        <f t="shared" si="176"/>
        <v>1070</v>
      </c>
      <c r="B1106" s="31" t="s">
        <v>1007</v>
      </c>
      <c r="C1106" s="15" t="s">
        <v>3</v>
      </c>
      <c r="D1106" s="31" t="s">
        <v>500</v>
      </c>
      <c r="E1106" s="31"/>
      <c r="F1106" s="73" t="s">
        <v>11</v>
      </c>
      <c r="G1106" s="32">
        <v>28491</v>
      </c>
      <c r="H1106" s="29">
        <v>14372</v>
      </c>
      <c r="I1106" s="17">
        <v>0</v>
      </c>
      <c r="J1106" s="17">
        <f t="shared" si="178"/>
        <v>13653.4</v>
      </c>
      <c r="K1106" s="17">
        <f t="shared" si="172"/>
        <v>718.60000000000036</v>
      </c>
      <c r="L1106" s="23">
        <f t="shared" si="180"/>
        <v>718.6</v>
      </c>
      <c r="M1106" s="33">
        <v>25</v>
      </c>
      <c r="N1106" s="18">
        <f t="shared" si="173"/>
        <v>42.279452054794518</v>
      </c>
      <c r="O1106" s="23">
        <v>47500</v>
      </c>
      <c r="P1106" s="18">
        <f t="shared" si="174"/>
        <v>43.279452054794518</v>
      </c>
      <c r="Q1106" s="18">
        <f t="shared" si="179"/>
        <v>1.3642420526593923E-14</v>
      </c>
      <c r="R1106" s="18">
        <f t="shared" si="175"/>
        <v>47500</v>
      </c>
      <c r="S1106" s="18">
        <f t="shared" si="177"/>
        <v>718.6</v>
      </c>
    </row>
    <row r="1107" spans="1:19" ht="15" customHeight="1" x14ac:dyDescent="0.2">
      <c r="A1107" s="14">
        <f t="shared" si="176"/>
        <v>1071</v>
      </c>
      <c r="B1107" s="31" t="s">
        <v>1008</v>
      </c>
      <c r="C1107" s="15" t="s">
        <v>3</v>
      </c>
      <c r="D1107" s="31" t="s">
        <v>500</v>
      </c>
      <c r="E1107" s="31"/>
      <c r="F1107" s="73" t="s">
        <v>11</v>
      </c>
      <c r="G1107" s="32">
        <v>28491</v>
      </c>
      <c r="H1107" s="29">
        <v>12602</v>
      </c>
      <c r="I1107" s="17">
        <v>0</v>
      </c>
      <c r="J1107" s="17">
        <f t="shared" si="178"/>
        <v>11971.9</v>
      </c>
      <c r="K1107" s="17">
        <f t="shared" si="172"/>
        <v>630.10000000000036</v>
      </c>
      <c r="L1107" s="23">
        <f t="shared" si="180"/>
        <v>630.1</v>
      </c>
      <c r="M1107" s="33">
        <v>25</v>
      </c>
      <c r="N1107" s="18">
        <f t="shared" si="173"/>
        <v>42.279452054794518</v>
      </c>
      <c r="O1107" s="23">
        <v>47025</v>
      </c>
      <c r="P1107" s="18">
        <f t="shared" si="174"/>
        <v>43.279452054794518</v>
      </c>
      <c r="Q1107" s="18">
        <f t="shared" si="179"/>
        <v>1.3642420526593923E-14</v>
      </c>
      <c r="R1107" s="18">
        <f t="shared" si="175"/>
        <v>47025</v>
      </c>
      <c r="S1107" s="18">
        <f t="shared" si="177"/>
        <v>630.1</v>
      </c>
    </row>
    <row r="1108" spans="1:19" ht="15" customHeight="1" x14ac:dyDescent="0.2">
      <c r="A1108" s="14">
        <f t="shared" si="176"/>
        <v>1072</v>
      </c>
      <c r="B1108" s="31" t="s">
        <v>1009</v>
      </c>
      <c r="C1108" s="15" t="s">
        <v>3</v>
      </c>
      <c r="D1108" s="31" t="s">
        <v>500</v>
      </c>
      <c r="E1108" s="31"/>
      <c r="F1108" s="73" t="s">
        <v>11</v>
      </c>
      <c r="G1108" s="32">
        <v>28491</v>
      </c>
      <c r="H1108" s="29">
        <v>3928</v>
      </c>
      <c r="I1108" s="17">
        <v>0</v>
      </c>
      <c r="J1108" s="17">
        <f t="shared" si="178"/>
        <v>3731.6</v>
      </c>
      <c r="K1108" s="17">
        <f t="shared" si="172"/>
        <v>196.40000000000009</v>
      </c>
      <c r="L1108" s="23">
        <f t="shared" si="180"/>
        <v>196.4</v>
      </c>
      <c r="M1108" s="33">
        <v>25</v>
      </c>
      <c r="N1108" s="18">
        <f t="shared" si="173"/>
        <v>42.279452054794518</v>
      </c>
      <c r="O1108" s="23">
        <v>18050.2945</v>
      </c>
      <c r="P1108" s="18">
        <f t="shared" si="174"/>
        <v>43.279452054794518</v>
      </c>
      <c r="Q1108" s="18">
        <f t="shared" si="179"/>
        <v>3.4106051316484808E-15</v>
      </c>
      <c r="R1108" s="18">
        <f t="shared" si="175"/>
        <v>18050.2945</v>
      </c>
      <c r="S1108" s="18">
        <f t="shared" si="177"/>
        <v>196.4</v>
      </c>
    </row>
    <row r="1109" spans="1:19" ht="15" customHeight="1" x14ac:dyDescent="0.2">
      <c r="A1109" s="14">
        <f t="shared" si="176"/>
        <v>1073</v>
      </c>
      <c r="B1109" s="31" t="s">
        <v>1010</v>
      </c>
      <c r="C1109" s="15" t="s">
        <v>3</v>
      </c>
      <c r="D1109" s="31" t="s">
        <v>500</v>
      </c>
      <c r="E1109" s="31"/>
      <c r="F1109" s="73" t="s">
        <v>14</v>
      </c>
      <c r="G1109" s="32">
        <v>32143</v>
      </c>
      <c r="H1109" s="29">
        <v>103261</v>
      </c>
      <c r="I1109" s="17">
        <v>0</v>
      </c>
      <c r="J1109" s="17">
        <f t="shared" si="178"/>
        <v>98097.95</v>
      </c>
      <c r="K1109" s="17">
        <f t="shared" si="172"/>
        <v>5163.0500000000029</v>
      </c>
      <c r="L1109" s="23">
        <f t="shared" si="180"/>
        <v>5163.05</v>
      </c>
      <c r="M1109" s="33">
        <v>15</v>
      </c>
      <c r="N1109" s="18">
        <f t="shared" si="173"/>
        <v>32.273972602739725</v>
      </c>
      <c r="O1109" s="23">
        <v>9797.2644999999993</v>
      </c>
      <c r="P1109" s="18">
        <f t="shared" si="174"/>
        <v>33.273972602739725</v>
      </c>
      <c r="Q1109" s="18">
        <f t="shared" si="179"/>
        <v>1.8189894035458566E-13</v>
      </c>
      <c r="R1109" s="18">
        <f t="shared" si="175"/>
        <v>9797.2644999999993</v>
      </c>
      <c r="S1109" s="18">
        <f t="shared" si="177"/>
        <v>5163.05</v>
      </c>
    </row>
    <row r="1110" spans="1:19" ht="15" customHeight="1" x14ac:dyDescent="0.2">
      <c r="A1110" s="14">
        <f t="shared" si="176"/>
        <v>1074</v>
      </c>
      <c r="B1110" s="31" t="s">
        <v>1011</v>
      </c>
      <c r="C1110" s="15" t="s">
        <v>3</v>
      </c>
      <c r="D1110" s="31" t="s">
        <v>500</v>
      </c>
      <c r="E1110" s="31"/>
      <c r="F1110" s="70" t="s">
        <v>7</v>
      </c>
      <c r="G1110" s="32">
        <v>37287</v>
      </c>
      <c r="H1110" s="29">
        <v>348497</v>
      </c>
      <c r="I1110" s="17">
        <v>0</v>
      </c>
      <c r="J1110" s="17">
        <f t="shared" si="178"/>
        <v>331072.15000000002</v>
      </c>
      <c r="K1110" s="17">
        <f t="shared" si="172"/>
        <v>17424.849999999977</v>
      </c>
      <c r="L1110" s="23">
        <f t="shared" si="180"/>
        <v>17424.850000000002</v>
      </c>
      <c r="M1110" s="33">
        <v>15</v>
      </c>
      <c r="N1110" s="18">
        <f t="shared" si="173"/>
        <v>18.18082191780822</v>
      </c>
      <c r="O1110" s="23">
        <v>42275</v>
      </c>
      <c r="P1110" s="18">
        <f t="shared" si="174"/>
        <v>19.18082191780822</v>
      </c>
      <c r="Q1110" s="18">
        <f t="shared" si="179"/>
        <v>-1.6977234433094661E-12</v>
      </c>
      <c r="R1110" s="18">
        <f t="shared" si="175"/>
        <v>42275</v>
      </c>
      <c r="S1110" s="18">
        <f t="shared" si="177"/>
        <v>17424.850000000002</v>
      </c>
    </row>
    <row r="1111" spans="1:19" ht="15" customHeight="1" x14ac:dyDescent="0.2">
      <c r="A1111" s="14">
        <f t="shared" si="176"/>
        <v>1075</v>
      </c>
      <c r="B1111" s="31" t="s">
        <v>1012</v>
      </c>
      <c r="C1111" s="15" t="s">
        <v>3</v>
      </c>
      <c r="D1111" s="31" t="s">
        <v>500</v>
      </c>
      <c r="E1111" s="31"/>
      <c r="F1111" s="70" t="s">
        <v>7</v>
      </c>
      <c r="G1111" s="32">
        <v>38001</v>
      </c>
      <c r="H1111" s="29">
        <v>188180</v>
      </c>
      <c r="I1111" s="17">
        <v>0</v>
      </c>
      <c r="J1111" s="17">
        <f t="shared" si="178"/>
        <v>178771</v>
      </c>
      <c r="K1111" s="17">
        <f t="shared" si="172"/>
        <v>9409</v>
      </c>
      <c r="L1111" s="23">
        <f t="shared" si="180"/>
        <v>9409</v>
      </c>
      <c r="M1111" s="33">
        <v>15</v>
      </c>
      <c r="N1111" s="18">
        <f t="shared" si="173"/>
        <v>16.224657534246575</v>
      </c>
      <c r="O1111" s="23">
        <v>13385.5</v>
      </c>
      <c r="P1111" s="18">
        <f t="shared" si="174"/>
        <v>17.224657534246575</v>
      </c>
      <c r="Q1111" s="18">
        <f t="shared" si="179"/>
        <v>0</v>
      </c>
      <c r="R1111" s="18">
        <f t="shared" si="175"/>
        <v>13385.5</v>
      </c>
      <c r="S1111" s="18">
        <f t="shared" si="177"/>
        <v>9409</v>
      </c>
    </row>
    <row r="1112" spans="1:19" ht="15" customHeight="1" x14ac:dyDescent="0.2">
      <c r="A1112" s="14">
        <f t="shared" si="176"/>
        <v>1076</v>
      </c>
      <c r="B1112" s="31" t="s">
        <v>507</v>
      </c>
      <c r="C1112" s="15" t="s">
        <v>3</v>
      </c>
      <c r="D1112" s="31" t="s">
        <v>500</v>
      </c>
      <c r="E1112" s="31"/>
      <c r="F1112" s="70" t="s">
        <v>7</v>
      </c>
      <c r="G1112" s="32">
        <v>38655</v>
      </c>
      <c r="H1112" s="29">
        <v>171162.67</v>
      </c>
      <c r="I1112" s="17">
        <v>0</v>
      </c>
      <c r="J1112" s="17">
        <v>113065.83935260275</v>
      </c>
      <c r="K1112" s="17">
        <f t="shared" si="172"/>
        <v>58096.830647397263</v>
      </c>
      <c r="L1112" s="23">
        <f t="shared" si="180"/>
        <v>8558.1335000000017</v>
      </c>
      <c r="M1112" s="33">
        <v>15</v>
      </c>
      <c r="N1112" s="18">
        <f t="shared" si="173"/>
        <v>14.432876712328767</v>
      </c>
      <c r="O1112" s="23">
        <v>17456.25</v>
      </c>
      <c r="P1112" s="18">
        <f t="shared" si="174"/>
        <v>15.432876712328767</v>
      </c>
      <c r="Q1112" s="18">
        <f t="shared" si="179"/>
        <v>3302.5798098264841</v>
      </c>
      <c r="R1112" s="18">
        <f t="shared" si="175"/>
        <v>20758.829809826486</v>
      </c>
      <c r="S1112" s="18">
        <f t="shared" si="177"/>
        <v>8558.1335000000017</v>
      </c>
    </row>
    <row r="1113" spans="1:19" ht="15" customHeight="1" x14ac:dyDescent="0.2">
      <c r="A1113" s="14">
        <f t="shared" si="176"/>
        <v>1077</v>
      </c>
      <c r="B1113" s="31" t="s">
        <v>1002</v>
      </c>
      <c r="C1113" s="15" t="s">
        <v>3</v>
      </c>
      <c r="D1113" s="31" t="s">
        <v>500</v>
      </c>
      <c r="E1113" s="31"/>
      <c r="F1113" s="73" t="s">
        <v>11</v>
      </c>
      <c r="G1113" s="32">
        <v>32143</v>
      </c>
      <c r="H1113" s="29">
        <v>18815</v>
      </c>
      <c r="I1113" s="17">
        <v>0</v>
      </c>
      <c r="J1113" s="17">
        <f t="shared" si="178"/>
        <v>17874.25</v>
      </c>
      <c r="K1113" s="17">
        <f t="shared" si="172"/>
        <v>940.75</v>
      </c>
      <c r="L1113" s="23">
        <f t="shared" si="180"/>
        <v>940.75</v>
      </c>
      <c r="M1113" s="33">
        <v>15</v>
      </c>
      <c r="N1113" s="18">
        <f t="shared" si="173"/>
        <v>32.273972602739725</v>
      </c>
      <c r="O1113" s="23">
        <v>93822.95</v>
      </c>
      <c r="P1113" s="18">
        <f t="shared" si="174"/>
        <v>33.273972602739725</v>
      </c>
      <c r="Q1113" s="18">
        <f t="shared" si="179"/>
        <v>0</v>
      </c>
      <c r="R1113" s="18">
        <f t="shared" si="175"/>
        <v>93822.95</v>
      </c>
      <c r="S1113" s="18">
        <f t="shared" si="177"/>
        <v>940.75</v>
      </c>
    </row>
    <row r="1114" spans="1:19" ht="15" customHeight="1" x14ac:dyDescent="0.2">
      <c r="A1114" s="14">
        <f t="shared" si="176"/>
        <v>1078</v>
      </c>
      <c r="B1114" s="31" t="s">
        <v>1013</v>
      </c>
      <c r="C1114" s="15" t="s">
        <v>3</v>
      </c>
      <c r="D1114" s="31" t="s">
        <v>500</v>
      </c>
      <c r="E1114" s="31"/>
      <c r="F1114" s="73" t="s">
        <v>11</v>
      </c>
      <c r="G1114" s="32">
        <v>33984</v>
      </c>
      <c r="H1114" s="29">
        <v>1289346</v>
      </c>
      <c r="I1114" s="17">
        <v>0</v>
      </c>
      <c r="J1114" s="17">
        <f t="shared" si="178"/>
        <v>1224878.7</v>
      </c>
      <c r="K1114" s="17">
        <f t="shared" si="172"/>
        <v>64467.300000000047</v>
      </c>
      <c r="L1114" s="23">
        <f t="shared" si="180"/>
        <v>64467.3</v>
      </c>
      <c r="M1114" s="33">
        <v>10</v>
      </c>
      <c r="N1114" s="18">
        <f t="shared" si="173"/>
        <v>27.230136986301371</v>
      </c>
      <c r="O1114" s="23">
        <v>125252.75</v>
      </c>
      <c r="P1114" s="18">
        <f t="shared" si="174"/>
        <v>28.230136986301371</v>
      </c>
      <c r="Q1114" s="18">
        <f t="shared" si="179"/>
        <v>4.3655745685100562E-12</v>
      </c>
      <c r="R1114" s="18">
        <f t="shared" si="175"/>
        <v>125252.75</v>
      </c>
      <c r="S1114" s="18">
        <f t="shared" si="177"/>
        <v>64467.3</v>
      </c>
    </row>
    <row r="1115" spans="1:19" ht="15" customHeight="1" x14ac:dyDescent="0.2">
      <c r="A1115" s="14">
        <f t="shared" si="176"/>
        <v>1079</v>
      </c>
      <c r="B1115" s="31" t="s">
        <v>1014</v>
      </c>
      <c r="C1115" s="15" t="s">
        <v>3</v>
      </c>
      <c r="D1115" s="31" t="s">
        <v>500</v>
      </c>
      <c r="E1115" s="31"/>
      <c r="F1115" s="73" t="s">
        <v>11</v>
      </c>
      <c r="G1115" s="32">
        <v>33984</v>
      </c>
      <c r="H1115" s="29">
        <v>21244</v>
      </c>
      <c r="I1115" s="17">
        <v>0</v>
      </c>
      <c r="J1115" s="17">
        <f t="shared" si="178"/>
        <v>20181.8</v>
      </c>
      <c r="K1115" s="17">
        <f t="shared" si="172"/>
        <v>1062.2000000000007</v>
      </c>
      <c r="L1115" s="23">
        <f t="shared" si="180"/>
        <v>1062.2</v>
      </c>
      <c r="M1115" s="33">
        <v>10</v>
      </c>
      <c r="N1115" s="18">
        <f t="shared" si="173"/>
        <v>27.230136986301371</v>
      </c>
      <c r="O1115" s="23">
        <v>32300</v>
      </c>
      <c r="P1115" s="18">
        <f t="shared" si="174"/>
        <v>28.230136986301371</v>
      </c>
      <c r="Q1115" s="18">
        <f t="shared" si="179"/>
        <v>6.8212102632969628E-14</v>
      </c>
      <c r="R1115" s="18">
        <f t="shared" si="175"/>
        <v>32300</v>
      </c>
      <c r="S1115" s="18">
        <f t="shared" si="177"/>
        <v>1062.2</v>
      </c>
    </row>
    <row r="1116" spans="1:19" ht="15" customHeight="1" x14ac:dyDescent="0.2">
      <c r="A1116" s="14">
        <f t="shared" si="176"/>
        <v>1080</v>
      </c>
      <c r="B1116" s="31" t="s">
        <v>1015</v>
      </c>
      <c r="C1116" s="15" t="s">
        <v>3</v>
      </c>
      <c r="D1116" s="31" t="s">
        <v>500</v>
      </c>
      <c r="E1116" s="31"/>
      <c r="F1116" s="73" t="s">
        <v>11</v>
      </c>
      <c r="G1116" s="32">
        <v>28856</v>
      </c>
      <c r="H1116" s="29">
        <v>17160</v>
      </c>
      <c r="I1116" s="17">
        <v>0</v>
      </c>
      <c r="J1116" s="17">
        <f t="shared" si="178"/>
        <v>16302</v>
      </c>
      <c r="K1116" s="17">
        <f t="shared" si="172"/>
        <v>858</v>
      </c>
      <c r="L1116" s="23">
        <f t="shared" si="180"/>
        <v>858</v>
      </c>
      <c r="M1116" s="33">
        <v>25</v>
      </c>
      <c r="N1116" s="18">
        <f t="shared" si="173"/>
        <v>41.279452054794518</v>
      </c>
      <c r="O1116" s="23">
        <v>34247.5</v>
      </c>
      <c r="P1116" s="18">
        <f t="shared" si="174"/>
        <v>42.279452054794518</v>
      </c>
      <c r="Q1116" s="18">
        <f t="shared" si="179"/>
        <v>0</v>
      </c>
      <c r="R1116" s="18">
        <f t="shared" si="175"/>
        <v>34247.5</v>
      </c>
      <c r="S1116" s="18">
        <f t="shared" si="177"/>
        <v>858</v>
      </c>
    </row>
    <row r="1117" spans="1:19" ht="15" customHeight="1" x14ac:dyDescent="0.2">
      <c r="A1117" s="14">
        <f t="shared" si="176"/>
        <v>1081</v>
      </c>
      <c r="B1117" s="31" t="s">
        <v>1010</v>
      </c>
      <c r="C1117" s="15" t="s">
        <v>3</v>
      </c>
      <c r="D1117" s="31" t="s">
        <v>500</v>
      </c>
      <c r="E1117" s="31"/>
      <c r="F1117" s="73" t="s">
        <v>14</v>
      </c>
      <c r="G1117" s="32">
        <v>32509</v>
      </c>
      <c r="H1117" s="29">
        <v>66418</v>
      </c>
      <c r="I1117" s="17">
        <v>0</v>
      </c>
      <c r="J1117" s="17">
        <f t="shared" si="178"/>
        <v>63097.1</v>
      </c>
      <c r="K1117" s="17">
        <f t="shared" si="172"/>
        <v>3320.9000000000015</v>
      </c>
      <c r="L1117" s="23">
        <f t="shared" si="180"/>
        <v>3320.9</v>
      </c>
      <c r="M1117" s="33">
        <v>15</v>
      </c>
      <c r="N1117" s="18">
        <f t="shared" si="173"/>
        <v>31.271232876712329</v>
      </c>
      <c r="O1117" s="23">
        <v>15919.15</v>
      </c>
      <c r="P1117" s="18">
        <f t="shared" si="174"/>
        <v>32.271232876712325</v>
      </c>
      <c r="Q1117" s="18">
        <f t="shared" si="179"/>
        <v>9.0949470177292501E-14</v>
      </c>
      <c r="R1117" s="18">
        <f t="shared" si="175"/>
        <v>15919.15</v>
      </c>
      <c r="S1117" s="18">
        <f t="shared" si="177"/>
        <v>3320.9</v>
      </c>
    </row>
    <row r="1118" spans="1:19" ht="15" customHeight="1" x14ac:dyDescent="0.2">
      <c r="A1118" s="14">
        <f t="shared" si="176"/>
        <v>1082</v>
      </c>
      <c r="B1118" s="31" t="s">
        <v>1016</v>
      </c>
      <c r="C1118" s="15" t="s">
        <v>3</v>
      </c>
      <c r="D1118" s="31" t="s">
        <v>500</v>
      </c>
      <c r="E1118" s="31"/>
      <c r="F1118" s="73" t="s">
        <v>11</v>
      </c>
      <c r="G1118" s="32">
        <v>32509</v>
      </c>
      <c r="H1118" s="29">
        <v>14718</v>
      </c>
      <c r="I1118" s="17">
        <v>0</v>
      </c>
      <c r="J1118" s="17">
        <f t="shared" si="178"/>
        <v>13982.1</v>
      </c>
      <c r="K1118" s="17">
        <f t="shared" si="172"/>
        <v>735.89999999999964</v>
      </c>
      <c r="L1118" s="23">
        <f t="shared" si="180"/>
        <v>735.90000000000009</v>
      </c>
      <c r="M1118" s="33">
        <v>15</v>
      </c>
      <c r="N1118" s="18">
        <f t="shared" si="173"/>
        <v>31.271232876712329</v>
      </c>
      <c r="O1118" s="23">
        <v>3325</v>
      </c>
      <c r="P1118" s="18">
        <f t="shared" si="174"/>
        <v>32.271232876712325</v>
      </c>
      <c r="Q1118" s="18">
        <f t="shared" si="179"/>
        <v>-3.03164900590975E-14</v>
      </c>
      <c r="R1118" s="18">
        <f t="shared" si="175"/>
        <v>3325</v>
      </c>
      <c r="S1118" s="18">
        <f t="shared" si="177"/>
        <v>735.90000000000009</v>
      </c>
    </row>
    <row r="1119" spans="1:19" ht="15" customHeight="1" x14ac:dyDescent="0.2">
      <c r="A1119" s="14">
        <f t="shared" si="176"/>
        <v>1083</v>
      </c>
      <c r="B1119" s="31" t="s">
        <v>1017</v>
      </c>
      <c r="C1119" s="15" t="s">
        <v>3</v>
      </c>
      <c r="D1119" s="31" t="s">
        <v>500</v>
      </c>
      <c r="E1119" s="31"/>
      <c r="F1119" s="73" t="s">
        <v>11</v>
      </c>
      <c r="G1119" s="32">
        <v>34644</v>
      </c>
      <c r="H1119" s="29">
        <v>142926.97</v>
      </c>
      <c r="I1119" s="17">
        <v>0</v>
      </c>
      <c r="J1119" s="17">
        <f t="shared" si="178"/>
        <v>135780.62150000001</v>
      </c>
      <c r="K1119" s="17">
        <f t="shared" si="172"/>
        <v>7146.3484999999928</v>
      </c>
      <c r="L1119" s="23">
        <f t="shared" si="180"/>
        <v>7146.3485000000001</v>
      </c>
      <c r="M1119" s="33">
        <v>10</v>
      </c>
      <c r="N1119" s="18">
        <f t="shared" si="173"/>
        <v>25.421917808219177</v>
      </c>
      <c r="O1119" s="23">
        <v>3890.25</v>
      </c>
      <c r="P1119" s="18">
        <f t="shared" si="174"/>
        <v>26.421917808219177</v>
      </c>
      <c r="Q1119" s="18">
        <f t="shared" si="179"/>
        <v>-7.2759576141834263E-13</v>
      </c>
      <c r="R1119" s="18">
        <f t="shared" si="175"/>
        <v>3890.2499999999991</v>
      </c>
      <c r="S1119" s="18">
        <f t="shared" si="177"/>
        <v>7146.3485000000001</v>
      </c>
    </row>
    <row r="1120" spans="1:19" ht="15" customHeight="1" x14ac:dyDescent="0.2">
      <c r="A1120" s="14">
        <f t="shared" si="176"/>
        <v>1084</v>
      </c>
      <c r="B1120" s="31" t="s">
        <v>1018</v>
      </c>
      <c r="C1120" s="15" t="s">
        <v>3</v>
      </c>
      <c r="D1120" s="31" t="s">
        <v>500</v>
      </c>
      <c r="E1120" s="31"/>
      <c r="F1120" s="73" t="s">
        <v>11</v>
      </c>
      <c r="G1120" s="32">
        <v>29221</v>
      </c>
      <c r="H1120" s="29">
        <v>25163</v>
      </c>
      <c r="I1120" s="17">
        <v>0</v>
      </c>
      <c r="J1120" s="17">
        <f t="shared" si="178"/>
        <v>23904.85</v>
      </c>
      <c r="K1120" s="17">
        <f t="shared" si="172"/>
        <v>1258.1500000000015</v>
      </c>
      <c r="L1120" s="23">
        <f t="shared" si="180"/>
        <v>1258.1500000000001</v>
      </c>
      <c r="M1120" s="33">
        <v>25</v>
      </c>
      <c r="N1120" s="18">
        <f t="shared" si="173"/>
        <v>40.279452054794518</v>
      </c>
      <c r="O1120" s="23">
        <v>11015.25</v>
      </c>
      <c r="P1120" s="18">
        <f t="shared" si="174"/>
        <v>41.279452054794518</v>
      </c>
      <c r="Q1120" s="18">
        <f t="shared" si="179"/>
        <v>5.4569682106375692E-14</v>
      </c>
      <c r="R1120" s="18">
        <f t="shared" si="175"/>
        <v>11015.25</v>
      </c>
      <c r="S1120" s="18">
        <f t="shared" si="177"/>
        <v>1258.1500000000001</v>
      </c>
    </row>
    <row r="1121" spans="1:19" ht="15" customHeight="1" x14ac:dyDescent="0.2">
      <c r="A1121" s="14">
        <f t="shared" si="176"/>
        <v>1085</v>
      </c>
      <c r="B1121" s="31" t="s">
        <v>1019</v>
      </c>
      <c r="C1121" s="15" t="s">
        <v>3</v>
      </c>
      <c r="D1121" s="31" t="s">
        <v>500</v>
      </c>
      <c r="E1121" s="31"/>
      <c r="F1121" s="70" t="s">
        <v>7</v>
      </c>
      <c r="G1121" s="32">
        <v>35764</v>
      </c>
      <c r="H1121" s="29">
        <v>1743493</v>
      </c>
      <c r="I1121" s="17">
        <v>0</v>
      </c>
      <c r="J1121" s="17">
        <f t="shared" si="178"/>
        <v>1656318.35</v>
      </c>
      <c r="K1121" s="17">
        <f t="shared" si="172"/>
        <v>87174.649999999907</v>
      </c>
      <c r="L1121" s="23">
        <f t="shared" si="180"/>
        <v>87174.650000000009</v>
      </c>
      <c r="M1121" s="33">
        <v>15</v>
      </c>
      <c r="N1121" s="18">
        <f t="shared" si="173"/>
        <v>22.353424657534248</v>
      </c>
      <c r="O1121" s="23">
        <v>7590.5</v>
      </c>
      <c r="P1121" s="18">
        <f t="shared" si="174"/>
        <v>23.353424657534248</v>
      </c>
      <c r="Q1121" s="18">
        <f t="shared" si="179"/>
        <v>-6.7908937732378643E-12</v>
      </c>
      <c r="R1121" s="18">
        <f t="shared" si="175"/>
        <v>7590.4999999999936</v>
      </c>
      <c r="S1121" s="18">
        <f t="shared" si="177"/>
        <v>87174.650000000009</v>
      </c>
    </row>
    <row r="1122" spans="1:19" ht="15" customHeight="1" x14ac:dyDescent="0.2">
      <c r="A1122" s="14">
        <f t="shared" si="176"/>
        <v>1086</v>
      </c>
      <c r="B1122" s="31" t="s">
        <v>1020</v>
      </c>
      <c r="C1122" s="15" t="s">
        <v>3</v>
      </c>
      <c r="D1122" s="31" t="s">
        <v>500</v>
      </c>
      <c r="E1122" s="31"/>
      <c r="F1122" s="73" t="s">
        <v>4</v>
      </c>
      <c r="G1122" s="32">
        <v>34059</v>
      </c>
      <c r="H1122" s="29">
        <v>4254</v>
      </c>
      <c r="I1122" s="17">
        <v>0</v>
      </c>
      <c r="J1122" s="17">
        <f t="shared" si="178"/>
        <v>4041.3</v>
      </c>
      <c r="K1122" s="17">
        <f t="shared" si="172"/>
        <v>212.69999999999982</v>
      </c>
      <c r="L1122" s="23">
        <f t="shared" si="180"/>
        <v>212.70000000000002</v>
      </c>
      <c r="M1122" s="33">
        <v>15</v>
      </c>
      <c r="N1122" s="18">
        <f t="shared" si="173"/>
        <v>27.024657534246575</v>
      </c>
      <c r="O1122" s="23">
        <v>16957.5</v>
      </c>
      <c r="P1122" s="18">
        <f t="shared" si="174"/>
        <v>28.024657534246575</v>
      </c>
      <c r="Q1122" s="18">
        <f t="shared" si="179"/>
        <v>-1.3263464400855204E-14</v>
      </c>
      <c r="R1122" s="18">
        <f t="shared" si="175"/>
        <v>16957.5</v>
      </c>
      <c r="S1122" s="18">
        <f t="shared" si="177"/>
        <v>212.70000000000002</v>
      </c>
    </row>
    <row r="1123" spans="1:19" ht="15" customHeight="1" x14ac:dyDescent="0.2">
      <c r="A1123" s="14">
        <f t="shared" si="176"/>
        <v>1087</v>
      </c>
      <c r="B1123" s="31" t="s">
        <v>1021</v>
      </c>
      <c r="C1123" s="15" t="s">
        <v>3</v>
      </c>
      <c r="D1123" s="31" t="s">
        <v>500</v>
      </c>
      <c r="E1123" s="31"/>
      <c r="F1123" s="73" t="s">
        <v>4</v>
      </c>
      <c r="G1123" s="32">
        <v>29221</v>
      </c>
      <c r="H1123" s="29">
        <v>4701</v>
      </c>
      <c r="I1123" s="17">
        <v>0</v>
      </c>
      <c r="J1123" s="17">
        <f t="shared" si="178"/>
        <v>4465.95</v>
      </c>
      <c r="K1123" s="17">
        <f t="shared" si="172"/>
        <v>235.05000000000018</v>
      </c>
      <c r="L1123" s="23">
        <f t="shared" si="180"/>
        <v>235.05</v>
      </c>
      <c r="M1123" s="33">
        <v>25</v>
      </c>
      <c r="N1123" s="18">
        <f t="shared" si="173"/>
        <v>40.279452054794518</v>
      </c>
      <c r="O1123" s="23">
        <v>9932.8770000000004</v>
      </c>
      <c r="P1123" s="18">
        <f t="shared" si="174"/>
        <v>41.279452054794518</v>
      </c>
      <c r="Q1123" s="18">
        <f t="shared" si="179"/>
        <v>6.8212102632969615E-15</v>
      </c>
      <c r="R1123" s="18">
        <f t="shared" si="175"/>
        <v>9932.8770000000004</v>
      </c>
      <c r="S1123" s="18">
        <f t="shared" si="177"/>
        <v>235.05</v>
      </c>
    </row>
    <row r="1124" spans="1:19" ht="15" customHeight="1" x14ac:dyDescent="0.2">
      <c r="A1124" s="14">
        <f t="shared" si="176"/>
        <v>1088</v>
      </c>
      <c r="B1124" s="31" t="s">
        <v>1022</v>
      </c>
      <c r="C1124" s="15" t="s">
        <v>3</v>
      </c>
      <c r="D1124" s="31" t="s">
        <v>500</v>
      </c>
      <c r="E1124" s="31"/>
      <c r="F1124" s="73" t="s">
        <v>14</v>
      </c>
      <c r="G1124" s="32">
        <v>32874</v>
      </c>
      <c r="H1124" s="29">
        <v>1138205</v>
      </c>
      <c r="I1124" s="17">
        <v>0</v>
      </c>
      <c r="J1124" s="17">
        <f t="shared" si="178"/>
        <v>1081294.75</v>
      </c>
      <c r="K1124" s="17">
        <f t="shared" si="172"/>
        <v>56910.25</v>
      </c>
      <c r="L1124" s="23">
        <f t="shared" si="180"/>
        <v>56910.25</v>
      </c>
      <c r="M1124" s="33">
        <v>15</v>
      </c>
      <c r="N1124" s="18">
        <f t="shared" si="173"/>
        <v>30.271232876712329</v>
      </c>
      <c r="O1124" s="23">
        <v>16340</v>
      </c>
      <c r="P1124" s="18">
        <f t="shared" si="174"/>
        <v>31.271232876712329</v>
      </c>
      <c r="Q1124" s="18">
        <f t="shared" si="179"/>
        <v>0</v>
      </c>
      <c r="R1124" s="18">
        <f t="shared" si="175"/>
        <v>16340</v>
      </c>
      <c r="S1124" s="18">
        <f t="shared" si="177"/>
        <v>56910.25</v>
      </c>
    </row>
    <row r="1125" spans="1:19" ht="15" customHeight="1" x14ac:dyDescent="0.2">
      <c r="A1125" s="14">
        <f t="shared" si="176"/>
        <v>1089</v>
      </c>
      <c r="B1125" s="31" t="s">
        <v>1023</v>
      </c>
      <c r="C1125" s="15" t="s">
        <v>3</v>
      </c>
      <c r="D1125" s="31" t="s">
        <v>500</v>
      </c>
      <c r="E1125" s="31"/>
      <c r="F1125" s="73" t="s">
        <v>4</v>
      </c>
      <c r="G1125" s="32">
        <v>34059</v>
      </c>
      <c r="H1125" s="29">
        <v>1595</v>
      </c>
      <c r="I1125" s="17">
        <v>0</v>
      </c>
      <c r="J1125" s="17">
        <f t="shared" si="178"/>
        <v>1515.25</v>
      </c>
      <c r="K1125" s="17">
        <f t="shared" ref="K1125:K1188" si="181">H1125+I1125-J1125</f>
        <v>79.75</v>
      </c>
      <c r="L1125" s="23">
        <f t="shared" si="180"/>
        <v>79.75</v>
      </c>
      <c r="M1125" s="33">
        <v>15</v>
      </c>
      <c r="N1125" s="18">
        <f t="shared" ref="N1125:N1188" si="182">IF(($N$35-G1125+1)/365&gt;0,($N$35-G1125+1)/365,0)</f>
        <v>27.024657534246575</v>
      </c>
      <c r="O1125" s="23">
        <v>24510</v>
      </c>
      <c r="P1125" s="18">
        <f t="shared" ref="P1125:P1188" si="183">($P$35-G1125+1)/365</f>
        <v>28.024657534246575</v>
      </c>
      <c r="Q1125" s="18">
        <f t="shared" si="179"/>
        <v>0</v>
      </c>
      <c r="R1125" s="18">
        <f t="shared" ref="R1125:R1188" si="184">Q1125+O1125</f>
        <v>24510</v>
      </c>
      <c r="S1125" s="18">
        <f t="shared" si="177"/>
        <v>79.75</v>
      </c>
    </row>
    <row r="1126" spans="1:19" ht="15" customHeight="1" x14ac:dyDescent="0.2">
      <c r="A1126" s="14">
        <f t="shared" si="176"/>
        <v>1090</v>
      </c>
      <c r="B1126" s="31" t="s">
        <v>1024</v>
      </c>
      <c r="C1126" s="15" t="s">
        <v>3</v>
      </c>
      <c r="D1126" s="31" t="s">
        <v>500</v>
      </c>
      <c r="E1126" s="31"/>
      <c r="F1126" s="73" t="s">
        <v>11</v>
      </c>
      <c r="G1126" s="32">
        <v>29587</v>
      </c>
      <c r="H1126" s="29">
        <v>23819</v>
      </c>
      <c r="I1126" s="17">
        <v>0</v>
      </c>
      <c r="J1126" s="17">
        <f t="shared" si="178"/>
        <v>22628.05</v>
      </c>
      <c r="K1126" s="17">
        <f t="shared" si="181"/>
        <v>1190.9500000000007</v>
      </c>
      <c r="L1126" s="23">
        <f t="shared" si="180"/>
        <v>1190.95</v>
      </c>
      <c r="M1126" s="33">
        <v>25</v>
      </c>
      <c r="N1126" s="18">
        <f t="shared" si="182"/>
        <v>39.276712328767125</v>
      </c>
      <c r="O1126" s="23">
        <v>11400</v>
      </c>
      <c r="P1126" s="18">
        <f t="shared" si="183"/>
        <v>40.276712328767125</v>
      </c>
      <c r="Q1126" s="18">
        <f t="shared" si="179"/>
        <v>2.7284841053187846E-14</v>
      </c>
      <c r="R1126" s="18">
        <f t="shared" si="184"/>
        <v>11400</v>
      </c>
      <c r="S1126" s="18">
        <f t="shared" si="177"/>
        <v>1190.95</v>
      </c>
    </row>
    <row r="1127" spans="1:19" ht="15" customHeight="1" x14ac:dyDescent="0.2">
      <c r="A1127" s="14">
        <f t="shared" ref="A1127:A1190" si="185">+A1126+1</f>
        <v>1091</v>
      </c>
      <c r="B1127" s="31" t="s">
        <v>525</v>
      </c>
      <c r="C1127" s="15" t="s">
        <v>3</v>
      </c>
      <c r="D1127" s="31" t="s">
        <v>500</v>
      </c>
      <c r="E1127" s="31"/>
      <c r="F1127" s="70" t="s">
        <v>7</v>
      </c>
      <c r="G1127" s="32">
        <v>39828</v>
      </c>
      <c r="H1127" s="29">
        <v>147000</v>
      </c>
      <c r="I1127" s="17">
        <v>0</v>
      </c>
      <c r="J1127" s="17">
        <v>67185.04109589041</v>
      </c>
      <c r="K1127" s="17">
        <f t="shared" si="181"/>
        <v>79814.95890410959</v>
      </c>
      <c r="L1127" s="23">
        <f t="shared" si="180"/>
        <v>7350</v>
      </c>
      <c r="M1127" s="33">
        <v>15</v>
      </c>
      <c r="N1127" s="18">
        <f t="shared" si="182"/>
        <v>11.219178082191782</v>
      </c>
      <c r="O1127" s="23">
        <v>29070</v>
      </c>
      <c r="P1127" s="18">
        <f t="shared" si="183"/>
        <v>12.219178082191782</v>
      </c>
      <c r="Q1127" s="18">
        <f t="shared" si="179"/>
        <v>4830.9972602739726</v>
      </c>
      <c r="R1127" s="18">
        <f t="shared" si="184"/>
        <v>33900.997260273973</v>
      </c>
      <c r="S1127" s="18">
        <f t="shared" ref="S1127:S1190" si="186">+IF(N1127&gt;P1127,0,L1127)</f>
        <v>7350</v>
      </c>
    </row>
    <row r="1128" spans="1:19" ht="15" customHeight="1" x14ac:dyDescent="0.2">
      <c r="A1128" s="14">
        <f t="shared" si="185"/>
        <v>1092</v>
      </c>
      <c r="B1128" s="31" t="s">
        <v>752</v>
      </c>
      <c r="C1128" s="15" t="s">
        <v>3</v>
      </c>
      <c r="D1128" s="31" t="s">
        <v>500</v>
      </c>
      <c r="E1128" s="31"/>
      <c r="F1128" s="73" t="s">
        <v>11</v>
      </c>
      <c r="G1128" s="32">
        <v>29587</v>
      </c>
      <c r="H1128" s="29">
        <v>17563</v>
      </c>
      <c r="I1128" s="17">
        <v>0</v>
      </c>
      <c r="J1128" s="17">
        <f t="shared" si="178"/>
        <v>16684.849999999999</v>
      </c>
      <c r="K1128" s="17">
        <f t="shared" si="181"/>
        <v>878.15000000000146</v>
      </c>
      <c r="L1128" s="23">
        <f t="shared" si="180"/>
        <v>878.15000000000009</v>
      </c>
      <c r="M1128" s="33">
        <v>25</v>
      </c>
      <c r="N1128" s="18">
        <f t="shared" si="182"/>
        <v>39.276712328767125</v>
      </c>
      <c r="O1128" s="23">
        <v>6483.75</v>
      </c>
      <c r="P1128" s="18">
        <f t="shared" si="183"/>
        <v>40.276712328767125</v>
      </c>
      <c r="Q1128" s="18">
        <f t="shared" si="179"/>
        <v>5.4569682106375692E-14</v>
      </c>
      <c r="R1128" s="18">
        <f t="shared" si="184"/>
        <v>6483.75</v>
      </c>
      <c r="S1128" s="18">
        <f t="shared" si="186"/>
        <v>878.15000000000009</v>
      </c>
    </row>
    <row r="1129" spans="1:19" ht="15" customHeight="1" x14ac:dyDescent="0.2">
      <c r="A1129" s="14">
        <f t="shared" si="185"/>
        <v>1093</v>
      </c>
      <c r="B1129" s="31" t="s">
        <v>1025</v>
      </c>
      <c r="C1129" s="15" t="s">
        <v>3</v>
      </c>
      <c r="D1129" s="31" t="s">
        <v>500</v>
      </c>
      <c r="E1129" s="31"/>
      <c r="F1129" s="73" t="s">
        <v>11</v>
      </c>
      <c r="G1129" s="32">
        <v>35069</v>
      </c>
      <c r="H1129" s="29">
        <v>1695430</v>
      </c>
      <c r="I1129" s="17">
        <v>0</v>
      </c>
      <c r="J1129" s="17">
        <f t="shared" si="178"/>
        <v>1610658.5</v>
      </c>
      <c r="K1129" s="17">
        <f t="shared" si="181"/>
        <v>84771.5</v>
      </c>
      <c r="L1129" s="23">
        <f t="shared" si="180"/>
        <v>84771.5</v>
      </c>
      <c r="M1129" s="33">
        <v>10</v>
      </c>
      <c r="N1129" s="18">
        <f t="shared" si="182"/>
        <v>24.257534246575343</v>
      </c>
      <c r="O1129" s="23">
        <v>11020</v>
      </c>
      <c r="P1129" s="18">
        <f t="shared" si="183"/>
        <v>25.257534246575343</v>
      </c>
      <c r="Q1129" s="18">
        <f t="shared" si="179"/>
        <v>0</v>
      </c>
      <c r="R1129" s="18">
        <f t="shared" si="184"/>
        <v>11020</v>
      </c>
      <c r="S1129" s="18">
        <f t="shared" si="186"/>
        <v>84771.5</v>
      </c>
    </row>
    <row r="1130" spans="1:19" ht="15" customHeight="1" x14ac:dyDescent="0.2">
      <c r="A1130" s="14">
        <f t="shared" si="185"/>
        <v>1094</v>
      </c>
      <c r="B1130" s="31" t="s">
        <v>1026</v>
      </c>
      <c r="C1130" s="15" t="s">
        <v>3</v>
      </c>
      <c r="D1130" s="31" t="s">
        <v>500</v>
      </c>
      <c r="E1130" s="31"/>
      <c r="F1130" s="73" t="s">
        <v>11</v>
      </c>
      <c r="G1130" s="32">
        <v>29952</v>
      </c>
      <c r="H1130" s="29">
        <v>124104</v>
      </c>
      <c r="I1130" s="17">
        <v>0</v>
      </c>
      <c r="J1130" s="17">
        <f t="shared" si="178"/>
        <v>117898.8</v>
      </c>
      <c r="K1130" s="17">
        <f t="shared" si="181"/>
        <v>6205.1999999999971</v>
      </c>
      <c r="L1130" s="23">
        <f t="shared" si="180"/>
        <v>6205.2000000000007</v>
      </c>
      <c r="M1130" s="33">
        <v>25</v>
      </c>
      <c r="N1130" s="18">
        <f t="shared" si="182"/>
        <v>38.276712328767125</v>
      </c>
      <c r="O1130" s="23">
        <v>13739.5365</v>
      </c>
      <c r="P1130" s="18">
        <f t="shared" si="183"/>
        <v>39.276712328767125</v>
      </c>
      <c r="Q1130" s="18">
        <f t="shared" si="179"/>
        <v>-1.4551915228366852E-13</v>
      </c>
      <c r="R1130" s="18">
        <f t="shared" si="184"/>
        <v>13739.5365</v>
      </c>
      <c r="S1130" s="18">
        <f t="shared" si="186"/>
        <v>6205.2000000000007</v>
      </c>
    </row>
    <row r="1131" spans="1:19" ht="15" customHeight="1" x14ac:dyDescent="0.2">
      <c r="A1131" s="14">
        <f t="shared" si="185"/>
        <v>1095</v>
      </c>
      <c r="B1131" s="31" t="s">
        <v>1027</v>
      </c>
      <c r="C1131" s="15" t="s">
        <v>3</v>
      </c>
      <c r="D1131" s="31" t="s">
        <v>500</v>
      </c>
      <c r="E1131" s="31"/>
      <c r="F1131" s="73" t="s">
        <v>11</v>
      </c>
      <c r="G1131" s="32">
        <v>29952</v>
      </c>
      <c r="H1131" s="29">
        <v>18211</v>
      </c>
      <c r="I1131" s="17">
        <v>0</v>
      </c>
      <c r="J1131" s="17">
        <f t="shared" si="178"/>
        <v>17300.45</v>
      </c>
      <c r="K1131" s="17">
        <f t="shared" si="181"/>
        <v>910.54999999999927</v>
      </c>
      <c r="L1131" s="23">
        <f t="shared" si="180"/>
        <v>910.55000000000007</v>
      </c>
      <c r="M1131" s="33">
        <v>25</v>
      </c>
      <c r="N1131" s="18">
        <f t="shared" si="182"/>
        <v>38.276712328767125</v>
      </c>
      <c r="O1131" s="23">
        <v>29924.895499999999</v>
      </c>
      <c r="P1131" s="18">
        <f t="shared" si="183"/>
        <v>39.276712328767125</v>
      </c>
      <c r="Q1131" s="18">
        <f t="shared" si="179"/>
        <v>-3.1832314562052491E-14</v>
      </c>
      <c r="R1131" s="18">
        <f t="shared" si="184"/>
        <v>29924.895499999999</v>
      </c>
      <c r="S1131" s="18">
        <f t="shared" si="186"/>
        <v>910.55000000000007</v>
      </c>
    </row>
    <row r="1132" spans="1:19" ht="15" customHeight="1" x14ac:dyDescent="0.2">
      <c r="A1132" s="14">
        <f t="shared" si="185"/>
        <v>1096</v>
      </c>
      <c r="B1132" s="31" t="s">
        <v>1028</v>
      </c>
      <c r="C1132" s="15" t="s">
        <v>3</v>
      </c>
      <c r="D1132" s="31" t="s">
        <v>500</v>
      </c>
      <c r="E1132" s="31"/>
      <c r="F1132" s="73" t="s">
        <v>11</v>
      </c>
      <c r="G1132" s="32">
        <v>33604</v>
      </c>
      <c r="H1132" s="29">
        <v>10000</v>
      </c>
      <c r="I1132" s="17">
        <v>0</v>
      </c>
      <c r="J1132" s="17">
        <f t="shared" si="178"/>
        <v>9500</v>
      </c>
      <c r="K1132" s="17">
        <f t="shared" si="181"/>
        <v>500</v>
      </c>
      <c r="L1132" s="23">
        <f t="shared" si="180"/>
        <v>500</v>
      </c>
      <c r="M1132" s="33">
        <v>15</v>
      </c>
      <c r="N1132" s="18">
        <f t="shared" si="182"/>
        <v>28.271232876712329</v>
      </c>
      <c r="O1132" s="23">
        <v>22698.834500000001</v>
      </c>
      <c r="P1132" s="18">
        <f t="shared" si="183"/>
        <v>29.271232876712329</v>
      </c>
      <c r="Q1132" s="18">
        <f t="shared" si="179"/>
        <v>0</v>
      </c>
      <c r="R1132" s="18">
        <f t="shared" si="184"/>
        <v>22698.834500000001</v>
      </c>
      <c r="S1132" s="18">
        <f t="shared" si="186"/>
        <v>500</v>
      </c>
    </row>
    <row r="1133" spans="1:19" ht="15" customHeight="1" x14ac:dyDescent="0.2">
      <c r="A1133" s="14">
        <f t="shared" si="185"/>
        <v>1097</v>
      </c>
      <c r="B1133" s="31" t="s">
        <v>1029</v>
      </c>
      <c r="C1133" s="15" t="s">
        <v>3</v>
      </c>
      <c r="D1133" s="31" t="s">
        <v>500</v>
      </c>
      <c r="E1133" s="31"/>
      <c r="F1133" s="73" t="s">
        <v>11</v>
      </c>
      <c r="G1133" s="32">
        <v>35703</v>
      </c>
      <c r="H1133" s="29">
        <v>18500</v>
      </c>
      <c r="I1133" s="17">
        <v>0</v>
      </c>
      <c r="J1133" s="17">
        <f t="shared" si="178"/>
        <v>17575</v>
      </c>
      <c r="K1133" s="17">
        <f t="shared" si="181"/>
        <v>925</v>
      </c>
      <c r="L1133" s="23">
        <f t="shared" si="180"/>
        <v>925</v>
      </c>
      <c r="M1133" s="33">
        <v>10</v>
      </c>
      <c r="N1133" s="18">
        <f t="shared" si="182"/>
        <v>22.520547945205479</v>
      </c>
      <c r="O1133" s="23">
        <v>180506.16550000003</v>
      </c>
      <c r="P1133" s="18">
        <f t="shared" si="183"/>
        <v>23.520547945205479</v>
      </c>
      <c r="Q1133" s="18">
        <f t="shared" si="179"/>
        <v>0</v>
      </c>
      <c r="R1133" s="18">
        <f t="shared" si="184"/>
        <v>180506.16550000003</v>
      </c>
      <c r="S1133" s="18">
        <f t="shared" si="186"/>
        <v>925</v>
      </c>
    </row>
    <row r="1134" spans="1:19" ht="15" customHeight="1" x14ac:dyDescent="0.2">
      <c r="A1134" s="14">
        <f t="shared" si="185"/>
        <v>1098</v>
      </c>
      <c r="B1134" s="31" t="s">
        <v>1028</v>
      </c>
      <c r="C1134" s="15" t="s">
        <v>3</v>
      </c>
      <c r="D1134" s="31" t="s">
        <v>500</v>
      </c>
      <c r="E1134" s="31"/>
      <c r="F1134" s="73" t="s">
        <v>11</v>
      </c>
      <c r="G1134" s="32">
        <v>33918</v>
      </c>
      <c r="H1134" s="29">
        <v>10000</v>
      </c>
      <c r="I1134" s="17">
        <v>0</v>
      </c>
      <c r="J1134" s="17">
        <f t="shared" ref="J1134:J1136" si="187">H1134-L1134</f>
        <v>9500</v>
      </c>
      <c r="K1134" s="17">
        <f t="shared" si="181"/>
        <v>500</v>
      </c>
      <c r="L1134" s="23">
        <f t="shared" si="180"/>
        <v>500</v>
      </c>
      <c r="M1134" s="33">
        <v>15</v>
      </c>
      <c r="N1134" s="18">
        <f t="shared" si="182"/>
        <v>27.410958904109588</v>
      </c>
      <c r="O1134" s="23">
        <v>44892.25</v>
      </c>
      <c r="P1134" s="18">
        <f t="shared" si="183"/>
        <v>28.410958904109588</v>
      </c>
      <c r="Q1134" s="18">
        <f t="shared" si="179"/>
        <v>0</v>
      </c>
      <c r="R1134" s="18">
        <f t="shared" si="184"/>
        <v>44892.25</v>
      </c>
      <c r="S1134" s="18">
        <f t="shared" si="186"/>
        <v>500</v>
      </c>
    </row>
    <row r="1135" spans="1:19" ht="15" customHeight="1" x14ac:dyDescent="0.2">
      <c r="A1135" s="14">
        <f t="shared" si="185"/>
        <v>1099</v>
      </c>
      <c r="B1135" s="31" t="s">
        <v>1030</v>
      </c>
      <c r="C1135" s="15" t="s">
        <v>3</v>
      </c>
      <c r="D1135" s="31" t="s">
        <v>500</v>
      </c>
      <c r="E1135" s="31"/>
      <c r="F1135" s="70" t="s">
        <v>7</v>
      </c>
      <c r="G1135" s="32">
        <v>37653</v>
      </c>
      <c r="H1135" s="29">
        <v>563817</v>
      </c>
      <c r="I1135" s="17">
        <v>0</v>
      </c>
      <c r="J1135" s="17">
        <f t="shared" si="187"/>
        <v>535626.15</v>
      </c>
      <c r="K1135" s="17">
        <f t="shared" si="181"/>
        <v>28190.849999999977</v>
      </c>
      <c r="L1135" s="23">
        <f t="shared" si="180"/>
        <v>28190.850000000002</v>
      </c>
      <c r="M1135" s="33">
        <v>15</v>
      </c>
      <c r="N1135" s="18">
        <f t="shared" si="182"/>
        <v>17.17808219178082</v>
      </c>
      <c r="O1135" s="23">
        <v>14725</v>
      </c>
      <c r="P1135" s="18">
        <f t="shared" si="183"/>
        <v>18.17808219178082</v>
      </c>
      <c r="Q1135" s="18">
        <f t="shared" si="179"/>
        <v>-1.6977234433094661E-12</v>
      </c>
      <c r="R1135" s="18">
        <f t="shared" si="184"/>
        <v>14724.999999999998</v>
      </c>
      <c r="S1135" s="18">
        <f t="shared" si="186"/>
        <v>28190.850000000002</v>
      </c>
    </row>
    <row r="1136" spans="1:19" ht="15" customHeight="1" x14ac:dyDescent="0.2">
      <c r="A1136" s="14">
        <f t="shared" si="185"/>
        <v>1100</v>
      </c>
      <c r="B1136" s="31" t="s">
        <v>1031</v>
      </c>
      <c r="C1136" s="15" t="s">
        <v>3</v>
      </c>
      <c r="D1136" s="31" t="s">
        <v>500</v>
      </c>
      <c r="E1136" s="31"/>
      <c r="F1136" s="73" t="s">
        <v>11</v>
      </c>
      <c r="G1136" s="32">
        <v>30317</v>
      </c>
      <c r="H1136" s="29">
        <v>457494</v>
      </c>
      <c r="I1136" s="17">
        <v>0</v>
      </c>
      <c r="J1136" s="17">
        <f t="shared" si="187"/>
        <v>434619.3</v>
      </c>
      <c r="K1136" s="17">
        <f t="shared" si="181"/>
        <v>22874.700000000012</v>
      </c>
      <c r="L1136" s="23">
        <f t="shared" si="180"/>
        <v>22874.7</v>
      </c>
      <c r="M1136" s="33">
        <v>25</v>
      </c>
      <c r="N1136" s="18">
        <f t="shared" si="182"/>
        <v>37.276712328767125</v>
      </c>
      <c r="O1136" s="23">
        <v>5225</v>
      </c>
      <c r="P1136" s="18">
        <f t="shared" si="183"/>
        <v>38.276712328767125</v>
      </c>
      <c r="Q1136" s="18">
        <f t="shared" si="179"/>
        <v>4.3655745685100554E-13</v>
      </c>
      <c r="R1136" s="18">
        <f t="shared" si="184"/>
        <v>5225</v>
      </c>
      <c r="S1136" s="18">
        <f t="shared" si="186"/>
        <v>22874.7</v>
      </c>
    </row>
    <row r="1137" spans="1:19" ht="15" customHeight="1" x14ac:dyDescent="0.2">
      <c r="A1137" s="14">
        <f t="shared" si="185"/>
        <v>1101</v>
      </c>
      <c r="B1137" s="31" t="s">
        <v>525</v>
      </c>
      <c r="C1137" s="15" t="s">
        <v>3</v>
      </c>
      <c r="D1137" s="31" t="s">
        <v>500</v>
      </c>
      <c r="E1137" s="31"/>
      <c r="F1137" s="70" t="s">
        <v>7</v>
      </c>
      <c r="G1137" s="32">
        <v>40509</v>
      </c>
      <c r="H1137" s="29">
        <v>184690</v>
      </c>
      <c r="I1137" s="17">
        <v>0</v>
      </c>
      <c r="J1137" s="17">
        <v>62587.14</v>
      </c>
      <c r="K1137" s="17">
        <f t="shared" si="181"/>
        <v>122102.86</v>
      </c>
      <c r="L1137" s="23">
        <f t="shared" si="180"/>
        <v>9234.5</v>
      </c>
      <c r="M1137" s="33">
        <v>15</v>
      </c>
      <c r="N1137" s="18">
        <f t="shared" si="182"/>
        <v>9.3534246575342461</v>
      </c>
      <c r="O1137" s="23">
        <v>9500</v>
      </c>
      <c r="P1137" s="18">
        <f t="shared" si="183"/>
        <v>10.353424657534246</v>
      </c>
      <c r="Q1137" s="18">
        <f t="shared" si="179"/>
        <v>7524.5573333333332</v>
      </c>
      <c r="R1137" s="18">
        <f t="shared" si="184"/>
        <v>17024.557333333334</v>
      </c>
      <c r="S1137" s="18">
        <f t="shared" si="186"/>
        <v>9234.5</v>
      </c>
    </row>
    <row r="1138" spans="1:19" ht="15" customHeight="1" x14ac:dyDescent="0.2">
      <c r="A1138" s="14">
        <f t="shared" si="185"/>
        <v>1102</v>
      </c>
      <c r="B1138" s="31" t="s">
        <v>507</v>
      </c>
      <c r="C1138" s="15" t="s">
        <v>3</v>
      </c>
      <c r="D1138" s="31" t="s">
        <v>500</v>
      </c>
      <c r="E1138" s="31"/>
      <c r="F1138" s="70" t="s">
        <v>7</v>
      </c>
      <c r="G1138" s="32">
        <v>38655</v>
      </c>
      <c r="H1138" s="29">
        <v>342325.34</v>
      </c>
      <c r="I1138" s="17">
        <v>0</v>
      </c>
      <c r="J1138" s="17">
        <v>226131.6787052055</v>
      </c>
      <c r="K1138" s="17">
        <f t="shared" si="181"/>
        <v>116193.66129479453</v>
      </c>
      <c r="L1138" s="23">
        <f t="shared" si="180"/>
        <v>17116.267000000003</v>
      </c>
      <c r="M1138" s="33">
        <v>15</v>
      </c>
      <c r="N1138" s="18">
        <f t="shared" si="182"/>
        <v>14.432876712328767</v>
      </c>
      <c r="O1138" s="23">
        <v>17717.5</v>
      </c>
      <c r="P1138" s="18">
        <f t="shared" si="183"/>
        <v>15.432876712328767</v>
      </c>
      <c r="Q1138" s="18">
        <f t="shared" si="179"/>
        <v>6605.1596196529681</v>
      </c>
      <c r="R1138" s="18">
        <f t="shared" si="184"/>
        <v>24322.659619652968</v>
      </c>
      <c r="S1138" s="18">
        <f t="shared" si="186"/>
        <v>17116.267000000003</v>
      </c>
    </row>
    <row r="1139" spans="1:19" ht="15" customHeight="1" x14ac:dyDescent="0.2">
      <c r="A1139" s="14">
        <f t="shared" si="185"/>
        <v>1103</v>
      </c>
      <c r="B1139" s="31" t="s">
        <v>1032</v>
      </c>
      <c r="C1139" s="15" t="s">
        <v>3</v>
      </c>
      <c r="D1139" s="31" t="s">
        <v>500</v>
      </c>
      <c r="E1139" s="31"/>
      <c r="F1139" s="73" t="s">
        <v>11</v>
      </c>
      <c r="G1139" s="32">
        <v>30317</v>
      </c>
      <c r="H1139" s="29">
        <v>193546</v>
      </c>
      <c r="I1139" s="17">
        <v>0</v>
      </c>
      <c r="J1139" s="17">
        <f t="shared" ref="J1139:J1202" si="188">H1139-L1139</f>
        <v>183868.7</v>
      </c>
      <c r="K1139" s="17">
        <f t="shared" si="181"/>
        <v>9677.2999999999884</v>
      </c>
      <c r="L1139" s="23">
        <f t="shared" si="180"/>
        <v>9677.3000000000011</v>
      </c>
      <c r="M1139" s="33">
        <v>25</v>
      </c>
      <c r="N1139" s="18">
        <f t="shared" si="182"/>
        <v>37.276712328767125</v>
      </c>
      <c r="O1139" s="23">
        <v>1140</v>
      </c>
      <c r="P1139" s="18">
        <f t="shared" si="183"/>
        <v>38.276712328767125</v>
      </c>
      <c r="Q1139" s="18">
        <f t="shared" si="179"/>
        <v>-5.0931703299283986E-13</v>
      </c>
      <c r="R1139" s="18">
        <f t="shared" si="184"/>
        <v>1139.9999999999995</v>
      </c>
      <c r="S1139" s="18">
        <f t="shared" si="186"/>
        <v>9677.3000000000011</v>
      </c>
    </row>
    <row r="1140" spans="1:19" ht="15" customHeight="1" x14ac:dyDescent="0.2">
      <c r="A1140" s="14">
        <f t="shared" si="185"/>
        <v>1104</v>
      </c>
      <c r="B1140" s="31" t="s">
        <v>1033</v>
      </c>
      <c r="C1140" s="15" t="s">
        <v>3</v>
      </c>
      <c r="D1140" s="31" t="s">
        <v>500</v>
      </c>
      <c r="E1140" s="31"/>
      <c r="F1140" s="73" t="s">
        <v>11</v>
      </c>
      <c r="G1140" s="32">
        <v>30317</v>
      </c>
      <c r="H1140" s="29">
        <v>12376</v>
      </c>
      <c r="I1140" s="17">
        <v>0</v>
      </c>
      <c r="J1140" s="17">
        <f t="shared" si="188"/>
        <v>11757.2</v>
      </c>
      <c r="K1140" s="17">
        <f t="shared" si="181"/>
        <v>618.79999999999927</v>
      </c>
      <c r="L1140" s="23">
        <f t="shared" si="180"/>
        <v>618.80000000000007</v>
      </c>
      <c r="M1140" s="33">
        <v>25</v>
      </c>
      <c r="N1140" s="18">
        <f t="shared" si="182"/>
        <v>37.276712328767125</v>
      </c>
      <c r="O1140" s="23">
        <v>15200</v>
      </c>
      <c r="P1140" s="18">
        <f t="shared" si="183"/>
        <v>38.276712328767125</v>
      </c>
      <c r="Q1140" s="18">
        <f t="shared" si="179"/>
        <v>-3.1832314562052491E-14</v>
      </c>
      <c r="R1140" s="18">
        <f t="shared" si="184"/>
        <v>15200</v>
      </c>
      <c r="S1140" s="18">
        <f t="shared" si="186"/>
        <v>618.80000000000007</v>
      </c>
    </row>
    <row r="1141" spans="1:19" ht="15" customHeight="1" x14ac:dyDescent="0.2">
      <c r="A1141" s="14">
        <f t="shared" si="185"/>
        <v>1105</v>
      </c>
      <c r="B1141" s="31" t="s">
        <v>1034</v>
      </c>
      <c r="C1141" s="15" t="s">
        <v>3</v>
      </c>
      <c r="D1141" s="31" t="s">
        <v>500</v>
      </c>
      <c r="E1141" s="31"/>
      <c r="F1141" s="73" t="s">
        <v>11</v>
      </c>
      <c r="G1141" s="32">
        <v>34273</v>
      </c>
      <c r="H1141" s="29">
        <v>11360</v>
      </c>
      <c r="I1141" s="17">
        <v>0</v>
      </c>
      <c r="J1141" s="17">
        <f t="shared" si="188"/>
        <v>10792</v>
      </c>
      <c r="K1141" s="17">
        <f t="shared" si="181"/>
        <v>568</v>
      </c>
      <c r="L1141" s="23">
        <f t="shared" si="180"/>
        <v>568</v>
      </c>
      <c r="M1141" s="33">
        <v>15</v>
      </c>
      <c r="N1141" s="18">
        <f t="shared" si="182"/>
        <v>26.438356164383563</v>
      </c>
      <c r="O1141" s="23">
        <v>68195.75</v>
      </c>
      <c r="P1141" s="18">
        <f t="shared" si="183"/>
        <v>27.438356164383563</v>
      </c>
      <c r="Q1141" s="18">
        <f t="shared" si="179"/>
        <v>0</v>
      </c>
      <c r="R1141" s="18">
        <f t="shared" si="184"/>
        <v>68195.75</v>
      </c>
      <c r="S1141" s="18">
        <f t="shared" si="186"/>
        <v>568</v>
      </c>
    </row>
    <row r="1142" spans="1:19" ht="15" customHeight="1" x14ac:dyDescent="0.2">
      <c r="A1142" s="14">
        <f t="shared" si="185"/>
        <v>1106</v>
      </c>
      <c r="B1142" s="31" t="s">
        <v>1035</v>
      </c>
      <c r="C1142" s="15" t="s">
        <v>3</v>
      </c>
      <c r="D1142" s="31" t="s">
        <v>500</v>
      </c>
      <c r="E1142" s="31"/>
      <c r="F1142" s="73" t="s">
        <v>11</v>
      </c>
      <c r="G1142" s="32">
        <v>36129</v>
      </c>
      <c r="H1142" s="29">
        <v>24200</v>
      </c>
      <c r="I1142" s="17">
        <v>0</v>
      </c>
      <c r="J1142" s="17">
        <f t="shared" si="188"/>
        <v>22990</v>
      </c>
      <c r="K1142" s="17">
        <f t="shared" si="181"/>
        <v>1210</v>
      </c>
      <c r="L1142" s="23">
        <f t="shared" si="180"/>
        <v>1210</v>
      </c>
      <c r="M1142" s="33">
        <v>10</v>
      </c>
      <c r="N1142" s="18">
        <f t="shared" si="182"/>
        <v>21.353424657534248</v>
      </c>
      <c r="O1142" s="23">
        <v>18810</v>
      </c>
      <c r="P1142" s="18">
        <f t="shared" si="183"/>
        <v>22.353424657534248</v>
      </c>
      <c r="Q1142" s="18">
        <f t="shared" si="179"/>
        <v>0</v>
      </c>
      <c r="R1142" s="18">
        <f t="shared" si="184"/>
        <v>18810</v>
      </c>
      <c r="S1142" s="18">
        <f t="shared" si="186"/>
        <v>1210</v>
      </c>
    </row>
    <row r="1143" spans="1:19" ht="15" customHeight="1" x14ac:dyDescent="0.2">
      <c r="A1143" s="14">
        <f t="shared" si="185"/>
        <v>1107</v>
      </c>
      <c r="B1143" s="31" t="s">
        <v>966</v>
      </c>
      <c r="C1143" s="15" t="s">
        <v>3</v>
      </c>
      <c r="D1143" s="31" t="s">
        <v>500</v>
      </c>
      <c r="E1143" s="31"/>
      <c r="F1143" s="73" t="s">
        <v>11</v>
      </c>
      <c r="G1143" s="32">
        <v>30682</v>
      </c>
      <c r="H1143" s="29">
        <v>615367</v>
      </c>
      <c r="I1143" s="17">
        <v>0</v>
      </c>
      <c r="J1143" s="17">
        <f t="shared" si="188"/>
        <v>584598.65</v>
      </c>
      <c r="K1143" s="17">
        <f t="shared" si="181"/>
        <v>30768.349999999977</v>
      </c>
      <c r="L1143" s="23">
        <f t="shared" si="180"/>
        <v>30768.350000000002</v>
      </c>
      <c r="M1143" s="33">
        <v>25</v>
      </c>
      <c r="N1143" s="18">
        <f t="shared" si="182"/>
        <v>36.276712328767125</v>
      </c>
      <c r="O1143" s="23">
        <v>6383.9715000000006</v>
      </c>
      <c r="P1143" s="18">
        <f t="shared" si="183"/>
        <v>37.276712328767125</v>
      </c>
      <c r="Q1143" s="18">
        <f t="shared" ref="Q1143:Q1206" si="189">(P1143-N1143)/M1143*(K1143-L1143)</f>
        <v>-1.0186340659856797E-12</v>
      </c>
      <c r="R1143" s="18">
        <f t="shared" si="184"/>
        <v>6383.9714999999997</v>
      </c>
      <c r="S1143" s="18">
        <f t="shared" si="186"/>
        <v>30768.350000000002</v>
      </c>
    </row>
    <row r="1144" spans="1:19" ht="15" customHeight="1" x14ac:dyDescent="0.2">
      <c r="A1144" s="14">
        <f t="shared" si="185"/>
        <v>1108</v>
      </c>
      <c r="B1144" s="31" t="s">
        <v>1036</v>
      </c>
      <c r="C1144" s="15" t="s">
        <v>3</v>
      </c>
      <c r="D1144" s="31" t="s">
        <v>500</v>
      </c>
      <c r="E1144" s="31"/>
      <c r="F1144" s="73" t="s">
        <v>11</v>
      </c>
      <c r="G1144" s="32">
        <v>30682</v>
      </c>
      <c r="H1144" s="29">
        <v>205354</v>
      </c>
      <c r="I1144" s="17">
        <v>0</v>
      </c>
      <c r="J1144" s="17">
        <f t="shared" si="188"/>
        <v>195086.3</v>
      </c>
      <c r="K1144" s="17">
        <f t="shared" si="181"/>
        <v>10267.700000000012</v>
      </c>
      <c r="L1144" s="23">
        <f t="shared" ref="L1144:L1207" si="190">H1144*0.05</f>
        <v>10267.700000000001</v>
      </c>
      <c r="M1144" s="33">
        <v>25</v>
      </c>
      <c r="N1144" s="18">
        <f t="shared" si="182"/>
        <v>36.276712328767125</v>
      </c>
      <c r="O1144" s="23">
        <v>33250</v>
      </c>
      <c r="P1144" s="18">
        <f t="shared" si="183"/>
        <v>37.276712328767125</v>
      </c>
      <c r="Q1144" s="18">
        <f t="shared" si="189"/>
        <v>4.3655745685100554E-13</v>
      </c>
      <c r="R1144" s="18">
        <f t="shared" si="184"/>
        <v>33250</v>
      </c>
      <c r="S1144" s="18">
        <f t="shared" si="186"/>
        <v>10267.700000000001</v>
      </c>
    </row>
    <row r="1145" spans="1:19" ht="15" customHeight="1" x14ac:dyDescent="0.2">
      <c r="A1145" s="14">
        <f t="shared" si="185"/>
        <v>1109</v>
      </c>
      <c r="B1145" s="14" t="s">
        <v>1037</v>
      </c>
      <c r="C1145" s="15" t="s">
        <v>3</v>
      </c>
      <c r="D1145" s="31" t="s">
        <v>500</v>
      </c>
      <c r="E1145" s="31"/>
      <c r="F1145" s="73" t="s">
        <v>11</v>
      </c>
      <c r="G1145" s="32">
        <v>30682</v>
      </c>
      <c r="H1145" s="29">
        <v>99481</v>
      </c>
      <c r="I1145" s="17">
        <v>0</v>
      </c>
      <c r="J1145" s="17">
        <f t="shared" si="188"/>
        <v>94506.95</v>
      </c>
      <c r="K1145" s="17">
        <f t="shared" si="181"/>
        <v>4974.0500000000029</v>
      </c>
      <c r="L1145" s="23">
        <f t="shared" si="190"/>
        <v>4974.05</v>
      </c>
      <c r="M1145" s="33">
        <v>25</v>
      </c>
      <c r="N1145" s="18">
        <f t="shared" si="182"/>
        <v>36.276712328767125</v>
      </c>
      <c r="O1145" s="23">
        <v>49770.747000000003</v>
      </c>
      <c r="P1145" s="18">
        <f t="shared" si="183"/>
        <v>37.276712328767125</v>
      </c>
      <c r="Q1145" s="18">
        <f t="shared" si="189"/>
        <v>1.0913936421275138E-13</v>
      </c>
      <c r="R1145" s="18">
        <f t="shared" si="184"/>
        <v>49770.747000000003</v>
      </c>
      <c r="S1145" s="18">
        <f t="shared" si="186"/>
        <v>4974.05</v>
      </c>
    </row>
    <row r="1146" spans="1:19" ht="15" customHeight="1" x14ac:dyDescent="0.2">
      <c r="A1146" s="14">
        <f t="shared" si="185"/>
        <v>1110</v>
      </c>
      <c r="B1146" s="14" t="s">
        <v>1038</v>
      </c>
      <c r="C1146" s="15" t="s">
        <v>3</v>
      </c>
      <c r="D1146" s="31" t="s">
        <v>500</v>
      </c>
      <c r="E1146" s="31"/>
      <c r="F1146" s="73" t="s">
        <v>11</v>
      </c>
      <c r="G1146" s="32">
        <v>30682</v>
      </c>
      <c r="H1146" s="29">
        <v>61694</v>
      </c>
      <c r="I1146" s="17">
        <v>0</v>
      </c>
      <c r="J1146" s="17">
        <f t="shared" si="188"/>
        <v>58609.3</v>
      </c>
      <c r="K1146" s="17">
        <f t="shared" si="181"/>
        <v>3084.6999999999971</v>
      </c>
      <c r="L1146" s="23">
        <f t="shared" si="190"/>
        <v>3084.7000000000003</v>
      </c>
      <c r="M1146" s="33">
        <v>25</v>
      </c>
      <c r="N1146" s="18">
        <f t="shared" si="182"/>
        <v>36.276712328767125</v>
      </c>
      <c r="O1146" s="23">
        <v>5890.0950000000003</v>
      </c>
      <c r="P1146" s="18">
        <f t="shared" si="183"/>
        <v>37.276712328767125</v>
      </c>
      <c r="Q1146" s="18">
        <f t="shared" si="189"/>
        <v>-1.2732925824820997E-13</v>
      </c>
      <c r="R1146" s="18">
        <f t="shared" si="184"/>
        <v>5890.0950000000003</v>
      </c>
      <c r="S1146" s="18">
        <f t="shared" si="186"/>
        <v>3084.7000000000003</v>
      </c>
    </row>
    <row r="1147" spans="1:19" ht="15" customHeight="1" x14ac:dyDescent="0.2">
      <c r="A1147" s="14">
        <f t="shared" si="185"/>
        <v>1111</v>
      </c>
      <c r="B1147" s="14" t="s">
        <v>1039</v>
      </c>
      <c r="C1147" s="15" t="s">
        <v>3</v>
      </c>
      <c r="D1147" s="31" t="s">
        <v>500</v>
      </c>
      <c r="E1147" s="31"/>
      <c r="F1147" s="70" t="s">
        <v>7</v>
      </c>
      <c r="G1147" s="32">
        <v>38297</v>
      </c>
      <c r="H1147" s="29">
        <v>406420</v>
      </c>
      <c r="I1147" s="17">
        <v>0</v>
      </c>
      <c r="J1147" s="17">
        <f t="shared" si="188"/>
        <v>386099</v>
      </c>
      <c r="K1147" s="17">
        <f t="shared" si="181"/>
        <v>20321</v>
      </c>
      <c r="L1147" s="23">
        <f t="shared" si="190"/>
        <v>20321</v>
      </c>
      <c r="M1147" s="33">
        <v>15</v>
      </c>
      <c r="N1147" s="18">
        <f t="shared" si="182"/>
        <v>15.413698630136986</v>
      </c>
      <c r="O1147" s="23">
        <v>25535.914499999999</v>
      </c>
      <c r="P1147" s="18">
        <f t="shared" si="183"/>
        <v>16.413698630136988</v>
      </c>
      <c r="Q1147" s="18">
        <f t="shared" si="189"/>
        <v>0</v>
      </c>
      <c r="R1147" s="18">
        <f t="shared" si="184"/>
        <v>25535.914499999999</v>
      </c>
      <c r="S1147" s="18">
        <f t="shared" si="186"/>
        <v>20321</v>
      </c>
    </row>
    <row r="1148" spans="1:19" ht="15" customHeight="1" x14ac:dyDescent="0.2">
      <c r="A1148" s="14">
        <f t="shared" si="185"/>
        <v>1112</v>
      </c>
      <c r="B1148" s="14" t="s">
        <v>1040</v>
      </c>
      <c r="C1148" s="15" t="s">
        <v>3</v>
      </c>
      <c r="D1148" s="31" t="s">
        <v>500</v>
      </c>
      <c r="E1148" s="31"/>
      <c r="F1148" s="73" t="s">
        <v>8</v>
      </c>
      <c r="G1148" s="32">
        <v>36250</v>
      </c>
      <c r="H1148" s="29">
        <v>20687</v>
      </c>
      <c r="I1148" s="17">
        <v>0</v>
      </c>
      <c r="J1148" s="17">
        <f t="shared" si="188"/>
        <v>19652.650000000001</v>
      </c>
      <c r="K1148" s="17">
        <f t="shared" si="181"/>
        <v>1034.3499999999985</v>
      </c>
      <c r="L1148" s="23">
        <f t="shared" si="190"/>
        <v>1034.3500000000001</v>
      </c>
      <c r="M1148" s="33">
        <v>10</v>
      </c>
      <c r="N1148" s="18">
        <f t="shared" si="182"/>
        <v>21.021917808219179</v>
      </c>
      <c r="O1148" s="23">
        <v>125684.54399999999</v>
      </c>
      <c r="P1148" s="18">
        <f t="shared" si="183"/>
        <v>22.021917808219179</v>
      </c>
      <c r="Q1148" s="18">
        <f t="shared" si="189"/>
        <v>-1.5916157281026246E-13</v>
      </c>
      <c r="R1148" s="18">
        <f t="shared" si="184"/>
        <v>125684.54399999999</v>
      </c>
      <c r="S1148" s="18">
        <f t="shared" si="186"/>
        <v>1034.3500000000001</v>
      </c>
    </row>
    <row r="1149" spans="1:19" ht="15" customHeight="1" x14ac:dyDescent="0.2">
      <c r="A1149" s="14">
        <f t="shared" si="185"/>
        <v>1113</v>
      </c>
      <c r="B1149" s="14" t="s">
        <v>1041</v>
      </c>
      <c r="C1149" s="15" t="s">
        <v>3</v>
      </c>
      <c r="D1149" s="31" t="s">
        <v>500</v>
      </c>
      <c r="E1149" s="31"/>
      <c r="F1149" s="73" t="s">
        <v>8</v>
      </c>
      <c r="G1149" s="32">
        <v>31048</v>
      </c>
      <c r="H1149" s="29">
        <v>207654</v>
      </c>
      <c r="I1149" s="17">
        <v>0</v>
      </c>
      <c r="J1149" s="17">
        <f t="shared" si="188"/>
        <v>197271.3</v>
      </c>
      <c r="K1149" s="17">
        <f t="shared" si="181"/>
        <v>10382.700000000012</v>
      </c>
      <c r="L1149" s="23">
        <f t="shared" si="190"/>
        <v>10382.700000000001</v>
      </c>
      <c r="M1149" s="33">
        <v>25</v>
      </c>
      <c r="N1149" s="18">
        <f t="shared" si="182"/>
        <v>35.273972602739725</v>
      </c>
      <c r="O1149" s="23">
        <v>149624.46799999999</v>
      </c>
      <c r="P1149" s="18">
        <f t="shared" si="183"/>
        <v>36.273972602739725</v>
      </c>
      <c r="Q1149" s="18">
        <f t="shared" si="189"/>
        <v>4.3655745685100554E-13</v>
      </c>
      <c r="R1149" s="18">
        <f t="shared" si="184"/>
        <v>149624.46799999999</v>
      </c>
      <c r="S1149" s="18">
        <f t="shared" si="186"/>
        <v>10382.700000000001</v>
      </c>
    </row>
    <row r="1150" spans="1:19" ht="15" customHeight="1" x14ac:dyDescent="0.2">
      <c r="A1150" s="14">
        <f t="shared" si="185"/>
        <v>1114</v>
      </c>
      <c r="B1150" s="14" t="s">
        <v>1042</v>
      </c>
      <c r="C1150" s="15" t="s">
        <v>3</v>
      </c>
      <c r="D1150" s="31" t="s">
        <v>500</v>
      </c>
      <c r="E1150" s="31"/>
      <c r="F1150" s="72" t="s">
        <v>8</v>
      </c>
      <c r="G1150" s="32">
        <v>31048</v>
      </c>
      <c r="H1150" s="29">
        <v>194847</v>
      </c>
      <c r="I1150" s="17">
        <v>0</v>
      </c>
      <c r="J1150" s="17">
        <f t="shared" si="188"/>
        <v>185104.65</v>
      </c>
      <c r="K1150" s="17">
        <f t="shared" si="181"/>
        <v>9742.3500000000058</v>
      </c>
      <c r="L1150" s="23">
        <f t="shared" si="190"/>
        <v>9742.35</v>
      </c>
      <c r="M1150" s="33">
        <v>25</v>
      </c>
      <c r="N1150" s="18">
        <f t="shared" si="182"/>
        <v>35.273972602739725</v>
      </c>
      <c r="O1150" s="23">
        <v>713.52600000000007</v>
      </c>
      <c r="P1150" s="18">
        <f t="shared" si="183"/>
        <v>36.273972602739725</v>
      </c>
      <c r="Q1150" s="18">
        <f t="shared" si="189"/>
        <v>2.1827872842550277E-13</v>
      </c>
      <c r="R1150" s="18">
        <f t="shared" si="184"/>
        <v>713.52600000000029</v>
      </c>
      <c r="S1150" s="18">
        <f t="shared" si="186"/>
        <v>9742.35</v>
      </c>
    </row>
    <row r="1151" spans="1:19" ht="15" customHeight="1" x14ac:dyDescent="0.2">
      <c r="A1151" s="14">
        <f t="shared" si="185"/>
        <v>1115</v>
      </c>
      <c r="B1151" s="14" t="s">
        <v>1043</v>
      </c>
      <c r="C1151" s="15" t="s">
        <v>3</v>
      </c>
      <c r="D1151" s="31" t="s">
        <v>500</v>
      </c>
      <c r="E1151" s="31"/>
      <c r="F1151" s="73" t="s">
        <v>11</v>
      </c>
      <c r="G1151" s="32">
        <v>31048</v>
      </c>
      <c r="H1151" s="29">
        <v>3318</v>
      </c>
      <c r="I1151" s="17">
        <v>0</v>
      </c>
      <c r="J1151" s="17">
        <f t="shared" si="188"/>
        <v>3152.1</v>
      </c>
      <c r="K1151" s="17">
        <f t="shared" si="181"/>
        <v>165.90000000000009</v>
      </c>
      <c r="L1151" s="23">
        <f t="shared" si="190"/>
        <v>165.9</v>
      </c>
      <c r="M1151" s="33">
        <v>25</v>
      </c>
      <c r="N1151" s="18">
        <f t="shared" si="182"/>
        <v>35.273972602739725</v>
      </c>
      <c r="O1151" s="23">
        <v>137750</v>
      </c>
      <c r="P1151" s="18">
        <f t="shared" si="183"/>
        <v>36.273972602739725</v>
      </c>
      <c r="Q1151" s="18">
        <f t="shared" si="189"/>
        <v>3.4106051316484808E-15</v>
      </c>
      <c r="R1151" s="18">
        <f t="shared" si="184"/>
        <v>137750</v>
      </c>
      <c r="S1151" s="18">
        <f t="shared" si="186"/>
        <v>165.9</v>
      </c>
    </row>
    <row r="1152" spans="1:19" ht="15" customHeight="1" x14ac:dyDescent="0.2">
      <c r="A1152" s="14">
        <f t="shared" si="185"/>
        <v>1116</v>
      </c>
      <c r="B1152" s="14" t="s">
        <v>1044</v>
      </c>
      <c r="C1152" s="15" t="s">
        <v>3</v>
      </c>
      <c r="D1152" s="31" t="s">
        <v>500</v>
      </c>
      <c r="E1152" s="31"/>
      <c r="F1152" s="73" t="s">
        <v>11</v>
      </c>
      <c r="G1152" s="32">
        <v>31048</v>
      </c>
      <c r="H1152" s="29">
        <v>3000</v>
      </c>
      <c r="I1152" s="17">
        <v>0</v>
      </c>
      <c r="J1152" s="17">
        <f t="shared" si="188"/>
        <v>2850</v>
      </c>
      <c r="K1152" s="17">
        <f t="shared" si="181"/>
        <v>150</v>
      </c>
      <c r="L1152" s="23">
        <f t="shared" si="190"/>
        <v>150</v>
      </c>
      <c r="M1152" s="33">
        <v>25</v>
      </c>
      <c r="N1152" s="18">
        <f t="shared" si="182"/>
        <v>35.273972602739725</v>
      </c>
      <c r="O1152" s="23">
        <v>440800</v>
      </c>
      <c r="P1152" s="18">
        <f t="shared" si="183"/>
        <v>36.273972602739725</v>
      </c>
      <c r="Q1152" s="18">
        <f t="shared" si="189"/>
        <v>0</v>
      </c>
      <c r="R1152" s="18">
        <f t="shared" si="184"/>
        <v>440800</v>
      </c>
      <c r="S1152" s="18">
        <f t="shared" si="186"/>
        <v>150</v>
      </c>
    </row>
    <row r="1153" spans="1:19" ht="15" customHeight="1" x14ac:dyDescent="0.2">
      <c r="A1153" s="14">
        <f t="shared" si="185"/>
        <v>1117</v>
      </c>
      <c r="B1153" s="14" t="s">
        <v>525</v>
      </c>
      <c r="C1153" s="15" t="s">
        <v>3</v>
      </c>
      <c r="D1153" s="31" t="s">
        <v>500</v>
      </c>
      <c r="E1153" s="31"/>
      <c r="F1153" s="70" t="s">
        <v>7</v>
      </c>
      <c r="G1153" s="32">
        <v>41258</v>
      </c>
      <c r="H1153" s="29">
        <v>277166</v>
      </c>
      <c r="I1153" s="17">
        <v>0</v>
      </c>
      <c r="J1153" s="17">
        <v>57903.647634703208</v>
      </c>
      <c r="K1153" s="17">
        <f t="shared" si="181"/>
        <v>219262.3523652968</v>
      </c>
      <c r="L1153" s="23">
        <f t="shared" si="190"/>
        <v>13858.300000000001</v>
      </c>
      <c r="M1153" s="33">
        <v>15</v>
      </c>
      <c r="N1153" s="18">
        <f t="shared" si="182"/>
        <v>7.3013698630136989</v>
      </c>
      <c r="O1153" s="23">
        <v>286140</v>
      </c>
      <c r="P1153" s="18">
        <f t="shared" si="183"/>
        <v>8.3013698630136989</v>
      </c>
      <c r="Q1153" s="18">
        <f t="shared" si="189"/>
        <v>13693.603491019787</v>
      </c>
      <c r="R1153" s="18">
        <f t="shared" si="184"/>
        <v>299833.60349101981</v>
      </c>
      <c r="S1153" s="18">
        <f t="shared" si="186"/>
        <v>13858.300000000001</v>
      </c>
    </row>
    <row r="1154" spans="1:19" ht="15" customHeight="1" x14ac:dyDescent="0.2">
      <c r="A1154" s="14">
        <f t="shared" si="185"/>
        <v>1118</v>
      </c>
      <c r="B1154" s="14" t="s">
        <v>1045</v>
      </c>
      <c r="C1154" s="15" t="s">
        <v>3</v>
      </c>
      <c r="D1154" s="31" t="s">
        <v>500</v>
      </c>
      <c r="E1154" s="31"/>
      <c r="F1154" s="72" t="s">
        <v>12</v>
      </c>
      <c r="G1154" s="32">
        <v>36526</v>
      </c>
      <c r="H1154" s="29">
        <v>287600</v>
      </c>
      <c r="I1154" s="17">
        <v>0</v>
      </c>
      <c r="J1154" s="17">
        <f t="shared" si="188"/>
        <v>273220</v>
      </c>
      <c r="K1154" s="17">
        <f t="shared" si="181"/>
        <v>14380</v>
      </c>
      <c r="L1154" s="23">
        <f t="shared" si="190"/>
        <v>14380</v>
      </c>
      <c r="M1154" s="33">
        <v>10</v>
      </c>
      <c r="N1154" s="18">
        <f t="shared" si="182"/>
        <v>20.265753424657536</v>
      </c>
      <c r="O1154" s="23">
        <v>66982.457500000004</v>
      </c>
      <c r="P1154" s="18">
        <f t="shared" si="183"/>
        <v>21.265753424657536</v>
      </c>
      <c r="Q1154" s="18">
        <f t="shared" si="189"/>
        <v>0</v>
      </c>
      <c r="R1154" s="18">
        <f t="shared" si="184"/>
        <v>66982.457500000004</v>
      </c>
      <c r="S1154" s="18">
        <f t="shared" si="186"/>
        <v>14380</v>
      </c>
    </row>
    <row r="1155" spans="1:19" ht="15" customHeight="1" x14ac:dyDescent="0.2">
      <c r="A1155" s="14">
        <f t="shared" si="185"/>
        <v>1119</v>
      </c>
      <c r="B1155" s="14" t="s">
        <v>1046</v>
      </c>
      <c r="C1155" s="15" t="s">
        <v>3</v>
      </c>
      <c r="D1155" s="31" t="s">
        <v>500</v>
      </c>
      <c r="E1155" s="31"/>
      <c r="F1155" s="70" t="s">
        <v>7</v>
      </c>
      <c r="G1155" s="32">
        <v>38748</v>
      </c>
      <c r="H1155" s="29">
        <v>804636.97</v>
      </c>
      <c r="I1155" s="17">
        <v>0</v>
      </c>
      <c r="J1155" s="17">
        <v>518538.9262558904</v>
      </c>
      <c r="K1155" s="17">
        <f t="shared" si="181"/>
        <v>286098.04374410957</v>
      </c>
      <c r="L1155" s="23">
        <f t="shared" si="190"/>
        <v>40231.8485</v>
      </c>
      <c r="M1155" s="33">
        <v>15</v>
      </c>
      <c r="N1155" s="18">
        <f t="shared" si="182"/>
        <v>14.178082191780822</v>
      </c>
      <c r="O1155" s="23">
        <v>6384</v>
      </c>
      <c r="P1155" s="18">
        <f t="shared" si="183"/>
        <v>15.178082191780822</v>
      </c>
      <c r="Q1155" s="18">
        <f t="shared" si="189"/>
        <v>16391.079682940639</v>
      </c>
      <c r="R1155" s="18">
        <f t="shared" si="184"/>
        <v>22775.079682940639</v>
      </c>
      <c r="S1155" s="18">
        <f t="shared" si="186"/>
        <v>40231.8485</v>
      </c>
    </row>
    <row r="1156" spans="1:19" ht="15" customHeight="1" x14ac:dyDescent="0.2">
      <c r="A1156" s="14">
        <f t="shared" si="185"/>
        <v>1120</v>
      </c>
      <c r="B1156" s="14" t="s">
        <v>1047</v>
      </c>
      <c r="C1156" s="15" t="s">
        <v>3</v>
      </c>
      <c r="D1156" s="31" t="s">
        <v>500</v>
      </c>
      <c r="E1156" s="31"/>
      <c r="F1156" s="72" t="s">
        <v>14</v>
      </c>
      <c r="G1156" s="32">
        <v>34785</v>
      </c>
      <c r="H1156" s="29">
        <v>3435401</v>
      </c>
      <c r="I1156" s="17">
        <v>0</v>
      </c>
      <c r="J1156" s="17">
        <f t="shared" si="188"/>
        <v>3263630.95</v>
      </c>
      <c r="K1156" s="17">
        <f t="shared" si="181"/>
        <v>171770.04999999981</v>
      </c>
      <c r="L1156" s="23">
        <f t="shared" si="190"/>
        <v>171770.05000000002</v>
      </c>
      <c r="M1156" s="33">
        <v>15</v>
      </c>
      <c r="N1156" s="18">
        <f t="shared" si="182"/>
        <v>25.035616438356165</v>
      </c>
      <c r="O1156" s="23">
        <v>1427.0615</v>
      </c>
      <c r="P1156" s="18">
        <f t="shared" si="183"/>
        <v>26.035616438356165</v>
      </c>
      <c r="Q1156" s="18">
        <f t="shared" si="189"/>
        <v>-1.3581787546475729E-11</v>
      </c>
      <c r="R1156" s="18">
        <f t="shared" si="184"/>
        <v>1427.0614999999864</v>
      </c>
      <c r="S1156" s="18">
        <f t="shared" si="186"/>
        <v>171770.05000000002</v>
      </c>
    </row>
    <row r="1157" spans="1:19" ht="15" customHeight="1" x14ac:dyDescent="0.2">
      <c r="A1157" s="14">
        <f t="shared" si="185"/>
        <v>1121</v>
      </c>
      <c r="B1157" s="14" t="s">
        <v>1047</v>
      </c>
      <c r="C1157" s="15" t="s">
        <v>3</v>
      </c>
      <c r="D1157" s="31" t="s">
        <v>500</v>
      </c>
      <c r="E1157" s="31"/>
      <c r="F1157" s="72" t="s">
        <v>14</v>
      </c>
      <c r="G1157" s="32">
        <v>34785</v>
      </c>
      <c r="H1157" s="29">
        <v>688318</v>
      </c>
      <c r="I1157" s="17">
        <v>0</v>
      </c>
      <c r="J1157" s="17">
        <f t="shared" si="188"/>
        <v>653902.1</v>
      </c>
      <c r="K1157" s="17">
        <f t="shared" si="181"/>
        <v>34415.900000000023</v>
      </c>
      <c r="L1157" s="23">
        <f t="shared" si="190"/>
        <v>34415.9</v>
      </c>
      <c r="M1157" s="33">
        <v>15</v>
      </c>
      <c r="N1157" s="18">
        <f t="shared" si="182"/>
        <v>25.035616438356165</v>
      </c>
      <c r="O1157" s="23">
        <v>794.25699999999995</v>
      </c>
      <c r="P1157" s="18">
        <f t="shared" si="183"/>
        <v>26.035616438356165</v>
      </c>
      <c r="Q1157" s="18">
        <f t="shared" si="189"/>
        <v>1.4551915228366853E-12</v>
      </c>
      <c r="R1157" s="18">
        <f t="shared" si="184"/>
        <v>794.25700000000143</v>
      </c>
      <c r="S1157" s="18">
        <f t="shared" si="186"/>
        <v>34415.9</v>
      </c>
    </row>
    <row r="1158" spans="1:19" ht="15" customHeight="1" x14ac:dyDescent="0.2">
      <c r="A1158" s="14">
        <f t="shared" si="185"/>
        <v>1122</v>
      </c>
      <c r="B1158" s="14" t="s">
        <v>1048</v>
      </c>
      <c r="C1158" s="15" t="s">
        <v>3</v>
      </c>
      <c r="D1158" s="31" t="s">
        <v>500</v>
      </c>
      <c r="E1158" s="31"/>
      <c r="F1158" s="73" t="s">
        <v>11</v>
      </c>
      <c r="G1158" s="32">
        <v>31413</v>
      </c>
      <c r="H1158" s="29">
        <v>109288</v>
      </c>
      <c r="I1158" s="17">
        <v>0</v>
      </c>
      <c r="J1158" s="17">
        <f t="shared" si="188"/>
        <v>103823.6</v>
      </c>
      <c r="K1158" s="17">
        <f t="shared" si="181"/>
        <v>5464.3999999999942</v>
      </c>
      <c r="L1158" s="23">
        <f t="shared" si="190"/>
        <v>5464.4000000000005</v>
      </c>
      <c r="M1158" s="33">
        <v>25</v>
      </c>
      <c r="N1158" s="18">
        <f t="shared" si="182"/>
        <v>34.273972602739725</v>
      </c>
      <c r="O1158" s="23">
        <v>794.25699999999995</v>
      </c>
      <c r="P1158" s="18">
        <f t="shared" si="183"/>
        <v>35.273972602739725</v>
      </c>
      <c r="Q1158" s="18">
        <f t="shared" si="189"/>
        <v>-2.5465851649641993E-13</v>
      </c>
      <c r="R1158" s="18">
        <f t="shared" si="184"/>
        <v>794.25699999999972</v>
      </c>
      <c r="S1158" s="18">
        <f t="shared" si="186"/>
        <v>5464.4000000000005</v>
      </c>
    </row>
    <row r="1159" spans="1:19" ht="15" customHeight="1" x14ac:dyDescent="0.2">
      <c r="A1159" s="14">
        <f t="shared" si="185"/>
        <v>1123</v>
      </c>
      <c r="B1159" s="14" t="s">
        <v>1049</v>
      </c>
      <c r="C1159" s="15" t="s">
        <v>3</v>
      </c>
      <c r="D1159" s="31" t="s">
        <v>500</v>
      </c>
      <c r="E1159" s="31"/>
      <c r="F1159" s="73" t="s">
        <v>11</v>
      </c>
      <c r="G1159" s="32">
        <v>31413</v>
      </c>
      <c r="H1159" s="29">
        <v>26258</v>
      </c>
      <c r="I1159" s="17">
        <v>0</v>
      </c>
      <c r="J1159" s="17">
        <f t="shared" si="188"/>
        <v>24945.1</v>
      </c>
      <c r="K1159" s="17">
        <f t="shared" si="181"/>
        <v>1312.9000000000015</v>
      </c>
      <c r="L1159" s="23">
        <f t="shared" si="190"/>
        <v>1312.9</v>
      </c>
      <c r="M1159" s="33">
        <v>25</v>
      </c>
      <c r="N1159" s="18">
        <f t="shared" si="182"/>
        <v>34.273972602739725</v>
      </c>
      <c r="O1159" s="23">
        <v>1588.5139999999999</v>
      </c>
      <c r="P1159" s="18">
        <f t="shared" si="183"/>
        <v>35.273972602739725</v>
      </c>
      <c r="Q1159" s="18">
        <f t="shared" si="189"/>
        <v>5.4569682106375692E-14</v>
      </c>
      <c r="R1159" s="18">
        <f t="shared" si="184"/>
        <v>1588.5139999999999</v>
      </c>
      <c r="S1159" s="18">
        <f t="shared" si="186"/>
        <v>1312.9</v>
      </c>
    </row>
    <row r="1160" spans="1:19" ht="15" customHeight="1" x14ac:dyDescent="0.2">
      <c r="A1160" s="14">
        <f t="shared" si="185"/>
        <v>1124</v>
      </c>
      <c r="B1160" s="14" t="s">
        <v>1050</v>
      </c>
      <c r="C1160" s="15" t="s">
        <v>3</v>
      </c>
      <c r="D1160" s="31" t="s">
        <v>500</v>
      </c>
      <c r="E1160" s="31"/>
      <c r="F1160" s="73" t="s">
        <v>11</v>
      </c>
      <c r="G1160" s="32">
        <v>31413</v>
      </c>
      <c r="H1160" s="29">
        <v>25844</v>
      </c>
      <c r="I1160" s="17">
        <v>0</v>
      </c>
      <c r="J1160" s="17">
        <f t="shared" si="188"/>
        <v>24551.8</v>
      </c>
      <c r="K1160" s="17">
        <f t="shared" si="181"/>
        <v>1292.2000000000007</v>
      </c>
      <c r="L1160" s="23">
        <f t="shared" si="190"/>
        <v>1292.2</v>
      </c>
      <c r="M1160" s="33">
        <v>25</v>
      </c>
      <c r="N1160" s="18">
        <f t="shared" si="182"/>
        <v>34.273972602739725</v>
      </c>
      <c r="O1160" s="23">
        <v>627.90250000000003</v>
      </c>
      <c r="P1160" s="18">
        <f t="shared" si="183"/>
        <v>35.273972602739725</v>
      </c>
      <c r="Q1160" s="18">
        <f t="shared" si="189"/>
        <v>2.7284841053187846E-14</v>
      </c>
      <c r="R1160" s="18">
        <f t="shared" si="184"/>
        <v>627.90250000000003</v>
      </c>
      <c r="S1160" s="18">
        <f t="shared" si="186"/>
        <v>1292.2</v>
      </c>
    </row>
    <row r="1161" spans="1:19" ht="15" customHeight="1" x14ac:dyDescent="0.2">
      <c r="A1161" s="14">
        <f t="shared" si="185"/>
        <v>1125</v>
      </c>
      <c r="B1161" s="14" t="s">
        <v>466</v>
      </c>
      <c r="C1161" s="15" t="s">
        <v>3</v>
      </c>
      <c r="D1161" s="31" t="s">
        <v>500</v>
      </c>
      <c r="E1161" s="31"/>
      <c r="F1161" s="73" t="s">
        <v>11</v>
      </c>
      <c r="G1161" s="32">
        <v>31413</v>
      </c>
      <c r="H1161" s="29">
        <v>24926</v>
      </c>
      <c r="I1161" s="17">
        <v>0</v>
      </c>
      <c r="J1161" s="17">
        <f t="shared" si="188"/>
        <v>23679.7</v>
      </c>
      <c r="K1161" s="17">
        <f t="shared" si="181"/>
        <v>1246.2999999999993</v>
      </c>
      <c r="L1161" s="23">
        <f t="shared" si="190"/>
        <v>1246.3000000000002</v>
      </c>
      <c r="M1161" s="33">
        <v>25</v>
      </c>
      <c r="N1161" s="18">
        <f t="shared" si="182"/>
        <v>34.273972602739725</v>
      </c>
      <c r="O1161" s="23">
        <v>1425</v>
      </c>
      <c r="P1161" s="18">
        <f t="shared" si="183"/>
        <v>35.273972602739725</v>
      </c>
      <c r="Q1161" s="18">
        <f t="shared" si="189"/>
        <v>-3.637978807091713E-14</v>
      </c>
      <c r="R1161" s="18">
        <f t="shared" si="184"/>
        <v>1425</v>
      </c>
      <c r="S1161" s="18">
        <f t="shared" si="186"/>
        <v>1246.3000000000002</v>
      </c>
    </row>
    <row r="1162" spans="1:19" ht="15" customHeight="1" x14ac:dyDescent="0.2">
      <c r="A1162" s="14">
        <f t="shared" si="185"/>
        <v>1126</v>
      </c>
      <c r="B1162" s="14" t="s">
        <v>1051</v>
      </c>
      <c r="C1162" s="15" t="s">
        <v>3</v>
      </c>
      <c r="D1162" s="31" t="s">
        <v>500</v>
      </c>
      <c r="E1162" s="31"/>
      <c r="F1162" s="72" t="s">
        <v>4</v>
      </c>
      <c r="G1162" s="32">
        <v>31413</v>
      </c>
      <c r="H1162" s="29">
        <v>14692</v>
      </c>
      <c r="I1162" s="17">
        <v>0</v>
      </c>
      <c r="J1162" s="17">
        <f t="shared" si="188"/>
        <v>13957.4</v>
      </c>
      <c r="K1162" s="17">
        <f t="shared" si="181"/>
        <v>734.60000000000036</v>
      </c>
      <c r="L1162" s="23">
        <f t="shared" si="190"/>
        <v>734.6</v>
      </c>
      <c r="M1162" s="33">
        <v>25</v>
      </c>
      <c r="N1162" s="18">
        <f t="shared" si="182"/>
        <v>34.273972602739725</v>
      </c>
      <c r="O1162" s="23">
        <v>794.25699999999995</v>
      </c>
      <c r="P1162" s="18">
        <f t="shared" si="183"/>
        <v>35.273972602739725</v>
      </c>
      <c r="Q1162" s="18">
        <f t="shared" si="189"/>
        <v>1.3642420526593923E-14</v>
      </c>
      <c r="R1162" s="18">
        <f t="shared" si="184"/>
        <v>794.25699999999995</v>
      </c>
      <c r="S1162" s="18">
        <f t="shared" si="186"/>
        <v>734.6</v>
      </c>
    </row>
    <row r="1163" spans="1:19" ht="15" customHeight="1" x14ac:dyDescent="0.2">
      <c r="A1163" s="14">
        <f t="shared" si="185"/>
        <v>1127</v>
      </c>
      <c r="B1163" s="14" t="s">
        <v>1052</v>
      </c>
      <c r="C1163" s="15" t="s">
        <v>3</v>
      </c>
      <c r="D1163" s="31" t="s">
        <v>500</v>
      </c>
      <c r="E1163" s="31"/>
      <c r="F1163" s="72" t="s">
        <v>8</v>
      </c>
      <c r="G1163" s="32">
        <v>35156</v>
      </c>
      <c r="H1163" s="29">
        <v>492037</v>
      </c>
      <c r="I1163" s="17">
        <v>0</v>
      </c>
      <c r="J1163" s="17">
        <f t="shared" si="188"/>
        <v>467435.15</v>
      </c>
      <c r="K1163" s="17">
        <f t="shared" si="181"/>
        <v>24601.849999999977</v>
      </c>
      <c r="L1163" s="23">
        <f t="shared" si="190"/>
        <v>24601.850000000002</v>
      </c>
      <c r="M1163" s="33">
        <v>15</v>
      </c>
      <c r="N1163" s="18">
        <f t="shared" si="182"/>
        <v>24.019178082191782</v>
      </c>
      <c r="O1163" s="23">
        <v>7383.875</v>
      </c>
      <c r="P1163" s="18">
        <f t="shared" si="183"/>
        <v>25.019178082191782</v>
      </c>
      <c r="Q1163" s="18">
        <f t="shared" si="189"/>
        <v>-1.6977234433094661E-12</v>
      </c>
      <c r="R1163" s="18">
        <f t="shared" si="184"/>
        <v>7383.8749999999982</v>
      </c>
      <c r="S1163" s="18">
        <f t="shared" si="186"/>
        <v>24601.850000000002</v>
      </c>
    </row>
    <row r="1164" spans="1:19" ht="15" customHeight="1" x14ac:dyDescent="0.2">
      <c r="A1164" s="14">
        <f t="shared" si="185"/>
        <v>1128</v>
      </c>
      <c r="B1164" s="14" t="s">
        <v>1053</v>
      </c>
      <c r="C1164" s="15" t="s">
        <v>3</v>
      </c>
      <c r="D1164" s="31" t="s">
        <v>500</v>
      </c>
      <c r="E1164" s="31"/>
      <c r="F1164" s="72" t="s">
        <v>11</v>
      </c>
      <c r="G1164" s="32">
        <v>31778</v>
      </c>
      <c r="H1164" s="29">
        <v>4413284</v>
      </c>
      <c r="I1164" s="17">
        <v>0</v>
      </c>
      <c r="J1164" s="17">
        <f t="shared" si="188"/>
        <v>4192619.8</v>
      </c>
      <c r="K1164" s="17">
        <f t="shared" si="181"/>
        <v>220664.20000000019</v>
      </c>
      <c r="L1164" s="23">
        <f t="shared" si="190"/>
        <v>220664.2</v>
      </c>
      <c r="M1164" s="33">
        <v>25</v>
      </c>
      <c r="N1164" s="18">
        <f t="shared" si="182"/>
        <v>33.273972602739725</v>
      </c>
      <c r="O1164" s="23">
        <v>886.80600000000004</v>
      </c>
      <c r="P1164" s="18">
        <f t="shared" si="183"/>
        <v>34.273972602739725</v>
      </c>
      <c r="Q1164" s="18">
        <f t="shared" si="189"/>
        <v>6.9849193096160886E-12</v>
      </c>
      <c r="R1164" s="18">
        <f t="shared" si="184"/>
        <v>886.80600000000697</v>
      </c>
      <c r="S1164" s="18">
        <f t="shared" si="186"/>
        <v>220664.2</v>
      </c>
    </row>
    <row r="1165" spans="1:19" ht="15" customHeight="1" x14ac:dyDescent="0.2">
      <c r="A1165" s="14">
        <f t="shared" si="185"/>
        <v>1129</v>
      </c>
      <c r="B1165" s="14" t="s">
        <v>1054</v>
      </c>
      <c r="C1165" s="15" t="s">
        <v>3</v>
      </c>
      <c r="D1165" s="31" t="s">
        <v>500</v>
      </c>
      <c r="E1165" s="31"/>
      <c r="F1165" s="72" t="s">
        <v>11</v>
      </c>
      <c r="G1165" s="32">
        <v>31778</v>
      </c>
      <c r="H1165" s="29">
        <v>2540934</v>
      </c>
      <c r="I1165" s="17">
        <v>0</v>
      </c>
      <c r="J1165" s="17">
        <f t="shared" si="188"/>
        <v>2413887.2999999998</v>
      </c>
      <c r="K1165" s="17">
        <f t="shared" si="181"/>
        <v>127046.70000000019</v>
      </c>
      <c r="L1165" s="23">
        <f t="shared" si="190"/>
        <v>127046.70000000001</v>
      </c>
      <c r="M1165" s="33">
        <v>25</v>
      </c>
      <c r="N1165" s="18">
        <f t="shared" si="182"/>
        <v>33.273972602739725</v>
      </c>
      <c r="O1165" s="23">
        <v>627.90250000000003</v>
      </c>
      <c r="P1165" s="18">
        <f t="shared" si="183"/>
        <v>34.273972602739725</v>
      </c>
      <c r="Q1165" s="18">
        <f t="shared" si="189"/>
        <v>6.9849193096160886E-12</v>
      </c>
      <c r="R1165" s="18">
        <f t="shared" si="184"/>
        <v>627.90250000000697</v>
      </c>
      <c r="S1165" s="18">
        <f t="shared" si="186"/>
        <v>127046.70000000001</v>
      </c>
    </row>
    <row r="1166" spans="1:19" ht="15" customHeight="1" x14ac:dyDescent="0.2">
      <c r="A1166" s="14">
        <f t="shared" si="185"/>
        <v>1130</v>
      </c>
      <c r="B1166" s="14" t="s">
        <v>1055</v>
      </c>
      <c r="C1166" s="15" t="s">
        <v>3</v>
      </c>
      <c r="D1166" s="31" t="s">
        <v>500</v>
      </c>
      <c r="E1166" s="31"/>
      <c r="F1166" s="72" t="s">
        <v>11</v>
      </c>
      <c r="G1166" s="32">
        <v>31778</v>
      </c>
      <c r="H1166" s="29">
        <v>1073400</v>
      </c>
      <c r="I1166" s="17">
        <v>0</v>
      </c>
      <c r="J1166" s="17">
        <f t="shared" si="188"/>
        <v>1019730</v>
      </c>
      <c r="K1166" s="17">
        <f t="shared" si="181"/>
        <v>53670</v>
      </c>
      <c r="L1166" s="23">
        <f t="shared" si="190"/>
        <v>53670</v>
      </c>
      <c r="M1166" s="33">
        <v>25</v>
      </c>
      <c r="N1166" s="18">
        <f t="shared" si="182"/>
        <v>33.273972602739725</v>
      </c>
      <c r="O1166" s="23">
        <v>2089.6865000000003</v>
      </c>
      <c r="P1166" s="18">
        <f t="shared" si="183"/>
        <v>34.273972602739725</v>
      </c>
      <c r="Q1166" s="18">
        <f t="shared" si="189"/>
        <v>0</v>
      </c>
      <c r="R1166" s="18">
        <f t="shared" si="184"/>
        <v>2089.6865000000003</v>
      </c>
      <c r="S1166" s="18">
        <f t="shared" si="186"/>
        <v>53670</v>
      </c>
    </row>
    <row r="1167" spans="1:19" ht="15" customHeight="1" x14ac:dyDescent="0.2">
      <c r="A1167" s="14">
        <f t="shared" si="185"/>
        <v>1131</v>
      </c>
      <c r="B1167" s="14" t="s">
        <v>1056</v>
      </c>
      <c r="C1167" s="15" t="s">
        <v>3</v>
      </c>
      <c r="D1167" s="31" t="s">
        <v>500</v>
      </c>
      <c r="E1167" s="31"/>
      <c r="F1167" s="72" t="s">
        <v>8</v>
      </c>
      <c r="G1167" s="32">
        <v>31778</v>
      </c>
      <c r="H1167" s="29">
        <v>893384</v>
      </c>
      <c r="I1167" s="17">
        <v>0</v>
      </c>
      <c r="J1167" s="17">
        <f t="shared" si="188"/>
        <v>848714.8</v>
      </c>
      <c r="K1167" s="17">
        <f t="shared" si="181"/>
        <v>44669.199999999953</v>
      </c>
      <c r="L1167" s="23">
        <f t="shared" si="190"/>
        <v>44669.200000000004</v>
      </c>
      <c r="M1167" s="33">
        <v>25</v>
      </c>
      <c r="N1167" s="18">
        <f t="shared" si="182"/>
        <v>33.273972602739725</v>
      </c>
      <c r="O1167" s="23">
        <v>858.43899999999996</v>
      </c>
      <c r="P1167" s="18">
        <f t="shared" si="183"/>
        <v>34.273972602739725</v>
      </c>
      <c r="Q1167" s="18">
        <f t="shared" si="189"/>
        <v>-2.0372681319713594E-12</v>
      </c>
      <c r="R1167" s="18">
        <f t="shared" si="184"/>
        <v>858.43899999999792</v>
      </c>
      <c r="S1167" s="18">
        <f t="shared" si="186"/>
        <v>44669.200000000004</v>
      </c>
    </row>
    <row r="1168" spans="1:19" ht="15" customHeight="1" x14ac:dyDescent="0.2">
      <c r="A1168" s="14">
        <f t="shared" si="185"/>
        <v>1132</v>
      </c>
      <c r="B1168" s="14" t="s">
        <v>1057</v>
      </c>
      <c r="C1168" s="15" t="s">
        <v>3</v>
      </c>
      <c r="D1168" s="31" t="s">
        <v>500</v>
      </c>
      <c r="E1168" s="31"/>
      <c r="F1168" s="72" t="s">
        <v>11</v>
      </c>
      <c r="G1168" s="32">
        <v>31778</v>
      </c>
      <c r="H1168" s="29">
        <v>770637</v>
      </c>
      <c r="I1168" s="17">
        <v>0</v>
      </c>
      <c r="J1168" s="17">
        <f t="shared" si="188"/>
        <v>732105.15</v>
      </c>
      <c r="K1168" s="17">
        <f t="shared" si="181"/>
        <v>38531.849999999977</v>
      </c>
      <c r="L1168" s="23">
        <f t="shared" si="190"/>
        <v>38531.85</v>
      </c>
      <c r="M1168" s="33">
        <v>25</v>
      </c>
      <c r="N1168" s="18">
        <f t="shared" si="182"/>
        <v>33.273972602739725</v>
      </c>
      <c r="O1168" s="23">
        <v>3490.4614999999999</v>
      </c>
      <c r="P1168" s="18">
        <f t="shared" si="183"/>
        <v>34.273972602739725</v>
      </c>
      <c r="Q1168" s="18">
        <f t="shared" si="189"/>
        <v>-8.7311491370201108E-13</v>
      </c>
      <c r="R1168" s="18">
        <f t="shared" si="184"/>
        <v>3490.461499999999</v>
      </c>
      <c r="S1168" s="18">
        <f t="shared" si="186"/>
        <v>38531.85</v>
      </c>
    </row>
    <row r="1169" spans="1:19" ht="15" customHeight="1" x14ac:dyDescent="0.2">
      <c r="A1169" s="14">
        <f t="shared" si="185"/>
        <v>1133</v>
      </c>
      <c r="B1169" s="14" t="s">
        <v>1058</v>
      </c>
      <c r="C1169" s="15" t="s">
        <v>3</v>
      </c>
      <c r="D1169" s="31" t="s">
        <v>500</v>
      </c>
      <c r="E1169" s="31"/>
      <c r="F1169" s="72" t="s">
        <v>11</v>
      </c>
      <c r="G1169" s="32">
        <v>31778</v>
      </c>
      <c r="H1169" s="29">
        <v>634776.6</v>
      </c>
      <c r="I1169" s="17">
        <v>0</v>
      </c>
      <c r="J1169" s="17">
        <f t="shared" si="188"/>
        <v>603037.77</v>
      </c>
      <c r="K1169" s="17">
        <f t="shared" si="181"/>
        <v>31738.829999999958</v>
      </c>
      <c r="L1169" s="23">
        <f t="shared" si="190"/>
        <v>31738.83</v>
      </c>
      <c r="M1169" s="33">
        <v>25</v>
      </c>
      <c r="N1169" s="18">
        <f t="shared" si="182"/>
        <v>33.273972602739725</v>
      </c>
      <c r="O1169" s="23">
        <v>65551.899999999994</v>
      </c>
      <c r="P1169" s="18">
        <f t="shared" si="183"/>
        <v>34.273972602739725</v>
      </c>
      <c r="Q1169" s="18">
        <f t="shared" si="189"/>
        <v>-1.7462298274040222E-12</v>
      </c>
      <c r="R1169" s="18">
        <f t="shared" si="184"/>
        <v>65551.899999999994</v>
      </c>
      <c r="S1169" s="18">
        <f t="shared" si="186"/>
        <v>31738.83</v>
      </c>
    </row>
    <row r="1170" spans="1:19" ht="15" customHeight="1" x14ac:dyDescent="0.2">
      <c r="A1170" s="14">
        <f t="shared" si="185"/>
        <v>1134</v>
      </c>
      <c r="B1170" s="14" t="s">
        <v>1059</v>
      </c>
      <c r="C1170" s="15" t="s">
        <v>3</v>
      </c>
      <c r="D1170" s="31" t="s">
        <v>500</v>
      </c>
      <c r="E1170" s="31"/>
      <c r="F1170" s="72" t="s">
        <v>11</v>
      </c>
      <c r="G1170" s="32">
        <v>31778</v>
      </c>
      <c r="H1170" s="29">
        <v>573067</v>
      </c>
      <c r="I1170" s="17">
        <v>0</v>
      </c>
      <c r="J1170" s="17">
        <f t="shared" si="188"/>
        <v>544413.65</v>
      </c>
      <c r="K1170" s="17">
        <f t="shared" si="181"/>
        <v>28653.349999999977</v>
      </c>
      <c r="L1170" s="23">
        <f t="shared" si="190"/>
        <v>28653.350000000002</v>
      </c>
      <c r="M1170" s="33">
        <v>25</v>
      </c>
      <c r="N1170" s="18">
        <f t="shared" si="182"/>
        <v>33.273972602739725</v>
      </c>
      <c r="O1170" s="23">
        <v>947.5680000000001</v>
      </c>
      <c r="P1170" s="18">
        <f t="shared" si="183"/>
        <v>34.273972602739725</v>
      </c>
      <c r="Q1170" s="18">
        <f t="shared" si="189"/>
        <v>-1.0186340659856797E-12</v>
      </c>
      <c r="R1170" s="18">
        <f t="shared" si="184"/>
        <v>947.56799999999907</v>
      </c>
      <c r="S1170" s="18">
        <f t="shared" si="186"/>
        <v>28653.350000000002</v>
      </c>
    </row>
    <row r="1171" spans="1:19" ht="15" customHeight="1" x14ac:dyDescent="0.2">
      <c r="A1171" s="14">
        <f t="shared" si="185"/>
        <v>1135</v>
      </c>
      <c r="B1171" s="14" t="s">
        <v>1060</v>
      </c>
      <c r="C1171" s="15" t="s">
        <v>3</v>
      </c>
      <c r="D1171" s="31" t="s">
        <v>500</v>
      </c>
      <c r="E1171" s="31"/>
      <c r="F1171" s="72" t="s">
        <v>11</v>
      </c>
      <c r="G1171" s="32">
        <v>31778</v>
      </c>
      <c r="H1171" s="29">
        <v>375267</v>
      </c>
      <c r="I1171" s="17">
        <v>0</v>
      </c>
      <c r="J1171" s="17">
        <f t="shared" si="188"/>
        <v>356503.65</v>
      </c>
      <c r="K1171" s="17">
        <f t="shared" si="181"/>
        <v>18763.349999999977</v>
      </c>
      <c r="L1171" s="23">
        <f t="shared" si="190"/>
        <v>18763.350000000002</v>
      </c>
      <c r="M1171" s="33">
        <v>25</v>
      </c>
      <c r="N1171" s="18">
        <f t="shared" si="182"/>
        <v>33.273972602739725</v>
      </c>
      <c r="O1171" s="23">
        <v>777.33749999999998</v>
      </c>
      <c r="P1171" s="18">
        <f t="shared" si="183"/>
        <v>34.273972602739725</v>
      </c>
      <c r="Q1171" s="18">
        <f t="shared" si="189"/>
        <v>-1.0186340659856797E-12</v>
      </c>
      <c r="R1171" s="18">
        <f t="shared" si="184"/>
        <v>777.33749999999895</v>
      </c>
      <c r="S1171" s="18">
        <f t="shared" si="186"/>
        <v>18763.350000000002</v>
      </c>
    </row>
    <row r="1172" spans="1:19" ht="15" customHeight="1" x14ac:dyDescent="0.2">
      <c r="A1172" s="14">
        <f t="shared" si="185"/>
        <v>1136</v>
      </c>
      <c r="B1172" s="14" t="s">
        <v>1061</v>
      </c>
      <c r="C1172" s="15" t="s">
        <v>3</v>
      </c>
      <c r="D1172" s="31" t="s">
        <v>500</v>
      </c>
      <c r="E1172" s="31"/>
      <c r="F1172" s="70" t="s">
        <v>7</v>
      </c>
      <c r="G1172" s="32">
        <v>31778</v>
      </c>
      <c r="H1172" s="29">
        <v>148060</v>
      </c>
      <c r="I1172" s="17">
        <v>0</v>
      </c>
      <c r="J1172" s="17">
        <f t="shared" si="188"/>
        <v>140657</v>
      </c>
      <c r="K1172" s="17">
        <f t="shared" si="181"/>
        <v>7403</v>
      </c>
      <c r="L1172" s="23">
        <f t="shared" si="190"/>
        <v>7403</v>
      </c>
      <c r="M1172" s="33">
        <v>25</v>
      </c>
      <c r="N1172" s="18">
        <f t="shared" si="182"/>
        <v>33.273972602739725</v>
      </c>
      <c r="O1172" s="23">
        <v>5985</v>
      </c>
      <c r="P1172" s="18">
        <f t="shared" si="183"/>
        <v>34.273972602739725</v>
      </c>
      <c r="Q1172" s="18">
        <f t="shared" si="189"/>
        <v>0</v>
      </c>
      <c r="R1172" s="18">
        <f t="shared" si="184"/>
        <v>5985</v>
      </c>
      <c r="S1172" s="18">
        <f t="shared" si="186"/>
        <v>7403</v>
      </c>
    </row>
    <row r="1173" spans="1:19" ht="15" customHeight="1" x14ac:dyDescent="0.2">
      <c r="A1173" s="14">
        <f t="shared" si="185"/>
        <v>1137</v>
      </c>
      <c r="B1173" s="14" t="s">
        <v>1062</v>
      </c>
      <c r="C1173" s="15" t="s">
        <v>3</v>
      </c>
      <c r="D1173" s="31" t="s">
        <v>500</v>
      </c>
      <c r="E1173" s="31"/>
      <c r="F1173" s="72" t="s">
        <v>11</v>
      </c>
      <c r="G1173" s="32">
        <v>31778</v>
      </c>
      <c r="H1173" s="29">
        <v>115933</v>
      </c>
      <c r="I1173" s="17">
        <v>0</v>
      </c>
      <c r="J1173" s="17">
        <f t="shared" si="188"/>
        <v>110136.35</v>
      </c>
      <c r="K1173" s="17">
        <f t="shared" si="181"/>
        <v>5796.6499999999942</v>
      </c>
      <c r="L1173" s="23">
        <f t="shared" si="190"/>
        <v>5796.6500000000005</v>
      </c>
      <c r="M1173" s="33">
        <v>25</v>
      </c>
      <c r="N1173" s="18">
        <f t="shared" si="182"/>
        <v>33.273972602739725</v>
      </c>
      <c r="O1173" s="23">
        <v>5526.15</v>
      </c>
      <c r="P1173" s="18">
        <f t="shared" si="183"/>
        <v>34.273972602739725</v>
      </c>
      <c r="Q1173" s="18">
        <f t="shared" si="189"/>
        <v>-2.5465851649641993E-13</v>
      </c>
      <c r="R1173" s="18">
        <f t="shared" si="184"/>
        <v>5526.15</v>
      </c>
      <c r="S1173" s="18">
        <f t="shared" si="186"/>
        <v>5796.6500000000005</v>
      </c>
    </row>
    <row r="1174" spans="1:19" ht="15" customHeight="1" x14ac:dyDescent="0.2">
      <c r="A1174" s="14">
        <f t="shared" si="185"/>
        <v>1138</v>
      </c>
      <c r="B1174" s="14" t="s">
        <v>1063</v>
      </c>
      <c r="C1174" s="15" t="s">
        <v>3</v>
      </c>
      <c r="D1174" s="31" t="s">
        <v>500</v>
      </c>
      <c r="E1174" s="31"/>
      <c r="F1174" s="72" t="s">
        <v>11</v>
      </c>
      <c r="G1174" s="32">
        <v>31778</v>
      </c>
      <c r="H1174" s="29">
        <v>90510</v>
      </c>
      <c r="I1174" s="17">
        <v>0</v>
      </c>
      <c r="J1174" s="17">
        <f t="shared" si="188"/>
        <v>85984.5</v>
      </c>
      <c r="K1174" s="17">
        <f t="shared" si="181"/>
        <v>4525.5</v>
      </c>
      <c r="L1174" s="23">
        <f t="shared" si="190"/>
        <v>4525.5</v>
      </c>
      <c r="M1174" s="33">
        <v>25</v>
      </c>
      <c r="N1174" s="18">
        <f t="shared" si="182"/>
        <v>33.273972602739725</v>
      </c>
      <c r="O1174" s="23">
        <v>10173.549999999999</v>
      </c>
      <c r="P1174" s="18">
        <f t="shared" si="183"/>
        <v>34.273972602739725</v>
      </c>
      <c r="Q1174" s="18">
        <f t="shared" si="189"/>
        <v>0</v>
      </c>
      <c r="R1174" s="18">
        <f t="shared" si="184"/>
        <v>10173.549999999999</v>
      </c>
      <c r="S1174" s="18">
        <f t="shared" si="186"/>
        <v>4525.5</v>
      </c>
    </row>
    <row r="1175" spans="1:19" ht="15" customHeight="1" x14ac:dyDescent="0.2">
      <c r="A1175" s="14">
        <f t="shared" si="185"/>
        <v>1139</v>
      </c>
      <c r="B1175" s="14" t="s">
        <v>1064</v>
      </c>
      <c r="C1175" s="15" t="s">
        <v>3</v>
      </c>
      <c r="D1175" s="31" t="s">
        <v>500</v>
      </c>
      <c r="E1175" s="31"/>
      <c r="F1175" s="70" t="s">
        <v>7</v>
      </c>
      <c r="G1175" s="32">
        <v>31778</v>
      </c>
      <c r="H1175" s="29">
        <v>77564</v>
      </c>
      <c r="I1175" s="17">
        <v>0</v>
      </c>
      <c r="J1175" s="17">
        <f t="shared" si="188"/>
        <v>73685.8</v>
      </c>
      <c r="K1175" s="17">
        <f t="shared" si="181"/>
        <v>3878.1999999999971</v>
      </c>
      <c r="L1175" s="23">
        <f t="shared" si="190"/>
        <v>3878.2000000000003</v>
      </c>
      <c r="M1175" s="33">
        <v>25</v>
      </c>
      <c r="N1175" s="18">
        <f t="shared" si="182"/>
        <v>33.273972602739725</v>
      </c>
      <c r="O1175" s="23">
        <v>34324.449999999997</v>
      </c>
      <c r="P1175" s="18">
        <f t="shared" si="183"/>
        <v>34.273972602739725</v>
      </c>
      <c r="Q1175" s="18">
        <f t="shared" si="189"/>
        <v>-1.2732925824820997E-13</v>
      </c>
      <c r="R1175" s="18">
        <f t="shared" si="184"/>
        <v>34324.449999999997</v>
      </c>
      <c r="S1175" s="18">
        <f t="shared" si="186"/>
        <v>3878.2000000000003</v>
      </c>
    </row>
    <row r="1176" spans="1:19" ht="15" customHeight="1" x14ac:dyDescent="0.2">
      <c r="A1176" s="14">
        <f t="shared" si="185"/>
        <v>1140</v>
      </c>
      <c r="B1176" s="14" t="s">
        <v>1065</v>
      </c>
      <c r="C1176" s="15" t="s">
        <v>3</v>
      </c>
      <c r="D1176" s="31" t="s">
        <v>500</v>
      </c>
      <c r="E1176" s="31"/>
      <c r="F1176" s="70" t="s">
        <v>7</v>
      </c>
      <c r="G1176" s="32">
        <v>39418</v>
      </c>
      <c r="H1176" s="29">
        <v>597676.38</v>
      </c>
      <c r="I1176" s="17">
        <v>0</v>
      </c>
      <c r="J1176" s="17">
        <v>315682.29327561642</v>
      </c>
      <c r="K1176" s="17">
        <f t="shared" si="181"/>
        <v>281994.08672438358</v>
      </c>
      <c r="L1176" s="23">
        <f t="shared" si="190"/>
        <v>29883.819000000003</v>
      </c>
      <c r="M1176" s="33">
        <v>15</v>
      </c>
      <c r="N1176" s="18">
        <f t="shared" si="182"/>
        <v>12.342465753424657</v>
      </c>
      <c r="O1176" s="23">
        <v>3773.875</v>
      </c>
      <c r="P1176" s="18">
        <f t="shared" si="183"/>
        <v>13.342465753424657</v>
      </c>
      <c r="Q1176" s="18">
        <f t="shared" si="189"/>
        <v>16807.35118162557</v>
      </c>
      <c r="R1176" s="18">
        <f t="shared" si="184"/>
        <v>20581.22618162557</v>
      </c>
      <c r="S1176" s="18">
        <f t="shared" si="186"/>
        <v>29883.819000000003</v>
      </c>
    </row>
    <row r="1177" spans="1:19" ht="15" customHeight="1" x14ac:dyDescent="0.2">
      <c r="A1177" s="14">
        <f t="shared" si="185"/>
        <v>1141</v>
      </c>
      <c r="B1177" s="14" t="s">
        <v>1066</v>
      </c>
      <c r="C1177" s="15" t="s">
        <v>3</v>
      </c>
      <c r="D1177" s="31" t="s">
        <v>500</v>
      </c>
      <c r="E1177" s="31"/>
      <c r="F1177" s="72" t="s">
        <v>11</v>
      </c>
      <c r="G1177" s="32">
        <v>31778</v>
      </c>
      <c r="H1177" s="29">
        <v>50036</v>
      </c>
      <c r="I1177" s="17">
        <v>0</v>
      </c>
      <c r="J1177" s="17">
        <f t="shared" si="188"/>
        <v>47534.2</v>
      </c>
      <c r="K1177" s="17">
        <f t="shared" si="181"/>
        <v>2501.8000000000029</v>
      </c>
      <c r="L1177" s="23">
        <f t="shared" si="190"/>
        <v>2501.8000000000002</v>
      </c>
      <c r="M1177" s="33">
        <v>25</v>
      </c>
      <c r="N1177" s="18">
        <f t="shared" si="182"/>
        <v>33.273972602739725</v>
      </c>
      <c r="O1177" s="23">
        <v>785.68799999999999</v>
      </c>
      <c r="P1177" s="18">
        <f t="shared" si="183"/>
        <v>34.273972602739725</v>
      </c>
      <c r="Q1177" s="18">
        <f t="shared" si="189"/>
        <v>1.0913936421275138E-13</v>
      </c>
      <c r="R1177" s="18">
        <f t="shared" si="184"/>
        <v>785.6880000000001</v>
      </c>
      <c r="S1177" s="18">
        <f t="shared" si="186"/>
        <v>2501.8000000000002</v>
      </c>
    </row>
    <row r="1178" spans="1:19" ht="15" customHeight="1" x14ac:dyDescent="0.2">
      <c r="A1178" s="14">
        <f t="shared" si="185"/>
        <v>1142</v>
      </c>
      <c r="B1178" s="14" t="s">
        <v>1067</v>
      </c>
      <c r="C1178" s="15" t="s">
        <v>3</v>
      </c>
      <c r="D1178" s="31" t="s">
        <v>500</v>
      </c>
      <c r="E1178" s="31"/>
      <c r="F1178" s="72" t="s">
        <v>11</v>
      </c>
      <c r="G1178" s="32">
        <v>31778</v>
      </c>
      <c r="H1178" s="29">
        <v>37293</v>
      </c>
      <c r="I1178" s="17">
        <v>0</v>
      </c>
      <c r="J1178" s="17">
        <f t="shared" si="188"/>
        <v>35428.35</v>
      </c>
      <c r="K1178" s="17">
        <f t="shared" si="181"/>
        <v>1864.6500000000015</v>
      </c>
      <c r="L1178" s="23">
        <f t="shared" si="190"/>
        <v>1864.65</v>
      </c>
      <c r="M1178" s="33">
        <v>25</v>
      </c>
      <c r="N1178" s="18">
        <f t="shared" si="182"/>
        <v>33.273972602739725</v>
      </c>
      <c r="O1178" s="23">
        <v>627.90250000000003</v>
      </c>
      <c r="P1178" s="18">
        <f t="shared" si="183"/>
        <v>34.273972602739725</v>
      </c>
      <c r="Q1178" s="18">
        <f t="shared" si="189"/>
        <v>5.4569682106375692E-14</v>
      </c>
      <c r="R1178" s="18">
        <f t="shared" si="184"/>
        <v>627.90250000000003</v>
      </c>
      <c r="S1178" s="18">
        <f t="shared" si="186"/>
        <v>1864.65</v>
      </c>
    </row>
    <row r="1179" spans="1:19" ht="15" customHeight="1" x14ac:dyDescent="0.2">
      <c r="A1179" s="14">
        <f t="shared" si="185"/>
        <v>1143</v>
      </c>
      <c r="B1179" s="14" t="s">
        <v>1068</v>
      </c>
      <c r="C1179" s="15" t="s">
        <v>3</v>
      </c>
      <c r="D1179" s="31" t="s">
        <v>500</v>
      </c>
      <c r="E1179" s="31"/>
      <c r="F1179" s="70" t="s">
        <v>7</v>
      </c>
      <c r="G1179" s="32">
        <v>31778</v>
      </c>
      <c r="H1179" s="29">
        <v>34146</v>
      </c>
      <c r="I1179" s="17">
        <v>0</v>
      </c>
      <c r="J1179" s="17">
        <f t="shared" si="188"/>
        <v>32438.7</v>
      </c>
      <c r="K1179" s="17">
        <f t="shared" si="181"/>
        <v>1707.2999999999993</v>
      </c>
      <c r="L1179" s="23">
        <f t="shared" si="190"/>
        <v>1707.3000000000002</v>
      </c>
      <c r="M1179" s="33">
        <v>25</v>
      </c>
      <c r="N1179" s="18">
        <f t="shared" si="182"/>
        <v>33.273972602739725</v>
      </c>
      <c r="O1179" s="23">
        <v>1738.4145000000001</v>
      </c>
      <c r="P1179" s="18">
        <f t="shared" si="183"/>
        <v>34.273972602739725</v>
      </c>
      <c r="Q1179" s="18">
        <f t="shared" si="189"/>
        <v>-3.637978807091713E-14</v>
      </c>
      <c r="R1179" s="18">
        <f t="shared" si="184"/>
        <v>1738.4145000000001</v>
      </c>
      <c r="S1179" s="18">
        <f t="shared" si="186"/>
        <v>1707.3000000000002</v>
      </c>
    </row>
    <row r="1180" spans="1:19" ht="15" customHeight="1" x14ac:dyDescent="0.2">
      <c r="A1180" s="14">
        <f t="shared" si="185"/>
        <v>1144</v>
      </c>
      <c r="B1180" s="14" t="s">
        <v>1069</v>
      </c>
      <c r="C1180" s="15" t="s">
        <v>3</v>
      </c>
      <c r="D1180" s="31" t="s">
        <v>500</v>
      </c>
      <c r="E1180" s="31"/>
      <c r="F1180" s="72" t="s">
        <v>13</v>
      </c>
      <c r="G1180" s="32">
        <v>31778</v>
      </c>
      <c r="H1180" s="29">
        <v>5947</v>
      </c>
      <c r="I1180" s="17">
        <v>0</v>
      </c>
      <c r="J1180" s="17">
        <f t="shared" si="188"/>
        <v>5649.65</v>
      </c>
      <c r="K1180" s="17">
        <f t="shared" si="181"/>
        <v>297.35000000000036</v>
      </c>
      <c r="L1180" s="23">
        <f t="shared" si="190"/>
        <v>297.35000000000002</v>
      </c>
      <c r="M1180" s="33">
        <v>25</v>
      </c>
      <c r="N1180" s="18">
        <f t="shared" si="182"/>
        <v>33.273972602739725</v>
      </c>
      <c r="O1180" s="23">
        <v>489537.85</v>
      </c>
      <c r="P1180" s="18">
        <f t="shared" si="183"/>
        <v>34.273972602739725</v>
      </c>
      <c r="Q1180" s="18">
        <f t="shared" si="189"/>
        <v>1.3642420526593923E-14</v>
      </c>
      <c r="R1180" s="18">
        <f t="shared" si="184"/>
        <v>489537.85</v>
      </c>
      <c r="S1180" s="18">
        <f t="shared" si="186"/>
        <v>297.35000000000002</v>
      </c>
    </row>
    <row r="1181" spans="1:19" ht="15" customHeight="1" x14ac:dyDescent="0.2">
      <c r="A1181" s="14">
        <f t="shared" si="185"/>
        <v>1145</v>
      </c>
      <c r="B1181" s="14" t="s">
        <v>1070</v>
      </c>
      <c r="C1181" s="15" t="s">
        <v>3</v>
      </c>
      <c r="D1181" s="31" t="s">
        <v>500</v>
      </c>
      <c r="E1181" s="31"/>
      <c r="F1181" s="72" t="s">
        <v>11</v>
      </c>
      <c r="G1181" s="32">
        <v>31778</v>
      </c>
      <c r="H1181" s="29">
        <v>4130</v>
      </c>
      <c r="I1181" s="17">
        <v>0</v>
      </c>
      <c r="J1181" s="17">
        <f t="shared" si="188"/>
        <v>3923.5</v>
      </c>
      <c r="K1181" s="17">
        <f t="shared" si="181"/>
        <v>206.5</v>
      </c>
      <c r="L1181" s="23">
        <f t="shared" si="190"/>
        <v>206.5</v>
      </c>
      <c r="M1181" s="33">
        <v>25</v>
      </c>
      <c r="N1181" s="18">
        <f t="shared" si="182"/>
        <v>33.273972602739725</v>
      </c>
      <c r="O1181" s="23">
        <v>3476.8195000000001</v>
      </c>
      <c r="P1181" s="18">
        <f t="shared" si="183"/>
        <v>34.273972602739725</v>
      </c>
      <c r="Q1181" s="18">
        <f t="shared" si="189"/>
        <v>0</v>
      </c>
      <c r="R1181" s="18">
        <f t="shared" si="184"/>
        <v>3476.8195000000001</v>
      </c>
      <c r="S1181" s="18">
        <f t="shared" si="186"/>
        <v>206.5</v>
      </c>
    </row>
    <row r="1182" spans="1:19" ht="15" customHeight="1" x14ac:dyDescent="0.2">
      <c r="A1182" s="14">
        <f t="shared" si="185"/>
        <v>1146</v>
      </c>
      <c r="B1182" s="14" t="s">
        <v>1071</v>
      </c>
      <c r="C1182" s="15" t="s">
        <v>3</v>
      </c>
      <c r="D1182" s="31" t="s">
        <v>500</v>
      </c>
      <c r="E1182" s="31"/>
      <c r="F1182" s="72" t="s">
        <v>14</v>
      </c>
      <c r="G1182" s="32">
        <v>35514</v>
      </c>
      <c r="H1182" s="29">
        <v>369730</v>
      </c>
      <c r="I1182" s="17">
        <v>0</v>
      </c>
      <c r="J1182" s="17">
        <f t="shared" si="188"/>
        <v>351243.5</v>
      </c>
      <c r="K1182" s="17">
        <f t="shared" si="181"/>
        <v>18486.5</v>
      </c>
      <c r="L1182" s="23">
        <f t="shared" si="190"/>
        <v>18486.5</v>
      </c>
      <c r="M1182" s="33">
        <v>15</v>
      </c>
      <c r="N1182" s="18">
        <f t="shared" si="182"/>
        <v>23.038356164383561</v>
      </c>
      <c r="O1182" s="23">
        <v>5732.6705000000002</v>
      </c>
      <c r="P1182" s="18">
        <f t="shared" si="183"/>
        <v>24.038356164383561</v>
      </c>
      <c r="Q1182" s="18">
        <f t="shared" si="189"/>
        <v>0</v>
      </c>
      <c r="R1182" s="18">
        <f t="shared" si="184"/>
        <v>5732.6705000000002</v>
      </c>
      <c r="S1182" s="18">
        <f t="shared" si="186"/>
        <v>18486.5</v>
      </c>
    </row>
    <row r="1183" spans="1:19" ht="15" customHeight="1" x14ac:dyDescent="0.2">
      <c r="A1183" s="14">
        <f t="shared" si="185"/>
        <v>1147</v>
      </c>
      <c r="B1183" s="14" t="s">
        <v>1072</v>
      </c>
      <c r="C1183" s="15" t="s">
        <v>3</v>
      </c>
      <c r="D1183" s="31" t="s">
        <v>500</v>
      </c>
      <c r="E1183" s="31"/>
      <c r="F1183" s="72" t="s">
        <v>4</v>
      </c>
      <c r="G1183" s="32">
        <v>35521</v>
      </c>
      <c r="H1183" s="29">
        <v>209741</v>
      </c>
      <c r="I1183" s="17">
        <v>0</v>
      </c>
      <c r="J1183" s="17">
        <f t="shared" si="188"/>
        <v>199253.95</v>
      </c>
      <c r="K1183" s="17">
        <f t="shared" si="181"/>
        <v>10487.049999999988</v>
      </c>
      <c r="L1183" s="23">
        <f t="shared" si="190"/>
        <v>10487.050000000001</v>
      </c>
      <c r="M1183" s="33">
        <v>15</v>
      </c>
      <c r="N1183" s="18">
        <f t="shared" si="182"/>
        <v>23.019178082191782</v>
      </c>
      <c r="O1183" s="23">
        <v>1773.6025</v>
      </c>
      <c r="P1183" s="18">
        <f t="shared" si="183"/>
        <v>24.019178082191782</v>
      </c>
      <c r="Q1183" s="18">
        <f t="shared" si="189"/>
        <v>-8.4886172165473304E-13</v>
      </c>
      <c r="R1183" s="18">
        <f t="shared" si="184"/>
        <v>1773.6024999999991</v>
      </c>
      <c r="S1183" s="18">
        <f t="shared" si="186"/>
        <v>10487.050000000001</v>
      </c>
    </row>
    <row r="1184" spans="1:19" ht="15" customHeight="1" x14ac:dyDescent="0.2">
      <c r="A1184" s="14">
        <f t="shared" si="185"/>
        <v>1148</v>
      </c>
      <c r="B1184" s="14" t="s">
        <v>1073</v>
      </c>
      <c r="C1184" s="15" t="s">
        <v>3</v>
      </c>
      <c r="D1184" s="31" t="s">
        <v>500</v>
      </c>
      <c r="E1184" s="31"/>
      <c r="F1184" s="72" t="s">
        <v>4</v>
      </c>
      <c r="G1184" s="32">
        <v>35703</v>
      </c>
      <c r="H1184" s="29">
        <v>1065843</v>
      </c>
      <c r="I1184" s="17">
        <v>0</v>
      </c>
      <c r="J1184" s="17">
        <f t="shared" si="188"/>
        <v>1012550.85</v>
      </c>
      <c r="K1184" s="17">
        <f t="shared" si="181"/>
        <v>53292.150000000023</v>
      </c>
      <c r="L1184" s="23">
        <f t="shared" si="190"/>
        <v>53292.15</v>
      </c>
      <c r="M1184" s="33">
        <v>15</v>
      </c>
      <c r="N1184" s="18">
        <f t="shared" si="182"/>
        <v>22.520547945205479</v>
      </c>
      <c r="O1184" s="23">
        <v>974.71899999999994</v>
      </c>
      <c r="P1184" s="18">
        <f t="shared" si="183"/>
        <v>23.520547945205479</v>
      </c>
      <c r="Q1184" s="18">
        <f t="shared" si="189"/>
        <v>1.4551915228366853E-12</v>
      </c>
      <c r="R1184" s="18">
        <f t="shared" si="184"/>
        <v>974.71900000000142</v>
      </c>
      <c r="S1184" s="18">
        <f t="shared" si="186"/>
        <v>53292.15</v>
      </c>
    </row>
    <row r="1185" spans="1:19" ht="15" customHeight="1" x14ac:dyDescent="0.2">
      <c r="A1185" s="14">
        <f t="shared" si="185"/>
        <v>1149</v>
      </c>
      <c r="B1185" s="14" t="s">
        <v>1074</v>
      </c>
      <c r="C1185" s="15" t="s">
        <v>3</v>
      </c>
      <c r="D1185" s="31" t="s">
        <v>500</v>
      </c>
      <c r="E1185" s="31"/>
      <c r="F1185" s="72" t="s">
        <v>8</v>
      </c>
      <c r="G1185" s="32">
        <v>32143</v>
      </c>
      <c r="H1185" s="29">
        <v>1338933</v>
      </c>
      <c r="I1185" s="17">
        <v>0</v>
      </c>
      <c r="J1185" s="17">
        <f t="shared" si="188"/>
        <v>1271986.3500000001</v>
      </c>
      <c r="K1185" s="17">
        <f t="shared" si="181"/>
        <v>66946.649999999907</v>
      </c>
      <c r="L1185" s="23">
        <f t="shared" si="190"/>
        <v>66946.650000000009</v>
      </c>
      <c r="M1185" s="33">
        <v>25</v>
      </c>
      <c r="N1185" s="18">
        <f t="shared" si="182"/>
        <v>32.273972602739725</v>
      </c>
      <c r="O1185" s="23">
        <v>2654.6704999999997</v>
      </c>
      <c r="P1185" s="18">
        <f t="shared" si="183"/>
        <v>33.273972602739725</v>
      </c>
      <c r="Q1185" s="18">
        <f t="shared" si="189"/>
        <v>-4.0745362639427189E-12</v>
      </c>
      <c r="R1185" s="18">
        <f t="shared" si="184"/>
        <v>2654.6704999999956</v>
      </c>
      <c r="S1185" s="18">
        <f t="shared" si="186"/>
        <v>66946.650000000009</v>
      </c>
    </row>
    <row r="1186" spans="1:19" ht="15" customHeight="1" x14ac:dyDescent="0.2">
      <c r="A1186" s="14">
        <f t="shared" si="185"/>
        <v>1150</v>
      </c>
      <c r="B1186" s="14" t="s">
        <v>1075</v>
      </c>
      <c r="C1186" s="15" t="s">
        <v>3</v>
      </c>
      <c r="D1186" s="31" t="s">
        <v>500</v>
      </c>
      <c r="E1186" s="31"/>
      <c r="F1186" s="72" t="s">
        <v>11</v>
      </c>
      <c r="G1186" s="32">
        <v>32143</v>
      </c>
      <c r="H1186" s="29">
        <v>1294583</v>
      </c>
      <c r="I1186" s="17">
        <v>0</v>
      </c>
      <c r="J1186" s="17">
        <f t="shared" si="188"/>
        <v>1229853.8500000001</v>
      </c>
      <c r="K1186" s="17">
        <f t="shared" si="181"/>
        <v>64729.149999999907</v>
      </c>
      <c r="L1186" s="23">
        <f t="shared" si="190"/>
        <v>64729.15</v>
      </c>
      <c r="M1186" s="33">
        <v>25</v>
      </c>
      <c r="N1186" s="18">
        <f t="shared" si="182"/>
        <v>32.273972602739725</v>
      </c>
      <c r="O1186" s="23">
        <v>2018.75</v>
      </c>
      <c r="P1186" s="18">
        <f t="shared" si="183"/>
        <v>33.273972602739725</v>
      </c>
      <c r="Q1186" s="18">
        <f t="shared" si="189"/>
        <v>-3.7834979593753816E-12</v>
      </c>
      <c r="R1186" s="18">
        <f t="shared" si="184"/>
        <v>2018.7499999999961</v>
      </c>
      <c r="S1186" s="18">
        <f t="shared" si="186"/>
        <v>64729.15</v>
      </c>
    </row>
    <row r="1187" spans="1:19" ht="15" customHeight="1" x14ac:dyDescent="0.2">
      <c r="A1187" s="14">
        <f t="shared" si="185"/>
        <v>1151</v>
      </c>
      <c r="B1187" s="14" t="s">
        <v>1076</v>
      </c>
      <c r="C1187" s="15" t="s">
        <v>3</v>
      </c>
      <c r="D1187" s="31" t="s">
        <v>500</v>
      </c>
      <c r="E1187" s="31"/>
      <c r="F1187" s="72" t="s">
        <v>11</v>
      </c>
      <c r="G1187" s="32">
        <v>32143</v>
      </c>
      <c r="H1187" s="29">
        <v>165107</v>
      </c>
      <c r="I1187" s="17">
        <v>0</v>
      </c>
      <c r="J1187" s="17">
        <f t="shared" si="188"/>
        <v>156851.65</v>
      </c>
      <c r="K1187" s="17">
        <f t="shared" si="181"/>
        <v>8255.3500000000058</v>
      </c>
      <c r="L1187" s="23">
        <f t="shared" si="190"/>
        <v>8255.35</v>
      </c>
      <c r="M1187" s="33">
        <v>25</v>
      </c>
      <c r="N1187" s="18">
        <f t="shared" si="182"/>
        <v>32.273972602739725</v>
      </c>
      <c r="O1187" s="23">
        <v>7696.5770000000002</v>
      </c>
      <c r="P1187" s="18">
        <f t="shared" si="183"/>
        <v>33.273972602739725</v>
      </c>
      <c r="Q1187" s="18">
        <f t="shared" si="189"/>
        <v>2.1827872842550277E-13</v>
      </c>
      <c r="R1187" s="18">
        <f t="shared" si="184"/>
        <v>7696.5770000000002</v>
      </c>
      <c r="S1187" s="18">
        <f t="shared" si="186"/>
        <v>8255.35</v>
      </c>
    </row>
    <row r="1188" spans="1:19" ht="15" customHeight="1" x14ac:dyDescent="0.2">
      <c r="A1188" s="14">
        <f t="shared" si="185"/>
        <v>1152</v>
      </c>
      <c r="B1188" s="14" t="s">
        <v>1077</v>
      </c>
      <c r="C1188" s="15" t="s">
        <v>3</v>
      </c>
      <c r="D1188" s="31" t="s">
        <v>500</v>
      </c>
      <c r="E1188" s="31"/>
      <c r="F1188" s="72" t="s">
        <v>11</v>
      </c>
      <c r="G1188" s="32">
        <v>32143</v>
      </c>
      <c r="H1188" s="29">
        <v>161960</v>
      </c>
      <c r="I1188" s="17">
        <v>0</v>
      </c>
      <c r="J1188" s="17">
        <f t="shared" si="188"/>
        <v>153862</v>
      </c>
      <c r="K1188" s="17">
        <f t="shared" si="181"/>
        <v>8098</v>
      </c>
      <c r="L1188" s="23">
        <f t="shared" si="190"/>
        <v>8098</v>
      </c>
      <c r="M1188" s="33">
        <v>25</v>
      </c>
      <c r="N1188" s="18">
        <f t="shared" si="182"/>
        <v>32.273972602739725</v>
      </c>
      <c r="O1188" s="23">
        <v>1001.3095</v>
      </c>
      <c r="P1188" s="18">
        <f t="shared" si="183"/>
        <v>33.273972602739725</v>
      </c>
      <c r="Q1188" s="18">
        <f t="shared" si="189"/>
        <v>0</v>
      </c>
      <c r="R1188" s="18">
        <f t="shared" si="184"/>
        <v>1001.3095</v>
      </c>
      <c r="S1188" s="18">
        <f t="shared" si="186"/>
        <v>8098</v>
      </c>
    </row>
    <row r="1189" spans="1:19" ht="15" customHeight="1" x14ac:dyDescent="0.2">
      <c r="A1189" s="14">
        <f t="shared" si="185"/>
        <v>1153</v>
      </c>
      <c r="B1189" s="14" t="s">
        <v>1078</v>
      </c>
      <c r="C1189" s="15" t="s">
        <v>3</v>
      </c>
      <c r="D1189" s="31" t="s">
        <v>500</v>
      </c>
      <c r="E1189" s="31"/>
      <c r="F1189" s="72" t="s">
        <v>11</v>
      </c>
      <c r="G1189" s="32">
        <v>32143</v>
      </c>
      <c r="H1189" s="29">
        <v>131069</v>
      </c>
      <c r="I1189" s="17">
        <v>0</v>
      </c>
      <c r="J1189" s="17">
        <f t="shared" si="188"/>
        <v>124515.55</v>
      </c>
      <c r="K1189" s="17">
        <f t="shared" ref="K1189:K1252" si="191">H1189+I1189-J1189</f>
        <v>6553.4499999999971</v>
      </c>
      <c r="L1189" s="23">
        <f t="shared" si="190"/>
        <v>6553.4500000000007</v>
      </c>
      <c r="M1189" s="33">
        <v>25</v>
      </c>
      <c r="N1189" s="18">
        <f t="shared" ref="N1189:N1252" si="192">IF(($N$35-G1189+1)/365&gt;0,($N$35-G1189+1)/365,0)</f>
        <v>32.273972602739725</v>
      </c>
      <c r="O1189" s="23">
        <v>1382.0884999999998</v>
      </c>
      <c r="P1189" s="18">
        <f t="shared" ref="P1189:P1252" si="193">($P$35-G1189+1)/365</f>
        <v>33.273972602739725</v>
      </c>
      <c r="Q1189" s="18">
        <f t="shared" si="189"/>
        <v>-1.4551915228366852E-13</v>
      </c>
      <c r="R1189" s="18">
        <f t="shared" ref="R1189:R1252" si="194">Q1189+O1189</f>
        <v>1382.0884999999996</v>
      </c>
      <c r="S1189" s="18">
        <f t="shared" si="186"/>
        <v>6553.4500000000007</v>
      </c>
    </row>
    <row r="1190" spans="1:19" ht="15" customHeight="1" x14ac:dyDescent="0.2">
      <c r="A1190" s="14">
        <f t="shared" si="185"/>
        <v>1154</v>
      </c>
      <c r="B1190" s="14" t="s">
        <v>1079</v>
      </c>
      <c r="C1190" s="15" t="s">
        <v>3</v>
      </c>
      <c r="D1190" s="31" t="s">
        <v>500</v>
      </c>
      <c r="E1190" s="31"/>
      <c r="F1190" s="72" t="s">
        <v>11</v>
      </c>
      <c r="G1190" s="32">
        <v>32143</v>
      </c>
      <c r="H1190" s="29">
        <v>112966</v>
      </c>
      <c r="I1190" s="17">
        <v>0</v>
      </c>
      <c r="J1190" s="17">
        <f t="shared" si="188"/>
        <v>107317.7</v>
      </c>
      <c r="K1190" s="17">
        <f t="shared" si="191"/>
        <v>5648.3000000000029</v>
      </c>
      <c r="L1190" s="23">
        <f t="shared" si="190"/>
        <v>5648.3</v>
      </c>
      <c r="M1190" s="33">
        <v>25</v>
      </c>
      <c r="N1190" s="18">
        <f t="shared" si="192"/>
        <v>32.273972602739725</v>
      </c>
      <c r="O1190" s="23">
        <v>1024.7460000000001</v>
      </c>
      <c r="P1190" s="18">
        <f t="shared" si="193"/>
        <v>33.273972602739725</v>
      </c>
      <c r="Q1190" s="18">
        <f t="shared" si="189"/>
        <v>1.0913936421275138E-13</v>
      </c>
      <c r="R1190" s="18">
        <f t="shared" si="194"/>
        <v>1024.7460000000001</v>
      </c>
      <c r="S1190" s="18">
        <f t="shared" si="186"/>
        <v>5648.3</v>
      </c>
    </row>
    <row r="1191" spans="1:19" ht="15" customHeight="1" x14ac:dyDescent="0.2">
      <c r="A1191" s="14">
        <f t="shared" ref="A1191:A1254" si="195">+A1190+1</f>
        <v>1155</v>
      </c>
      <c r="B1191" s="14" t="s">
        <v>1080</v>
      </c>
      <c r="C1191" s="15" t="s">
        <v>3</v>
      </c>
      <c r="D1191" s="31" t="s">
        <v>500</v>
      </c>
      <c r="E1191" s="31"/>
      <c r="F1191" s="72" t="s">
        <v>15</v>
      </c>
      <c r="G1191" s="32">
        <v>32143</v>
      </c>
      <c r="H1191" s="29">
        <v>109455</v>
      </c>
      <c r="I1191" s="17">
        <v>0</v>
      </c>
      <c r="J1191" s="17">
        <f t="shared" si="188"/>
        <v>103982.25</v>
      </c>
      <c r="K1191" s="17">
        <f t="shared" si="191"/>
        <v>5472.75</v>
      </c>
      <c r="L1191" s="23">
        <f t="shared" si="190"/>
        <v>5472.75</v>
      </c>
      <c r="M1191" s="33">
        <v>25</v>
      </c>
      <c r="N1191" s="18">
        <f t="shared" si="192"/>
        <v>32.273972602739725</v>
      </c>
      <c r="O1191" s="23">
        <v>11378.15</v>
      </c>
      <c r="P1191" s="18">
        <f t="shared" si="193"/>
        <v>33.273972602739725</v>
      </c>
      <c r="Q1191" s="18">
        <f t="shared" si="189"/>
        <v>0</v>
      </c>
      <c r="R1191" s="18">
        <f t="shared" si="194"/>
        <v>11378.15</v>
      </c>
      <c r="S1191" s="18">
        <f t="shared" ref="S1191:S1254" si="196">+IF(N1191&gt;P1191,0,L1191)</f>
        <v>5472.75</v>
      </c>
    </row>
    <row r="1192" spans="1:19" ht="15" customHeight="1" x14ac:dyDescent="0.2">
      <c r="A1192" s="14">
        <f t="shared" si="195"/>
        <v>1156</v>
      </c>
      <c r="B1192" s="14" t="s">
        <v>1081</v>
      </c>
      <c r="C1192" s="15" t="s">
        <v>3</v>
      </c>
      <c r="D1192" s="31" t="s">
        <v>500</v>
      </c>
      <c r="E1192" s="31"/>
      <c r="F1192" s="72" t="s">
        <v>11</v>
      </c>
      <c r="G1192" s="32">
        <v>32143</v>
      </c>
      <c r="H1192" s="29">
        <v>96910</v>
      </c>
      <c r="I1192" s="17">
        <v>0</v>
      </c>
      <c r="J1192" s="17">
        <f t="shared" si="188"/>
        <v>92064.5</v>
      </c>
      <c r="K1192" s="17">
        <f t="shared" si="191"/>
        <v>4845.5</v>
      </c>
      <c r="L1192" s="23">
        <f t="shared" si="190"/>
        <v>4845.5</v>
      </c>
      <c r="M1192" s="33">
        <v>25</v>
      </c>
      <c r="N1192" s="18">
        <f t="shared" si="192"/>
        <v>32.273972602739725</v>
      </c>
      <c r="O1192" s="23">
        <v>1320.576</v>
      </c>
      <c r="P1192" s="18">
        <f t="shared" si="193"/>
        <v>33.273972602739725</v>
      </c>
      <c r="Q1192" s="18">
        <f t="shared" si="189"/>
        <v>0</v>
      </c>
      <c r="R1192" s="18">
        <f t="shared" si="194"/>
        <v>1320.576</v>
      </c>
      <c r="S1192" s="18">
        <f t="shared" si="196"/>
        <v>4845.5</v>
      </c>
    </row>
    <row r="1193" spans="1:19" ht="15" customHeight="1" x14ac:dyDescent="0.2">
      <c r="A1193" s="14">
        <f t="shared" si="195"/>
        <v>1157</v>
      </c>
      <c r="B1193" s="14" t="s">
        <v>1082</v>
      </c>
      <c r="C1193" s="15" t="s">
        <v>3</v>
      </c>
      <c r="D1193" s="31" t="s">
        <v>500</v>
      </c>
      <c r="E1193" s="31"/>
      <c r="F1193" s="72" t="s">
        <v>11</v>
      </c>
      <c r="G1193" s="32">
        <v>32143</v>
      </c>
      <c r="H1193" s="29">
        <v>87781</v>
      </c>
      <c r="I1193" s="17">
        <v>0</v>
      </c>
      <c r="J1193" s="17">
        <f t="shared" si="188"/>
        <v>83391.95</v>
      </c>
      <c r="K1193" s="17">
        <f t="shared" si="191"/>
        <v>4389.0500000000029</v>
      </c>
      <c r="L1193" s="23">
        <f t="shared" si="190"/>
        <v>4389.05</v>
      </c>
      <c r="M1193" s="33">
        <v>25</v>
      </c>
      <c r="N1193" s="18">
        <f t="shared" si="192"/>
        <v>32.273972602739725</v>
      </c>
      <c r="O1193" s="23">
        <v>886.80600000000004</v>
      </c>
      <c r="P1193" s="18">
        <f t="shared" si="193"/>
        <v>33.273972602739725</v>
      </c>
      <c r="Q1193" s="18">
        <f t="shared" si="189"/>
        <v>1.0913936421275138E-13</v>
      </c>
      <c r="R1193" s="18">
        <f t="shared" si="194"/>
        <v>886.80600000000015</v>
      </c>
      <c r="S1193" s="18">
        <f t="shared" si="196"/>
        <v>4389.05</v>
      </c>
    </row>
    <row r="1194" spans="1:19" ht="15" customHeight="1" x14ac:dyDescent="0.2">
      <c r="A1194" s="14">
        <f t="shared" si="195"/>
        <v>1158</v>
      </c>
      <c r="B1194" s="14" t="s">
        <v>1083</v>
      </c>
      <c r="C1194" s="15" t="s">
        <v>3</v>
      </c>
      <c r="D1194" s="31" t="s">
        <v>500</v>
      </c>
      <c r="E1194" s="31"/>
      <c r="F1194" s="72" t="s">
        <v>11</v>
      </c>
      <c r="G1194" s="32">
        <v>32143</v>
      </c>
      <c r="H1194" s="29">
        <v>84467</v>
      </c>
      <c r="I1194" s="17">
        <v>0</v>
      </c>
      <c r="J1194" s="17">
        <f t="shared" si="188"/>
        <v>80243.649999999994</v>
      </c>
      <c r="K1194" s="17">
        <f t="shared" si="191"/>
        <v>4223.3500000000058</v>
      </c>
      <c r="L1194" s="23">
        <f t="shared" si="190"/>
        <v>4223.3500000000004</v>
      </c>
      <c r="M1194" s="33">
        <v>25</v>
      </c>
      <c r="N1194" s="18">
        <f t="shared" si="192"/>
        <v>32.273972602739725</v>
      </c>
      <c r="O1194" s="23">
        <v>886.80600000000004</v>
      </c>
      <c r="P1194" s="18">
        <f t="shared" si="193"/>
        <v>33.273972602739725</v>
      </c>
      <c r="Q1194" s="18">
        <f t="shared" si="189"/>
        <v>2.1827872842550277E-13</v>
      </c>
      <c r="R1194" s="18">
        <f t="shared" si="194"/>
        <v>886.80600000000027</v>
      </c>
      <c r="S1194" s="18">
        <f t="shared" si="196"/>
        <v>4223.3500000000004</v>
      </c>
    </row>
    <row r="1195" spans="1:19" ht="15" customHeight="1" x14ac:dyDescent="0.2">
      <c r="A1195" s="14">
        <f t="shared" si="195"/>
        <v>1159</v>
      </c>
      <c r="B1195" s="14" t="s">
        <v>1084</v>
      </c>
      <c r="C1195" s="15" t="s">
        <v>3</v>
      </c>
      <c r="D1195" s="31" t="s">
        <v>500</v>
      </c>
      <c r="E1195" s="31"/>
      <c r="F1195" s="72" t="s">
        <v>8</v>
      </c>
      <c r="G1195" s="32">
        <v>32143</v>
      </c>
      <c r="H1195" s="29">
        <v>82270</v>
      </c>
      <c r="I1195" s="17">
        <v>0</v>
      </c>
      <c r="J1195" s="17">
        <f t="shared" si="188"/>
        <v>78156.5</v>
      </c>
      <c r="K1195" s="17">
        <f t="shared" si="191"/>
        <v>4113.5</v>
      </c>
      <c r="L1195" s="23">
        <f t="shared" si="190"/>
        <v>4113.5</v>
      </c>
      <c r="M1195" s="33">
        <v>25</v>
      </c>
      <c r="N1195" s="18">
        <f t="shared" si="192"/>
        <v>32.273972602739725</v>
      </c>
      <c r="O1195" s="23">
        <v>7980</v>
      </c>
      <c r="P1195" s="18">
        <f t="shared" si="193"/>
        <v>33.273972602739725</v>
      </c>
      <c r="Q1195" s="18">
        <f t="shared" si="189"/>
        <v>0</v>
      </c>
      <c r="R1195" s="18">
        <f t="shared" si="194"/>
        <v>7980</v>
      </c>
      <c r="S1195" s="18">
        <f t="shared" si="196"/>
        <v>4113.5</v>
      </c>
    </row>
    <row r="1196" spans="1:19" ht="15" customHeight="1" x14ac:dyDescent="0.2">
      <c r="A1196" s="14">
        <f t="shared" si="195"/>
        <v>1160</v>
      </c>
      <c r="B1196" s="14" t="s">
        <v>1085</v>
      </c>
      <c r="C1196" s="15" t="s">
        <v>3</v>
      </c>
      <c r="D1196" s="31" t="s">
        <v>500</v>
      </c>
      <c r="E1196" s="31"/>
      <c r="F1196" s="72" t="s">
        <v>8</v>
      </c>
      <c r="G1196" s="32">
        <v>32143</v>
      </c>
      <c r="H1196" s="29">
        <v>82244</v>
      </c>
      <c r="I1196" s="17">
        <v>0</v>
      </c>
      <c r="J1196" s="17">
        <f t="shared" si="188"/>
        <v>78131.8</v>
      </c>
      <c r="K1196" s="17">
        <f t="shared" si="191"/>
        <v>4112.1999999999971</v>
      </c>
      <c r="L1196" s="23">
        <f t="shared" si="190"/>
        <v>4112.2</v>
      </c>
      <c r="M1196" s="33">
        <v>25</v>
      </c>
      <c r="N1196" s="18">
        <f t="shared" si="192"/>
        <v>32.273972602739725</v>
      </c>
      <c r="O1196" s="23">
        <v>35710.5</v>
      </c>
      <c r="P1196" s="18">
        <f t="shared" si="193"/>
        <v>33.273972602739725</v>
      </c>
      <c r="Q1196" s="18">
        <f t="shared" si="189"/>
        <v>-1.0913936421275138E-13</v>
      </c>
      <c r="R1196" s="18">
        <f t="shared" si="194"/>
        <v>35710.5</v>
      </c>
      <c r="S1196" s="18">
        <f t="shared" si="196"/>
        <v>4112.2</v>
      </c>
    </row>
    <row r="1197" spans="1:19" ht="15" customHeight="1" x14ac:dyDescent="0.2">
      <c r="A1197" s="14">
        <f t="shared" si="195"/>
        <v>1161</v>
      </c>
      <c r="B1197" s="14" t="s">
        <v>1086</v>
      </c>
      <c r="C1197" s="15" t="s">
        <v>3</v>
      </c>
      <c r="D1197" s="31" t="s">
        <v>500</v>
      </c>
      <c r="E1197" s="31"/>
      <c r="F1197" s="72" t="s">
        <v>11</v>
      </c>
      <c r="G1197" s="32">
        <v>32143</v>
      </c>
      <c r="H1197" s="29">
        <v>54223</v>
      </c>
      <c r="I1197" s="17">
        <v>0</v>
      </c>
      <c r="J1197" s="17">
        <f t="shared" si="188"/>
        <v>51511.85</v>
      </c>
      <c r="K1197" s="17">
        <f t="shared" si="191"/>
        <v>2711.1500000000015</v>
      </c>
      <c r="L1197" s="23">
        <f t="shared" si="190"/>
        <v>2711.15</v>
      </c>
      <c r="M1197" s="33">
        <v>25</v>
      </c>
      <c r="N1197" s="18">
        <f t="shared" si="192"/>
        <v>32.273972602739725</v>
      </c>
      <c r="O1197" s="23">
        <v>3092.25</v>
      </c>
      <c r="P1197" s="18">
        <f t="shared" si="193"/>
        <v>33.273972602739725</v>
      </c>
      <c r="Q1197" s="18">
        <f t="shared" si="189"/>
        <v>5.4569682106375692E-14</v>
      </c>
      <c r="R1197" s="18">
        <f t="shared" si="194"/>
        <v>3092.25</v>
      </c>
      <c r="S1197" s="18">
        <f t="shared" si="196"/>
        <v>2711.15</v>
      </c>
    </row>
    <row r="1198" spans="1:19" ht="15" customHeight="1" x14ac:dyDescent="0.2">
      <c r="A1198" s="14">
        <f t="shared" si="195"/>
        <v>1162</v>
      </c>
      <c r="B1198" s="14" t="s">
        <v>1087</v>
      </c>
      <c r="C1198" s="15" t="s">
        <v>3</v>
      </c>
      <c r="D1198" s="31" t="s">
        <v>500</v>
      </c>
      <c r="E1198" s="31"/>
      <c r="F1198" s="72" t="s">
        <v>11</v>
      </c>
      <c r="G1198" s="32">
        <v>32143</v>
      </c>
      <c r="H1198" s="29">
        <v>36334</v>
      </c>
      <c r="I1198" s="17">
        <v>0</v>
      </c>
      <c r="J1198" s="17">
        <f t="shared" si="188"/>
        <v>34517.300000000003</v>
      </c>
      <c r="K1198" s="17">
        <f t="shared" si="191"/>
        <v>1816.6999999999971</v>
      </c>
      <c r="L1198" s="23">
        <f t="shared" si="190"/>
        <v>1816.7</v>
      </c>
      <c r="M1198" s="33">
        <v>25</v>
      </c>
      <c r="N1198" s="18">
        <f t="shared" si="192"/>
        <v>32.273972602739725</v>
      </c>
      <c r="O1198" s="23">
        <v>22443.75</v>
      </c>
      <c r="P1198" s="18">
        <f t="shared" si="193"/>
        <v>33.273972602739725</v>
      </c>
      <c r="Q1198" s="18">
        <f t="shared" si="189"/>
        <v>-1.1823431123048067E-13</v>
      </c>
      <c r="R1198" s="18">
        <f t="shared" si="194"/>
        <v>22443.75</v>
      </c>
      <c r="S1198" s="18">
        <f t="shared" si="196"/>
        <v>1816.7</v>
      </c>
    </row>
    <row r="1199" spans="1:19" ht="15" customHeight="1" x14ac:dyDescent="0.2">
      <c r="A1199" s="14">
        <f t="shared" si="195"/>
        <v>1163</v>
      </c>
      <c r="B1199" s="14" t="s">
        <v>1088</v>
      </c>
      <c r="C1199" s="15" t="s">
        <v>3</v>
      </c>
      <c r="D1199" s="31" t="s">
        <v>500</v>
      </c>
      <c r="E1199" s="31"/>
      <c r="F1199" s="72" t="s">
        <v>13</v>
      </c>
      <c r="G1199" s="32">
        <v>32143</v>
      </c>
      <c r="H1199" s="29">
        <v>31324</v>
      </c>
      <c r="I1199" s="17">
        <v>0</v>
      </c>
      <c r="J1199" s="17">
        <f t="shared" si="188"/>
        <v>29757.8</v>
      </c>
      <c r="K1199" s="17">
        <f t="shared" si="191"/>
        <v>1566.2000000000007</v>
      </c>
      <c r="L1199" s="23">
        <f t="shared" si="190"/>
        <v>1566.2</v>
      </c>
      <c r="M1199" s="33">
        <v>25</v>
      </c>
      <c r="N1199" s="18">
        <f t="shared" si="192"/>
        <v>32.273972602739725</v>
      </c>
      <c r="O1199" s="23">
        <v>1253.4870000000001</v>
      </c>
      <c r="P1199" s="18">
        <f t="shared" si="193"/>
        <v>33.273972602739725</v>
      </c>
      <c r="Q1199" s="18">
        <f t="shared" si="189"/>
        <v>2.7284841053187846E-14</v>
      </c>
      <c r="R1199" s="18">
        <f t="shared" si="194"/>
        <v>1253.4870000000001</v>
      </c>
      <c r="S1199" s="18">
        <f t="shared" si="196"/>
        <v>1566.2</v>
      </c>
    </row>
    <row r="1200" spans="1:19" ht="15" customHeight="1" x14ac:dyDescent="0.2">
      <c r="A1200" s="14">
        <f t="shared" si="195"/>
        <v>1164</v>
      </c>
      <c r="B1200" s="14" t="s">
        <v>1089</v>
      </c>
      <c r="C1200" s="15" t="s">
        <v>3</v>
      </c>
      <c r="D1200" s="31" t="s">
        <v>500</v>
      </c>
      <c r="E1200" s="31"/>
      <c r="F1200" s="72" t="s">
        <v>11</v>
      </c>
      <c r="G1200" s="32">
        <v>32143</v>
      </c>
      <c r="H1200" s="29">
        <v>20723.910000000003</v>
      </c>
      <c r="I1200" s="17">
        <v>0</v>
      </c>
      <c r="J1200" s="17">
        <f t="shared" si="188"/>
        <v>19687.714500000002</v>
      </c>
      <c r="K1200" s="17">
        <f t="shared" si="191"/>
        <v>1036.1955000000016</v>
      </c>
      <c r="L1200" s="23">
        <f t="shared" si="190"/>
        <v>1036.1955000000003</v>
      </c>
      <c r="M1200" s="33">
        <v>25</v>
      </c>
      <c r="N1200" s="18">
        <f t="shared" si="192"/>
        <v>32.273972602739725</v>
      </c>
      <c r="O1200" s="23">
        <v>24462.5</v>
      </c>
      <c r="P1200" s="18">
        <f t="shared" si="193"/>
        <v>33.273972602739725</v>
      </c>
      <c r="Q1200" s="18">
        <f t="shared" si="189"/>
        <v>5.4569682106375692E-14</v>
      </c>
      <c r="R1200" s="18">
        <f t="shared" si="194"/>
        <v>24462.5</v>
      </c>
      <c r="S1200" s="18">
        <f t="shared" si="196"/>
        <v>1036.1955000000003</v>
      </c>
    </row>
    <row r="1201" spans="1:19" ht="15" customHeight="1" x14ac:dyDescent="0.2">
      <c r="A1201" s="14">
        <f t="shared" si="195"/>
        <v>1165</v>
      </c>
      <c r="B1201" s="14" t="s">
        <v>1090</v>
      </c>
      <c r="C1201" s="15" t="s">
        <v>3</v>
      </c>
      <c r="D1201" s="31" t="s">
        <v>500</v>
      </c>
      <c r="E1201" s="31"/>
      <c r="F1201" s="72" t="s">
        <v>11</v>
      </c>
      <c r="G1201" s="32">
        <v>32143</v>
      </c>
      <c r="H1201" s="29">
        <v>13894</v>
      </c>
      <c r="I1201" s="17">
        <v>0</v>
      </c>
      <c r="J1201" s="17">
        <f t="shared" si="188"/>
        <v>13199.3</v>
      </c>
      <c r="K1201" s="17">
        <f t="shared" si="191"/>
        <v>694.70000000000073</v>
      </c>
      <c r="L1201" s="23">
        <f t="shared" si="190"/>
        <v>694.7</v>
      </c>
      <c r="M1201" s="33">
        <v>25</v>
      </c>
      <c r="N1201" s="18">
        <f t="shared" si="192"/>
        <v>32.273972602739725</v>
      </c>
      <c r="O1201" s="23">
        <v>5225</v>
      </c>
      <c r="P1201" s="18">
        <f t="shared" si="193"/>
        <v>33.273972602739725</v>
      </c>
      <c r="Q1201" s="18">
        <f t="shared" si="189"/>
        <v>2.7284841053187846E-14</v>
      </c>
      <c r="R1201" s="18">
        <f t="shared" si="194"/>
        <v>5225</v>
      </c>
      <c r="S1201" s="18">
        <f t="shared" si="196"/>
        <v>694.7</v>
      </c>
    </row>
    <row r="1202" spans="1:19" ht="15" customHeight="1" x14ac:dyDescent="0.2">
      <c r="A1202" s="14">
        <f t="shared" si="195"/>
        <v>1166</v>
      </c>
      <c r="B1202" s="14" t="s">
        <v>1091</v>
      </c>
      <c r="C1202" s="15" t="s">
        <v>3</v>
      </c>
      <c r="D1202" s="31" t="s">
        <v>500</v>
      </c>
      <c r="E1202" s="31"/>
      <c r="F1202" s="72" t="s">
        <v>11</v>
      </c>
      <c r="G1202" s="32">
        <v>32143</v>
      </c>
      <c r="H1202" s="29">
        <v>8895</v>
      </c>
      <c r="I1202" s="17">
        <v>0</v>
      </c>
      <c r="J1202" s="17">
        <f t="shared" si="188"/>
        <v>8450.25</v>
      </c>
      <c r="K1202" s="17">
        <f t="shared" si="191"/>
        <v>444.75</v>
      </c>
      <c r="L1202" s="23">
        <f t="shared" si="190"/>
        <v>444.75</v>
      </c>
      <c r="M1202" s="33">
        <v>25</v>
      </c>
      <c r="N1202" s="18">
        <f t="shared" si="192"/>
        <v>32.273972602739725</v>
      </c>
      <c r="O1202" s="23">
        <v>840.57900000000006</v>
      </c>
      <c r="P1202" s="18">
        <f t="shared" si="193"/>
        <v>33.273972602739725</v>
      </c>
      <c r="Q1202" s="18">
        <f t="shared" si="189"/>
        <v>0</v>
      </c>
      <c r="R1202" s="18">
        <f t="shared" si="194"/>
        <v>840.57900000000006</v>
      </c>
      <c r="S1202" s="18">
        <f t="shared" si="196"/>
        <v>444.75</v>
      </c>
    </row>
    <row r="1203" spans="1:19" ht="15" customHeight="1" x14ac:dyDescent="0.2">
      <c r="A1203" s="14">
        <f t="shared" si="195"/>
        <v>1167</v>
      </c>
      <c r="B1203" s="14" t="s">
        <v>1092</v>
      </c>
      <c r="C1203" s="15" t="s">
        <v>3</v>
      </c>
      <c r="D1203" s="31" t="s">
        <v>500</v>
      </c>
      <c r="E1203" s="31"/>
      <c r="F1203" s="72" t="s">
        <v>11</v>
      </c>
      <c r="G1203" s="32">
        <v>32143</v>
      </c>
      <c r="H1203" s="29">
        <v>5167</v>
      </c>
      <c r="I1203" s="17">
        <v>0</v>
      </c>
      <c r="J1203" s="17">
        <f t="shared" ref="J1203:J1253" si="197">H1203-L1203</f>
        <v>4908.6499999999996</v>
      </c>
      <c r="K1203" s="17">
        <f t="shared" si="191"/>
        <v>258.35000000000036</v>
      </c>
      <c r="L1203" s="23">
        <f t="shared" si="190"/>
        <v>258.35000000000002</v>
      </c>
      <c r="M1203" s="33">
        <v>25</v>
      </c>
      <c r="N1203" s="18">
        <f t="shared" si="192"/>
        <v>32.273972602739725</v>
      </c>
      <c r="O1203" s="23">
        <v>1639.8615</v>
      </c>
      <c r="P1203" s="18">
        <f t="shared" si="193"/>
        <v>33.273972602739725</v>
      </c>
      <c r="Q1203" s="18">
        <f t="shared" si="189"/>
        <v>1.3642420526593923E-14</v>
      </c>
      <c r="R1203" s="18">
        <f t="shared" si="194"/>
        <v>1639.8615</v>
      </c>
      <c r="S1203" s="18">
        <f t="shared" si="196"/>
        <v>258.35000000000002</v>
      </c>
    </row>
    <row r="1204" spans="1:19" ht="15" customHeight="1" x14ac:dyDescent="0.2">
      <c r="A1204" s="14">
        <f t="shared" si="195"/>
        <v>1168</v>
      </c>
      <c r="B1204" s="14" t="s">
        <v>1093</v>
      </c>
      <c r="C1204" s="15" t="s">
        <v>3</v>
      </c>
      <c r="D1204" s="31" t="s">
        <v>500</v>
      </c>
      <c r="E1204" s="31"/>
      <c r="F1204" s="72" t="s">
        <v>11</v>
      </c>
      <c r="G1204" s="32">
        <v>32143</v>
      </c>
      <c r="H1204" s="29">
        <v>2917</v>
      </c>
      <c r="I1204" s="17">
        <v>0</v>
      </c>
      <c r="J1204" s="17">
        <f t="shared" si="197"/>
        <v>2771.15</v>
      </c>
      <c r="K1204" s="17">
        <f t="shared" si="191"/>
        <v>145.84999999999991</v>
      </c>
      <c r="L1204" s="23">
        <f t="shared" si="190"/>
        <v>145.85</v>
      </c>
      <c r="M1204" s="33">
        <v>25</v>
      </c>
      <c r="N1204" s="18">
        <f t="shared" si="192"/>
        <v>32.273972602739725</v>
      </c>
      <c r="O1204" s="23">
        <v>1475.502</v>
      </c>
      <c r="P1204" s="18">
        <f t="shared" si="193"/>
        <v>33.273972602739725</v>
      </c>
      <c r="Q1204" s="18">
        <f t="shared" si="189"/>
        <v>-3.4106051316484808E-15</v>
      </c>
      <c r="R1204" s="18">
        <f t="shared" si="194"/>
        <v>1475.502</v>
      </c>
      <c r="S1204" s="18">
        <f t="shared" si="196"/>
        <v>145.85</v>
      </c>
    </row>
    <row r="1205" spans="1:19" ht="15" customHeight="1" x14ac:dyDescent="0.2">
      <c r="A1205" s="14">
        <f t="shared" si="195"/>
        <v>1169</v>
      </c>
      <c r="B1205" s="14" t="s">
        <v>1094</v>
      </c>
      <c r="C1205" s="15" t="s">
        <v>3</v>
      </c>
      <c r="D1205" s="31" t="s">
        <v>500</v>
      </c>
      <c r="E1205" s="31"/>
      <c r="F1205" s="72" t="s">
        <v>11</v>
      </c>
      <c r="G1205" s="32">
        <v>35885</v>
      </c>
      <c r="H1205" s="29">
        <v>85164</v>
      </c>
      <c r="I1205" s="17">
        <v>0</v>
      </c>
      <c r="J1205" s="17">
        <f t="shared" si="197"/>
        <v>80905.8</v>
      </c>
      <c r="K1205" s="17">
        <f t="shared" si="191"/>
        <v>4258.1999999999971</v>
      </c>
      <c r="L1205" s="23">
        <f t="shared" si="190"/>
        <v>4258.2</v>
      </c>
      <c r="M1205" s="33">
        <v>15</v>
      </c>
      <c r="N1205" s="18">
        <f t="shared" si="192"/>
        <v>22.021917808219179</v>
      </c>
      <c r="O1205" s="23">
        <v>1060.827</v>
      </c>
      <c r="P1205" s="18">
        <f t="shared" si="193"/>
        <v>23.021917808219179</v>
      </c>
      <c r="Q1205" s="18">
        <f t="shared" si="189"/>
        <v>-1.8189894035458566E-13</v>
      </c>
      <c r="R1205" s="18">
        <f t="shared" si="194"/>
        <v>1060.8269999999998</v>
      </c>
      <c r="S1205" s="18">
        <f t="shared" si="196"/>
        <v>4258.2</v>
      </c>
    </row>
    <row r="1206" spans="1:19" ht="15" customHeight="1" x14ac:dyDescent="0.2">
      <c r="A1206" s="14">
        <f t="shared" si="195"/>
        <v>1170</v>
      </c>
      <c r="B1206" s="14" t="s">
        <v>1095</v>
      </c>
      <c r="C1206" s="15" t="s">
        <v>3</v>
      </c>
      <c r="D1206" s="31" t="s">
        <v>500</v>
      </c>
      <c r="E1206" s="31"/>
      <c r="F1206" s="72" t="s">
        <v>4</v>
      </c>
      <c r="G1206" s="32">
        <v>35885</v>
      </c>
      <c r="H1206" s="29">
        <v>30484</v>
      </c>
      <c r="I1206" s="17">
        <v>0</v>
      </c>
      <c r="J1206" s="17">
        <f t="shared" si="197"/>
        <v>28959.8</v>
      </c>
      <c r="K1206" s="17">
        <f t="shared" si="191"/>
        <v>1524.2000000000007</v>
      </c>
      <c r="L1206" s="23">
        <f t="shared" si="190"/>
        <v>1524.2</v>
      </c>
      <c r="M1206" s="33">
        <v>15</v>
      </c>
      <c r="N1206" s="18">
        <f t="shared" si="192"/>
        <v>22.021917808219179</v>
      </c>
      <c r="O1206" s="23">
        <v>6448.5335000000005</v>
      </c>
      <c r="P1206" s="18">
        <f t="shared" si="193"/>
        <v>23.021917808219179</v>
      </c>
      <c r="Q1206" s="18">
        <f t="shared" si="189"/>
        <v>4.5474735088646414E-14</v>
      </c>
      <c r="R1206" s="18">
        <f t="shared" si="194"/>
        <v>6448.5335000000005</v>
      </c>
      <c r="S1206" s="18">
        <f t="shared" si="196"/>
        <v>1524.2</v>
      </c>
    </row>
    <row r="1207" spans="1:19" ht="15" customHeight="1" x14ac:dyDescent="0.2">
      <c r="A1207" s="14">
        <f t="shared" si="195"/>
        <v>1171</v>
      </c>
      <c r="B1207" s="14" t="s">
        <v>1096</v>
      </c>
      <c r="C1207" s="15" t="s">
        <v>3</v>
      </c>
      <c r="D1207" s="31" t="s">
        <v>500</v>
      </c>
      <c r="E1207" s="31"/>
      <c r="F1207" s="70" t="s">
        <v>7</v>
      </c>
      <c r="G1207" s="32">
        <v>39033</v>
      </c>
      <c r="H1207" s="29">
        <v>768080</v>
      </c>
      <c r="I1207" s="17">
        <v>0</v>
      </c>
      <c r="J1207" s="17">
        <v>456997.07835616439</v>
      </c>
      <c r="K1207" s="17">
        <f t="shared" si="191"/>
        <v>311082.92164383561</v>
      </c>
      <c r="L1207" s="23">
        <f t="shared" si="190"/>
        <v>38404</v>
      </c>
      <c r="M1207" s="33">
        <v>15</v>
      </c>
      <c r="N1207" s="18">
        <f t="shared" si="192"/>
        <v>13.397260273972602</v>
      </c>
      <c r="O1207" s="23">
        <v>1159</v>
      </c>
      <c r="P1207" s="18">
        <f t="shared" si="193"/>
        <v>14.397260273972602</v>
      </c>
      <c r="Q1207" s="18">
        <f t="shared" ref="Q1207:Q1270" si="198">(P1207-N1207)/M1207*(K1207-L1207)</f>
        <v>18178.594776255708</v>
      </c>
      <c r="R1207" s="18">
        <f t="shared" si="194"/>
        <v>19337.594776255708</v>
      </c>
      <c r="S1207" s="18">
        <f t="shared" si="196"/>
        <v>38404</v>
      </c>
    </row>
    <row r="1208" spans="1:19" ht="15" customHeight="1" x14ac:dyDescent="0.2">
      <c r="A1208" s="14">
        <f t="shared" si="195"/>
        <v>1172</v>
      </c>
      <c r="B1208" s="14" t="s">
        <v>1097</v>
      </c>
      <c r="C1208" s="15" t="s">
        <v>3</v>
      </c>
      <c r="D1208" s="31" t="s">
        <v>500</v>
      </c>
      <c r="E1208" s="31"/>
      <c r="F1208" s="72" t="s">
        <v>8</v>
      </c>
      <c r="G1208" s="32">
        <v>37787</v>
      </c>
      <c r="H1208" s="29">
        <v>49279</v>
      </c>
      <c r="I1208" s="17">
        <v>0</v>
      </c>
      <c r="J1208" s="17">
        <f t="shared" si="197"/>
        <v>46815.05</v>
      </c>
      <c r="K1208" s="17">
        <f t="shared" si="191"/>
        <v>2463.9499999999971</v>
      </c>
      <c r="L1208" s="23">
        <f t="shared" ref="L1208:L1270" si="199">H1208*0.05</f>
        <v>2463.9500000000003</v>
      </c>
      <c r="M1208" s="33">
        <v>10</v>
      </c>
      <c r="N1208" s="18">
        <f t="shared" si="192"/>
        <v>16.81095890410959</v>
      </c>
      <c r="O1208" s="23">
        <v>1435.5735000000002</v>
      </c>
      <c r="P1208" s="18">
        <f t="shared" si="193"/>
        <v>17.81095890410959</v>
      </c>
      <c r="Q1208" s="18">
        <f t="shared" si="198"/>
        <v>-3.1832314562052491E-13</v>
      </c>
      <c r="R1208" s="18">
        <f t="shared" si="194"/>
        <v>1435.5735</v>
      </c>
      <c r="S1208" s="18">
        <f t="shared" si="196"/>
        <v>2463.9500000000003</v>
      </c>
    </row>
    <row r="1209" spans="1:19" ht="15" customHeight="1" x14ac:dyDescent="0.2">
      <c r="A1209" s="14">
        <f t="shared" si="195"/>
        <v>1173</v>
      </c>
      <c r="B1209" s="14" t="s">
        <v>1098</v>
      </c>
      <c r="C1209" s="15" t="s">
        <v>3</v>
      </c>
      <c r="D1209" s="31" t="s">
        <v>500</v>
      </c>
      <c r="E1209" s="31"/>
      <c r="F1209" s="72" t="s">
        <v>11</v>
      </c>
      <c r="G1209" s="32">
        <v>36068</v>
      </c>
      <c r="H1209" s="29">
        <v>131731</v>
      </c>
      <c r="I1209" s="17">
        <v>0</v>
      </c>
      <c r="J1209" s="17">
        <f t="shared" si="197"/>
        <v>125144.45</v>
      </c>
      <c r="K1209" s="17">
        <f t="shared" si="191"/>
        <v>6586.5500000000029</v>
      </c>
      <c r="L1209" s="23">
        <f t="shared" si="199"/>
        <v>6586.55</v>
      </c>
      <c r="M1209" s="33">
        <v>15</v>
      </c>
      <c r="N1209" s="18">
        <f t="shared" si="192"/>
        <v>21.520547945205479</v>
      </c>
      <c r="O1209" s="23">
        <v>8129.8625000000002</v>
      </c>
      <c r="P1209" s="18">
        <f t="shared" si="193"/>
        <v>22.520547945205479</v>
      </c>
      <c r="Q1209" s="18">
        <f t="shared" si="198"/>
        <v>1.8189894035458566E-13</v>
      </c>
      <c r="R1209" s="18">
        <f t="shared" si="194"/>
        <v>8129.8625000000002</v>
      </c>
      <c r="S1209" s="18">
        <f t="shared" si="196"/>
        <v>6586.55</v>
      </c>
    </row>
    <row r="1210" spans="1:19" ht="15" customHeight="1" x14ac:dyDescent="0.2">
      <c r="A1210" s="14">
        <f t="shared" si="195"/>
        <v>1174</v>
      </c>
      <c r="B1210" s="14" t="s">
        <v>1099</v>
      </c>
      <c r="C1210" s="15" t="s">
        <v>3</v>
      </c>
      <c r="D1210" s="31" t="s">
        <v>500</v>
      </c>
      <c r="E1210" s="31"/>
      <c r="F1210" s="70" t="s">
        <v>7</v>
      </c>
      <c r="G1210" s="32">
        <v>40071</v>
      </c>
      <c r="H1210" s="29">
        <v>563192</v>
      </c>
      <c r="I1210" s="17">
        <v>0</v>
      </c>
      <c r="J1210" s="17">
        <v>233655.245369863</v>
      </c>
      <c r="K1210" s="17">
        <f t="shared" si="191"/>
        <v>329536.754630137</v>
      </c>
      <c r="L1210" s="23">
        <f t="shared" si="199"/>
        <v>28159.600000000002</v>
      </c>
      <c r="M1210" s="33">
        <v>15</v>
      </c>
      <c r="N1210" s="18">
        <f t="shared" si="192"/>
        <v>10.553424657534247</v>
      </c>
      <c r="O1210" s="23">
        <v>9547.5</v>
      </c>
      <c r="P1210" s="18">
        <f t="shared" si="193"/>
        <v>11.553424657534247</v>
      </c>
      <c r="Q1210" s="18">
        <f t="shared" si="198"/>
        <v>20091.810308675802</v>
      </c>
      <c r="R1210" s="18">
        <f t="shared" si="194"/>
        <v>29639.310308675802</v>
      </c>
      <c r="S1210" s="18">
        <f t="shared" si="196"/>
        <v>28159.600000000002</v>
      </c>
    </row>
    <row r="1211" spans="1:19" ht="15" customHeight="1" x14ac:dyDescent="0.2">
      <c r="A1211" s="14">
        <f t="shared" si="195"/>
        <v>1175</v>
      </c>
      <c r="B1211" s="14" t="s">
        <v>1100</v>
      </c>
      <c r="C1211" s="15" t="s">
        <v>3</v>
      </c>
      <c r="D1211" s="31" t="s">
        <v>500</v>
      </c>
      <c r="E1211" s="31"/>
      <c r="F1211" s="72" t="s">
        <v>11</v>
      </c>
      <c r="G1211" s="32">
        <v>32509</v>
      </c>
      <c r="H1211" s="29">
        <v>1664476</v>
      </c>
      <c r="I1211" s="17">
        <v>0</v>
      </c>
      <c r="J1211" s="17">
        <f t="shared" si="197"/>
        <v>1581252.2</v>
      </c>
      <c r="K1211" s="17">
        <f t="shared" si="191"/>
        <v>83223.800000000047</v>
      </c>
      <c r="L1211" s="23">
        <f t="shared" si="199"/>
        <v>83223.8</v>
      </c>
      <c r="M1211" s="33">
        <v>25</v>
      </c>
      <c r="N1211" s="18">
        <f t="shared" si="192"/>
        <v>31.271232876712329</v>
      </c>
      <c r="O1211" s="23">
        <v>672.16300000000001</v>
      </c>
      <c r="P1211" s="18">
        <f t="shared" si="193"/>
        <v>32.271232876712325</v>
      </c>
      <c r="Q1211" s="18">
        <f t="shared" si="198"/>
        <v>1.7462298274040159E-12</v>
      </c>
      <c r="R1211" s="18">
        <f t="shared" si="194"/>
        <v>672.16300000000172</v>
      </c>
      <c r="S1211" s="18">
        <f t="shared" si="196"/>
        <v>83223.8</v>
      </c>
    </row>
    <row r="1212" spans="1:19" ht="15" customHeight="1" x14ac:dyDescent="0.2">
      <c r="A1212" s="14">
        <f t="shared" si="195"/>
        <v>1176</v>
      </c>
      <c r="B1212" s="14" t="s">
        <v>1101</v>
      </c>
      <c r="C1212" s="15" t="s">
        <v>3</v>
      </c>
      <c r="D1212" s="31" t="s">
        <v>500</v>
      </c>
      <c r="E1212" s="31"/>
      <c r="F1212" s="70" t="s">
        <v>7</v>
      </c>
      <c r="G1212" s="32">
        <v>32509</v>
      </c>
      <c r="H1212" s="29">
        <v>986533</v>
      </c>
      <c r="I1212" s="17">
        <v>0</v>
      </c>
      <c r="J1212" s="17">
        <f t="shared" si="197"/>
        <v>937206.35</v>
      </c>
      <c r="K1212" s="17">
        <f t="shared" si="191"/>
        <v>49326.650000000023</v>
      </c>
      <c r="L1212" s="23">
        <f t="shared" si="199"/>
        <v>49326.65</v>
      </c>
      <c r="M1212" s="33">
        <v>25</v>
      </c>
      <c r="N1212" s="18">
        <f t="shared" si="192"/>
        <v>31.271232876712329</v>
      </c>
      <c r="O1212" s="23">
        <v>17479.9905</v>
      </c>
      <c r="P1212" s="18">
        <f t="shared" si="193"/>
        <v>32.271232876712325</v>
      </c>
      <c r="Q1212" s="18">
        <f t="shared" si="198"/>
        <v>8.7311491370200795E-13</v>
      </c>
      <c r="R1212" s="18">
        <f t="shared" si="194"/>
        <v>17479.9905</v>
      </c>
      <c r="S1212" s="18">
        <f t="shared" si="196"/>
        <v>49326.65</v>
      </c>
    </row>
    <row r="1213" spans="1:19" ht="15" customHeight="1" x14ac:dyDescent="0.2">
      <c r="A1213" s="14">
        <f t="shared" si="195"/>
        <v>1177</v>
      </c>
      <c r="B1213" s="14" t="s">
        <v>1102</v>
      </c>
      <c r="C1213" s="15" t="s">
        <v>3</v>
      </c>
      <c r="D1213" s="31" t="s">
        <v>500</v>
      </c>
      <c r="E1213" s="31"/>
      <c r="F1213" s="72" t="s">
        <v>11</v>
      </c>
      <c r="G1213" s="32">
        <v>32509</v>
      </c>
      <c r="H1213" s="29">
        <v>811674</v>
      </c>
      <c r="I1213" s="17">
        <v>0</v>
      </c>
      <c r="J1213" s="17">
        <f t="shared" si="197"/>
        <v>771090.3</v>
      </c>
      <c r="K1213" s="17">
        <f t="shared" si="191"/>
        <v>40583.699999999953</v>
      </c>
      <c r="L1213" s="23">
        <f t="shared" si="199"/>
        <v>40583.700000000004</v>
      </c>
      <c r="M1213" s="33">
        <v>25</v>
      </c>
      <c r="N1213" s="18">
        <f t="shared" si="192"/>
        <v>31.271232876712329</v>
      </c>
      <c r="O1213" s="23">
        <v>17325.150000000001</v>
      </c>
      <c r="P1213" s="18">
        <f t="shared" si="193"/>
        <v>32.271232876712325</v>
      </c>
      <c r="Q1213" s="18">
        <f t="shared" si="198"/>
        <v>-2.0372681319713518E-12</v>
      </c>
      <c r="R1213" s="18">
        <f t="shared" si="194"/>
        <v>17325.149999999998</v>
      </c>
      <c r="S1213" s="18">
        <f t="shared" si="196"/>
        <v>40583.700000000004</v>
      </c>
    </row>
    <row r="1214" spans="1:19" ht="15" customHeight="1" x14ac:dyDescent="0.2">
      <c r="A1214" s="14">
        <f t="shared" si="195"/>
        <v>1178</v>
      </c>
      <c r="B1214" s="14" t="s">
        <v>1103</v>
      </c>
      <c r="C1214" s="15" t="s">
        <v>3</v>
      </c>
      <c r="D1214" s="31" t="s">
        <v>500</v>
      </c>
      <c r="E1214" s="31"/>
      <c r="F1214" s="72" t="s">
        <v>11</v>
      </c>
      <c r="G1214" s="32">
        <v>32509</v>
      </c>
      <c r="H1214" s="29">
        <v>425667</v>
      </c>
      <c r="I1214" s="17">
        <v>0</v>
      </c>
      <c r="J1214" s="17">
        <f t="shared" si="197"/>
        <v>404383.65</v>
      </c>
      <c r="K1214" s="17">
        <f t="shared" si="191"/>
        <v>21283.349999999977</v>
      </c>
      <c r="L1214" s="23">
        <f t="shared" si="199"/>
        <v>21283.350000000002</v>
      </c>
      <c r="M1214" s="33">
        <v>25</v>
      </c>
      <c r="N1214" s="18">
        <f t="shared" si="192"/>
        <v>31.271232876712329</v>
      </c>
      <c r="O1214" s="23">
        <v>1253.4870000000001</v>
      </c>
      <c r="P1214" s="18">
        <f t="shared" si="193"/>
        <v>32.271232876712325</v>
      </c>
      <c r="Q1214" s="18">
        <f t="shared" si="198"/>
        <v>-1.0186340659856759E-12</v>
      </c>
      <c r="R1214" s="18">
        <f t="shared" si="194"/>
        <v>1253.4869999999992</v>
      </c>
      <c r="S1214" s="18">
        <f t="shared" si="196"/>
        <v>21283.350000000002</v>
      </c>
    </row>
    <row r="1215" spans="1:19" ht="15" customHeight="1" x14ac:dyDescent="0.2">
      <c r="A1215" s="14">
        <f t="shared" si="195"/>
        <v>1179</v>
      </c>
      <c r="B1215" s="14" t="s">
        <v>1104</v>
      </c>
      <c r="C1215" s="15" t="s">
        <v>3</v>
      </c>
      <c r="D1215" s="31" t="s">
        <v>500</v>
      </c>
      <c r="E1215" s="31"/>
      <c r="F1215" s="72" t="s">
        <v>11</v>
      </c>
      <c r="G1215" s="32">
        <v>32509</v>
      </c>
      <c r="H1215" s="29">
        <v>178082</v>
      </c>
      <c r="I1215" s="17">
        <v>0</v>
      </c>
      <c r="J1215" s="17">
        <f t="shared" si="197"/>
        <v>169177.9</v>
      </c>
      <c r="K1215" s="17">
        <f t="shared" si="191"/>
        <v>8904.1000000000058</v>
      </c>
      <c r="L1215" s="23">
        <f t="shared" si="199"/>
        <v>8904.1</v>
      </c>
      <c r="M1215" s="33">
        <v>25</v>
      </c>
      <c r="N1215" s="18">
        <f t="shared" si="192"/>
        <v>31.271232876712329</v>
      </c>
      <c r="O1215" s="23">
        <v>2016.4795000000001</v>
      </c>
      <c r="P1215" s="18">
        <f t="shared" si="193"/>
        <v>32.271232876712325</v>
      </c>
      <c r="Q1215" s="18">
        <f t="shared" si="198"/>
        <v>2.1827872842550199E-13</v>
      </c>
      <c r="R1215" s="18">
        <f t="shared" si="194"/>
        <v>2016.4795000000004</v>
      </c>
      <c r="S1215" s="18">
        <f t="shared" si="196"/>
        <v>8904.1</v>
      </c>
    </row>
    <row r="1216" spans="1:19" ht="15" customHeight="1" x14ac:dyDescent="0.2">
      <c r="A1216" s="14">
        <f t="shared" si="195"/>
        <v>1180</v>
      </c>
      <c r="B1216" s="14" t="s">
        <v>1105</v>
      </c>
      <c r="C1216" s="15" t="s">
        <v>3</v>
      </c>
      <c r="D1216" s="31" t="s">
        <v>500</v>
      </c>
      <c r="E1216" s="31"/>
      <c r="F1216" s="72" t="s">
        <v>8</v>
      </c>
      <c r="G1216" s="32">
        <v>32509</v>
      </c>
      <c r="H1216" s="29">
        <v>173676</v>
      </c>
      <c r="I1216" s="17">
        <v>0</v>
      </c>
      <c r="J1216" s="17">
        <f t="shared" si="197"/>
        <v>164992.20000000001</v>
      </c>
      <c r="K1216" s="17">
        <f t="shared" si="191"/>
        <v>8683.7999999999884</v>
      </c>
      <c r="L1216" s="23">
        <f t="shared" si="199"/>
        <v>8683.8000000000011</v>
      </c>
      <c r="M1216" s="33">
        <v>25</v>
      </c>
      <c r="N1216" s="18">
        <f t="shared" si="192"/>
        <v>31.271232876712329</v>
      </c>
      <c r="O1216" s="23">
        <v>10062.4</v>
      </c>
      <c r="P1216" s="18">
        <f t="shared" si="193"/>
        <v>32.271232876712325</v>
      </c>
      <c r="Q1216" s="18">
        <f t="shared" si="198"/>
        <v>-5.0931703299283794E-13</v>
      </c>
      <c r="R1216" s="18">
        <f t="shared" si="194"/>
        <v>10062.4</v>
      </c>
      <c r="S1216" s="18">
        <f t="shared" si="196"/>
        <v>8683.8000000000011</v>
      </c>
    </row>
    <row r="1217" spans="1:19" ht="15" customHeight="1" x14ac:dyDescent="0.2">
      <c r="A1217" s="14">
        <f t="shared" si="195"/>
        <v>1181</v>
      </c>
      <c r="B1217" s="14" t="s">
        <v>884</v>
      </c>
      <c r="C1217" s="15" t="s">
        <v>3</v>
      </c>
      <c r="D1217" s="31" t="s">
        <v>500</v>
      </c>
      <c r="E1217" s="31"/>
      <c r="F1217" s="72" t="s">
        <v>4</v>
      </c>
      <c r="G1217" s="32">
        <v>32509</v>
      </c>
      <c r="H1217" s="29">
        <v>169914</v>
      </c>
      <c r="I1217" s="17">
        <v>0</v>
      </c>
      <c r="J1217" s="17">
        <f t="shared" si="197"/>
        <v>161418.29999999999</v>
      </c>
      <c r="K1217" s="17">
        <f t="shared" si="191"/>
        <v>8495.7000000000116</v>
      </c>
      <c r="L1217" s="23">
        <f t="shared" si="199"/>
        <v>8495.7000000000007</v>
      </c>
      <c r="M1217" s="33">
        <v>25</v>
      </c>
      <c r="N1217" s="18">
        <f t="shared" si="192"/>
        <v>31.271232876712329</v>
      </c>
      <c r="O1217" s="23">
        <v>1869.6</v>
      </c>
      <c r="P1217" s="18">
        <f t="shared" si="193"/>
        <v>32.271232876712325</v>
      </c>
      <c r="Q1217" s="18">
        <f t="shared" si="198"/>
        <v>4.3655745685100397E-13</v>
      </c>
      <c r="R1217" s="18">
        <f t="shared" si="194"/>
        <v>1869.6000000000004</v>
      </c>
      <c r="S1217" s="18">
        <f t="shared" si="196"/>
        <v>8495.7000000000007</v>
      </c>
    </row>
    <row r="1218" spans="1:19" ht="15" customHeight="1" x14ac:dyDescent="0.2">
      <c r="A1218" s="14">
        <f t="shared" si="195"/>
        <v>1182</v>
      </c>
      <c r="B1218" s="14" t="s">
        <v>1106</v>
      </c>
      <c r="C1218" s="15" t="s">
        <v>3</v>
      </c>
      <c r="D1218" s="31" t="s">
        <v>500</v>
      </c>
      <c r="E1218" s="31"/>
      <c r="F1218" s="72" t="s">
        <v>11</v>
      </c>
      <c r="G1218" s="32">
        <v>32509</v>
      </c>
      <c r="H1218" s="29">
        <v>101328</v>
      </c>
      <c r="I1218" s="17">
        <v>0</v>
      </c>
      <c r="J1218" s="17">
        <f t="shared" si="197"/>
        <v>96261.6</v>
      </c>
      <c r="K1218" s="17">
        <f t="shared" si="191"/>
        <v>5066.3999999999942</v>
      </c>
      <c r="L1218" s="23">
        <f t="shared" si="199"/>
        <v>5066.4000000000005</v>
      </c>
      <c r="M1218" s="33">
        <v>25</v>
      </c>
      <c r="N1218" s="18">
        <f t="shared" si="192"/>
        <v>31.271232876712329</v>
      </c>
      <c r="O1218" s="23">
        <v>2511.5625</v>
      </c>
      <c r="P1218" s="18">
        <f t="shared" si="193"/>
        <v>32.271232876712325</v>
      </c>
      <c r="Q1218" s="18">
        <f t="shared" si="198"/>
        <v>-2.5465851649641897E-13</v>
      </c>
      <c r="R1218" s="18">
        <f t="shared" si="194"/>
        <v>2511.5624999999995</v>
      </c>
      <c r="S1218" s="18">
        <f t="shared" si="196"/>
        <v>5066.4000000000005</v>
      </c>
    </row>
    <row r="1219" spans="1:19" ht="15" customHeight="1" x14ac:dyDescent="0.2">
      <c r="A1219" s="14">
        <f t="shared" si="195"/>
        <v>1183</v>
      </c>
      <c r="B1219" s="14" t="s">
        <v>1107</v>
      </c>
      <c r="C1219" s="15" t="s">
        <v>3</v>
      </c>
      <c r="D1219" s="31" t="s">
        <v>500</v>
      </c>
      <c r="E1219" s="31"/>
      <c r="F1219" s="72" t="s">
        <v>11</v>
      </c>
      <c r="G1219" s="32">
        <v>32509</v>
      </c>
      <c r="H1219" s="29">
        <v>99438</v>
      </c>
      <c r="I1219" s="17">
        <v>0</v>
      </c>
      <c r="J1219" s="17">
        <f t="shared" si="197"/>
        <v>94466.1</v>
      </c>
      <c r="K1219" s="17">
        <f t="shared" si="191"/>
        <v>4971.8999999999942</v>
      </c>
      <c r="L1219" s="23">
        <f t="shared" si="199"/>
        <v>4971.9000000000005</v>
      </c>
      <c r="M1219" s="33">
        <v>25</v>
      </c>
      <c r="N1219" s="18">
        <f t="shared" si="192"/>
        <v>31.271232876712329</v>
      </c>
      <c r="O1219" s="23">
        <v>27611.009000000002</v>
      </c>
      <c r="P1219" s="18">
        <f t="shared" si="193"/>
        <v>32.271232876712325</v>
      </c>
      <c r="Q1219" s="18">
        <f t="shared" si="198"/>
        <v>-2.5465851649641897E-13</v>
      </c>
      <c r="R1219" s="18">
        <f t="shared" si="194"/>
        <v>27611.009000000002</v>
      </c>
      <c r="S1219" s="18">
        <f t="shared" si="196"/>
        <v>4971.9000000000005</v>
      </c>
    </row>
    <row r="1220" spans="1:19" ht="15" customHeight="1" x14ac:dyDescent="0.2">
      <c r="A1220" s="14">
        <f t="shared" si="195"/>
        <v>1184</v>
      </c>
      <c r="B1220" s="14" t="s">
        <v>1108</v>
      </c>
      <c r="C1220" s="15" t="s">
        <v>3</v>
      </c>
      <c r="D1220" s="31" t="s">
        <v>500</v>
      </c>
      <c r="E1220" s="31"/>
      <c r="F1220" s="72" t="s">
        <v>11</v>
      </c>
      <c r="G1220" s="32">
        <v>32509</v>
      </c>
      <c r="H1220" s="29">
        <v>92340</v>
      </c>
      <c r="I1220" s="17">
        <v>0</v>
      </c>
      <c r="J1220" s="17">
        <f t="shared" si="197"/>
        <v>87723</v>
      </c>
      <c r="K1220" s="17">
        <f t="shared" si="191"/>
        <v>4617</v>
      </c>
      <c r="L1220" s="23">
        <f t="shared" si="199"/>
        <v>4617</v>
      </c>
      <c r="M1220" s="33">
        <v>25</v>
      </c>
      <c r="N1220" s="18">
        <f t="shared" si="192"/>
        <v>31.271232876712329</v>
      </c>
      <c r="O1220" s="23">
        <v>1344.3164999999999</v>
      </c>
      <c r="P1220" s="18">
        <f t="shared" si="193"/>
        <v>32.271232876712325</v>
      </c>
      <c r="Q1220" s="18">
        <f t="shared" si="198"/>
        <v>0</v>
      </c>
      <c r="R1220" s="18">
        <f t="shared" si="194"/>
        <v>1344.3164999999999</v>
      </c>
      <c r="S1220" s="18">
        <f t="shared" si="196"/>
        <v>4617</v>
      </c>
    </row>
    <row r="1221" spans="1:19" ht="15" customHeight="1" x14ac:dyDescent="0.2">
      <c r="A1221" s="14">
        <f t="shared" si="195"/>
        <v>1185</v>
      </c>
      <c r="B1221" s="14" t="s">
        <v>1109</v>
      </c>
      <c r="C1221" s="15" t="s">
        <v>3</v>
      </c>
      <c r="D1221" s="31" t="s">
        <v>500</v>
      </c>
      <c r="E1221" s="31"/>
      <c r="F1221" s="72" t="s">
        <v>11</v>
      </c>
      <c r="G1221" s="32">
        <v>32509</v>
      </c>
      <c r="H1221" s="29">
        <v>88464</v>
      </c>
      <c r="I1221" s="17">
        <v>0</v>
      </c>
      <c r="J1221" s="17">
        <f t="shared" si="197"/>
        <v>84040.8</v>
      </c>
      <c r="K1221" s="17">
        <f t="shared" si="191"/>
        <v>4423.1999999999971</v>
      </c>
      <c r="L1221" s="23">
        <f t="shared" si="199"/>
        <v>4423.2</v>
      </c>
      <c r="M1221" s="33">
        <v>25</v>
      </c>
      <c r="N1221" s="18">
        <f t="shared" si="192"/>
        <v>31.271232876712329</v>
      </c>
      <c r="O1221" s="23">
        <v>1741.3310000000001</v>
      </c>
      <c r="P1221" s="18">
        <f t="shared" si="193"/>
        <v>32.271232876712325</v>
      </c>
      <c r="Q1221" s="18">
        <f t="shared" si="198"/>
        <v>-1.0913936421275099E-13</v>
      </c>
      <c r="R1221" s="18">
        <f t="shared" si="194"/>
        <v>1741.3310000000001</v>
      </c>
      <c r="S1221" s="18">
        <f t="shared" si="196"/>
        <v>4423.2</v>
      </c>
    </row>
    <row r="1222" spans="1:19" ht="15" customHeight="1" x14ac:dyDescent="0.2">
      <c r="A1222" s="14">
        <f t="shared" si="195"/>
        <v>1186</v>
      </c>
      <c r="B1222" s="14" t="s">
        <v>1110</v>
      </c>
      <c r="C1222" s="15" t="s">
        <v>3</v>
      </c>
      <c r="D1222" s="31" t="s">
        <v>500</v>
      </c>
      <c r="E1222" s="31"/>
      <c r="F1222" s="72" t="s">
        <v>11</v>
      </c>
      <c r="G1222" s="32">
        <v>32509</v>
      </c>
      <c r="H1222" s="29">
        <v>75009</v>
      </c>
      <c r="I1222" s="17">
        <v>0</v>
      </c>
      <c r="J1222" s="17">
        <f t="shared" si="197"/>
        <v>71258.55</v>
      </c>
      <c r="K1222" s="17">
        <f t="shared" si="191"/>
        <v>3750.4499999999971</v>
      </c>
      <c r="L1222" s="23">
        <f t="shared" si="199"/>
        <v>3750.4500000000003</v>
      </c>
      <c r="M1222" s="33">
        <v>25</v>
      </c>
      <c r="N1222" s="18">
        <f t="shared" si="192"/>
        <v>31.271232876712329</v>
      </c>
      <c r="O1222" s="23">
        <v>29409.216499999999</v>
      </c>
      <c r="P1222" s="18">
        <f t="shared" si="193"/>
        <v>32.271232876712325</v>
      </c>
      <c r="Q1222" s="18">
        <f t="shared" si="198"/>
        <v>-1.2732925824820949E-13</v>
      </c>
      <c r="R1222" s="18">
        <f t="shared" si="194"/>
        <v>29409.216499999999</v>
      </c>
      <c r="S1222" s="18">
        <f t="shared" si="196"/>
        <v>3750.4500000000003</v>
      </c>
    </row>
    <row r="1223" spans="1:19" ht="15" customHeight="1" x14ac:dyDescent="0.2">
      <c r="A1223" s="14">
        <f t="shared" si="195"/>
        <v>1187</v>
      </c>
      <c r="B1223" s="14" t="s">
        <v>1111</v>
      </c>
      <c r="C1223" s="15" t="s">
        <v>3</v>
      </c>
      <c r="D1223" s="31" t="s">
        <v>500</v>
      </c>
      <c r="E1223" s="31"/>
      <c r="F1223" s="72" t="s">
        <v>11</v>
      </c>
      <c r="G1223" s="32">
        <v>32509</v>
      </c>
      <c r="H1223" s="29">
        <v>58893</v>
      </c>
      <c r="I1223" s="17">
        <v>0</v>
      </c>
      <c r="J1223" s="17">
        <f t="shared" si="197"/>
        <v>55948.35</v>
      </c>
      <c r="K1223" s="17">
        <f t="shared" si="191"/>
        <v>2944.6500000000015</v>
      </c>
      <c r="L1223" s="23">
        <f t="shared" si="199"/>
        <v>2944.65</v>
      </c>
      <c r="M1223" s="33">
        <v>25</v>
      </c>
      <c r="N1223" s="18">
        <f t="shared" si="192"/>
        <v>31.271232876712329</v>
      </c>
      <c r="O1223" s="23">
        <v>32110</v>
      </c>
      <c r="P1223" s="18">
        <f t="shared" si="193"/>
        <v>32.271232876712325</v>
      </c>
      <c r="Q1223" s="18">
        <f t="shared" si="198"/>
        <v>5.4569682106375497E-14</v>
      </c>
      <c r="R1223" s="18">
        <f t="shared" si="194"/>
        <v>32110</v>
      </c>
      <c r="S1223" s="18">
        <f t="shared" si="196"/>
        <v>2944.65</v>
      </c>
    </row>
    <row r="1224" spans="1:19" ht="15" customHeight="1" x14ac:dyDescent="0.2">
      <c r="A1224" s="14">
        <f t="shared" si="195"/>
        <v>1188</v>
      </c>
      <c r="B1224" s="14" t="s">
        <v>1112</v>
      </c>
      <c r="C1224" s="15" t="s">
        <v>3</v>
      </c>
      <c r="D1224" s="31" t="s">
        <v>500</v>
      </c>
      <c r="E1224" s="31"/>
      <c r="F1224" s="72" t="s">
        <v>7</v>
      </c>
      <c r="G1224" s="32">
        <v>32509</v>
      </c>
      <c r="H1224" s="29">
        <v>54100</v>
      </c>
      <c r="I1224" s="17">
        <v>0</v>
      </c>
      <c r="J1224" s="17">
        <f t="shared" si="197"/>
        <v>51395</v>
      </c>
      <c r="K1224" s="17">
        <f t="shared" si="191"/>
        <v>2705</v>
      </c>
      <c r="L1224" s="23">
        <f t="shared" si="199"/>
        <v>2705</v>
      </c>
      <c r="M1224" s="33">
        <v>25</v>
      </c>
      <c r="N1224" s="18">
        <f t="shared" si="192"/>
        <v>31.271232876712329</v>
      </c>
      <c r="O1224" s="23">
        <v>96330</v>
      </c>
      <c r="P1224" s="18">
        <f t="shared" si="193"/>
        <v>32.271232876712325</v>
      </c>
      <c r="Q1224" s="18">
        <f t="shared" si="198"/>
        <v>0</v>
      </c>
      <c r="R1224" s="18">
        <f t="shared" si="194"/>
        <v>96330</v>
      </c>
      <c r="S1224" s="18">
        <f t="shared" si="196"/>
        <v>2705</v>
      </c>
    </row>
    <row r="1225" spans="1:19" ht="15" customHeight="1" x14ac:dyDescent="0.2">
      <c r="A1225" s="14">
        <f t="shared" si="195"/>
        <v>1189</v>
      </c>
      <c r="B1225" s="14" t="s">
        <v>1113</v>
      </c>
      <c r="C1225" s="15" t="s">
        <v>3</v>
      </c>
      <c r="D1225" s="31" t="s">
        <v>500</v>
      </c>
      <c r="E1225" s="31"/>
      <c r="F1225" s="72" t="s">
        <v>11</v>
      </c>
      <c r="G1225" s="32">
        <v>32509</v>
      </c>
      <c r="H1225" s="29">
        <v>52499</v>
      </c>
      <c r="I1225" s="17">
        <v>0</v>
      </c>
      <c r="J1225" s="17">
        <f t="shared" si="197"/>
        <v>49874.05</v>
      </c>
      <c r="K1225" s="17">
        <f t="shared" si="191"/>
        <v>2624.9499999999971</v>
      </c>
      <c r="L1225" s="23">
        <f t="shared" si="199"/>
        <v>2624.9500000000003</v>
      </c>
      <c r="M1225" s="33">
        <v>25</v>
      </c>
      <c r="N1225" s="18">
        <f t="shared" si="192"/>
        <v>31.271232876712329</v>
      </c>
      <c r="O1225" s="23">
        <v>8550</v>
      </c>
      <c r="P1225" s="18">
        <f t="shared" si="193"/>
        <v>32.271232876712325</v>
      </c>
      <c r="Q1225" s="18">
        <f t="shared" si="198"/>
        <v>-1.2732925824820949E-13</v>
      </c>
      <c r="R1225" s="18">
        <f t="shared" si="194"/>
        <v>8550</v>
      </c>
      <c r="S1225" s="18">
        <f t="shared" si="196"/>
        <v>2624.9500000000003</v>
      </c>
    </row>
    <row r="1226" spans="1:19" ht="15" customHeight="1" x14ac:dyDescent="0.2">
      <c r="A1226" s="14">
        <f t="shared" si="195"/>
        <v>1190</v>
      </c>
      <c r="B1226" s="14" t="s">
        <v>1114</v>
      </c>
      <c r="C1226" s="15" t="s">
        <v>3</v>
      </c>
      <c r="D1226" s="31" t="s">
        <v>500</v>
      </c>
      <c r="E1226" s="31"/>
      <c r="F1226" s="72" t="s">
        <v>11</v>
      </c>
      <c r="G1226" s="32">
        <v>32509</v>
      </c>
      <c r="H1226" s="29">
        <v>43472</v>
      </c>
      <c r="I1226" s="17">
        <v>0</v>
      </c>
      <c r="J1226" s="17">
        <f t="shared" si="197"/>
        <v>41298.400000000001</v>
      </c>
      <c r="K1226" s="17">
        <f t="shared" si="191"/>
        <v>2173.5999999999985</v>
      </c>
      <c r="L1226" s="23">
        <f t="shared" si="199"/>
        <v>2173.6</v>
      </c>
      <c r="M1226" s="33">
        <v>25</v>
      </c>
      <c r="N1226" s="18">
        <f t="shared" si="192"/>
        <v>31.271232876712329</v>
      </c>
      <c r="O1226" s="23">
        <v>10450</v>
      </c>
      <c r="P1226" s="18">
        <f t="shared" si="193"/>
        <v>32.271232876712325</v>
      </c>
      <c r="Q1226" s="18">
        <f t="shared" si="198"/>
        <v>-5.4569682106375497E-14</v>
      </c>
      <c r="R1226" s="18">
        <f t="shared" si="194"/>
        <v>10450</v>
      </c>
      <c r="S1226" s="18">
        <f t="shared" si="196"/>
        <v>2173.6</v>
      </c>
    </row>
    <row r="1227" spans="1:19" ht="15" customHeight="1" x14ac:dyDescent="0.2">
      <c r="A1227" s="14">
        <f t="shared" si="195"/>
        <v>1191</v>
      </c>
      <c r="B1227" s="14" t="s">
        <v>1115</v>
      </c>
      <c r="C1227" s="15" t="s">
        <v>3</v>
      </c>
      <c r="D1227" s="31" t="s">
        <v>500</v>
      </c>
      <c r="E1227" s="31"/>
      <c r="F1227" s="72" t="s">
        <v>11</v>
      </c>
      <c r="G1227" s="32">
        <v>32509</v>
      </c>
      <c r="H1227" s="29">
        <v>42165</v>
      </c>
      <c r="I1227" s="17">
        <v>0</v>
      </c>
      <c r="J1227" s="17">
        <f t="shared" si="197"/>
        <v>40056.75</v>
      </c>
      <c r="K1227" s="17">
        <f t="shared" si="191"/>
        <v>2108.25</v>
      </c>
      <c r="L1227" s="23">
        <f t="shared" si="199"/>
        <v>2108.25</v>
      </c>
      <c r="M1227" s="33">
        <v>25</v>
      </c>
      <c r="N1227" s="18">
        <f t="shared" si="192"/>
        <v>31.271232876712329</v>
      </c>
      <c r="O1227" s="23">
        <v>7695</v>
      </c>
      <c r="P1227" s="18">
        <f t="shared" si="193"/>
        <v>32.271232876712325</v>
      </c>
      <c r="Q1227" s="18">
        <f t="shared" si="198"/>
        <v>0</v>
      </c>
      <c r="R1227" s="18">
        <f t="shared" si="194"/>
        <v>7695</v>
      </c>
      <c r="S1227" s="18">
        <f t="shared" si="196"/>
        <v>2108.25</v>
      </c>
    </row>
    <row r="1228" spans="1:19" ht="15" customHeight="1" x14ac:dyDescent="0.2">
      <c r="A1228" s="14">
        <f t="shared" si="195"/>
        <v>1192</v>
      </c>
      <c r="B1228" s="14" t="s">
        <v>1116</v>
      </c>
      <c r="C1228" s="15" t="s">
        <v>3</v>
      </c>
      <c r="D1228" s="31" t="s">
        <v>500</v>
      </c>
      <c r="E1228" s="31"/>
      <c r="F1228" s="72" t="s">
        <v>11</v>
      </c>
      <c r="G1228" s="32">
        <v>32509</v>
      </c>
      <c r="H1228" s="29">
        <v>36589</v>
      </c>
      <c r="I1228" s="17">
        <v>0</v>
      </c>
      <c r="J1228" s="17">
        <f t="shared" si="197"/>
        <v>34759.550000000003</v>
      </c>
      <c r="K1228" s="17">
        <f t="shared" si="191"/>
        <v>1829.4499999999971</v>
      </c>
      <c r="L1228" s="23">
        <f t="shared" si="199"/>
        <v>1829.45</v>
      </c>
      <c r="M1228" s="33">
        <v>25</v>
      </c>
      <c r="N1228" s="18">
        <f t="shared" si="192"/>
        <v>31.271232876712329</v>
      </c>
      <c r="O1228" s="23">
        <v>24538.5</v>
      </c>
      <c r="P1228" s="18">
        <f t="shared" si="193"/>
        <v>32.271232876712325</v>
      </c>
      <c r="Q1228" s="18">
        <f t="shared" si="198"/>
        <v>-1.1823431123048025E-13</v>
      </c>
      <c r="R1228" s="18">
        <f t="shared" si="194"/>
        <v>24538.5</v>
      </c>
      <c r="S1228" s="18">
        <f t="shared" si="196"/>
        <v>1829.45</v>
      </c>
    </row>
    <row r="1229" spans="1:19" ht="15" customHeight="1" x14ac:dyDescent="0.2">
      <c r="A1229" s="14">
        <f t="shared" si="195"/>
        <v>1193</v>
      </c>
      <c r="B1229" s="14" t="s">
        <v>1117</v>
      </c>
      <c r="C1229" s="15" t="s">
        <v>3</v>
      </c>
      <c r="D1229" s="31" t="s">
        <v>500</v>
      </c>
      <c r="E1229" s="31"/>
      <c r="F1229" s="72" t="s">
        <v>11</v>
      </c>
      <c r="G1229" s="32">
        <v>32509</v>
      </c>
      <c r="H1229" s="29">
        <v>23742</v>
      </c>
      <c r="I1229" s="17">
        <v>0</v>
      </c>
      <c r="J1229" s="17">
        <f t="shared" si="197"/>
        <v>22554.9</v>
      </c>
      <c r="K1229" s="17">
        <f t="shared" si="191"/>
        <v>1187.0999999999985</v>
      </c>
      <c r="L1229" s="23">
        <f t="shared" si="199"/>
        <v>1187.1000000000001</v>
      </c>
      <c r="M1229" s="33">
        <v>25</v>
      </c>
      <c r="N1229" s="18">
        <f t="shared" si="192"/>
        <v>31.271232876712329</v>
      </c>
      <c r="O1229" s="23">
        <v>13312.73</v>
      </c>
      <c r="P1229" s="18">
        <f t="shared" si="193"/>
        <v>32.271232876712325</v>
      </c>
      <c r="Q1229" s="18">
        <f t="shared" si="198"/>
        <v>-6.3664629124104743E-14</v>
      </c>
      <c r="R1229" s="18">
        <f t="shared" si="194"/>
        <v>13312.73</v>
      </c>
      <c r="S1229" s="18">
        <f t="shared" si="196"/>
        <v>1187.1000000000001</v>
      </c>
    </row>
    <row r="1230" spans="1:19" ht="15" customHeight="1" x14ac:dyDescent="0.2">
      <c r="A1230" s="14">
        <f t="shared" si="195"/>
        <v>1194</v>
      </c>
      <c r="B1230" s="14" t="s">
        <v>1118</v>
      </c>
      <c r="C1230" s="15" t="s">
        <v>3</v>
      </c>
      <c r="D1230" s="31" t="s">
        <v>500</v>
      </c>
      <c r="E1230" s="31"/>
      <c r="F1230" s="72" t="s">
        <v>8</v>
      </c>
      <c r="G1230" s="32">
        <v>32509</v>
      </c>
      <c r="H1230" s="29">
        <v>21152</v>
      </c>
      <c r="I1230" s="17">
        <v>0</v>
      </c>
      <c r="J1230" s="17">
        <f t="shared" si="197"/>
        <v>20094.400000000001</v>
      </c>
      <c r="K1230" s="17">
        <f t="shared" si="191"/>
        <v>1057.5999999999985</v>
      </c>
      <c r="L1230" s="23">
        <f t="shared" si="199"/>
        <v>1057.6000000000001</v>
      </c>
      <c r="M1230" s="33">
        <v>25</v>
      </c>
      <c r="N1230" s="18">
        <f t="shared" si="192"/>
        <v>31.271232876712329</v>
      </c>
      <c r="O1230" s="23">
        <v>13988.0185</v>
      </c>
      <c r="P1230" s="18">
        <f t="shared" si="193"/>
        <v>32.271232876712325</v>
      </c>
      <c r="Q1230" s="18">
        <f t="shared" si="198"/>
        <v>-6.3664629124104743E-14</v>
      </c>
      <c r="R1230" s="18">
        <f t="shared" si="194"/>
        <v>13988.0185</v>
      </c>
      <c r="S1230" s="18">
        <f t="shared" si="196"/>
        <v>1057.6000000000001</v>
      </c>
    </row>
    <row r="1231" spans="1:19" ht="15" customHeight="1" x14ac:dyDescent="0.2">
      <c r="A1231" s="14">
        <f t="shared" si="195"/>
        <v>1195</v>
      </c>
      <c r="B1231" s="14" t="s">
        <v>1119</v>
      </c>
      <c r="C1231" s="15" t="s">
        <v>3</v>
      </c>
      <c r="D1231" s="31" t="s">
        <v>500</v>
      </c>
      <c r="E1231" s="31"/>
      <c r="F1231" s="70" t="s">
        <v>7</v>
      </c>
      <c r="G1231" s="32">
        <v>40663</v>
      </c>
      <c r="H1231" s="29">
        <v>573853.30000000005</v>
      </c>
      <c r="I1231" s="17">
        <v>0</v>
      </c>
      <c r="J1231" s="17">
        <v>179131.32097990866</v>
      </c>
      <c r="K1231" s="17">
        <f t="shared" si="191"/>
        <v>394721.97902009136</v>
      </c>
      <c r="L1231" s="23">
        <f t="shared" si="199"/>
        <v>28692.665000000005</v>
      </c>
      <c r="M1231" s="33">
        <v>15</v>
      </c>
      <c r="N1231" s="18">
        <f t="shared" si="192"/>
        <v>8.9315068493150687</v>
      </c>
      <c r="O1231" s="23">
        <v>5923.0789999999997</v>
      </c>
      <c r="P1231" s="18">
        <f t="shared" si="193"/>
        <v>9.9315068493150687</v>
      </c>
      <c r="Q1231" s="18">
        <f t="shared" si="198"/>
        <v>24401.954268006091</v>
      </c>
      <c r="R1231" s="18">
        <f t="shared" si="194"/>
        <v>30325.033268006089</v>
      </c>
      <c r="S1231" s="18">
        <f t="shared" si="196"/>
        <v>28692.665000000005</v>
      </c>
    </row>
    <row r="1232" spans="1:19" ht="15" customHeight="1" x14ac:dyDescent="0.2">
      <c r="A1232" s="14">
        <f t="shared" si="195"/>
        <v>1196</v>
      </c>
      <c r="B1232" s="14" t="s">
        <v>1120</v>
      </c>
      <c r="C1232" s="15" t="s">
        <v>3</v>
      </c>
      <c r="D1232" s="31" t="s">
        <v>500</v>
      </c>
      <c r="E1232" s="31"/>
      <c r="F1232" s="72" t="s">
        <v>11</v>
      </c>
      <c r="G1232" s="32">
        <v>36250</v>
      </c>
      <c r="H1232" s="29">
        <v>2611</v>
      </c>
      <c r="I1232" s="17">
        <v>0</v>
      </c>
      <c r="J1232" s="17">
        <f t="shared" si="197"/>
        <v>2480.4499999999998</v>
      </c>
      <c r="K1232" s="17">
        <f t="shared" si="191"/>
        <v>130.55000000000018</v>
      </c>
      <c r="L1232" s="23">
        <f t="shared" si="199"/>
        <v>130.55000000000001</v>
      </c>
      <c r="M1232" s="33">
        <v>15</v>
      </c>
      <c r="N1232" s="18">
        <f t="shared" si="192"/>
        <v>21.021917808219179</v>
      </c>
      <c r="O1232" s="23">
        <v>14159.75</v>
      </c>
      <c r="P1232" s="18">
        <f t="shared" si="193"/>
        <v>22.021917808219179</v>
      </c>
      <c r="Q1232" s="18">
        <f t="shared" si="198"/>
        <v>1.1368683772161604E-14</v>
      </c>
      <c r="R1232" s="18">
        <f t="shared" si="194"/>
        <v>14159.75</v>
      </c>
      <c r="S1232" s="18">
        <f t="shared" si="196"/>
        <v>130.55000000000001</v>
      </c>
    </row>
    <row r="1233" spans="1:19" ht="15" customHeight="1" x14ac:dyDescent="0.2">
      <c r="A1233" s="14">
        <f t="shared" si="195"/>
        <v>1197</v>
      </c>
      <c r="B1233" s="14" t="s">
        <v>1121</v>
      </c>
      <c r="C1233" s="15" t="s">
        <v>3</v>
      </c>
      <c r="D1233" s="31" t="s">
        <v>500</v>
      </c>
      <c r="E1233" s="31"/>
      <c r="F1233" s="72" t="s">
        <v>4</v>
      </c>
      <c r="G1233" s="32">
        <v>36423</v>
      </c>
      <c r="H1233" s="29">
        <v>81800</v>
      </c>
      <c r="I1233" s="17">
        <v>0</v>
      </c>
      <c r="J1233" s="17">
        <f t="shared" si="197"/>
        <v>77710</v>
      </c>
      <c r="K1233" s="17">
        <f t="shared" si="191"/>
        <v>4090</v>
      </c>
      <c r="L1233" s="23">
        <f t="shared" si="199"/>
        <v>4090</v>
      </c>
      <c r="M1233" s="33">
        <v>15</v>
      </c>
      <c r="N1233" s="18">
        <f t="shared" si="192"/>
        <v>20.547945205479451</v>
      </c>
      <c r="O1233" s="23">
        <v>15461.25</v>
      </c>
      <c r="P1233" s="18">
        <f t="shared" si="193"/>
        <v>21.547945205479451</v>
      </c>
      <c r="Q1233" s="18">
        <f t="shared" si="198"/>
        <v>0</v>
      </c>
      <c r="R1233" s="18">
        <f t="shared" si="194"/>
        <v>15461.25</v>
      </c>
      <c r="S1233" s="18">
        <f t="shared" si="196"/>
        <v>4090</v>
      </c>
    </row>
    <row r="1234" spans="1:19" ht="15" customHeight="1" x14ac:dyDescent="0.2">
      <c r="A1234" s="14">
        <f t="shared" si="195"/>
        <v>1198</v>
      </c>
      <c r="B1234" s="14" t="s">
        <v>1047</v>
      </c>
      <c r="C1234" s="15" t="s">
        <v>3</v>
      </c>
      <c r="D1234" s="31" t="s">
        <v>500</v>
      </c>
      <c r="E1234" s="31"/>
      <c r="F1234" s="72" t="s">
        <v>14</v>
      </c>
      <c r="G1234" s="32">
        <v>36495</v>
      </c>
      <c r="H1234" s="29">
        <v>7633939</v>
      </c>
      <c r="I1234" s="17">
        <v>0</v>
      </c>
      <c r="J1234" s="17">
        <f t="shared" si="197"/>
        <v>7252242.0499999998</v>
      </c>
      <c r="K1234" s="17">
        <f t="shared" si="191"/>
        <v>381696.95000000019</v>
      </c>
      <c r="L1234" s="23">
        <f t="shared" si="199"/>
        <v>381696.95</v>
      </c>
      <c r="M1234" s="33">
        <v>15</v>
      </c>
      <c r="N1234" s="18">
        <f t="shared" si="192"/>
        <v>20.350684931506848</v>
      </c>
      <c r="O1234" s="23">
        <v>24538.5</v>
      </c>
      <c r="P1234" s="18">
        <f t="shared" si="193"/>
        <v>21.350684931506848</v>
      </c>
      <c r="Q1234" s="18">
        <f t="shared" si="198"/>
        <v>1.1641532182693482E-11</v>
      </c>
      <c r="R1234" s="18">
        <f t="shared" si="194"/>
        <v>24538.500000000011</v>
      </c>
      <c r="S1234" s="18">
        <f t="shared" si="196"/>
        <v>381696.95</v>
      </c>
    </row>
    <row r="1235" spans="1:19" ht="15" customHeight="1" x14ac:dyDescent="0.2">
      <c r="A1235" s="14">
        <f t="shared" si="195"/>
        <v>1199</v>
      </c>
      <c r="B1235" s="14" t="s">
        <v>1122</v>
      </c>
      <c r="C1235" s="15" t="s">
        <v>3</v>
      </c>
      <c r="D1235" s="31" t="s">
        <v>500</v>
      </c>
      <c r="E1235" s="31"/>
      <c r="F1235" s="70" t="s">
        <v>7</v>
      </c>
      <c r="G1235" s="32">
        <v>39033</v>
      </c>
      <c r="H1235" s="29">
        <v>1470806.42</v>
      </c>
      <c r="I1235" s="17">
        <v>0</v>
      </c>
      <c r="J1235" s="17">
        <v>875109.6718668493</v>
      </c>
      <c r="K1235" s="17">
        <f t="shared" si="191"/>
        <v>595696.74813315063</v>
      </c>
      <c r="L1235" s="23">
        <f t="shared" si="199"/>
        <v>73540.320999999996</v>
      </c>
      <c r="M1235" s="33">
        <v>15</v>
      </c>
      <c r="N1235" s="18">
        <f t="shared" si="192"/>
        <v>13.397260273972602</v>
      </c>
      <c r="O1235" s="23">
        <v>5670.7780000000002</v>
      </c>
      <c r="P1235" s="18">
        <f t="shared" si="193"/>
        <v>14.397260273972602</v>
      </c>
      <c r="Q1235" s="18">
        <f t="shared" si="198"/>
        <v>34810.428475543376</v>
      </c>
      <c r="R1235" s="18">
        <f t="shared" si="194"/>
        <v>40481.206475543375</v>
      </c>
      <c r="S1235" s="18">
        <f t="shared" si="196"/>
        <v>73540.320999999996</v>
      </c>
    </row>
    <row r="1236" spans="1:19" ht="15" customHeight="1" x14ac:dyDescent="0.2">
      <c r="A1236" s="14">
        <f t="shared" si="195"/>
        <v>1200</v>
      </c>
      <c r="B1236" s="14" t="s">
        <v>1123</v>
      </c>
      <c r="C1236" s="15" t="s">
        <v>3</v>
      </c>
      <c r="D1236" s="31" t="s">
        <v>500</v>
      </c>
      <c r="E1236" s="31"/>
      <c r="F1236" s="72" t="s">
        <v>8</v>
      </c>
      <c r="G1236" s="32">
        <v>32874</v>
      </c>
      <c r="H1236" s="29">
        <v>3084798</v>
      </c>
      <c r="I1236" s="17">
        <v>0</v>
      </c>
      <c r="J1236" s="17">
        <f t="shared" si="197"/>
        <v>2930558.1</v>
      </c>
      <c r="K1236" s="17">
        <f t="shared" si="191"/>
        <v>154239.89999999991</v>
      </c>
      <c r="L1236" s="23">
        <f t="shared" si="199"/>
        <v>154239.9</v>
      </c>
      <c r="M1236" s="33">
        <v>25</v>
      </c>
      <c r="N1236" s="18">
        <f t="shared" si="192"/>
        <v>30.271232876712329</v>
      </c>
      <c r="O1236" s="23">
        <v>127679.886</v>
      </c>
      <c r="P1236" s="18">
        <f t="shared" si="193"/>
        <v>31.271232876712329</v>
      </c>
      <c r="Q1236" s="18">
        <f t="shared" si="198"/>
        <v>-3.4924596548080443E-12</v>
      </c>
      <c r="R1236" s="18">
        <f t="shared" si="194"/>
        <v>127679.886</v>
      </c>
      <c r="S1236" s="18">
        <f t="shared" si="196"/>
        <v>154239.9</v>
      </c>
    </row>
    <row r="1237" spans="1:19" ht="15" customHeight="1" x14ac:dyDescent="0.2">
      <c r="A1237" s="14">
        <f t="shared" si="195"/>
        <v>1201</v>
      </c>
      <c r="B1237" s="14" t="s">
        <v>1124</v>
      </c>
      <c r="C1237" s="15" t="s">
        <v>3</v>
      </c>
      <c r="D1237" s="31" t="s">
        <v>500</v>
      </c>
      <c r="E1237" s="31"/>
      <c r="F1237" s="72" t="s">
        <v>8</v>
      </c>
      <c r="G1237" s="32">
        <v>32874</v>
      </c>
      <c r="H1237" s="29">
        <v>706179</v>
      </c>
      <c r="I1237" s="17">
        <v>0</v>
      </c>
      <c r="J1237" s="17">
        <f t="shared" si="197"/>
        <v>670870.05000000005</v>
      </c>
      <c r="K1237" s="17">
        <f t="shared" si="191"/>
        <v>35308.949999999953</v>
      </c>
      <c r="L1237" s="23">
        <f t="shared" si="199"/>
        <v>35308.950000000004</v>
      </c>
      <c r="M1237" s="33">
        <v>25</v>
      </c>
      <c r="N1237" s="18">
        <f t="shared" si="192"/>
        <v>30.271232876712329</v>
      </c>
      <c r="O1237" s="23">
        <v>146656.136</v>
      </c>
      <c r="P1237" s="18">
        <f t="shared" si="193"/>
        <v>31.271232876712329</v>
      </c>
      <c r="Q1237" s="18">
        <f t="shared" si="198"/>
        <v>-2.0372681319713594E-12</v>
      </c>
      <c r="R1237" s="18">
        <f t="shared" si="194"/>
        <v>146656.136</v>
      </c>
      <c r="S1237" s="18">
        <f t="shared" si="196"/>
        <v>35308.950000000004</v>
      </c>
    </row>
    <row r="1238" spans="1:19" ht="15" customHeight="1" x14ac:dyDescent="0.2">
      <c r="A1238" s="14">
        <f t="shared" si="195"/>
        <v>1202</v>
      </c>
      <c r="B1238" s="14" t="s">
        <v>1125</v>
      </c>
      <c r="C1238" s="15" t="s">
        <v>3</v>
      </c>
      <c r="D1238" s="31" t="s">
        <v>500</v>
      </c>
      <c r="E1238" s="31"/>
      <c r="F1238" s="72" t="s">
        <v>8</v>
      </c>
      <c r="G1238" s="32">
        <v>32874</v>
      </c>
      <c r="H1238" s="29">
        <v>613647</v>
      </c>
      <c r="I1238" s="17">
        <v>0</v>
      </c>
      <c r="J1238" s="17">
        <f t="shared" si="197"/>
        <v>582964.65</v>
      </c>
      <c r="K1238" s="17">
        <f t="shared" si="191"/>
        <v>30682.349999999977</v>
      </c>
      <c r="L1238" s="23">
        <f t="shared" si="199"/>
        <v>30682.350000000002</v>
      </c>
      <c r="M1238" s="33">
        <v>25</v>
      </c>
      <c r="N1238" s="18">
        <f t="shared" si="192"/>
        <v>30.271232876712329</v>
      </c>
      <c r="O1238" s="23">
        <v>47025</v>
      </c>
      <c r="P1238" s="18">
        <f t="shared" si="193"/>
        <v>31.271232876712329</v>
      </c>
      <c r="Q1238" s="18">
        <f t="shared" si="198"/>
        <v>-1.0186340659856797E-12</v>
      </c>
      <c r="R1238" s="18">
        <f t="shared" si="194"/>
        <v>47025</v>
      </c>
      <c r="S1238" s="18">
        <f t="shared" si="196"/>
        <v>30682.350000000002</v>
      </c>
    </row>
    <row r="1239" spans="1:19" ht="15" customHeight="1" x14ac:dyDescent="0.2">
      <c r="A1239" s="14">
        <f t="shared" si="195"/>
        <v>1203</v>
      </c>
      <c r="B1239" s="14" t="s">
        <v>1126</v>
      </c>
      <c r="C1239" s="15" t="s">
        <v>3</v>
      </c>
      <c r="D1239" s="31" t="s">
        <v>500</v>
      </c>
      <c r="E1239" s="31"/>
      <c r="F1239" s="72" t="s">
        <v>11</v>
      </c>
      <c r="G1239" s="32">
        <v>32874</v>
      </c>
      <c r="H1239" s="29">
        <v>463445</v>
      </c>
      <c r="I1239" s="17">
        <v>0</v>
      </c>
      <c r="J1239" s="17">
        <f t="shared" si="197"/>
        <v>440272.75</v>
      </c>
      <c r="K1239" s="17">
        <f t="shared" si="191"/>
        <v>23172.25</v>
      </c>
      <c r="L1239" s="23">
        <f t="shared" si="199"/>
        <v>23172.25</v>
      </c>
      <c r="M1239" s="33">
        <v>25</v>
      </c>
      <c r="N1239" s="18">
        <f t="shared" si="192"/>
        <v>30.271232876712329</v>
      </c>
      <c r="O1239" s="23">
        <v>13965</v>
      </c>
      <c r="P1239" s="18">
        <f t="shared" si="193"/>
        <v>31.271232876712329</v>
      </c>
      <c r="Q1239" s="18">
        <f t="shared" si="198"/>
        <v>0</v>
      </c>
      <c r="R1239" s="18">
        <f t="shared" si="194"/>
        <v>13965</v>
      </c>
      <c r="S1239" s="18">
        <f t="shared" si="196"/>
        <v>23172.25</v>
      </c>
    </row>
    <row r="1240" spans="1:19" ht="15" customHeight="1" x14ac:dyDescent="0.2">
      <c r="A1240" s="14">
        <f t="shared" si="195"/>
        <v>1204</v>
      </c>
      <c r="B1240" s="14" t="s">
        <v>1127</v>
      </c>
      <c r="C1240" s="15" t="s">
        <v>3</v>
      </c>
      <c r="D1240" s="31" t="s">
        <v>500</v>
      </c>
      <c r="E1240" s="31"/>
      <c r="F1240" s="72" t="s">
        <v>11</v>
      </c>
      <c r="G1240" s="32">
        <v>32874</v>
      </c>
      <c r="H1240" s="29">
        <v>326440</v>
      </c>
      <c r="I1240" s="17">
        <v>0</v>
      </c>
      <c r="J1240" s="17">
        <f t="shared" si="197"/>
        <v>310118</v>
      </c>
      <c r="K1240" s="17">
        <f t="shared" si="191"/>
        <v>16322</v>
      </c>
      <c r="L1240" s="23">
        <f t="shared" si="199"/>
        <v>16322</v>
      </c>
      <c r="M1240" s="33">
        <v>25</v>
      </c>
      <c r="N1240" s="18">
        <f t="shared" si="192"/>
        <v>30.271232876712329</v>
      </c>
      <c r="O1240" s="23">
        <v>60420</v>
      </c>
      <c r="P1240" s="18">
        <f t="shared" si="193"/>
        <v>31.271232876712329</v>
      </c>
      <c r="Q1240" s="18">
        <f t="shared" si="198"/>
        <v>0</v>
      </c>
      <c r="R1240" s="18">
        <f t="shared" si="194"/>
        <v>60420</v>
      </c>
      <c r="S1240" s="18">
        <f t="shared" si="196"/>
        <v>16322</v>
      </c>
    </row>
    <row r="1241" spans="1:19" ht="15" customHeight="1" x14ac:dyDescent="0.2">
      <c r="A1241" s="14">
        <f t="shared" si="195"/>
        <v>1205</v>
      </c>
      <c r="B1241" s="14" t="s">
        <v>1128</v>
      </c>
      <c r="C1241" s="15" t="s">
        <v>3</v>
      </c>
      <c r="D1241" s="31" t="s">
        <v>500</v>
      </c>
      <c r="E1241" s="31"/>
      <c r="F1241" s="72" t="s">
        <v>8</v>
      </c>
      <c r="G1241" s="32">
        <v>32874</v>
      </c>
      <c r="H1241" s="29">
        <v>318475</v>
      </c>
      <c r="I1241" s="17">
        <v>0</v>
      </c>
      <c r="J1241" s="17">
        <f t="shared" si="197"/>
        <v>302551.25</v>
      </c>
      <c r="K1241" s="17">
        <f t="shared" si="191"/>
        <v>15923.75</v>
      </c>
      <c r="L1241" s="23">
        <f t="shared" si="199"/>
        <v>15923.75</v>
      </c>
      <c r="M1241" s="33">
        <v>25</v>
      </c>
      <c r="N1241" s="18">
        <f t="shared" si="192"/>
        <v>30.271232876712329</v>
      </c>
      <c r="O1241" s="23">
        <v>65550</v>
      </c>
      <c r="P1241" s="18">
        <f t="shared" si="193"/>
        <v>31.271232876712329</v>
      </c>
      <c r="Q1241" s="18">
        <f t="shared" si="198"/>
        <v>0</v>
      </c>
      <c r="R1241" s="18">
        <f t="shared" si="194"/>
        <v>65550</v>
      </c>
      <c r="S1241" s="18">
        <f t="shared" si="196"/>
        <v>15923.75</v>
      </c>
    </row>
    <row r="1242" spans="1:19" ht="15" customHeight="1" x14ac:dyDescent="0.2">
      <c r="A1242" s="14">
        <f t="shared" si="195"/>
        <v>1206</v>
      </c>
      <c r="B1242" s="14" t="s">
        <v>1129</v>
      </c>
      <c r="C1242" s="15" t="s">
        <v>3</v>
      </c>
      <c r="D1242" s="31" t="s">
        <v>500</v>
      </c>
      <c r="E1242" s="31"/>
      <c r="F1242" s="72" t="s">
        <v>11</v>
      </c>
      <c r="G1242" s="32">
        <v>32874</v>
      </c>
      <c r="H1242" s="29">
        <v>237818</v>
      </c>
      <c r="I1242" s="17">
        <v>0</v>
      </c>
      <c r="J1242" s="17">
        <f t="shared" si="197"/>
        <v>225927.1</v>
      </c>
      <c r="K1242" s="17">
        <f t="shared" si="191"/>
        <v>11890.899999999994</v>
      </c>
      <c r="L1242" s="23">
        <f t="shared" si="199"/>
        <v>11890.900000000001</v>
      </c>
      <c r="M1242" s="33">
        <v>25</v>
      </c>
      <c r="N1242" s="18">
        <f t="shared" si="192"/>
        <v>30.271232876712329</v>
      </c>
      <c r="O1242" s="23">
        <v>141873</v>
      </c>
      <c r="P1242" s="18">
        <f t="shared" si="193"/>
        <v>31.271232876712329</v>
      </c>
      <c r="Q1242" s="18">
        <f t="shared" si="198"/>
        <v>-2.9103830456733704E-13</v>
      </c>
      <c r="R1242" s="18">
        <f t="shared" si="194"/>
        <v>141873</v>
      </c>
      <c r="S1242" s="18">
        <f t="shared" si="196"/>
        <v>11890.900000000001</v>
      </c>
    </row>
    <row r="1243" spans="1:19" ht="15" customHeight="1" x14ac:dyDescent="0.2">
      <c r="A1243" s="14">
        <f t="shared" si="195"/>
        <v>1207</v>
      </c>
      <c r="B1243" s="14" t="s">
        <v>1130</v>
      </c>
      <c r="C1243" s="15" t="s">
        <v>3</v>
      </c>
      <c r="D1243" s="31" t="s">
        <v>500</v>
      </c>
      <c r="E1243" s="31"/>
      <c r="F1243" s="72" t="s">
        <v>11</v>
      </c>
      <c r="G1243" s="32">
        <v>32874</v>
      </c>
      <c r="H1243" s="29">
        <v>210120</v>
      </c>
      <c r="I1243" s="17">
        <v>0</v>
      </c>
      <c r="J1243" s="17">
        <f t="shared" si="197"/>
        <v>199614</v>
      </c>
      <c r="K1243" s="17">
        <f t="shared" si="191"/>
        <v>10506</v>
      </c>
      <c r="L1243" s="23">
        <f t="shared" si="199"/>
        <v>10506</v>
      </c>
      <c r="M1243" s="33">
        <v>25</v>
      </c>
      <c r="N1243" s="18">
        <f t="shared" si="192"/>
        <v>30.271232876712329</v>
      </c>
      <c r="O1243" s="23">
        <v>22842.692999999999</v>
      </c>
      <c r="P1243" s="18">
        <f t="shared" si="193"/>
        <v>31.271232876712329</v>
      </c>
      <c r="Q1243" s="18">
        <f t="shared" si="198"/>
        <v>0</v>
      </c>
      <c r="R1243" s="18">
        <f t="shared" si="194"/>
        <v>22842.692999999999</v>
      </c>
      <c r="S1243" s="18">
        <f t="shared" si="196"/>
        <v>10506</v>
      </c>
    </row>
    <row r="1244" spans="1:19" ht="15" customHeight="1" x14ac:dyDescent="0.2">
      <c r="A1244" s="14">
        <f t="shared" si="195"/>
        <v>1208</v>
      </c>
      <c r="B1244" s="14" t="s">
        <v>1131</v>
      </c>
      <c r="C1244" s="15" t="s">
        <v>3</v>
      </c>
      <c r="D1244" s="31" t="s">
        <v>500</v>
      </c>
      <c r="E1244" s="31"/>
      <c r="F1244" s="72" t="s">
        <v>11</v>
      </c>
      <c r="G1244" s="32">
        <v>32874</v>
      </c>
      <c r="H1244" s="29">
        <v>189287</v>
      </c>
      <c r="I1244" s="17">
        <v>0</v>
      </c>
      <c r="J1244" s="17">
        <f t="shared" si="197"/>
        <v>179822.65</v>
      </c>
      <c r="K1244" s="17">
        <f t="shared" si="191"/>
        <v>9464.3500000000058</v>
      </c>
      <c r="L1244" s="23">
        <f t="shared" si="199"/>
        <v>9464.35</v>
      </c>
      <c r="M1244" s="33">
        <v>25</v>
      </c>
      <c r="N1244" s="18">
        <f t="shared" si="192"/>
        <v>30.271232876712329</v>
      </c>
      <c r="O1244" s="23">
        <v>31246.3835</v>
      </c>
      <c r="P1244" s="18">
        <f t="shared" si="193"/>
        <v>31.271232876712329</v>
      </c>
      <c r="Q1244" s="18">
        <f t="shared" si="198"/>
        <v>2.1827872842550277E-13</v>
      </c>
      <c r="R1244" s="18">
        <f t="shared" si="194"/>
        <v>31246.3835</v>
      </c>
      <c r="S1244" s="18">
        <f t="shared" si="196"/>
        <v>9464.35</v>
      </c>
    </row>
    <row r="1245" spans="1:19" ht="15" customHeight="1" x14ac:dyDescent="0.2">
      <c r="A1245" s="14">
        <f t="shared" si="195"/>
        <v>1209</v>
      </c>
      <c r="B1245" s="14" t="s">
        <v>1132</v>
      </c>
      <c r="C1245" s="15" t="s">
        <v>3</v>
      </c>
      <c r="D1245" s="31" t="s">
        <v>500</v>
      </c>
      <c r="E1245" s="31"/>
      <c r="F1245" s="72" t="s">
        <v>11</v>
      </c>
      <c r="G1245" s="32">
        <v>32874</v>
      </c>
      <c r="H1245" s="29">
        <v>157763</v>
      </c>
      <c r="I1245" s="17">
        <v>0</v>
      </c>
      <c r="J1245" s="17">
        <f t="shared" si="197"/>
        <v>149874.85</v>
      </c>
      <c r="K1245" s="17">
        <f t="shared" si="191"/>
        <v>7888.1499999999942</v>
      </c>
      <c r="L1245" s="23">
        <f t="shared" si="199"/>
        <v>7888.1500000000005</v>
      </c>
      <c r="M1245" s="33">
        <v>25</v>
      </c>
      <c r="N1245" s="18">
        <f t="shared" si="192"/>
        <v>30.271232876712329</v>
      </c>
      <c r="O1245" s="23">
        <v>1792.27</v>
      </c>
      <c r="P1245" s="18">
        <f t="shared" si="193"/>
        <v>31.271232876712329</v>
      </c>
      <c r="Q1245" s="18">
        <f t="shared" si="198"/>
        <v>-2.5465851649641993E-13</v>
      </c>
      <c r="R1245" s="18">
        <f t="shared" si="194"/>
        <v>1792.2699999999998</v>
      </c>
      <c r="S1245" s="18">
        <f t="shared" si="196"/>
        <v>7888.1500000000005</v>
      </c>
    </row>
    <row r="1246" spans="1:19" ht="15" customHeight="1" x14ac:dyDescent="0.2">
      <c r="A1246" s="14">
        <f t="shared" si="195"/>
        <v>1210</v>
      </c>
      <c r="B1246" s="14" t="s">
        <v>1133</v>
      </c>
      <c r="C1246" s="15" t="s">
        <v>3</v>
      </c>
      <c r="D1246" s="31" t="s">
        <v>500</v>
      </c>
      <c r="E1246" s="31"/>
      <c r="F1246" s="72" t="s">
        <v>11</v>
      </c>
      <c r="G1246" s="32">
        <v>32874</v>
      </c>
      <c r="H1246" s="29">
        <v>79408</v>
      </c>
      <c r="I1246" s="17">
        <v>0</v>
      </c>
      <c r="J1246" s="17">
        <f t="shared" si="197"/>
        <v>75437.600000000006</v>
      </c>
      <c r="K1246" s="17">
        <f t="shared" si="191"/>
        <v>3970.3999999999942</v>
      </c>
      <c r="L1246" s="23">
        <f t="shared" si="199"/>
        <v>3970.4</v>
      </c>
      <c r="M1246" s="33">
        <v>25</v>
      </c>
      <c r="N1246" s="18">
        <f t="shared" si="192"/>
        <v>30.271232876712329</v>
      </c>
      <c r="O1246" s="23">
        <v>8861.1535000000003</v>
      </c>
      <c r="P1246" s="18">
        <f t="shared" si="193"/>
        <v>31.271232876712329</v>
      </c>
      <c r="Q1246" s="18">
        <f t="shared" si="198"/>
        <v>-2.3646862246096135E-13</v>
      </c>
      <c r="R1246" s="18">
        <f t="shared" si="194"/>
        <v>8861.1535000000003</v>
      </c>
      <c r="S1246" s="18">
        <f t="shared" si="196"/>
        <v>3970.4</v>
      </c>
    </row>
    <row r="1247" spans="1:19" ht="15" customHeight="1" x14ac:dyDescent="0.2">
      <c r="A1247" s="14">
        <f t="shared" si="195"/>
        <v>1211</v>
      </c>
      <c r="B1247" s="14" t="s">
        <v>1134</v>
      </c>
      <c r="C1247" s="15" t="s">
        <v>3</v>
      </c>
      <c r="D1247" s="31" t="s">
        <v>500</v>
      </c>
      <c r="E1247" s="31"/>
      <c r="F1247" s="72" t="s">
        <v>11</v>
      </c>
      <c r="G1247" s="32">
        <v>32874</v>
      </c>
      <c r="H1247" s="29">
        <v>58258</v>
      </c>
      <c r="I1247" s="17">
        <v>0</v>
      </c>
      <c r="J1247" s="17">
        <f t="shared" si="197"/>
        <v>55345.1</v>
      </c>
      <c r="K1247" s="17">
        <f t="shared" si="191"/>
        <v>2912.9000000000015</v>
      </c>
      <c r="L1247" s="23">
        <f t="shared" si="199"/>
        <v>2912.9</v>
      </c>
      <c r="M1247" s="33">
        <v>25</v>
      </c>
      <c r="N1247" s="18">
        <f t="shared" si="192"/>
        <v>30.271232876712329</v>
      </c>
      <c r="O1247" s="23">
        <v>31465.463</v>
      </c>
      <c r="P1247" s="18">
        <f t="shared" si="193"/>
        <v>31.271232876712329</v>
      </c>
      <c r="Q1247" s="18">
        <f t="shared" si="198"/>
        <v>5.4569682106375692E-14</v>
      </c>
      <c r="R1247" s="18">
        <f t="shared" si="194"/>
        <v>31465.463</v>
      </c>
      <c r="S1247" s="18">
        <f t="shared" si="196"/>
        <v>2912.9</v>
      </c>
    </row>
    <row r="1248" spans="1:19" ht="15" customHeight="1" x14ac:dyDescent="0.2">
      <c r="A1248" s="14">
        <f t="shared" si="195"/>
        <v>1212</v>
      </c>
      <c r="B1248" s="14" t="s">
        <v>1135</v>
      </c>
      <c r="C1248" s="15" t="s">
        <v>3</v>
      </c>
      <c r="D1248" s="31" t="s">
        <v>500</v>
      </c>
      <c r="E1248" s="31"/>
      <c r="F1248" s="72" t="s">
        <v>11</v>
      </c>
      <c r="G1248" s="32">
        <v>32874</v>
      </c>
      <c r="H1248" s="29">
        <v>50580</v>
      </c>
      <c r="I1248" s="17">
        <v>0</v>
      </c>
      <c r="J1248" s="17">
        <f t="shared" si="197"/>
        <v>48051</v>
      </c>
      <c r="K1248" s="17">
        <f t="shared" si="191"/>
        <v>2529</v>
      </c>
      <c r="L1248" s="23">
        <f t="shared" si="199"/>
        <v>2529</v>
      </c>
      <c r="M1248" s="33">
        <v>25</v>
      </c>
      <c r="N1248" s="18">
        <f t="shared" si="192"/>
        <v>30.271232876712329</v>
      </c>
      <c r="O1248" s="23">
        <v>34674.601000000002</v>
      </c>
      <c r="P1248" s="18">
        <f t="shared" si="193"/>
        <v>31.271232876712329</v>
      </c>
      <c r="Q1248" s="18">
        <f t="shared" si="198"/>
        <v>0</v>
      </c>
      <c r="R1248" s="18">
        <f t="shared" si="194"/>
        <v>34674.601000000002</v>
      </c>
      <c r="S1248" s="18">
        <f t="shared" si="196"/>
        <v>2529</v>
      </c>
    </row>
    <row r="1249" spans="1:19" ht="15" customHeight="1" x14ac:dyDescent="0.2">
      <c r="A1249" s="14">
        <f t="shared" si="195"/>
        <v>1213</v>
      </c>
      <c r="B1249" s="14" t="s">
        <v>1136</v>
      </c>
      <c r="C1249" s="15" t="s">
        <v>3</v>
      </c>
      <c r="D1249" s="31" t="s">
        <v>500</v>
      </c>
      <c r="E1249" s="31"/>
      <c r="F1249" s="72" t="s">
        <v>11</v>
      </c>
      <c r="G1249" s="32">
        <v>32874</v>
      </c>
      <c r="H1249" s="29">
        <v>44421</v>
      </c>
      <c r="I1249" s="17">
        <v>0</v>
      </c>
      <c r="J1249" s="17">
        <f t="shared" si="197"/>
        <v>42199.95</v>
      </c>
      <c r="K1249" s="17">
        <f t="shared" si="191"/>
        <v>2221.0500000000029</v>
      </c>
      <c r="L1249" s="23">
        <f t="shared" si="199"/>
        <v>2221.0500000000002</v>
      </c>
      <c r="M1249" s="33">
        <v>25</v>
      </c>
      <c r="N1249" s="18">
        <f t="shared" si="192"/>
        <v>30.271232876712329</v>
      </c>
      <c r="O1249" s="23">
        <v>3591</v>
      </c>
      <c r="P1249" s="18">
        <f t="shared" si="193"/>
        <v>31.271232876712329</v>
      </c>
      <c r="Q1249" s="18">
        <f t="shared" si="198"/>
        <v>1.0913936421275138E-13</v>
      </c>
      <c r="R1249" s="18">
        <f t="shared" si="194"/>
        <v>3591</v>
      </c>
      <c r="S1249" s="18">
        <f t="shared" si="196"/>
        <v>2221.0500000000002</v>
      </c>
    </row>
    <row r="1250" spans="1:19" ht="15" customHeight="1" x14ac:dyDescent="0.2">
      <c r="A1250" s="14">
        <f t="shared" si="195"/>
        <v>1214</v>
      </c>
      <c r="B1250" s="14" t="s">
        <v>686</v>
      </c>
      <c r="C1250" s="15" t="s">
        <v>3</v>
      </c>
      <c r="D1250" s="31" t="s">
        <v>500</v>
      </c>
      <c r="E1250" s="31"/>
      <c r="F1250" s="72" t="s">
        <v>11</v>
      </c>
      <c r="G1250" s="32">
        <v>32874</v>
      </c>
      <c r="H1250" s="29">
        <v>30598</v>
      </c>
      <c r="I1250" s="17">
        <v>0</v>
      </c>
      <c r="J1250" s="17">
        <f t="shared" si="197"/>
        <v>29068.1</v>
      </c>
      <c r="K1250" s="17">
        <f t="shared" si="191"/>
        <v>1529.9000000000015</v>
      </c>
      <c r="L1250" s="23">
        <f t="shared" si="199"/>
        <v>1529.9</v>
      </c>
      <c r="M1250" s="33">
        <v>25</v>
      </c>
      <c r="N1250" s="18">
        <f t="shared" si="192"/>
        <v>30.271232876712329</v>
      </c>
      <c r="O1250" s="23">
        <v>5985</v>
      </c>
      <c r="P1250" s="18">
        <f t="shared" si="193"/>
        <v>31.271232876712329</v>
      </c>
      <c r="Q1250" s="18">
        <f t="shared" si="198"/>
        <v>5.4569682106375692E-14</v>
      </c>
      <c r="R1250" s="18">
        <f t="shared" si="194"/>
        <v>5985</v>
      </c>
      <c r="S1250" s="18">
        <f t="shared" si="196"/>
        <v>1529.9</v>
      </c>
    </row>
    <row r="1251" spans="1:19" ht="15" customHeight="1" x14ac:dyDescent="0.2">
      <c r="A1251" s="14">
        <f t="shared" si="195"/>
        <v>1215</v>
      </c>
      <c r="B1251" s="14" t="s">
        <v>1137</v>
      </c>
      <c r="C1251" s="15" t="s">
        <v>3</v>
      </c>
      <c r="D1251" s="31" t="s">
        <v>500</v>
      </c>
      <c r="E1251" s="31"/>
      <c r="F1251" s="72" t="s">
        <v>11</v>
      </c>
      <c r="G1251" s="32">
        <v>32874</v>
      </c>
      <c r="H1251" s="29">
        <v>24832</v>
      </c>
      <c r="I1251" s="17">
        <v>0</v>
      </c>
      <c r="J1251" s="17">
        <f t="shared" si="197"/>
        <v>23590.400000000001</v>
      </c>
      <c r="K1251" s="17">
        <f t="shared" si="191"/>
        <v>1241.5999999999985</v>
      </c>
      <c r="L1251" s="23">
        <f t="shared" si="199"/>
        <v>1241.6000000000001</v>
      </c>
      <c r="M1251" s="33">
        <v>25</v>
      </c>
      <c r="N1251" s="18">
        <f t="shared" si="192"/>
        <v>30.271232876712329</v>
      </c>
      <c r="O1251" s="23">
        <v>27477.705000000002</v>
      </c>
      <c r="P1251" s="18">
        <f t="shared" si="193"/>
        <v>31.271232876712329</v>
      </c>
      <c r="Q1251" s="18">
        <f t="shared" si="198"/>
        <v>-6.3664629124104983E-14</v>
      </c>
      <c r="R1251" s="18">
        <f t="shared" si="194"/>
        <v>27477.705000000002</v>
      </c>
      <c r="S1251" s="18">
        <f t="shared" si="196"/>
        <v>1241.6000000000001</v>
      </c>
    </row>
    <row r="1252" spans="1:19" ht="15" customHeight="1" x14ac:dyDescent="0.2">
      <c r="A1252" s="14">
        <f t="shared" si="195"/>
        <v>1216</v>
      </c>
      <c r="B1252" s="14" t="s">
        <v>693</v>
      </c>
      <c r="C1252" s="15" t="s">
        <v>3</v>
      </c>
      <c r="D1252" s="31" t="s">
        <v>500</v>
      </c>
      <c r="E1252" s="31"/>
      <c r="F1252" s="72" t="s">
        <v>11</v>
      </c>
      <c r="G1252" s="32">
        <v>32874</v>
      </c>
      <c r="H1252" s="29">
        <v>14703</v>
      </c>
      <c r="I1252" s="17">
        <v>0</v>
      </c>
      <c r="J1252" s="17">
        <f t="shared" si="197"/>
        <v>13967.85</v>
      </c>
      <c r="K1252" s="17">
        <f t="shared" si="191"/>
        <v>735.14999999999964</v>
      </c>
      <c r="L1252" s="23">
        <f t="shared" si="199"/>
        <v>735.15000000000009</v>
      </c>
      <c r="M1252" s="33">
        <v>25</v>
      </c>
      <c r="N1252" s="18">
        <f t="shared" si="192"/>
        <v>30.271232876712329</v>
      </c>
      <c r="O1252" s="23">
        <v>91954.072</v>
      </c>
      <c r="P1252" s="18">
        <f t="shared" si="193"/>
        <v>31.271232876712329</v>
      </c>
      <c r="Q1252" s="18">
        <f t="shared" si="198"/>
        <v>-1.8189894035458565E-14</v>
      </c>
      <c r="R1252" s="18">
        <f t="shared" si="194"/>
        <v>91954.072</v>
      </c>
      <c r="S1252" s="18">
        <f t="shared" si="196"/>
        <v>735.15000000000009</v>
      </c>
    </row>
    <row r="1253" spans="1:19" ht="15" customHeight="1" x14ac:dyDescent="0.2">
      <c r="A1253" s="14">
        <f t="shared" si="195"/>
        <v>1217</v>
      </c>
      <c r="B1253" s="14" t="s">
        <v>1138</v>
      </c>
      <c r="C1253" s="15" t="s">
        <v>3</v>
      </c>
      <c r="D1253" s="31" t="s">
        <v>500</v>
      </c>
      <c r="E1253" s="31"/>
      <c r="F1253" s="72" t="s">
        <v>11</v>
      </c>
      <c r="G1253" s="32">
        <v>36616</v>
      </c>
      <c r="H1253" s="29">
        <v>17200</v>
      </c>
      <c r="I1253" s="17">
        <v>0</v>
      </c>
      <c r="J1253" s="17">
        <f t="shared" si="197"/>
        <v>16340</v>
      </c>
      <c r="K1253" s="17">
        <f t="shared" ref="K1253:K1317" si="200">H1253+I1253-J1253</f>
        <v>860</v>
      </c>
      <c r="L1253" s="23">
        <f t="shared" si="199"/>
        <v>860</v>
      </c>
      <c r="M1253" s="33">
        <v>15</v>
      </c>
      <c r="N1253" s="18">
        <f t="shared" ref="N1253:N1317" si="201">IF(($N$35-G1253+1)/365&gt;0,($N$35-G1253+1)/365,0)</f>
        <v>20.019178082191782</v>
      </c>
      <c r="O1253" s="23">
        <v>45915.665999999997</v>
      </c>
      <c r="P1253" s="18">
        <f t="shared" ref="P1253:P1317" si="202">($P$35-G1253+1)/365</f>
        <v>21.019178082191782</v>
      </c>
      <c r="Q1253" s="18">
        <f t="shared" si="198"/>
        <v>0</v>
      </c>
      <c r="R1253" s="18">
        <f t="shared" ref="R1253:R1317" si="203">Q1253+O1253</f>
        <v>45915.665999999997</v>
      </c>
      <c r="S1253" s="18">
        <f t="shared" si="196"/>
        <v>860</v>
      </c>
    </row>
    <row r="1254" spans="1:19" ht="15" customHeight="1" x14ac:dyDescent="0.2">
      <c r="A1254" s="14">
        <f t="shared" si="195"/>
        <v>1218</v>
      </c>
      <c r="B1254" s="14" t="s">
        <v>1139</v>
      </c>
      <c r="C1254" s="15" t="s">
        <v>3</v>
      </c>
      <c r="D1254" s="31" t="s">
        <v>500</v>
      </c>
      <c r="E1254" s="31"/>
      <c r="F1254" s="72" t="s">
        <v>16</v>
      </c>
      <c r="G1254" s="32">
        <v>42689</v>
      </c>
      <c r="H1254" s="29">
        <v>538995</v>
      </c>
      <c r="I1254" s="17">
        <v>0</v>
      </c>
      <c r="J1254" s="17">
        <v>0</v>
      </c>
      <c r="K1254" s="17">
        <f t="shared" si="200"/>
        <v>538995</v>
      </c>
      <c r="L1254" s="23">
        <f>K1254*0.05</f>
        <v>26949.75</v>
      </c>
      <c r="M1254" s="33">
        <v>5</v>
      </c>
      <c r="N1254" s="18">
        <f t="shared" si="201"/>
        <v>3.3808219178082193</v>
      </c>
      <c r="O1254" s="23">
        <v>15200</v>
      </c>
      <c r="P1254" s="18">
        <f t="shared" si="202"/>
        <v>4.3808219178082188</v>
      </c>
      <c r="Q1254" s="18">
        <f t="shared" si="198"/>
        <v>102409.04999999994</v>
      </c>
      <c r="R1254" s="18">
        <f t="shared" si="203"/>
        <v>117609.04999999994</v>
      </c>
      <c r="S1254" s="18">
        <f t="shared" si="196"/>
        <v>26949.75</v>
      </c>
    </row>
    <row r="1255" spans="1:19" ht="15" customHeight="1" x14ac:dyDescent="0.2">
      <c r="A1255" s="14">
        <f t="shared" ref="A1255:A1322" si="204">+A1254+1</f>
        <v>1219</v>
      </c>
      <c r="B1255" s="14" t="s">
        <v>1140</v>
      </c>
      <c r="C1255" s="15" t="s">
        <v>3</v>
      </c>
      <c r="D1255" s="31" t="s">
        <v>500</v>
      </c>
      <c r="E1255" s="31"/>
      <c r="F1255" s="72" t="s">
        <v>16</v>
      </c>
      <c r="G1255" s="32">
        <v>42689</v>
      </c>
      <c r="H1255" s="29">
        <v>163800</v>
      </c>
      <c r="I1255" s="17">
        <v>0</v>
      </c>
      <c r="J1255" s="17">
        <v>0</v>
      </c>
      <c r="K1255" s="17">
        <f t="shared" si="200"/>
        <v>163800</v>
      </c>
      <c r="L1255" s="23">
        <f>K1255*0.05</f>
        <v>8190</v>
      </c>
      <c r="M1255" s="33">
        <v>5</v>
      </c>
      <c r="N1255" s="18">
        <f t="shared" si="201"/>
        <v>3.3808219178082193</v>
      </c>
      <c r="O1255" s="23">
        <v>15445.518</v>
      </c>
      <c r="P1255" s="18">
        <f t="shared" si="202"/>
        <v>4.3808219178082188</v>
      </c>
      <c r="Q1255" s="18">
        <f t="shared" si="198"/>
        <v>31121.999999999985</v>
      </c>
      <c r="R1255" s="18">
        <f t="shared" si="203"/>
        <v>46567.517999999982</v>
      </c>
      <c r="S1255" s="18">
        <f t="shared" ref="S1255:S1319" si="205">+IF(N1255&gt;P1255,0,L1255)</f>
        <v>8190</v>
      </c>
    </row>
    <row r="1256" spans="1:19" ht="15" customHeight="1" x14ac:dyDescent="0.2">
      <c r="A1256" s="14">
        <f t="shared" si="204"/>
        <v>1220</v>
      </c>
      <c r="B1256" s="21" t="s">
        <v>1141</v>
      </c>
      <c r="C1256" s="15" t="s">
        <v>3</v>
      </c>
      <c r="D1256" s="21" t="s">
        <v>1142</v>
      </c>
      <c r="E1256" s="21"/>
      <c r="F1256" s="69" t="s">
        <v>8</v>
      </c>
      <c r="G1256" s="9">
        <v>40690</v>
      </c>
      <c r="H1256" s="22">
        <v>110390</v>
      </c>
      <c r="I1256" s="17">
        <v>0</v>
      </c>
      <c r="J1256" s="17">
        <v>20364.989150684931</v>
      </c>
      <c r="K1256" s="17">
        <f t="shared" si="200"/>
        <v>90025.010849315062</v>
      </c>
      <c r="L1256" s="23">
        <f t="shared" si="199"/>
        <v>5519.5</v>
      </c>
      <c r="M1256" s="23">
        <v>25</v>
      </c>
      <c r="N1256" s="18">
        <f t="shared" si="201"/>
        <v>8.8575342465753426</v>
      </c>
      <c r="O1256" s="23">
        <v>20345.827000000001</v>
      </c>
      <c r="P1256" s="18">
        <f t="shared" si="202"/>
        <v>9.8575342465753426</v>
      </c>
      <c r="Q1256" s="18">
        <f t="shared" si="198"/>
        <v>3380.2204339726027</v>
      </c>
      <c r="R1256" s="18">
        <f t="shared" si="203"/>
        <v>23726.047433972602</v>
      </c>
      <c r="S1256" s="18">
        <f t="shared" si="205"/>
        <v>5519.5</v>
      </c>
    </row>
    <row r="1257" spans="1:19" ht="15" customHeight="1" x14ac:dyDescent="0.2">
      <c r="A1257" s="14">
        <f t="shared" si="204"/>
        <v>1221</v>
      </c>
      <c r="B1257" s="21" t="s">
        <v>1143</v>
      </c>
      <c r="C1257" s="15" t="s">
        <v>3</v>
      </c>
      <c r="D1257" s="21" t="s">
        <v>1142</v>
      </c>
      <c r="E1257" s="21"/>
      <c r="F1257" s="69" t="s">
        <v>8</v>
      </c>
      <c r="G1257" s="9">
        <v>36526</v>
      </c>
      <c r="H1257" s="22">
        <v>69591</v>
      </c>
      <c r="I1257" s="17">
        <v>0</v>
      </c>
      <c r="J1257" s="17">
        <v>43006.856679452052</v>
      </c>
      <c r="K1257" s="17">
        <f t="shared" si="200"/>
        <v>26584.143320547948</v>
      </c>
      <c r="L1257" s="23">
        <f t="shared" si="199"/>
        <v>3479.55</v>
      </c>
      <c r="M1257" s="23">
        <v>25</v>
      </c>
      <c r="N1257" s="18">
        <f t="shared" si="201"/>
        <v>20.265753424657536</v>
      </c>
      <c r="O1257" s="23">
        <v>7766.25</v>
      </c>
      <c r="P1257" s="18">
        <f t="shared" si="202"/>
        <v>21.265753424657536</v>
      </c>
      <c r="Q1257" s="18">
        <f t="shared" si="198"/>
        <v>924.18373282191794</v>
      </c>
      <c r="R1257" s="18">
        <f t="shared" si="203"/>
        <v>8690.4337328219171</v>
      </c>
      <c r="S1257" s="18">
        <f t="shared" si="205"/>
        <v>3479.55</v>
      </c>
    </row>
    <row r="1258" spans="1:19" ht="15" customHeight="1" x14ac:dyDescent="0.2">
      <c r="A1258" s="14">
        <f t="shared" si="204"/>
        <v>1222</v>
      </c>
      <c r="B1258" s="21" t="s">
        <v>1144</v>
      </c>
      <c r="C1258" s="15" t="s">
        <v>3</v>
      </c>
      <c r="D1258" s="21" t="s">
        <v>1142</v>
      </c>
      <c r="E1258" s="21"/>
      <c r="F1258" s="69" t="s">
        <v>8</v>
      </c>
      <c r="G1258" s="9">
        <v>38353</v>
      </c>
      <c r="H1258" s="22">
        <v>165887.71</v>
      </c>
      <c r="I1258" s="17">
        <v>0</v>
      </c>
      <c r="J1258" s="17">
        <v>70964.489903616442</v>
      </c>
      <c r="K1258" s="17">
        <f t="shared" si="200"/>
        <v>94923.220096383549</v>
      </c>
      <c r="L1258" s="23">
        <f t="shared" si="199"/>
        <v>8294.3855000000003</v>
      </c>
      <c r="M1258" s="23">
        <v>25</v>
      </c>
      <c r="N1258" s="18">
        <f t="shared" si="201"/>
        <v>15.260273972602739</v>
      </c>
      <c r="O1258" s="23">
        <v>11115</v>
      </c>
      <c r="P1258" s="18">
        <f t="shared" si="202"/>
        <v>16.260273972602739</v>
      </c>
      <c r="Q1258" s="18">
        <f t="shared" si="198"/>
        <v>3465.1533838553419</v>
      </c>
      <c r="R1258" s="18">
        <f t="shared" si="203"/>
        <v>14580.153383855342</v>
      </c>
      <c r="S1258" s="18">
        <f t="shared" si="205"/>
        <v>8294.3855000000003</v>
      </c>
    </row>
    <row r="1259" spans="1:19" ht="15" customHeight="1" x14ac:dyDescent="0.2">
      <c r="A1259" s="14">
        <f t="shared" si="204"/>
        <v>1223</v>
      </c>
      <c r="B1259" s="21" t="s">
        <v>1145</v>
      </c>
      <c r="C1259" s="15" t="s">
        <v>3</v>
      </c>
      <c r="D1259" s="21" t="s">
        <v>1142</v>
      </c>
      <c r="E1259" s="21"/>
      <c r="F1259" s="69" t="s">
        <v>8</v>
      </c>
      <c r="G1259" s="9">
        <v>38353</v>
      </c>
      <c r="H1259" s="22">
        <v>172615.54</v>
      </c>
      <c r="I1259" s="17">
        <v>0</v>
      </c>
      <c r="J1259" s="17">
        <v>73842.563415561643</v>
      </c>
      <c r="K1259" s="17">
        <f t="shared" si="200"/>
        <v>98772.976584438366</v>
      </c>
      <c r="L1259" s="23">
        <f t="shared" si="199"/>
        <v>8630.777</v>
      </c>
      <c r="M1259" s="23">
        <v>25</v>
      </c>
      <c r="N1259" s="18">
        <f t="shared" si="201"/>
        <v>15.260273972602739</v>
      </c>
      <c r="O1259" s="23">
        <v>14060</v>
      </c>
      <c r="P1259" s="18">
        <f t="shared" si="202"/>
        <v>16.260273972602739</v>
      </c>
      <c r="Q1259" s="18">
        <f t="shared" si="198"/>
        <v>3605.6879833775347</v>
      </c>
      <c r="R1259" s="18">
        <f t="shared" si="203"/>
        <v>17665.687983377535</v>
      </c>
      <c r="S1259" s="18">
        <f t="shared" si="205"/>
        <v>8630.777</v>
      </c>
    </row>
    <row r="1260" spans="1:19" ht="15" customHeight="1" x14ac:dyDescent="0.2">
      <c r="A1260" s="14">
        <f t="shared" si="204"/>
        <v>1224</v>
      </c>
      <c r="B1260" s="21" t="s">
        <v>1146</v>
      </c>
      <c r="C1260" s="15" t="s">
        <v>3</v>
      </c>
      <c r="D1260" s="21" t="s">
        <v>1142</v>
      </c>
      <c r="E1260" s="21"/>
      <c r="F1260" s="69" t="s">
        <v>8</v>
      </c>
      <c r="G1260" s="9">
        <v>36526</v>
      </c>
      <c r="H1260" s="22">
        <v>50118.69</v>
      </c>
      <c r="I1260" s="17">
        <v>0</v>
      </c>
      <c r="J1260" s="17">
        <v>30973.075797041092</v>
      </c>
      <c r="K1260" s="17">
        <f t="shared" si="200"/>
        <v>19145.61420295891</v>
      </c>
      <c r="L1260" s="23">
        <f t="shared" si="199"/>
        <v>2505.9345000000003</v>
      </c>
      <c r="M1260" s="23">
        <v>25</v>
      </c>
      <c r="N1260" s="18">
        <f t="shared" si="201"/>
        <v>20.265753424657536</v>
      </c>
      <c r="O1260" s="23">
        <v>14107.5</v>
      </c>
      <c r="P1260" s="18">
        <f t="shared" si="202"/>
        <v>21.265753424657536</v>
      </c>
      <c r="Q1260" s="18">
        <f t="shared" si="198"/>
        <v>665.58718811835649</v>
      </c>
      <c r="R1260" s="18">
        <f t="shared" si="203"/>
        <v>14773.087188118356</v>
      </c>
      <c r="S1260" s="18">
        <f t="shared" si="205"/>
        <v>2505.9345000000003</v>
      </c>
    </row>
    <row r="1261" spans="1:19" ht="15" customHeight="1" x14ac:dyDescent="0.2">
      <c r="A1261" s="14">
        <f t="shared" si="204"/>
        <v>1225</v>
      </c>
      <c r="B1261" s="21" t="s">
        <v>1147</v>
      </c>
      <c r="C1261" s="15" t="s">
        <v>3</v>
      </c>
      <c r="D1261" s="21" t="s">
        <v>1142</v>
      </c>
      <c r="E1261" s="21"/>
      <c r="F1261" s="69" t="s">
        <v>8</v>
      </c>
      <c r="G1261" s="9">
        <v>36526</v>
      </c>
      <c r="H1261" s="29">
        <v>101070.45</v>
      </c>
      <c r="I1261" s="17">
        <v>0</v>
      </c>
      <c r="J1261" s="17">
        <v>62460.984289315056</v>
      </c>
      <c r="K1261" s="17">
        <f t="shared" si="200"/>
        <v>38609.465710684941</v>
      </c>
      <c r="L1261" s="23">
        <f t="shared" si="199"/>
        <v>5053.5225</v>
      </c>
      <c r="M1261" s="23">
        <v>25</v>
      </c>
      <c r="N1261" s="18">
        <f t="shared" si="201"/>
        <v>20.265753424657536</v>
      </c>
      <c r="O1261" s="23">
        <v>153687.3045</v>
      </c>
      <c r="P1261" s="18">
        <f t="shared" si="202"/>
        <v>21.265753424657536</v>
      </c>
      <c r="Q1261" s="18">
        <f t="shared" si="198"/>
        <v>1342.2377284273978</v>
      </c>
      <c r="R1261" s="18">
        <f t="shared" si="203"/>
        <v>155029.5422284274</v>
      </c>
      <c r="S1261" s="18">
        <f t="shared" si="205"/>
        <v>5053.5225</v>
      </c>
    </row>
    <row r="1262" spans="1:19" ht="15" customHeight="1" x14ac:dyDescent="0.2">
      <c r="A1262" s="14">
        <f t="shared" si="204"/>
        <v>1226</v>
      </c>
      <c r="B1262" s="21" t="s">
        <v>1148</v>
      </c>
      <c r="C1262" s="15" t="s">
        <v>3</v>
      </c>
      <c r="D1262" s="21" t="s">
        <v>1142</v>
      </c>
      <c r="E1262" s="21"/>
      <c r="F1262" s="69" t="s">
        <v>8</v>
      </c>
      <c r="G1262" s="9">
        <v>36526</v>
      </c>
      <c r="H1262" s="22">
        <v>100693.75</v>
      </c>
      <c r="I1262" s="17">
        <v>0</v>
      </c>
      <c r="J1262" s="17">
        <v>62228.185753424659</v>
      </c>
      <c r="K1262" s="17">
        <f t="shared" si="200"/>
        <v>38465.564246575341</v>
      </c>
      <c r="L1262" s="23">
        <f t="shared" si="199"/>
        <v>5034.6875</v>
      </c>
      <c r="M1262" s="23">
        <v>25</v>
      </c>
      <c r="N1262" s="18">
        <f t="shared" si="201"/>
        <v>20.265753424657536</v>
      </c>
      <c r="O1262" s="23">
        <v>1482</v>
      </c>
      <c r="P1262" s="18">
        <f t="shared" si="202"/>
        <v>21.265753424657536</v>
      </c>
      <c r="Q1262" s="18">
        <f t="shared" si="198"/>
        <v>1337.2350698630137</v>
      </c>
      <c r="R1262" s="18">
        <f t="shared" si="203"/>
        <v>2819.2350698630135</v>
      </c>
      <c r="S1262" s="18">
        <f t="shared" si="205"/>
        <v>5034.6875</v>
      </c>
    </row>
    <row r="1263" spans="1:19" ht="15" customHeight="1" x14ac:dyDescent="0.2">
      <c r="A1263" s="14">
        <f t="shared" si="204"/>
        <v>1227</v>
      </c>
      <c r="B1263" s="21" t="s">
        <v>1149</v>
      </c>
      <c r="C1263" s="15" t="s">
        <v>3</v>
      </c>
      <c r="D1263" s="21" t="s">
        <v>1142</v>
      </c>
      <c r="E1263" s="21"/>
      <c r="F1263" s="69" t="s">
        <v>8</v>
      </c>
      <c r="G1263" s="9">
        <v>36526</v>
      </c>
      <c r="H1263" s="26">
        <v>72998.899999999994</v>
      </c>
      <c r="I1263" s="17">
        <v>0</v>
      </c>
      <c r="J1263" s="17">
        <v>45112.920206027389</v>
      </c>
      <c r="K1263" s="17">
        <f t="shared" si="200"/>
        <v>27885.979793972605</v>
      </c>
      <c r="L1263" s="23">
        <f t="shared" si="199"/>
        <v>3649.9449999999997</v>
      </c>
      <c r="M1263" s="23">
        <v>25</v>
      </c>
      <c r="N1263" s="18">
        <f t="shared" si="201"/>
        <v>20.265753424657536</v>
      </c>
      <c r="O1263" s="23">
        <v>6450.5</v>
      </c>
      <c r="P1263" s="18">
        <f t="shared" si="202"/>
        <v>21.265753424657536</v>
      </c>
      <c r="Q1263" s="18">
        <f t="shared" si="198"/>
        <v>969.44139175890427</v>
      </c>
      <c r="R1263" s="18">
        <f t="shared" si="203"/>
        <v>7419.9413917589045</v>
      </c>
      <c r="S1263" s="18">
        <f t="shared" si="205"/>
        <v>3649.9449999999997</v>
      </c>
    </row>
    <row r="1264" spans="1:19" ht="15" customHeight="1" x14ac:dyDescent="0.2">
      <c r="A1264" s="14">
        <f t="shared" si="204"/>
        <v>1228</v>
      </c>
      <c r="B1264" s="21" t="s">
        <v>1150</v>
      </c>
      <c r="C1264" s="15" t="s">
        <v>3</v>
      </c>
      <c r="D1264" s="21" t="s">
        <v>1142</v>
      </c>
      <c r="E1264" s="21"/>
      <c r="F1264" s="69" t="s">
        <v>8</v>
      </c>
      <c r="G1264" s="9">
        <v>38353</v>
      </c>
      <c r="H1264" s="26">
        <v>65565.53</v>
      </c>
      <c r="I1264" s="17">
        <v>0</v>
      </c>
      <c r="J1264" s="17">
        <v>28048.035576054794</v>
      </c>
      <c r="K1264" s="17">
        <f t="shared" si="200"/>
        <v>37517.494423945202</v>
      </c>
      <c r="L1264" s="23">
        <f t="shared" si="199"/>
        <v>3278.2764999999999</v>
      </c>
      <c r="M1264" s="23">
        <v>25</v>
      </c>
      <c r="N1264" s="18">
        <f t="shared" si="201"/>
        <v>15.260273972602739</v>
      </c>
      <c r="O1264" s="23">
        <v>54530.019</v>
      </c>
      <c r="P1264" s="18">
        <f t="shared" si="202"/>
        <v>16.260273972602739</v>
      </c>
      <c r="Q1264" s="18">
        <f t="shared" si="198"/>
        <v>1369.5687169578082</v>
      </c>
      <c r="R1264" s="18">
        <f t="shared" si="203"/>
        <v>55899.587716957809</v>
      </c>
      <c r="S1264" s="18">
        <f t="shared" si="205"/>
        <v>3278.2764999999999</v>
      </c>
    </row>
    <row r="1265" spans="1:19" ht="15" customHeight="1" x14ac:dyDescent="0.2">
      <c r="A1265" s="14">
        <f t="shared" si="204"/>
        <v>1229</v>
      </c>
      <c r="B1265" s="21" t="s">
        <v>1151</v>
      </c>
      <c r="C1265" s="15" t="s">
        <v>3</v>
      </c>
      <c r="D1265" s="21" t="s">
        <v>1142</v>
      </c>
      <c r="E1265" s="21"/>
      <c r="F1265" s="69" t="s">
        <v>8</v>
      </c>
      <c r="G1265" s="9">
        <v>36526</v>
      </c>
      <c r="H1265" s="22">
        <v>19461.55999999999</v>
      </c>
      <c r="I1265" s="17">
        <v>0</v>
      </c>
      <c r="J1265" s="17">
        <v>12027.137441315059</v>
      </c>
      <c r="K1265" s="17">
        <f t="shared" si="200"/>
        <v>7434.4225586849316</v>
      </c>
      <c r="L1265" s="23">
        <f t="shared" si="199"/>
        <v>973.07799999999952</v>
      </c>
      <c r="M1265" s="23">
        <v>25</v>
      </c>
      <c r="N1265" s="18">
        <f t="shared" si="201"/>
        <v>20.265753424657536</v>
      </c>
      <c r="O1265" s="23">
        <v>5685.75</v>
      </c>
      <c r="P1265" s="18">
        <f t="shared" si="202"/>
        <v>21.265753424657536</v>
      </c>
      <c r="Q1265" s="18">
        <f t="shared" si="198"/>
        <v>258.45378234739729</v>
      </c>
      <c r="R1265" s="18">
        <f t="shared" si="203"/>
        <v>5944.2037823473975</v>
      </c>
      <c r="S1265" s="18">
        <f t="shared" si="205"/>
        <v>973.07799999999952</v>
      </c>
    </row>
    <row r="1266" spans="1:19" ht="15" customHeight="1" x14ac:dyDescent="0.2">
      <c r="A1266" s="14">
        <f t="shared" si="204"/>
        <v>1230</v>
      </c>
      <c r="B1266" s="21" t="s">
        <v>1152</v>
      </c>
      <c r="C1266" s="15" t="s">
        <v>3</v>
      </c>
      <c r="D1266" s="21" t="s">
        <v>1142</v>
      </c>
      <c r="E1266" s="21"/>
      <c r="F1266" s="69" t="s">
        <v>8</v>
      </c>
      <c r="G1266" s="9">
        <v>36526</v>
      </c>
      <c r="H1266" s="22">
        <v>14025.08</v>
      </c>
      <c r="I1266" s="17">
        <v>0</v>
      </c>
      <c r="J1266" s="17">
        <v>8667.4225902465751</v>
      </c>
      <c r="K1266" s="17">
        <f t="shared" si="200"/>
        <v>5357.6574097534249</v>
      </c>
      <c r="L1266" s="23">
        <f t="shared" si="199"/>
        <v>701.25400000000002</v>
      </c>
      <c r="M1266" s="23">
        <v>25</v>
      </c>
      <c r="N1266" s="18">
        <f t="shared" si="201"/>
        <v>20.265753424657536</v>
      </c>
      <c r="O1266" s="23">
        <v>14031.7945</v>
      </c>
      <c r="P1266" s="18">
        <f t="shared" si="202"/>
        <v>21.265753424657536</v>
      </c>
      <c r="Q1266" s="18">
        <f t="shared" si="198"/>
        <v>186.25613639013702</v>
      </c>
      <c r="R1266" s="18">
        <f t="shared" si="203"/>
        <v>14218.050636390137</v>
      </c>
      <c r="S1266" s="18">
        <f t="shared" si="205"/>
        <v>701.25400000000002</v>
      </c>
    </row>
    <row r="1267" spans="1:19" ht="15" customHeight="1" x14ac:dyDescent="0.2">
      <c r="A1267" s="14">
        <f t="shared" si="204"/>
        <v>1231</v>
      </c>
      <c r="B1267" s="21" t="s">
        <v>1153</v>
      </c>
      <c r="C1267" s="15" t="s">
        <v>3</v>
      </c>
      <c r="D1267" s="21" t="s">
        <v>1142</v>
      </c>
      <c r="E1267" s="21"/>
      <c r="F1267" s="69" t="s">
        <v>8</v>
      </c>
      <c r="G1267" s="9">
        <v>36526</v>
      </c>
      <c r="H1267" s="22">
        <v>11247.569999999996</v>
      </c>
      <c r="I1267" s="17">
        <v>0</v>
      </c>
      <c r="J1267" s="17">
        <v>6950.9366294794499</v>
      </c>
      <c r="K1267" s="17">
        <f t="shared" si="200"/>
        <v>4296.6333705205461</v>
      </c>
      <c r="L1267" s="23">
        <f t="shared" si="199"/>
        <v>562.3784999999998</v>
      </c>
      <c r="M1267" s="23">
        <v>25</v>
      </c>
      <c r="N1267" s="18">
        <f t="shared" si="201"/>
        <v>20.265753424657536</v>
      </c>
      <c r="O1267" s="23">
        <v>2148.33</v>
      </c>
      <c r="P1267" s="18">
        <f t="shared" si="202"/>
        <v>21.265753424657536</v>
      </c>
      <c r="Q1267" s="18">
        <f t="shared" si="198"/>
        <v>149.37019482082187</v>
      </c>
      <c r="R1267" s="18">
        <f t="shared" si="203"/>
        <v>2297.7001948208217</v>
      </c>
      <c r="S1267" s="18">
        <f t="shared" si="205"/>
        <v>562.3784999999998</v>
      </c>
    </row>
    <row r="1268" spans="1:19" ht="15" customHeight="1" x14ac:dyDescent="0.2">
      <c r="A1268" s="14">
        <f t="shared" si="204"/>
        <v>1232</v>
      </c>
      <c r="B1268" s="21" t="s">
        <v>1154</v>
      </c>
      <c r="C1268" s="15" t="s">
        <v>3</v>
      </c>
      <c r="D1268" s="21" t="s">
        <v>1142</v>
      </c>
      <c r="E1268" s="21"/>
      <c r="F1268" s="69" t="s">
        <v>8</v>
      </c>
      <c r="G1268" s="9">
        <v>36526</v>
      </c>
      <c r="H1268" s="22">
        <v>18991.240000000002</v>
      </c>
      <c r="I1268" s="17">
        <v>0</v>
      </c>
      <c r="J1268" s="17">
        <v>11736.482258410957</v>
      </c>
      <c r="K1268" s="17">
        <f t="shared" si="200"/>
        <v>7254.7577415890446</v>
      </c>
      <c r="L1268" s="23">
        <f t="shared" si="199"/>
        <v>949.56200000000013</v>
      </c>
      <c r="M1268" s="23">
        <v>25</v>
      </c>
      <c r="N1268" s="18">
        <f t="shared" si="201"/>
        <v>20.265753424657536</v>
      </c>
      <c r="O1268" s="23">
        <v>2365.5</v>
      </c>
      <c r="P1268" s="18">
        <f t="shared" si="202"/>
        <v>21.265753424657536</v>
      </c>
      <c r="Q1268" s="18">
        <f t="shared" si="198"/>
        <v>252.2078296635618</v>
      </c>
      <c r="R1268" s="18">
        <f t="shared" si="203"/>
        <v>2617.7078296635618</v>
      </c>
      <c r="S1268" s="18">
        <f t="shared" si="205"/>
        <v>949.56200000000013</v>
      </c>
    </row>
    <row r="1269" spans="1:19" ht="15" customHeight="1" x14ac:dyDescent="0.2">
      <c r="A1269" s="14">
        <f t="shared" si="204"/>
        <v>1233</v>
      </c>
      <c r="B1269" s="21" t="s">
        <v>1155</v>
      </c>
      <c r="C1269" s="15" t="s">
        <v>3</v>
      </c>
      <c r="D1269" s="21" t="s">
        <v>1142</v>
      </c>
      <c r="E1269" s="21"/>
      <c r="F1269" s="69" t="s">
        <v>8</v>
      </c>
      <c r="G1269" s="9">
        <v>36526</v>
      </c>
      <c r="H1269" s="22">
        <v>13794.93</v>
      </c>
      <c r="I1269" s="17">
        <v>0</v>
      </c>
      <c r="J1269" s="17">
        <v>8525.1911513424657</v>
      </c>
      <c r="K1269" s="17">
        <f t="shared" si="200"/>
        <v>5269.7388486575346</v>
      </c>
      <c r="L1269" s="23">
        <f t="shared" si="199"/>
        <v>689.74650000000008</v>
      </c>
      <c r="M1269" s="23">
        <v>25</v>
      </c>
      <c r="N1269" s="18">
        <f t="shared" si="201"/>
        <v>20.265753424657536</v>
      </c>
      <c r="O1269" s="23">
        <v>21191.298500000001</v>
      </c>
      <c r="P1269" s="18">
        <f t="shared" si="202"/>
        <v>21.265753424657536</v>
      </c>
      <c r="Q1269" s="18">
        <f t="shared" si="198"/>
        <v>183.19969394630138</v>
      </c>
      <c r="R1269" s="18">
        <f t="shared" si="203"/>
        <v>21374.498193946303</v>
      </c>
      <c r="S1269" s="18">
        <f t="shared" si="205"/>
        <v>689.74650000000008</v>
      </c>
    </row>
    <row r="1270" spans="1:19" ht="15" customHeight="1" x14ac:dyDescent="0.2">
      <c r="A1270" s="14">
        <f t="shared" si="204"/>
        <v>1234</v>
      </c>
      <c r="B1270" s="21" t="s">
        <v>1156</v>
      </c>
      <c r="C1270" s="15" t="s">
        <v>3</v>
      </c>
      <c r="D1270" s="21" t="s">
        <v>1142</v>
      </c>
      <c r="E1270" s="21"/>
      <c r="F1270" s="69" t="s">
        <v>8</v>
      </c>
      <c r="G1270" s="9">
        <v>36526</v>
      </c>
      <c r="H1270" s="26">
        <v>16342</v>
      </c>
      <c r="I1270" s="17">
        <v>0</v>
      </c>
      <c r="J1270" s="17">
        <v>10099.266454794519</v>
      </c>
      <c r="K1270" s="17">
        <f t="shared" si="200"/>
        <v>6242.7335452054813</v>
      </c>
      <c r="L1270" s="23">
        <f t="shared" si="199"/>
        <v>817.1</v>
      </c>
      <c r="M1270" s="23">
        <v>25</v>
      </c>
      <c r="N1270" s="18">
        <f t="shared" si="201"/>
        <v>20.265753424657536</v>
      </c>
      <c r="O1270" s="23">
        <v>2080.8134999999997</v>
      </c>
      <c r="P1270" s="18">
        <f t="shared" si="202"/>
        <v>21.265753424657536</v>
      </c>
      <c r="Q1270" s="18">
        <f t="shared" si="198"/>
        <v>217.02534180821925</v>
      </c>
      <c r="R1270" s="18">
        <f t="shared" si="203"/>
        <v>2297.8388418082191</v>
      </c>
      <c r="S1270" s="18">
        <f t="shared" si="205"/>
        <v>817.1</v>
      </c>
    </row>
    <row r="1271" spans="1:19" ht="15" customHeight="1" x14ac:dyDescent="0.2">
      <c r="A1271" s="14"/>
      <c r="B1271" s="21" t="s">
        <v>2611</v>
      </c>
      <c r="C1271" s="15" t="s">
        <v>3</v>
      </c>
      <c r="D1271" s="21" t="s">
        <v>1142</v>
      </c>
      <c r="E1271" s="21"/>
      <c r="F1271" s="69"/>
      <c r="G1271" s="54">
        <v>44058</v>
      </c>
      <c r="H1271" s="58">
        <v>0</v>
      </c>
      <c r="I1271" s="58">
        <v>1041005.32</v>
      </c>
      <c r="J1271" s="58">
        <v>1041005.32</v>
      </c>
      <c r="K1271" s="58">
        <v>1041005.32</v>
      </c>
      <c r="L1271" s="23">
        <f t="shared" ref="L1271:L1273" si="206">K1271*0.05</f>
        <v>52050.266000000003</v>
      </c>
      <c r="M1271" s="23">
        <v>25</v>
      </c>
      <c r="N1271" s="18">
        <f t="shared" si="201"/>
        <v>0</v>
      </c>
      <c r="O1271" s="23">
        <v>51235.523499999996</v>
      </c>
      <c r="P1271" s="18">
        <f t="shared" si="202"/>
        <v>0.63013698630136983</v>
      </c>
      <c r="Q1271" s="58">
        <v>1041005.32</v>
      </c>
      <c r="R1271" s="18">
        <f t="shared" si="203"/>
        <v>1092240.8435</v>
      </c>
      <c r="S1271" s="18">
        <f t="shared" si="205"/>
        <v>52050.266000000003</v>
      </c>
    </row>
    <row r="1272" spans="1:19" ht="15" customHeight="1" x14ac:dyDescent="0.2">
      <c r="A1272" s="14"/>
      <c r="B1272" s="21" t="s">
        <v>2612</v>
      </c>
      <c r="C1272" s="15" t="s">
        <v>3</v>
      </c>
      <c r="D1272" s="21" t="s">
        <v>1142</v>
      </c>
      <c r="E1272" s="21"/>
      <c r="F1272" s="69"/>
      <c r="G1272" s="55">
        <v>44104</v>
      </c>
      <c r="H1272" s="59">
        <v>0</v>
      </c>
      <c r="I1272" s="59">
        <v>248982.08</v>
      </c>
      <c r="J1272" s="59">
        <v>248982.08</v>
      </c>
      <c r="K1272" s="59">
        <v>248982.08</v>
      </c>
      <c r="L1272" s="23">
        <f t="shared" si="206"/>
        <v>12449.103999999999</v>
      </c>
      <c r="M1272" s="23">
        <v>25</v>
      </c>
      <c r="N1272" s="18">
        <f t="shared" si="201"/>
        <v>0</v>
      </c>
      <c r="O1272" s="23">
        <v>378638.70699999999</v>
      </c>
      <c r="P1272" s="18">
        <f t="shared" si="202"/>
        <v>0.50410958904109593</v>
      </c>
      <c r="Q1272" s="59">
        <v>248982.08</v>
      </c>
      <c r="R1272" s="18">
        <f t="shared" si="203"/>
        <v>627620.78700000001</v>
      </c>
      <c r="S1272" s="18">
        <f t="shared" si="205"/>
        <v>12449.103999999999</v>
      </c>
    </row>
    <row r="1273" spans="1:19" ht="15" customHeight="1" x14ac:dyDescent="0.2">
      <c r="A1273" s="14"/>
      <c r="B1273" s="21" t="s">
        <v>2613</v>
      </c>
      <c r="C1273" s="15" t="s">
        <v>3</v>
      </c>
      <c r="D1273" s="21" t="s">
        <v>1142</v>
      </c>
      <c r="E1273" s="21"/>
      <c r="F1273" s="69"/>
      <c r="G1273" s="9">
        <v>43784</v>
      </c>
      <c r="H1273" s="56">
        <v>200477.43</v>
      </c>
      <c r="I1273" s="57"/>
      <c r="J1273" s="56">
        <v>200477.43</v>
      </c>
      <c r="K1273" s="56">
        <v>200477.43</v>
      </c>
      <c r="L1273" s="23">
        <f t="shared" si="206"/>
        <v>10023.871500000001</v>
      </c>
      <c r="M1273" s="23">
        <v>25</v>
      </c>
      <c r="N1273" s="18">
        <f t="shared" si="201"/>
        <v>0.38082191780821917</v>
      </c>
      <c r="O1273" s="23">
        <v>236755.39</v>
      </c>
      <c r="P1273" s="18">
        <f t="shared" si="202"/>
        <v>1.3808219178082193</v>
      </c>
      <c r="Q1273" s="18">
        <v>200477</v>
      </c>
      <c r="R1273" s="18">
        <f t="shared" si="203"/>
        <v>437232.39</v>
      </c>
      <c r="S1273" s="18">
        <f t="shared" si="205"/>
        <v>10023.871500000001</v>
      </c>
    </row>
    <row r="1274" spans="1:19" ht="15" customHeight="1" x14ac:dyDescent="0.2">
      <c r="A1274" s="14">
        <f>+A1270+1</f>
        <v>1235</v>
      </c>
      <c r="B1274" s="24" t="s">
        <v>1157</v>
      </c>
      <c r="C1274" s="15" t="s">
        <v>3</v>
      </c>
      <c r="D1274" s="21" t="s">
        <v>1142</v>
      </c>
      <c r="E1274" s="21"/>
      <c r="F1274" s="69" t="s">
        <v>8</v>
      </c>
      <c r="G1274" s="25">
        <v>44211</v>
      </c>
      <c r="H1274" s="26">
        <v>0</v>
      </c>
      <c r="I1274" s="27">
        <v>369488.96</v>
      </c>
      <c r="J1274" s="17">
        <v>0</v>
      </c>
      <c r="K1274" s="17">
        <f t="shared" si="200"/>
        <v>369488.96</v>
      </c>
      <c r="L1274" s="23">
        <f t="shared" ref="L1274:L1320" si="207">K1274*0.05</f>
        <v>18474.448</v>
      </c>
      <c r="M1274" s="23">
        <v>25</v>
      </c>
      <c r="N1274" s="18">
        <f t="shared" si="201"/>
        <v>0</v>
      </c>
      <c r="O1274" s="23">
        <v>134152.97700000001</v>
      </c>
      <c r="P1274" s="18">
        <f t="shared" si="202"/>
        <v>0.21095890410958903</v>
      </c>
      <c r="Q1274" s="18">
        <f t="shared" ref="Q1274:Q1314" si="208">(P1274-N1274)/M1274*(K1274-L1274)</f>
        <v>2961.9854711232879</v>
      </c>
      <c r="R1274" s="18">
        <f t="shared" si="203"/>
        <v>137114.96247112329</v>
      </c>
      <c r="S1274" s="18">
        <f t="shared" si="205"/>
        <v>18474.448</v>
      </c>
    </row>
    <row r="1275" spans="1:19" ht="15" customHeight="1" x14ac:dyDescent="0.2">
      <c r="A1275" s="14">
        <f t="shared" si="204"/>
        <v>1236</v>
      </c>
      <c r="B1275" s="24" t="s">
        <v>1158</v>
      </c>
      <c r="C1275" s="15" t="s">
        <v>3</v>
      </c>
      <c r="D1275" s="21" t="s">
        <v>1142</v>
      </c>
      <c r="E1275" s="21"/>
      <c r="F1275" s="69" t="s">
        <v>8</v>
      </c>
      <c r="G1275" s="25">
        <v>44242</v>
      </c>
      <c r="H1275" s="26">
        <v>0</v>
      </c>
      <c r="I1275" s="27">
        <v>201980.65</v>
      </c>
      <c r="J1275" s="17">
        <v>0</v>
      </c>
      <c r="K1275" s="17">
        <f t="shared" si="200"/>
        <v>201980.65</v>
      </c>
      <c r="L1275" s="23">
        <f t="shared" si="207"/>
        <v>10099.032500000001</v>
      </c>
      <c r="M1275" s="23">
        <v>25</v>
      </c>
      <c r="N1275" s="18">
        <f t="shared" si="201"/>
        <v>0</v>
      </c>
      <c r="O1275" s="23">
        <v>7457.5</v>
      </c>
      <c r="P1275" s="18">
        <f t="shared" si="202"/>
        <v>0.12602739726027398</v>
      </c>
      <c r="Q1275" s="18">
        <f t="shared" si="208"/>
        <v>967.29363342465751</v>
      </c>
      <c r="R1275" s="18">
        <f t="shared" si="203"/>
        <v>8424.7936334246569</v>
      </c>
      <c r="S1275" s="18">
        <f t="shared" si="205"/>
        <v>10099.032500000001</v>
      </c>
    </row>
    <row r="1276" spans="1:19" ht="15" customHeight="1" x14ac:dyDescent="0.2">
      <c r="A1276" s="14">
        <f t="shared" si="204"/>
        <v>1237</v>
      </c>
      <c r="B1276" s="24" t="s">
        <v>1159</v>
      </c>
      <c r="C1276" s="15" t="s">
        <v>3</v>
      </c>
      <c r="D1276" s="21" t="s">
        <v>1142</v>
      </c>
      <c r="E1276" s="21"/>
      <c r="F1276" s="69" t="s">
        <v>8</v>
      </c>
      <c r="G1276" s="25">
        <v>44242</v>
      </c>
      <c r="H1276" s="26">
        <v>0</v>
      </c>
      <c r="I1276" s="27">
        <v>294517.76000000001</v>
      </c>
      <c r="J1276" s="17">
        <v>0</v>
      </c>
      <c r="K1276" s="17">
        <f t="shared" si="200"/>
        <v>294517.76000000001</v>
      </c>
      <c r="L1276" s="23">
        <f t="shared" si="207"/>
        <v>14725.888000000001</v>
      </c>
      <c r="M1276" s="23">
        <v>25</v>
      </c>
      <c r="N1276" s="18">
        <f t="shared" si="201"/>
        <v>0</v>
      </c>
      <c r="O1276" s="23">
        <v>14693.336499999999</v>
      </c>
      <c r="P1276" s="18">
        <f t="shared" si="202"/>
        <v>0.12602739726027398</v>
      </c>
      <c r="Q1276" s="18">
        <f t="shared" si="208"/>
        <v>1410.4576561095894</v>
      </c>
      <c r="R1276" s="18">
        <f t="shared" si="203"/>
        <v>16103.794156109589</v>
      </c>
      <c r="S1276" s="18">
        <f t="shared" si="205"/>
        <v>14725.888000000001</v>
      </c>
    </row>
    <row r="1277" spans="1:19" ht="15" customHeight="1" x14ac:dyDescent="0.2">
      <c r="A1277" s="14">
        <f t="shared" si="204"/>
        <v>1238</v>
      </c>
      <c r="B1277" s="24" t="s">
        <v>1160</v>
      </c>
      <c r="C1277" s="15" t="s">
        <v>3</v>
      </c>
      <c r="D1277" s="21" t="s">
        <v>1142</v>
      </c>
      <c r="E1277" s="21"/>
      <c r="F1277" s="69" t="s">
        <v>8</v>
      </c>
      <c r="G1277" s="25">
        <v>44242</v>
      </c>
      <c r="H1277" s="26">
        <v>0</v>
      </c>
      <c r="I1277" s="27">
        <v>4741.34</v>
      </c>
      <c r="J1277" s="17">
        <v>0</v>
      </c>
      <c r="K1277" s="17">
        <f t="shared" si="200"/>
        <v>4741.34</v>
      </c>
      <c r="L1277" s="23">
        <f t="shared" si="207"/>
        <v>237.06700000000001</v>
      </c>
      <c r="M1277" s="23">
        <v>25</v>
      </c>
      <c r="N1277" s="18">
        <f t="shared" si="201"/>
        <v>0</v>
      </c>
      <c r="O1277" s="23">
        <v>29386.672999999999</v>
      </c>
      <c r="P1277" s="18">
        <f t="shared" si="202"/>
        <v>0.12602739726027398</v>
      </c>
      <c r="Q1277" s="18">
        <f t="shared" si="208"/>
        <v>22.706472109589043</v>
      </c>
      <c r="R1277" s="18">
        <f t="shared" si="203"/>
        <v>29409.379472109587</v>
      </c>
      <c r="S1277" s="18">
        <f t="shared" si="205"/>
        <v>237.06700000000001</v>
      </c>
    </row>
    <row r="1278" spans="1:19" ht="15" customHeight="1" x14ac:dyDescent="0.2">
      <c r="A1278" s="14">
        <f t="shared" si="204"/>
        <v>1239</v>
      </c>
      <c r="B1278" s="21" t="s">
        <v>1161</v>
      </c>
      <c r="C1278" s="15" t="s">
        <v>3</v>
      </c>
      <c r="D1278" s="21" t="s">
        <v>1162</v>
      </c>
      <c r="E1278" s="21"/>
      <c r="F1278" s="69" t="s">
        <v>4</v>
      </c>
      <c r="G1278" s="9">
        <v>42139</v>
      </c>
      <c r="H1278" s="22">
        <v>3300</v>
      </c>
      <c r="I1278" s="17">
        <v>0</v>
      </c>
      <c r="J1278" s="17">
        <v>277.42602739726027</v>
      </c>
      <c r="K1278" s="17">
        <f t="shared" si="200"/>
        <v>3022.5739726027396</v>
      </c>
      <c r="L1278" s="23">
        <f>H1278*0.05</f>
        <v>165</v>
      </c>
      <c r="M1278" s="23">
        <v>10</v>
      </c>
      <c r="N1278" s="18">
        <f t="shared" si="201"/>
        <v>4.8876712328767127</v>
      </c>
      <c r="O1278" s="23">
        <f>H1278-K1278</f>
        <v>277.42602739726044</v>
      </c>
      <c r="P1278" s="18">
        <f t="shared" si="202"/>
        <v>5.8876712328767127</v>
      </c>
      <c r="Q1278" s="18">
        <f t="shared" si="208"/>
        <v>285.75739726027399</v>
      </c>
      <c r="R1278" s="18">
        <f t="shared" si="203"/>
        <v>563.18342465753449</v>
      </c>
      <c r="S1278" s="18">
        <f t="shared" si="205"/>
        <v>165</v>
      </c>
    </row>
    <row r="1279" spans="1:19" ht="15" customHeight="1" x14ac:dyDescent="0.2">
      <c r="A1279" s="14">
        <f t="shared" si="204"/>
        <v>1240</v>
      </c>
      <c r="B1279" s="21" t="s">
        <v>1163</v>
      </c>
      <c r="C1279" s="15" t="s">
        <v>3</v>
      </c>
      <c r="D1279" s="21" t="s">
        <v>1162</v>
      </c>
      <c r="E1279" s="21"/>
      <c r="F1279" s="69" t="s">
        <v>4</v>
      </c>
      <c r="G1279" s="9">
        <v>41192</v>
      </c>
      <c r="H1279" s="22">
        <v>1530557</v>
      </c>
      <c r="I1279" s="17">
        <v>0</v>
      </c>
      <c r="J1279" s="17">
        <f>632403.089212329+800000</f>
        <v>1432403.0892123291</v>
      </c>
      <c r="K1279" s="17">
        <f t="shared" si="200"/>
        <v>98153.910787670873</v>
      </c>
      <c r="L1279" s="23">
        <f t="shared" ref="L1279:L1314" si="209">H1279*0.05</f>
        <v>76527.850000000006</v>
      </c>
      <c r="M1279" s="23">
        <v>8</v>
      </c>
      <c r="N1279" s="18">
        <f t="shared" si="201"/>
        <v>7.4821917808219176</v>
      </c>
      <c r="O1279" s="23">
        <f>716201-100000-200000-200000</f>
        <v>216201</v>
      </c>
      <c r="P1279" s="18">
        <f t="shared" si="202"/>
        <v>8.4821917808219176</v>
      </c>
      <c r="Q1279" s="18">
        <f t="shared" si="208"/>
        <v>2703.2575984588584</v>
      </c>
      <c r="R1279" s="18">
        <f t="shared" si="203"/>
        <v>218904.25759845885</v>
      </c>
      <c r="S1279" s="18">
        <f t="shared" si="205"/>
        <v>76527.850000000006</v>
      </c>
    </row>
    <row r="1280" spans="1:19" ht="15" customHeight="1" x14ac:dyDescent="0.2">
      <c r="A1280" s="14">
        <f t="shared" si="204"/>
        <v>1241</v>
      </c>
      <c r="B1280" s="21" t="s">
        <v>1164</v>
      </c>
      <c r="C1280" s="15" t="s">
        <v>3</v>
      </c>
      <c r="D1280" s="21" t="s">
        <v>1162</v>
      </c>
      <c r="E1280" s="21"/>
      <c r="F1280" s="69" t="s">
        <v>7</v>
      </c>
      <c r="G1280" s="9">
        <v>41258</v>
      </c>
      <c r="H1280" s="22">
        <v>1076662</v>
      </c>
      <c r="I1280" s="17">
        <v>0</v>
      </c>
      <c r="J1280" s="17">
        <f>421741.779315069+600000</f>
        <v>1021741.7793150691</v>
      </c>
      <c r="K1280" s="17">
        <f t="shared" si="200"/>
        <v>54920.220684930915</v>
      </c>
      <c r="L1280" s="23">
        <f t="shared" si="209"/>
        <v>53833.100000000006</v>
      </c>
      <c r="M1280" s="23">
        <v>8</v>
      </c>
      <c r="N1280" s="18">
        <f t="shared" si="201"/>
        <v>7.3013698630136989</v>
      </c>
      <c r="O1280" s="23">
        <f>510870-45082-200000-215140</f>
        <v>50648</v>
      </c>
      <c r="P1280" s="18">
        <f t="shared" si="202"/>
        <v>8.3013698630136989</v>
      </c>
      <c r="Q1280" s="18">
        <f t="shared" si="208"/>
        <v>135.89008561636365</v>
      </c>
      <c r="R1280" s="18">
        <f t="shared" si="203"/>
        <v>50783.890085616367</v>
      </c>
      <c r="S1280" s="18">
        <f t="shared" si="205"/>
        <v>53833.100000000006</v>
      </c>
    </row>
    <row r="1281" spans="1:19" ht="15" customHeight="1" x14ac:dyDescent="0.2">
      <c r="A1281" s="14">
        <f t="shared" si="204"/>
        <v>1242</v>
      </c>
      <c r="B1281" s="21" t="s">
        <v>1165</v>
      </c>
      <c r="C1281" s="15" t="s">
        <v>3</v>
      </c>
      <c r="D1281" s="21" t="s">
        <v>1162</v>
      </c>
      <c r="E1281" s="21"/>
      <c r="F1281" s="69" t="s">
        <v>4</v>
      </c>
      <c r="G1281" s="9">
        <v>41713</v>
      </c>
      <c r="H1281" s="22">
        <v>296820</v>
      </c>
      <c r="I1281" s="17">
        <v>0</v>
      </c>
      <c r="J1281" s="17">
        <f>72329.5448630137+150000</f>
        <v>222329.5448630137</v>
      </c>
      <c r="K1281" s="17">
        <f t="shared" si="200"/>
        <v>74490.455136986304</v>
      </c>
      <c r="L1281" s="23">
        <f t="shared" si="209"/>
        <v>14841</v>
      </c>
      <c r="M1281" s="23">
        <v>8</v>
      </c>
      <c r="N1281" s="18">
        <f t="shared" si="201"/>
        <v>6.0547945205479454</v>
      </c>
      <c r="O1281" s="23">
        <v>74205</v>
      </c>
      <c r="P1281" s="18">
        <f t="shared" si="202"/>
        <v>7.0547945205479454</v>
      </c>
      <c r="Q1281" s="18">
        <f t="shared" si="208"/>
        <v>7456.181892123288</v>
      </c>
      <c r="R1281" s="18">
        <f t="shared" si="203"/>
        <v>81661.181892123292</v>
      </c>
      <c r="S1281" s="18">
        <f t="shared" si="205"/>
        <v>14841</v>
      </c>
    </row>
    <row r="1282" spans="1:19" ht="15" customHeight="1" x14ac:dyDescent="0.2">
      <c r="A1282" s="14">
        <f t="shared" si="204"/>
        <v>1243</v>
      </c>
      <c r="B1282" s="21" t="s">
        <v>1166</v>
      </c>
      <c r="C1282" s="15" t="s">
        <v>3</v>
      </c>
      <c r="D1282" s="21" t="s">
        <v>1162</v>
      </c>
      <c r="E1282" s="21"/>
      <c r="F1282" s="69" t="s">
        <v>4</v>
      </c>
      <c r="G1282" s="9">
        <v>41238</v>
      </c>
      <c r="H1282" s="29">
        <v>49643</v>
      </c>
      <c r="I1282" s="17">
        <v>0</v>
      </c>
      <c r="J1282" s="17">
        <f>H1282-L1282</f>
        <v>47160.85</v>
      </c>
      <c r="K1282" s="17">
        <f t="shared" si="200"/>
        <v>2482.1500000000015</v>
      </c>
      <c r="L1282" s="23">
        <f t="shared" si="209"/>
        <v>2482.15</v>
      </c>
      <c r="M1282" s="23">
        <v>10</v>
      </c>
      <c r="N1282" s="18">
        <f t="shared" si="201"/>
        <v>7.3561643835616435</v>
      </c>
      <c r="O1282" s="23">
        <v>23580</v>
      </c>
      <c r="P1282" s="18">
        <f t="shared" si="202"/>
        <v>8.3561643835616444</v>
      </c>
      <c r="Q1282" s="18">
        <f t="shared" si="208"/>
        <v>1.3642420526593936E-13</v>
      </c>
      <c r="R1282" s="18">
        <f t="shared" si="203"/>
        <v>23580</v>
      </c>
      <c r="S1282" s="18">
        <f t="shared" si="205"/>
        <v>2482.15</v>
      </c>
    </row>
    <row r="1283" spans="1:19" ht="15" customHeight="1" x14ac:dyDescent="0.2">
      <c r="A1283" s="14">
        <f t="shared" si="204"/>
        <v>1244</v>
      </c>
      <c r="B1283" s="21" t="s">
        <v>1167</v>
      </c>
      <c r="C1283" s="15" t="s">
        <v>3</v>
      </c>
      <c r="D1283" s="21" t="s">
        <v>1162</v>
      </c>
      <c r="E1283" s="21"/>
      <c r="F1283" s="69" t="s">
        <v>4</v>
      </c>
      <c r="G1283" s="9">
        <v>40873</v>
      </c>
      <c r="H1283" s="22">
        <v>39700</v>
      </c>
      <c r="I1283" s="17">
        <v>0</v>
      </c>
      <c r="J1283" s="17">
        <f>H1283-L1283</f>
        <v>37715</v>
      </c>
      <c r="K1283" s="17">
        <f t="shared" si="200"/>
        <v>1985</v>
      </c>
      <c r="L1283" s="23">
        <f t="shared" si="209"/>
        <v>1985</v>
      </c>
      <c r="M1283" s="23">
        <v>10</v>
      </c>
      <c r="N1283" s="18">
        <f t="shared" si="201"/>
        <v>8.3561643835616444</v>
      </c>
      <c r="O1283" s="23">
        <v>18858</v>
      </c>
      <c r="P1283" s="18">
        <f t="shared" si="202"/>
        <v>9.3561643835616444</v>
      </c>
      <c r="Q1283" s="18">
        <f t="shared" si="208"/>
        <v>0</v>
      </c>
      <c r="R1283" s="18">
        <f t="shared" si="203"/>
        <v>18858</v>
      </c>
      <c r="S1283" s="18">
        <f t="shared" si="205"/>
        <v>1985</v>
      </c>
    </row>
    <row r="1284" spans="1:19" ht="15" customHeight="1" x14ac:dyDescent="0.2">
      <c r="A1284" s="14">
        <f t="shared" si="204"/>
        <v>1245</v>
      </c>
      <c r="B1284" s="21" t="s">
        <v>1168</v>
      </c>
      <c r="C1284" s="15" t="s">
        <v>3</v>
      </c>
      <c r="D1284" s="21" t="s">
        <v>1162</v>
      </c>
      <c r="E1284" s="21"/>
      <c r="F1284" s="69" t="s">
        <v>4</v>
      </c>
      <c r="G1284" s="9">
        <v>39064</v>
      </c>
      <c r="H1284" s="26">
        <v>33242.67</v>
      </c>
      <c r="I1284" s="17">
        <v>0</v>
      </c>
      <c r="J1284" s="17">
        <f t="shared" ref="J1284" si="210">H1284-L1284</f>
        <v>31580.536499999998</v>
      </c>
      <c r="K1284" s="17">
        <f t="shared" si="200"/>
        <v>1662.1334999999999</v>
      </c>
      <c r="L1284" s="23">
        <f t="shared" si="209"/>
        <v>1662.1334999999999</v>
      </c>
      <c r="M1284" s="23">
        <v>10</v>
      </c>
      <c r="N1284" s="18">
        <f t="shared" si="201"/>
        <v>13.312328767123288</v>
      </c>
      <c r="O1284" s="23">
        <f>H1284-K1284</f>
        <v>31580.536499999998</v>
      </c>
      <c r="P1284" s="18">
        <f t="shared" si="202"/>
        <v>14.312328767123288</v>
      </c>
      <c r="Q1284" s="18">
        <f t="shared" si="208"/>
        <v>0</v>
      </c>
      <c r="R1284" s="18">
        <f t="shared" si="203"/>
        <v>31580.536499999998</v>
      </c>
      <c r="S1284" s="18">
        <f t="shared" si="205"/>
        <v>1662.1334999999999</v>
      </c>
    </row>
    <row r="1285" spans="1:19" ht="15" customHeight="1" x14ac:dyDescent="0.2">
      <c r="A1285" s="14">
        <f t="shared" si="204"/>
        <v>1246</v>
      </c>
      <c r="B1285" s="21" t="s">
        <v>1168</v>
      </c>
      <c r="C1285" s="15" t="s">
        <v>3</v>
      </c>
      <c r="D1285" s="21" t="s">
        <v>1162</v>
      </c>
      <c r="E1285" s="21"/>
      <c r="F1285" s="69" t="s">
        <v>4</v>
      </c>
      <c r="G1285" s="9">
        <v>42091</v>
      </c>
      <c r="H1285" s="26">
        <v>4390</v>
      </c>
      <c r="I1285" s="17">
        <v>0</v>
      </c>
      <c r="J1285" s="17">
        <v>423.90561643835616</v>
      </c>
      <c r="K1285" s="17">
        <f t="shared" si="200"/>
        <v>3966.094383561644</v>
      </c>
      <c r="L1285" s="23">
        <f t="shared" si="209"/>
        <v>219.5</v>
      </c>
      <c r="M1285" s="23">
        <v>10</v>
      </c>
      <c r="N1285" s="18">
        <f t="shared" si="201"/>
        <v>5.0191780821917806</v>
      </c>
      <c r="O1285" s="23">
        <f>H1285-K1285</f>
        <v>423.90561643835599</v>
      </c>
      <c r="P1285" s="18">
        <f t="shared" si="202"/>
        <v>6.0191780821917806</v>
      </c>
      <c r="Q1285" s="18">
        <f t="shared" si="208"/>
        <v>374.6594383561644</v>
      </c>
      <c r="R1285" s="18">
        <f t="shared" si="203"/>
        <v>798.56505479452039</v>
      </c>
      <c r="S1285" s="18">
        <f t="shared" si="205"/>
        <v>219.5</v>
      </c>
    </row>
    <row r="1286" spans="1:19" ht="15" customHeight="1" x14ac:dyDescent="0.2">
      <c r="A1286" s="14">
        <f t="shared" si="204"/>
        <v>1247</v>
      </c>
      <c r="B1286" s="21" t="s">
        <v>1161</v>
      </c>
      <c r="C1286" s="15" t="s">
        <v>3</v>
      </c>
      <c r="D1286" s="21" t="s">
        <v>1162</v>
      </c>
      <c r="E1286" s="21"/>
      <c r="F1286" s="69" t="s">
        <v>4</v>
      </c>
      <c r="G1286" s="9">
        <v>41866</v>
      </c>
      <c r="H1286" s="22">
        <v>3200</v>
      </c>
      <c r="I1286" s="17">
        <v>0</v>
      </c>
      <c r="J1286" s="17">
        <v>496.39452054794521</v>
      </c>
      <c r="K1286" s="17">
        <f t="shared" si="200"/>
        <v>2703.6054794520546</v>
      </c>
      <c r="L1286" s="23">
        <f t="shared" si="209"/>
        <v>160</v>
      </c>
      <c r="M1286" s="23">
        <v>10</v>
      </c>
      <c r="N1286" s="18">
        <f t="shared" si="201"/>
        <v>5.6356164383561644</v>
      </c>
      <c r="O1286" s="23">
        <f>H1286-K1286</f>
        <v>496.39452054794538</v>
      </c>
      <c r="P1286" s="18">
        <f t="shared" si="202"/>
        <v>6.6356164383561644</v>
      </c>
      <c r="Q1286" s="18">
        <f t="shared" si="208"/>
        <v>254.36054794520547</v>
      </c>
      <c r="R1286" s="18">
        <f t="shared" si="203"/>
        <v>750.75506849315082</v>
      </c>
      <c r="S1286" s="18">
        <f t="shared" si="205"/>
        <v>160</v>
      </c>
    </row>
    <row r="1287" spans="1:19" ht="15" customHeight="1" x14ac:dyDescent="0.2">
      <c r="A1287" s="14">
        <f t="shared" si="204"/>
        <v>1248</v>
      </c>
      <c r="B1287" s="21" t="s">
        <v>1169</v>
      </c>
      <c r="C1287" s="15" t="s">
        <v>3</v>
      </c>
      <c r="D1287" s="21" t="s">
        <v>1162</v>
      </c>
      <c r="E1287" s="21"/>
      <c r="F1287" s="70" t="s">
        <v>7</v>
      </c>
      <c r="G1287" s="9">
        <v>24473</v>
      </c>
      <c r="H1287" s="22">
        <v>52156</v>
      </c>
      <c r="I1287" s="17">
        <v>0</v>
      </c>
      <c r="J1287" s="17">
        <f t="shared" ref="J1287:J1314" si="211">H1287-L1287</f>
        <v>49548.2</v>
      </c>
      <c r="K1287" s="17">
        <f t="shared" si="200"/>
        <v>2607.8000000000029</v>
      </c>
      <c r="L1287" s="23">
        <f t="shared" si="209"/>
        <v>2607.8000000000002</v>
      </c>
      <c r="M1287" s="23">
        <v>8</v>
      </c>
      <c r="N1287" s="18">
        <f t="shared" si="201"/>
        <v>53.287671232876711</v>
      </c>
      <c r="O1287" s="23">
        <v>24774.1</v>
      </c>
      <c r="P1287" s="18">
        <f t="shared" si="202"/>
        <v>54.287671232876711</v>
      </c>
      <c r="Q1287" s="18">
        <f t="shared" si="208"/>
        <v>3.4106051316484809E-13</v>
      </c>
      <c r="R1287" s="18">
        <f t="shared" si="203"/>
        <v>24774.1</v>
      </c>
      <c r="S1287" s="18">
        <f t="shared" si="205"/>
        <v>2607.8000000000002</v>
      </c>
    </row>
    <row r="1288" spans="1:19" ht="15" customHeight="1" x14ac:dyDescent="0.2">
      <c r="A1288" s="14">
        <f t="shared" si="204"/>
        <v>1249</v>
      </c>
      <c r="B1288" s="21" t="s">
        <v>1170</v>
      </c>
      <c r="C1288" s="15" t="s">
        <v>3</v>
      </c>
      <c r="D1288" s="21" t="s">
        <v>1162</v>
      </c>
      <c r="E1288" s="21"/>
      <c r="F1288" s="70" t="s">
        <v>7</v>
      </c>
      <c r="G1288" s="9">
        <v>25569</v>
      </c>
      <c r="H1288" s="22">
        <v>55622</v>
      </c>
      <c r="I1288" s="17">
        <v>0</v>
      </c>
      <c r="J1288" s="17">
        <f t="shared" si="211"/>
        <v>52840.9</v>
      </c>
      <c r="K1288" s="17">
        <f t="shared" si="200"/>
        <v>2781.0999999999985</v>
      </c>
      <c r="L1288" s="23">
        <f t="shared" si="209"/>
        <v>2781.1000000000004</v>
      </c>
      <c r="M1288" s="23">
        <v>8</v>
      </c>
      <c r="N1288" s="18">
        <f t="shared" si="201"/>
        <v>50.284931506849318</v>
      </c>
      <c r="O1288" s="23">
        <v>26420.45</v>
      </c>
      <c r="P1288" s="18">
        <f t="shared" si="202"/>
        <v>51.284931506849318</v>
      </c>
      <c r="Q1288" s="18">
        <f t="shared" si="208"/>
        <v>-2.2737367544323206E-13</v>
      </c>
      <c r="R1288" s="18">
        <f t="shared" si="203"/>
        <v>26420.45</v>
      </c>
      <c r="S1288" s="18">
        <f t="shared" si="205"/>
        <v>2781.1000000000004</v>
      </c>
    </row>
    <row r="1289" spans="1:19" ht="15" customHeight="1" x14ac:dyDescent="0.2">
      <c r="A1289" s="14">
        <f t="shared" si="204"/>
        <v>1250</v>
      </c>
      <c r="B1289" s="21" t="s">
        <v>1171</v>
      </c>
      <c r="C1289" s="15" t="s">
        <v>3</v>
      </c>
      <c r="D1289" s="21" t="s">
        <v>1162</v>
      </c>
      <c r="E1289" s="21"/>
      <c r="F1289" s="69" t="s">
        <v>4</v>
      </c>
      <c r="G1289" s="9">
        <v>27030</v>
      </c>
      <c r="H1289" s="22">
        <v>44974</v>
      </c>
      <c r="I1289" s="17">
        <v>0</v>
      </c>
      <c r="J1289" s="17">
        <f t="shared" si="211"/>
        <v>42725.3</v>
      </c>
      <c r="K1289" s="17">
        <f t="shared" si="200"/>
        <v>2248.6999999999971</v>
      </c>
      <c r="L1289" s="23">
        <f t="shared" si="209"/>
        <v>2248.7000000000003</v>
      </c>
      <c r="M1289" s="23">
        <v>8</v>
      </c>
      <c r="N1289" s="18">
        <f t="shared" si="201"/>
        <v>46.282191780821918</v>
      </c>
      <c r="O1289" s="23">
        <v>21362.65</v>
      </c>
      <c r="P1289" s="18">
        <f t="shared" si="202"/>
        <v>47.282191780821918</v>
      </c>
      <c r="Q1289" s="18">
        <f t="shared" si="208"/>
        <v>-3.979039320256561E-13</v>
      </c>
      <c r="R1289" s="18">
        <f t="shared" si="203"/>
        <v>21362.65</v>
      </c>
      <c r="S1289" s="18">
        <f t="shared" si="205"/>
        <v>2248.7000000000003</v>
      </c>
    </row>
    <row r="1290" spans="1:19" ht="15" customHeight="1" x14ac:dyDescent="0.2">
      <c r="A1290" s="14">
        <f t="shared" si="204"/>
        <v>1251</v>
      </c>
      <c r="B1290" s="21" t="s">
        <v>1172</v>
      </c>
      <c r="C1290" s="15" t="s">
        <v>3</v>
      </c>
      <c r="D1290" s="21" t="s">
        <v>1162</v>
      </c>
      <c r="E1290" s="21"/>
      <c r="F1290" s="70" t="s">
        <v>7</v>
      </c>
      <c r="G1290" s="9">
        <v>27030</v>
      </c>
      <c r="H1290" s="22">
        <v>140103</v>
      </c>
      <c r="I1290" s="17">
        <v>0</v>
      </c>
      <c r="J1290" s="17">
        <f t="shared" si="211"/>
        <v>133097.85</v>
      </c>
      <c r="K1290" s="17">
        <f t="shared" si="200"/>
        <v>7005.1499999999942</v>
      </c>
      <c r="L1290" s="23">
        <f t="shared" si="209"/>
        <v>7005.1500000000005</v>
      </c>
      <c r="M1290" s="23">
        <v>8</v>
      </c>
      <c r="N1290" s="18">
        <f t="shared" si="201"/>
        <v>46.282191780821918</v>
      </c>
      <c r="O1290" s="23">
        <v>66548.925000000003</v>
      </c>
      <c r="P1290" s="18">
        <f t="shared" si="202"/>
        <v>47.282191780821918</v>
      </c>
      <c r="Q1290" s="18">
        <f t="shared" si="208"/>
        <v>-7.9580786405131221E-13</v>
      </c>
      <c r="R1290" s="18">
        <f t="shared" si="203"/>
        <v>66548.925000000003</v>
      </c>
      <c r="S1290" s="18">
        <f t="shared" si="205"/>
        <v>7005.1500000000005</v>
      </c>
    </row>
    <row r="1291" spans="1:19" ht="15" customHeight="1" x14ac:dyDescent="0.2">
      <c r="A1291" s="14">
        <f t="shared" si="204"/>
        <v>1252</v>
      </c>
      <c r="B1291" s="21" t="s">
        <v>1173</v>
      </c>
      <c r="C1291" s="15" t="s">
        <v>3</v>
      </c>
      <c r="D1291" s="21" t="s">
        <v>1162</v>
      </c>
      <c r="E1291" s="21"/>
      <c r="F1291" s="70" t="s">
        <v>7</v>
      </c>
      <c r="G1291" s="9">
        <v>27395</v>
      </c>
      <c r="H1291" s="26">
        <v>37892</v>
      </c>
      <c r="I1291" s="17">
        <v>0</v>
      </c>
      <c r="J1291" s="17">
        <f t="shared" si="211"/>
        <v>35997.4</v>
      </c>
      <c r="K1291" s="17">
        <f t="shared" si="200"/>
        <v>1894.5999999999985</v>
      </c>
      <c r="L1291" s="23">
        <f t="shared" si="209"/>
        <v>1894.6000000000001</v>
      </c>
      <c r="M1291" s="23">
        <v>8</v>
      </c>
      <c r="N1291" s="18">
        <f t="shared" si="201"/>
        <v>45.282191780821918</v>
      </c>
      <c r="O1291" s="23">
        <v>17998.7</v>
      </c>
      <c r="P1291" s="18">
        <f t="shared" si="202"/>
        <v>46.282191780821918</v>
      </c>
      <c r="Q1291" s="18">
        <f t="shared" si="208"/>
        <v>-1.9895196601282805E-13</v>
      </c>
      <c r="R1291" s="18">
        <f t="shared" si="203"/>
        <v>17998.7</v>
      </c>
      <c r="S1291" s="18">
        <f t="shared" si="205"/>
        <v>1894.6000000000001</v>
      </c>
    </row>
    <row r="1292" spans="1:19" ht="15" customHeight="1" x14ac:dyDescent="0.2">
      <c r="A1292" s="14">
        <f t="shared" si="204"/>
        <v>1253</v>
      </c>
      <c r="B1292" s="21" t="s">
        <v>1174</v>
      </c>
      <c r="C1292" s="15" t="s">
        <v>3</v>
      </c>
      <c r="D1292" s="21" t="s">
        <v>1162</v>
      </c>
      <c r="E1292" s="21"/>
      <c r="F1292" s="70" t="s">
        <v>7</v>
      </c>
      <c r="G1292" s="9">
        <v>27760</v>
      </c>
      <c r="H1292" s="22">
        <v>32289</v>
      </c>
      <c r="I1292" s="17">
        <v>0</v>
      </c>
      <c r="J1292" s="17">
        <f t="shared" si="211"/>
        <v>30674.55</v>
      </c>
      <c r="K1292" s="17">
        <f t="shared" si="200"/>
        <v>1614.4500000000007</v>
      </c>
      <c r="L1292" s="23">
        <f t="shared" si="209"/>
        <v>1614.45</v>
      </c>
      <c r="M1292" s="23">
        <v>8</v>
      </c>
      <c r="N1292" s="18">
        <f t="shared" si="201"/>
        <v>44.282191780821918</v>
      </c>
      <c r="O1292" s="23">
        <v>15337.275</v>
      </c>
      <c r="P1292" s="18">
        <f t="shared" si="202"/>
        <v>45.282191780821918</v>
      </c>
      <c r="Q1292" s="18">
        <f t="shared" si="208"/>
        <v>8.5265128291212022E-14</v>
      </c>
      <c r="R1292" s="18">
        <f t="shared" si="203"/>
        <v>15337.275</v>
      </c>
      <c r="S1292" s="18">
        <f t="shared" si="205"/>
        <v>1614.45</v>
      </c>
    </row>
    <row r="1293" spans="1:19" ht="15" customHeight="1" x14ac:dyDescent="0.2">
      <c r="A1293" s="14">
        <f t="shared" si="204"/>
        <v>1254</v>
      </c>
      <c r="B1293" s="21" t="s">
        <v>1175</v>
      </c>
      <c r="C1293" s="15" t="s">
        <v>3</v>
      </c>
      <c r="D1293" s="21" t="s">
        <v>1162</v>
      </c>
      <c r="E1293" s="21"/>
      <c r="F1293" s="70" t="s">
        <v>7</v>
      </c>
      <c r="G1293" s="9">
        <v>29952</v>
      </c>
      <c r="H1293" s="22">
        <v>249318</v>
      </c>
      <c r="I1293" s="17">
        <v>0</v>
      </c>
      <c r="J1293" s="17">
        <f t="shared" si="211"/>
        <v>236852.1</v>
      </c>
      <c r="K1293" s="17">
        <f t="shared" si="200"/>
        <v>12465.899999999994</v>
      </c>
      <c r="L1293" s="23">
        <f t="shared" si="209"/>
        <v>12465.900000000001</v>
      </c>
      <c r="M1293" s="23">
        <v>8</v>
      </c>
      <c r="N1293" s="18">
        <f t="shared" si="201"/>
        <v>38.276712328767125</v>
      </c>
      <c r="O1293" s="23">
        <f>118426.05-50000</f>
        <v>68426.05</v>
      </c>
      <c r="P1293" s="18">
        <f t="shared" si="202"/>
        <v>39.276712328767125</v>
      </c>
      <c r="Q1293" s="18">
        <f t="shared" si="208"/>
        <v>-9.0949470177292824E-13</v>
      </c>
      <c r="R1293" s="18">
        <f t="shared" si="203"/>
        <v>68426.05</v>
      </c>
      <c r="S1293" s="18">
        <f t="shared" si="205"/>
        <v>12465.900000000001</v>
      </c>
    </row>
    <row r="1294" spans="1:19" ht="15" customHeight="1" x14ac:dyDescent="0.2">
      <c r="A1294" s="14">
        <f t="shared" si="204"/>
        <v>1255</v>
      </c>
      <c r="B1294" s="21" t="s">
        <v>1176</v>
      </c>
      <c r="C1294" s="15" t="s">
        <v>3</v>
      </c>
      <c r="D1294" s="21" t="s">
        <v>1162</v>
      </c>
      <c r="E1294" s="21"/>
      <c r="F1294" s="70" t="s">
        <v>7</v>
      </c>
      <c r="G1294" s="9">
        <v>29952</v>
      </c>
      <c r="H1294" s="22">
        <v>252366</v>
      </c>
      <c r="I1294" s="17">
        <v>0</v>
      </c>
      <c r="J1294" s="17">
        <f t="shared" si="211"/>
        <v>239747.7</v>
      </c>
      <c r="K1294" s="17">
        <f t="shared" si="200"/>
        <v>12618.299999999988</v>
      </c>
      <c r="L1294" s="23">
        <f t="shared" si="209"/>
        <v>12618.300000000001</v>
      </c>
      <c r="M1294" s="23">
        <v>8</v>
      </c>
      <c r="N1294" s="18">
        <f t="shared" si="201"/>
        <v>38.276712328767125</v>
      </c>
      <c r="O1294" s="23">
        <v>119873.85</v>
      </c>
      <c r="P1294" s="18">
        <f t="shared" si="202"/>
        <v>39.276712328767125</v>
      </c>
      <c r="Q1294" s="18">
        <f t="shared" si="208"/>
        <v>-1.5916157281026244E-12</v>
      </c>
      <c r="R1294" s="18">
        <f t="shared" si="203"/>
        <v>119873.85</v>
      </c>
      <c r="S1294" s="18">
        <f t="shared" si="205"/>
        <v>12618.300000000001</v>
      </c>
    </row>
    <row r="1295" spans="1:19" ht="15" customHeight="1" x14ac:dyDescent="0.2">
      <c r="A1295" s="14">
        <f t="shared" si="204"/>
        <v>1256</v>
      </c>
      <c r="B1295" s="21" t="s">
        <v>1177</v>
      </c>
      <c r="C1295" s="15" t="s">
        <v>3</v>
      </c>
      <c r="D1295" s="21" t="s">
        <v>1162</v>
      </c>
      <c r="E1295" s="21"/>
      <c r="F1295" s="69" t="s">
        <v>4</v>
      </c>
      <c r="G1295" s="9">
        <v>30682</v>
      </c>
      <c r="H1295" s="22">
        <v>36</v>
      </c>
      <c r="I1295" s="17">
        <v>0</v>
      </c>
      <c r="J1295" s="17">
        <f t="shared" si="211"/>
        <v>34.200000000000003</v>
      </c>
      <c r="K1295" s="17">
        <f t="shared" si="200"/>
        <v>1.7999999999999972</v>
      </c>
      <c r="L1295" s="23">
        <f t="shared" si="209"/>
        <v>1.8</v>
      </c>
      <c r="M1295" s="23">
        <v>10</v>
      </c>
      <c r="N1295" s="18">
        <f t="shared" si="201"/>
        <v>36.276712328767125</v>
      </c>
      <c r="O1295" s="23">
        <v>17.100000000000001</v>
      </c>
      <c r="P1295" s="18">
        <f t="shared" si="202"/>
        <v>37.276712328767125</v>
      </c>
      <c r="Q1295" s="18">
        <f t="shared" si="208"/>
        <v>-2.8865798640254071E-16</v>
      </c>
      <c r="R1295" s="18">
        <f t="shared" si="203"/>
        <v>17.100000000000001</v>
      </c>
      <c r="S1295" s="18">
        <f t="shared" si="205"/>
        <v>1.8</v>
      </c>
    </row>
    <row r="1296" spans="1:19" ht="15" customHeight="1" x14ac:dyDescent="0.2">
      <c r="A1296" s="14">
        <f t="shared" si="204"/>
        <v>1257</v>
      </c>
      <c r="B1296" s="21" t="s">
        <v>1177</v>
      </c>
      <c r="C1296" s="15" t="s">
        <v>3</v>
      </c>
      <c r="D1296" s="21" t="s">
        <v>1162</v>
      </c>
      <c r="E1296" s="21"/>
      <c r="F1296" s="69" t="s">
        <v>4</v>
      </c>
      <c r="G1296" s="9">
        <v>31413</v>
      </c>
      <c r="H1296" s="22">
        <v>133</v>
      </c>
      <c r="I1296" s="17">
        <v>0</v>
      </c>
      <c r="J1296" s="17">
        <f t="shared" si="211"/>
        <v>126.35</v>
      </c>
      <c r="K1296" s="17">
        <f t="shared" si="200"/>
        <v>6.6500000000000057</v>
      </c>
      <c r="L1296" s="23">
        <f t="shared" si="209"/>
        <v>6.65</v>
      </c>
      <c r="M1296" s="23">
        <v>10</v>
      </c>
      <c r="N1296" s="18">
        <f t="shared" si="201"/>
        <v>34.273972602739725</v>
      </c>
      <c r="O1296" s="23">
        <v>63.174999999999997</v>
      </c>
      <c r="P1296" s="18">
        <f t="shared" si="202"/>
        <v>35.273972602739725</v>
      </c>
      <c r="Q1296" s="18">
        <f t="shared" si="208"/>
        <v>5.3290705182007522E-16</v>
      </c>
      <c r="R1296" s="18">
        <f t="shared" si="203"/>
        <v>63.174999999999997</v>
      </c>
      <c r="S1296" s="18">
        <f t="shared" si="205"/>
        <v>6.65</v>
      </c>
    </row>
    <row r="1297" spans="1:19" ht="15" customHeight="1" x14ac:dyDescent="0.2">
      <c r="A1297" s="14">
        <f t="shared" si="204"/>
        <v>1258</v>
      </c>
      <c r="B1297" s="21" t="s">
        <v>1178</v>
      </c>
      <c r="C1297" s="15" t="s">
        <v>3</v>
      </c>
      <c r="D1297" s="21" t="s">
        <v>1162</v>
      </c>
      <c r="E1297" s="21"/>
      <c r="F1297" s="69" t="s">
        <v>4</v>
      </c>
      <c r="G1297" s="9">
        <v>31778</v>
      </c>
      <c r="H1297" s="22">
        <v>2314</v>
      </c>
      <c r="I1297" s="17">
        <v>0</v>
      </c>
      <c r="J1297" s="17">
        <f t="shared" si="211"/>
        <v>2198.3000000000002</v>
      </c>
      <c r="K1297" s="17">
        <f t="shared" si="200"/>
        <v>115.69999999999982</v>
      </c>
      <c r="L1297" s="23">
        <f t="shared" si="209"/>
        <v>115.7</v>
      </c>
      <c r="M1297" s="23">
        <v>10</v>
      </c>
      <c r="N1297" s="18">
        <f t="shared" si="201"/>
        <v>33.273972602739725</v>
      </c>
      <c r="O1297" s="23">
        <v>1099.1500000000001</v>
      </c>
      <c r="P1297" s="18">
        <f t="shared" si="202"/>
        <v>34.273972602739725</v>
      </c>
      <c r="Q1297" s="18">
        <f t="shared" si="208"/>
        <v>-1.8474111129762605E-14</v>
      </c>
      <c r="R1297" s="18">
        <f t="shared" si="203"/>
        <v>1099.1500000000001</v>
      </c>
      <c r="S1297" s="18">
        <f t="shared" si="205"/>
        <v>115.7</v>
      </c>
    </row>
    <row r="1298" spans="1:19" ht="15" customHeight="1" x14ac:dyDescent="0.2">
      <c r="A1298" s="14">
        <f t="shared" si="204"/>
        <v>1259</v>
      </c>
      <c r="B1298" s="21" t="s">
        <v>1179</v>
      </c>
      <c r="C1298" s="15" t="s">
        <v>3</v>
      </c>
      <c r="D1298" s="21" t="s">
        <v>1162</v>
      </c>
      <c r="E1298" s="21"/>
      <c r="F1298" s="69" t="s">
        <v>4</v>
      </c>
      <c r="G1298" s="9">
        <v>32143</v>
      </c>
      <c r="H1298" s="22">
        <v>770</v>
      </c>
      <c r="I1298" s="17">
        <v>0</v>
      </c>
      <c r="J1298" s="17">
        <f t="shared" si="211"/>
        <v>731.5</v>
      </c>
      <c r="K1298" s="17">
        <f t="shared" si="200"/>
        <v>38.5</v>
      </c>
      <c r="L1298" s="23">
        <f t="shared" si="209"/>
        <v>38.5</v>
      </c>
      <c r="M1298" s="23">
        <v>10</v>
      </c>
      <c r="N1298" s="18">
        <f t="shared" si="201"/>
        <v>32.273972602739725</v>
      </c>
      <c r="O1298" s="23">
        <v>365.75</v>
      </c>
      <c r="P1298" s="18">
        <f t="shared" si="202"/>
        <v>33.273972602739725</v>
      </c>
      <c r="Q1298" s="18">
        <f t="shared" si="208"/>
        <v>0</v>
      </c>
      <c r="R1298" s="18">
        <f t="shared" si="203"/>
        <v>365.75</v>
      </c>
      <c r="S1298" s="18">
        <f t="shared" si="205"/>
        <v>38.5</v>
      </c>
    </row>
    <row r="1299" spans="1:19" ht="15" customHeight="1" x14ac:dyDescent="0.2">
      <c r="A1299" s="14">
        <f t="shared" si="204"/>
        <v>1260</v>
      </c>
      <c r="B1299" s="21" t="s">
        <v>1180</v>
      </c>
      <c r="C1299" s="15" t="s">
        <v>3</v>
      </c>
      <c r="D1299" s="21" t="s">
        <v>1162</v>
      </c>
      <c r="E1299" s="21"/>
      <c r="F1299" s="70" t="s">
        <v>7</v>
      </c>
      <c r="G1299" s="9">
        <v>32143</v>
      </c>
      <c r="H1299" s="22">
        <v>314748</v>
      </c>
      <c r="I1299" s="17">
        <v>0</v>
      </c>
      <c r="J1299" s="17">
        <f t="shared" si="211"/>
        <v>299010.59999999998</v>
      </c>
      <c r="K1299" s="17">
        <f t="shared" si="200"/>
        <v>15737.400000000023</v>
      </c>
      <c r="L1299" s="23">
        <f t="shared" si="209"/>
        <v>15737.400000000001</v>
      </c>
      <c r="M1299" s="23">
        <v>8</v>
      </c>
      <c r="N1299" s="18">
        <f t="shared" si="201"/>
        <v>32.273972602739725</v>
      </c>
      <c r="O1299" s="23">
        <v>149505.29999999999</v>
      </c>
      <c r="P1299" s="18">
        <f t="shared" si="202"/>
        <v>33.273972602739725</v>
      </c>
      <c r="Q1299" s="18">
        <f t="shared" si="208"/>
        <v>2.7284841053187847E-12</v>
      </c>
      <c r="R1299" s="18">
        <f t="shared" si="203"/>
        <v>149505.29999999999</v>
      </c>
      <c r="S1299" s="18">
        <f t="shared" si="205"/>
        <v>15737.400000000001</v>
      </c>
    </row>
    <row r="1300" spans="1:19" ht="15" customHeight="1" x14ac:dyDescent="0.2">
      <c r="A1300" s="14">
        <f t="shared" si="204"/>
        <v>1261</v>
      </c>
      <c r="B1300" s="21" t="s">
        <v>2624</v>
      </c>
      <c r="C1300" s="15" t="s">
        <v>3</v>
      </c>
      <c r="D1300" s="21" t="s">
        <v>1162</v>
      </c>
      <c r="E1300" s="21"/>
      <c r="F1300" s="70" t="s">
        <v>4</v>
      </c>
      <c r="G1300" s="9">
        <v>41244</v>
      </c>
      <c r="H1300" s="22">
        <v>1560000</v>
      </c>
      <c r="I1300" s="17"/>
      <c r="J1300" s="17">
        <v>1560000</v>
      </c>
      <c r="K1300" s="17">
        <f t="shared" si="200"/>
        <v>0</v>
      </c>
      <c r="L1300" s="23">
        <f t="shared" si="209"/>
        <v>78000</v>
      </c>
      <c r="M1300" s="23"/>
      <c r="N1300" s="18"/>
      <c r="O1300" s="23">
        <v>1422111</v>
      </c>
      <c r="P1300" s="18"/>
      <c r="Q1300" s="18">
        <v>0</v>
      </c>
      <c r="R1300" s="18">
        <v>0</v>
      </c>
      <c r="S1300" s="18">
        <v>0</v>
      </c>
    </row>
    <row r="1301" spans="1:19" ht="15" customHeight="1" x14ac:dyDescent="0.2">
      <c r="A1301" s="14">
        <f t="shared" si="204"/>
        <v>1262</v>
      </c>
      <c r="B1301" s="21" t="s">
        <v>1181</v>
      </c>
      <c r="C1301" s="15" t="s">
        <v>3</v>
      </c>
      <c r="D1301" s="21" t="s">
        <v>1162</v>
      </c>
      <c r="E1301" s="21"/>
      <c r="F1301" s="69" t="s">
        <v>4</v>
      </c>
      <c r="G1301" s="9">
        <v>34031</v>
      </c>
      <c r="H1301" s="26">
        <v>30546</v>
      </c>
      <c r="I1301" s="17">
        <v>0</v>
      </c>
      <c r="J1301" s="17">
        <f t="shared" si="211"/>
        <v>29018.7</v>
      </c>
      <c r="K1301" s="17">
        <f t="shared" si="200"/>
        <v>1527.2999999999993</v>
      </c>
      <c r="L1301" s="23">
        <f t="shared" si="209"/>
        <v>1527.3000000000002</v>
      </c>
      <c r="M1301" s="23">
        <v>10</v>
      </c>
      <c r="N1301" s="18">
        <f t="shared" si="201"/>
        <v>27.101369863013698</v>
      </c>
      <c r="O1301" s="23">
        <v>14509.35</v>
      </c>
      <c r="P1301" s="18">
        <f t="shared" si="202"/>
        <v>28.101369863013698</v>
      </c>
      <c r="Q1301" s="18">
        <f t="shared" si="208"/>
        <v>-9.0949470177292829E-14</v>
      </c>
      <c r="R1301" s="18">
        <f t="shared" si="203"/>
        <v>14509.35</v>
      </c>
      <c r="S1301" s="18">
        <f t="shared" si="205"/>
        <v>1527.3000000000002</v>
      </c>
    </row>
    <row r="1302" spans="1:19" ht="15" customHeight="1" x14ac:dyDescent="0.2">
      <c r="A1302" s="14">
        <f t="shared" si="204"/>
        <v>1263</v>
      </c>
      <c r="B1302" s="21" t="s">
        <v>1182</v>
      </c>
      <c r="C1302" s="15" t="s">
        <v>3</v>
      </c>
      <c r="D1302" s="21" t="s">
        <v>1162</v>
      </c>
      <c r="E1302" s="21"/>
      <c r="F1302" s="69" t="s">
        <v>4</v>
      </c>
      <c r="G1302" s="9">
        <v>34320</v>
      </c>
      <c r="H1302" s="22">
        <v>274265</v>
      </c>
      <c r="I1302" s="17">
        <v>0</v>
      </c>
      <c r="J1302" s="17">
        <f t="shared" si="211"/>
        <v>260551.75</v>
      </c>
      <c r="K1302" s="17">
        <f t="shared" si="200"/>
        <v>13713.25</v>
      </c>
      <c r="L1302" s="23">
        <f t="shared" si="209"/>
        <v>13713.25</v>
      </c>
      <c r="M1302" s="23">
        <v>8</v>
      </c>
      <c r="N1302" s="18">
        <f t="shared" si="201"/>
        <v>26.30958904109589</v>
      </c>
      <c r="O1302" s="23">
        <v>130275.875</v>
      </c>
      <c r="P1302" s="18">
        <f t="shared" si="202"/>
        <v>27.30958904109589</v>
      </c>
      <c r="Q1302" s="18">
        <f t="shared" si="208"/>
        <v>0</v>
      </c>
      <c r="R1302" s="18">
        <f t="shared" si="203"/>
        <v>130275.875</v>
      </c>
      <c r="S1302" s="18">
        <f t="shared" si="205"/>
        <v>13713.25</v>
      </c>
    </row>
    <row r="1303" spans="1:19" ht="15" customHeight="1" x14ac:dyDescent="0.2">
      <c r="A1303" s="14">
        <f t="shared" si="204"/>
        <v>1264</v>
      </c>
      <c r="B1303" s="21" t="s">
        <v>1183</v>
      </c>
      <c r="C1303" s="15" t="s">
        <v>3</v>
      </c>
      <c r="D1303" s="21" t="s">
        <v>1162</v>
      </c>
      <c r="E1303" s="21"/>
      <c r="F1303" s="69" t="s">
        <v>4</v>
      </c>
      <c r="G1303" s="9">
        <v>34657</v>
      </c>
      <c r="H1303" s="29">
        <v>36559</v>
      </c>
      <c r="I1303" s="17">
        <v>0</v>
      </c>
      <c r="J1303" s="17">
        <f t="shared" si="211"/>
        <v>34731.050000000003</v>
      </c>
      <c r="K1303" s="17">
        <f t="shared" si="200"/>
        <v>1827.9499999999971</v>
      </c>
      <c r="L1303" s="23">
        <f t="shared" si="209"/>
        <v>1827.95</v>
      </c>
      <c r="M1303" s="23">
        <v>10</v>
      </c>
      <c r="N1303" s="18">
        <f t="shared" si="201"/>
        <v>25.386301369863013</v>
      </c>
      <c r="O1303" s="23">
        <v>17365.525000000001</v>
      </c>
      <c r="P1303" s="18">
        <f t="shared" si="202"/>
        <v>26.386301369863013</v>
      </c>
      <c r="Q1303" s="18">
        <f t="shared" si="208"/>
        <v>-2.9558577807620169E-13</v>
      </c>
      <c r="R1303" s="18">
        <f t="shared" si="203"/>
        <v>17365.525000000001</v>
      </c>
      <c r="S1303" s="18">
        <f t="shared" si="205"/>
        <v>1827.95</v>
      </c>
    </row>
    <row r="1304" spans="1:19" ht="15" customHeight="1" x14ac:dyDescent="0.2">
      <c r="A1304" s="14">
        <f t="shared" si="204"/>
        <v>1265</v>
      </c>
      <c r="B1304" s="21" t="s">
        <v>1184</v>
      </c>
      <c r="C1304" s="15" t="s">
        <v>3</v>
      </c>
      <c r="D1304" s="21" t="s">
        <v>1162</v>
      </c>
      <c r="E1304" s="21"/>
      <c r="F1304" s="69" t="s">
        <v>4</v>
      </c>
      <c r="G1304" s="9">
        <v>35209</v>
      </c>
      <c r="H1304" s="22">
        <v>571769</v>
      </c>
      <c r="I1304" s="17">
        <v>0</v>
      </c>
      <c r="J1304" s="17">
        <f t="shared" si="211"/>
        <v>543180.55000000005</v>
      </c>
      <c r="K1304" s="17">
        <f t="shared" si="200"/>
        <v>28588.449999999953</v>
      </c>
      <c r="L1304" s="23">
        <f t="shared" si="209"/>
        <v>28588.45</v>
      </c>
      <c r="M1304" s="23">
        <v>8</v>
      </c>
      <c r="N1304" s="18">
        <f t="shared" si="201"/>
        <v>23.873972602739727</v>
      </c>
      <c r="O1304" s="23">
        <v>271590.27500000002</v>
      </c>
      <c r="P1304" s="18">
        <f t="shared" si="202"/>
        <v>24.873972602739727</v>
      </c>
      <c r="Q1304" s="18">
        <f t="shared" si="208"/>
        <v>-5.9117155615240335E-12</v>
      </c>
      <c r="R1304" s="18">
        <f t="shared" si="203"/>
        <v>271590.27500000002</v>
      </c>
      <c r="S1304" s="18">
        <f t="shared" si="205"/>
        <v>28588.45</v>
      </c>
    </row>
    <row r="1305" spans="1:19" ht="15" customHeight="1" x14ac:dyDescent="0.2">
      <c r="A1305" s="14">
        <f t="shared" si="204"/>
        <v>1266</v>
      </c>
      <c r="B1305" s="21" t="s">
        <v>1185</v>
      </c>
      <c r="C1305" s="15" t="s">
        <v>3</v>
      </c>
      <c r="D1305" s="21" t="s">
        <v>1162</v>
      </c>
      <c r="E1305" s="21"/>
      <c r="F1305" s="69" t="s">
        <v>4</v>
      </c>
      <c r="G1305" s="9">
        <v>35217</v>
      </c>
      <c r="H1305" s="22">
        <v>509352</v>
      </c>
      <c r="I1305" s="17">
        <v>0</v>
      </c>
      <c r="J1305" s="17">
        <f t="shared" si="211"/>
        <v>483884.4</v>
      </c>
      <c r="K1305" s="17">
        <f t="shared" si="200"/>
        <v>25467.599999999977</v>
      </c>
      <c r="L1305" s="23">
        <f t="shared" si="209"/>
        <v>25467.600000000002</v>
      </c>
      <c r="M1305" s="23">
        <v>8</v>
      </c>
      <c r="N1305" s="18">
        <f t="shared" si="201"/>
        <v>23.852054794520548</v>
      </c>
      <c r="O1305" s="23">
        <v>241942.2</v>
      </c>
      <c r="P1305" s="18">
        <f t="shared" si="202"/>
        <v>24.852054794520548</v>
      </c>
      <c r="Q1305" s="18">
        <f t="shared" si="208"/>
        <v>-3.1832314562052488E-12</v>
      </c>
      <c r="R1305" s="18">
        <f t="shared" si="203"/>
        <v>241942.2</v>
      </c>
      <c r="S1305" s="18">
        <f t="shared" si="205"/>
        <v>25467.600000000002</v>
      </c>
    </row>
    <row r="1306" spans="1:19" ht="15" customHeight="1" x14ac:dyDescent="0.2">
      <c r="A1306" s="14">
        <f t="shared" si="204"/>
        <v>1267</v>
      </c>
      <c r="B1306" s="21" t="s">
        <v>1186</v>
      </c>
      <c r="C1306" s="15" t="s">
        <v>3</v>
      </c>
      <c r="D1306" s="21" t="s">
        <v>1162</v>
      </c>
      <c r="E1306" s="21"/>
      <c r="F1306" s="69" t="s">
        <v>4</v>
      </c>
      <c r="G1306" s="9">
        <v>35443</v>
      </c>
      <c r="H1306" s="22">
        <v>41115</v>
      </c>
      <c r="I1306" s="17">
        <v>0</v>
      </c>
      <c r="J1306" s="17">
        <f t="shared" si="211"/>
        <v>39059.25</v>
      </c>
      <c r="K1306" s="17">
        <f t="shared" si="200"/>
        <v>2055.75</v>
      </c>
      <c r="L1306" s="23">
        <f t="shared" si="209"/>
        <v>2055.75</v>
      </c>
      <c r="M1306" s="23">
        <v>10</v>
      </c>
      <c r="N1306" s="18">
        <f t="shared" si="201"/>
        <v>23.232876712328768</v>
      </c>
      <c r="O1306" s="23">
        <v>19529.625</v>
      </c>
      <c r="P1306" s="18">
        <f t="shared" si="202"/>
        <v>24.232876712328768</v>
      </c>
      <c r="Q1306" s="18">
        <f t="shared" si="208"/>
        <v>0</v>
      </c>
      <c r="R1306" s="18">
        <f t="shared" si="203"/>
        <v>19529.625</v>
      </c>
      <c r="S1306" s="18">
        <f t="shared" si="205"/>
        <v>2055.75</v>
      </c>
    </row>
    <row r="1307" spans="1:19" ht="15" customHeight="1" x14ac:dyDescent="0.2">
      <c r="A1307" s="14">
        <f t="shared" si="204"/>
        <v>1268</v>
      </c>
      <c r="B1307" s="21" t="s">
        <v>1187</v>
      </c>
      <c r="C1307" s="15" t="s">
        <v>3</v>
      </c>
      <c r="D1307" s="21" t="s">
        <v>1162</v>
      </c>
      <c r="E1307" s="21"/>
      <c r="F1307" s="69" t="s">
        <v>4</v>
      </c>
      <c r="G1307" s="9">
        <v>35770</v>
      </c>
      <c r="H1307" s="26">
        <v>275952</v>
      </c>
      <c r="I1307" s="17">
        <v>0</v>
      </c>
      <c r="J1307" s="17">
        <f t="shared" si="211"/>
        <v>262154.40000000002</v>
      </c>
      <c r="K1307" s="17">
        <f t="shared" si="200"/>
        <v>13797.599999999977</v>
      </c>
      <c r="L1307" s="23">
        <f t="shared" si="209"/>
        <v>13797.6</v>
      </c>
      <c r="M1307" s="23">
        <v>8</v>
      </c>
      <c r="N1307" s="18">
        <f t="shared" si="201"/>
        <v>22.336986301369862</v>
      </c>
      <c r="O1307" s="23">
        <v>131077.20000000001</v>
      </c>
      <c r="P1307" s="18">
        <f t="shared" si="202"/>
        <v>23.336986301369862</v>
      </c>
      <c r="Q1307" s="18">
        <f t="shared" si="208"/>
        <v>-2.9558577807620168E-12</v>
      </c>
      <c r="R1307" s="18">
        <f t="shared" si="203"/>
        <v>131077.20000000001</v>
      </c>
      <c r="S1307" s="18">
        <f t="shared" si="205"/>
        <v>13797.6</v>
      </c>
    </row>
    <row r="1308" spans="1:19" ht="15" customHeight="1" x14ac:dyDescent="0.2">
      <c r="A1308" s="14">
        <f t="shared" si="204"/>
        <v>1269</v>
      </c>
      <c r="B1308" s="21" t="s">
        <v>1188</v>
      </c>
      <c r="C1308" s="15" t="s">
        <v>3</v>
      </c>
      <c r="D1308" s="21" t="s">
        <v>1162</v>
      </c>
      <c r="E1308" s="21"/>
      <c r="F1308" s="69" t="s">
        <v>4</v>
      </c>
      <c r="G1308" s="9">
        <v>35976</v>
      </c>
      <c r="H1308" s="26">
        <v>7167.79</v>
      </c>
      <c r="I1308" s="17">
        <v>0</v>
      </c>
      <c r="J1308" s="17">
        <f t="shared" si="211"/>
        <v>6809.4004999999997</v>
      </c>
      <c r="K1308" s="17">
        <f t="shared" si="200"/>
        <v>358.38950000000023</v>
      </c>
      <c r="L1308" s="23">
        <f t="shared" si="209"/>
        <v>358.3895</v>
      </c>
      <c r="M1308" s="23">
        <v>10</v>
      </c>
      <c r="N1308" s="18">
        <f t="shared" si="201"/>
        <v>21.772602739726029</v>
      </c>
      <c r="O1308" s="23">
        <v>3404.7002499999999</v>
      </c>
      <c r="P1308" s="18">
        <f t="shared" si="202"/>
        <v>22.772602739726029</v>
      </c>
      <c r="Q1308" s="18">
        <f t="shared" si="208"/>
        <v>2.2737367544323207E-14</v>
      </c>
      <c r="R1308" s="18">
        <f t="shared" si="203"/>
        <v>3404.7002499999999</v>
      </c>
      <c r="S1308" s="18">
        <f t="shared" si="205"/>
        <v>358.3895</v>
      </c>
    </row>
    <row r="1309" spans="1:19" ht="15" customHeight="1" x14ac:dyDescent="0.2">
      <c r="A1309" s="14">
        <f t="shared" si="204"/>
        <v>1270</v>
      </c>
      <c r="B1309" s="21" t="s">
        <v>1189</v>
      </c>
      <c r="C1309" s="15" t="s">
        <v>3</v>
      </c>
      <c r="D1309" s="21" t="s">
        <v>1162</v>
      </c>
      <c r="E1309" s="21"/>
      <c r="F1309" s="69" t="s">
        <v>4</v>
      </c>
      <c r="G1309" s="9">
        <v>36616</v>
      </c>
      <c r="H1309" s="22">
        <v>2265</v>
      </c>
      <c r="I1309" s="17">
        <v>0</v>
      </c>
      <c r="J1309" s="17">
        <f t="shared" si="211"/>
        <v>2151.75</v>
      </c>
      <c r="K1309" s="17">
        <f t="shared" si="200"/>
        <v>113.25</v>
      </c>
      <c r="L1309" s="23">
        <f t="shared" si="209"/>
        <v>113.25</v>
      </c>
      <c r="M1309" s="23">
        <v>10</v>
      </c>
      <c r="N1309" s="18">
        <f t="shared" si="201"/>
        <v>20.019178082191782</v>
      </c>
      <c r="O1309" s="23">
        <v>1075.875</v>
      </c>
      <c r="P1309" s="18">
        <f t="shared" si="202"/>
        <v>21.019178082191782</v>
      </c>
      <c r="Q1309" s="18">
        <f t="shared" si="208"/>
        <v>0</v>
      </c>
      <c r="R1309" s="18">
        <f t="shared" si="203"/>
        <v>1075.875</v>
      </c>
      <c r="S1309" s="18">
        <f t="shared" si="205"/>
        <v>113.25</v>
      </c>
    </row>
    <row r="1310" spans="1:19" ht="15" customHeight="1" x14ac:dyDescent="0.2">
      <c r="A1310" s="14">
        <f t="shared" si="204"/>
        <v>1271</v>
      </c>
      <c r="B1310" s="21" t="s">
        <v>1161</v>
      </c>
      <c r="C1310" s="15" t="s">
        <v>3</v>
      </c>
      <c r="D1310" s="21" t="s">
        <v>1162</v>
      </c>
      <c r="E1310" s="21"/>
      <c r="F1310" s="69" t="s">
        <v>4</v>
      </c>
      <c r="G1310" s="9">
        <v>36707</v>
      </c>
      <c r="H1310" s="26">
        <v>2933</v>
      </c>
      <c r="I1310" s="17">
        <v>0</v>
      </c>
      <c r="J1310" s="17">
        <f t="shared" si="211"/>
        <v>2786.35</v>
      </c>
      <c r="K1310" s="17">
        <f t="shared" si="200"/>
        <v>146.65000000000009</v>
      </c>
      <c r="L1310" s="23">
        <f t="shared" si="209"/>
        <v>146.65</v>
      </c>
      <c r="M1310" s="23">
        <v>10</v>
      </c>
      <c r="N1310" s="18">
        <f t="shared" si="201"/>
        <v>19.769863013698629</v>
      </c>
      <c r="O1310" s="23">
        <v>1393.175</v>
      </c>
      <c r="P1310" s="18">
        <f t="shared" si="202"/>
        <v>20.769863013698629</v>
      </c>
      <c r="Q1310" s="18">
        <f t="shared" si="208"/>
        <v>8.5265128291212035E-15</v>
      </c>
      <c r="R1310" s="18">
        <f t="shared" si="203"/>
        <v>1393.175</v>
      </c>
      <c r="S1310" s="18">
        <f t="shared" si="205"/>
        <v>146.65</v>
      </c>
    </row>
    <row r="1311" spans="1:19" ht="15" customHeight="1" x14ac:dyDescent="0.2">
      <c r="A1311" s="14">
        <f t="shared" si="204"/>
        <v>1272</v>
      </c>
      <c r="B1311" s="21" t="s">
        <v>1190</v>
      </c>
      <c r="C1311" s="15" t="s">
        <v>3</v>
      </c>
      <c r="D1311" s="21" t="s">
        <v>1162</v>
      </c>
      <c r="E1311" s="21"/>
      <c r="F1311" s="69" t="s">
        <v>4</v>
      </c>
      <c r="G1311" s="9">
        <v>37257</v>
      </c>
      <c r="H1311" s="22">
        <v>2917</v>
      </c>
      <c r="I1311" s="17">
        <v>0</v>
      </c>
      <c r="J1311" s="17">
        <f t="shared" si="211"/>
        <v>2771.15</v>
      </c>
      <c r="K1311" s="17">
        <f t="shared" si="200"/>
        <v>145.84999999999991</v>
      </c>
      <c r="L1311" s="23">
        <f t="shared" si="209"/>
        <v>145.85</v>
      </c>
      <c r="M1311" s="23">
        <v>10</v>
      </c>
      <c r="N1311" s="18">
        <f t="shared" si="201"/>
        <v>18.263013698630136</v>
      </c>
      <c r="O1311" s="23">
        <v>1385.575</v>
      </c>
      <c r="P1311" s="18">
        <f t="shared" si="202"/>
        <v>19.263013698630136</v>
      </c>
      <c r="Q1311" s="18">
        <f t="shared" si="208"/>
        <v>-8.5265128291212035E-15</v>
      </c>
      <c r="R1311" s="18">
        <f t="shared" si="203"/>
        <v>1385.575</v>
      </c>
      <c r="S1311" s="18">
        <f t="shared" si="205"/>
        <v>145.85</v>
      </c>
    </row>
    <row r="1312" spans="1:19" ht="15" customHeight="1" x14ac:dyDescent="0.2">
      <c r="A1312" s="14">
        <f t="shared" si="204"/>
        <v>1273</v>
      </c>
      <c r="B1312" s="21" t="s">
        <v>1191</v>
      </c>
      <c r="C1312" s="15" t="s">
        <v>3</v>
      </c>
      <c r="D1312" s="21" t="s">
        <v>1162</v>
      </c>
      <c r="E1312" s="21"/>
      <c r="F1312" s="69" t="s">
        <v>4</v>
      </c>
      <c r="G1312" s="9">
        <v>38385</v>
      </c>
      <c r="H1312" s="22">
        <v>35964.519999999997</v>
      </c>
      <c r="I1312" s="17">
        <v>0</v>
      </c>
      <c r="J1312" s="17">
        <f t="shared" si="211"/>
        <v>34166.293999999994</v>
      </c>
      <c r="K1312" s="17">
        <f t="shared" si="200"/>
        <v>1798.2260000000024</v>
      </c>
      <c r="L1312" s="23">
        <f t="shared" si="209"/>
        <v>1798.2259999999999</v>
      </c>
      <c r="M1312" s="23">
        <v>10</v>
      </c>
      <c r="N1312" s="18">
        <f t="shared" si="201"/>
        <v>15.172602739726027</v>
      </c>
      <c r="O1312" s="23">
        <v>17083.146999999997</v>
      </c>
      <c r="P1312" s="18">
        <f t="shared" si="202"/>
        <v>16.172602739726027</v>
      </c>
      <c r="Q1312" s="18">
        <f t="shared" si="208"/>
        <v>2.5011104298755529E-13</v>
      </c>
      <c r="R1312" s="18">
        <f t="shared" si="203"/>
        <v>17083.146999999997</v>
      </c>
      <c r="S1312" s="18">
        <f t="shared" si="205"/>
        <v>1798.2259999999999</v>
      </c>
    </row>
    <row r="1313" spans="1:19" ht="15" customHeight="1" x14ac:dyDescent="0.2">
      <c r="A1313" s="14">
        <f t="shared" si="204"/>
        <v>1274</v>
      </c>
      <c r="B1313" s="35" t="s">
        <v>1192</v>
      </c>
      <c r="C1313" s="15" t="s">
        <v>3</v>
      </c>
      <c r="D1313" s="21" t="s">
        <v>1162</v>
      </c>
      <c r="E1313" s="21"/>
      <c r="F1313" s="69" t="s">
        <v>4</v>
      </c>
      <c r="G1313" s="36">
        <v>38595</v>
      </c>
      <c r="H1313" s="37">
        <v>501820</v>
      </c>
      <c r="I1313" s="17">
        <v>0</v>
      </c>
      <c r="J1313" s="17">
        <f t="shared" si="211"/>
        <v>476729</v>
      </c>
      <c r="K1313" s="17">
        <f t="shared" si="200"/>
        <v>25091</v>
      </c>
      <c r="L1313" s="23">
        <f t="shared" si="209"/>
        <v>25091</v>
      </c>
      <c r="M1313" s="38">
        <v>8</v>
      </c>
      <c r="N1313" s="18">
        <f t="shared" si="201"/>
        <v>14.597260273972603</v>
      </c>
      <c r="O1313" s="23">
        <f>238364.5-1.73</f>
        <v>238362.77</v>
      </c>
      <c r="P1313" s="18">
        <f t="shared" si="202"/>
        <v>15.597260273972603</v>
      </c>
      <c r="Q1313" s="18">
        <f t="shared" si="208"/>
        <v>0</v>
      </c>
      <c r="R1313" s="18">
        <f t="shared" si="203"/>
        <v>238362.77</v>
      </c>
      <c r="S1313" s="18">
        <f t="shared" si="205"/>
        <v>25091</v>
      </c>
    </row>
    <row r="1314" spans="1:19" ht="15" customHeight="1" x14ac:dyDescent="0.2">
      <c r="A1314" s="14">
        <f t="shared" si="204"/>
        <v>1275</v>
      </c>
      <c r="B1314" s="21" t="s">
        <v>1193</v>
      </c>
      <c r="C1314" s="15" t="s">
        <v>3</v>
      </c>
      <c r="D1314" s="21" t="s">
        <v>1162</v>
      </c>
      <c r="E1314" s="21"/>
      <c r="F1314" s="69" t="s">
        <v>4</v>
      </c>
      <c r="G1314" s="9">
        <v>38970</v>
      </c>
      <c r="H1314" s="29">
        <f>1137180</f>
        <v>1137180</v>
      </c>
      <c r="I1314" s="17">
        <v>0</v>
      </c>
      <c r="J1314" s="17">
        <f t="shared" si="211"/>
        <v>1080321</v>
      </c>
      <c r="K1314" s="17">
        <f t="shared" si="200"/>
        <v>56859</v>
      </c>
      <c r="L1314" s="23">
        <f t="shared" si="209"/>
        <v>56859</v>
      </c>
      <c r="M1314" s="23">
        <v>8</v>
      </c>
      <c r="N1314" s="18">
        <f t="shared" si="201"/>
        <v>13.56986301369863</v>
      </c>
      <c r="O1314" s="23">
        <v>540160.5</v>
      </c>
      <c r="P1314" s="18">
        <f t="shared" si="202"/>
        <v>14.56986301369863</v>
      </c>
      <c r="Q1314" s="18">
        <f t="shared" si="208"/>
        <v>0</v>
      </c>
      <c r="R1314" s="18">
        <f t="shared" si="203"/>
        <v>540160.5</v>
      </c>
      <c r="S1314" s="18">
        <f t="shared" si="205"/>
        <v>56859</v>
      </c>
    </row>
    <row r="1315" spans="1:19" ht="15" customHeight="1" x14ac:dyDescent="0.2">
      <c r="A1315" s="14">
        <f t="shared" si="204"/>
        <v>1276</v>
      </c>
      <c r="B1315" s="21" t="s">
        <v>1185</v>
      </c>
      <c r="C1315" s="15" t="s">
        <v>3</v>
      </c>
      <c r="D1315" s="21" t="s">
        <v>1162</v>
      </c>
      <c r="E1315" s="21"/>
      <c r="F1315" s="69" t="s">
        <v>4</v>
      </c>
      <c r="G1315" s="9">
        <v>42774</v>
      </c>
      <c r="H1315" s="22">
        <f>1865630-556971</f>
        <v>1308659</v>
      </c>
      <c r="I1315" s="17">
        <v>0</v>
      </c>
      <c r="J1315" s="17"/>
      <c r="K1315" s="17">
        <f t="shared" si="200"/>
        <v>1308659</v>
      </c>
      <c r="L1315" s="23">
        <f t="shared" si="207"/>
        <v>65432.950000000004</v>
      </c>
      <c r="M1315" s="23">
        <v>8</v>
      </c>
      <c r="N1315" s="18">
        <f t="shared" si="201"/>
        <v>3.1479452054794521</v>
      </c>
      <c r="O1315" s="23">
        <f>H1315-K1315</f>
        <v>0</v>
      </c>
      <c r="P1315" s="18">
        <f t="shared" si="202"/>
        <v>4.1479452054794521</v>
      </c>
      <c r="Q1315" s="18">
        <f>(P1315-N1315)/M1315*(K1315-L1315)+200000</f>
        <v>355403.25624999998</v>
      </c>
      <c r="R1315" s="18">
        <f t="shared" si="203"/>
        <v>355403.25624999998</v>
      </c>
      <c r="S1315" s="18">
        <f>+IF(N1315&gt;P1315,0,L1315)+1000000</f>
        <v>1065432.95</v>
      </c>
    </row>
    <row r="1316" spans="1:19" ht="15" customHeight="1" x14ac:dyDescent="0.2">
      <c r="A1316" s="14">
        <f t="shared" si="204"/>
        <v>1277</v>
      </c>
      <c r="B1316" s="21" t="s">
        <v>1194</v>
      </c>
      <c r="C1316" s="15" t="s">
        <v>3</v>
      </c>
      <c r="D1316" s="21" t="s">
        <v>1162</v>
      </c>
      <c r="E1316" s="21"/>
      <c r="F1316" s="69" t="s">
        <v>4</v>
      </c>
      <c r="G1316" s="9">
        <v>42795</v>
      </c>
      <c r="H1316" s="22">
        <v>932963</v>
      </c>
      <c r="I1316" s="17">
        <v>0</v>
      </c>
      <c r="J1316" s="17">
        <v>0</v>
      </c>
      <c r="K1316" s="17">
        <f t="shared" si="200"/>
        <v>932963</v>
      </c>
      <c r="L1316" s="23">
        <f t="shared" si="207"/>
        <v>46648.15</v>
      </c>
      <c r="M1316" s="23">
        <v>8</v>
      </c>
      <c r="N1316" s="18">
        <f t="shared" si="201"/>
        <v>3.0904109589041098</v>
      </c>
      <c r="O1316" s="23">
        <f>H1316-K1316</f>
        <v>0</v>
      </c>
      <c r="P1316" s="18">
        <f t="shared" si="202"/>
        <v>4.0904109589041093</v>
      </c>
      <c r="Q1316" s="18">
        <f>(P1316-N1316)/M1316*(K1316-L1316)+50000</f>
        <v>160789.35624999995</v>
      </c>
      <c r="R1316" s="18">
        <f t="shared" si="203"/>
        <v>160789.35624999995</v>
      </c>
      <c r="S1316" s="18">
        <f>+IF(N1316&gt;P1316,0,L1316)+500000</f>
        <v>546648.15</v>
      </c>
    </row>
    <row r="1317" spans="1:19" ht="15" customHeight="1" x14ac:dyDescent="0.2">
      <c r="A1317" s="14">
        <f t="shared" si="204"/>
        <v>1278</v>
      </c>
      <c r="B1317" s="28" t="s">
        <v>1195</v>
      </c>
      <c r="C1317" s="15" t="s">
        <v>3</v>
      </c>
      <c r="D1317" s="21" t="s">
        <v>1162</v>
      </c>
      <c r="E1317" s="21"/>
      <c r="F1317" s="69" t="s">
        <v>4</v>
      </c>
      <c r="G1317" s="25">
        <v>43699</v>
      </c>
      <c r="H1317" s="26">
        <v>1893749.12</v>
      </c>
      <c r="I1317" s="17">
        <v>0</v>
      </c>
      <c r="J1317" s="17">
        <v>0</v>
      </c>
      <c r="K1317" s="17">
        <f t="shared" si="200"/>
        <v>1893749.12</v>
      </c>
      <c r="L1317" s="23">
        <f t="shared" si="207"/>
        <v>94687.456000000006</v>
      </c>
      <c r="M1317" s="23">
        <v>8</v>
      </c>
      <c r="N1317" s="18">
        <f t="shared" si="201"/>
        <v>0.61369863013698633</v>
      </c>
      <c r="O1317" s="23">
        <f>H1317-K1317</f>
        <v>0</v>
      </c>
      <c r="P1317" s="18">
        <f t="shared" si="202"/>
        <v>1.6136986301369862</v>
      </c>
      <c r="Q1317" s="18">
        <f>(P1317-N1317)/M1317*(K1317-L1317)+125000</f>
        <v>349882.70799999998</v>
      </c>
      <c r="R1317" s="18">
        <f t="shared" si="203"/>
        <v>349882.70799999998</v>
      </c>
      <c r="S1317" s="18">
        <f>+IF(N1317&gt;P1317,0,L1317)+809154</f>
        <v>903841.45600000001</v>
      </c>
    </row>
    <row r="1318" spans="1:19" ht="15" customHeight="1" x14ac:dyDescent="0.2">
      <c r="A1318" s="14">
        <f t="shared" si="204"/>
        <v>1279</v>
      </c>
      <c r="B1318" s="28" t="s">
        <v>1196</v>
      </c>
      <c r="C1318" s="15" t="s">
        <v>3</v>
      </c>
      <c r="D1318" s="21" t="s">
        <v>1162</v>
      </c>
      <c r="E1318" s="21"/>
      <c r="F1318" s="69" t="s">
        <v>4</v>
      </c>
      <c r="G1318" s="25">
        <v>43883</v>
      </c>
      <c r="H1318" s="26">
        <v>75633</v>
      </c>
      <c r="I1318" s="17">
        <v>0</v>
      </c>
      <c r="J1318" s="17">
        <v>0</v>
      </c>
      <c r="K1318" s="17">
        <f t="shared" ref="K1318:K1381" si="212">H1318+I1318-J1318</f>
        <v>75633</v>
      </c>
      <c r="L1318" s="23">
        <f t="shared" si="207"/>
        <v>3781.65</v>
      </c>
      <c r="M1318" s="34">
        <v>10</v>
      </c>
      <c r="N1318" s="18">
        <f t="shared" ref="N1318:N1381" si="213">IF(($N$35-G1318+1)/365&gt;0,($N$35-G1318+1)/365,0)</f>
        <v>0.1095890410958904</v>
      </c>
      <c r="O1318" s="23">
        <f>H1318-K1318</f>
        <v>0</v>
      </c>
      <c r="P1318" s="18">
        <f t="shared" ref="P1318:P1381" si="214">($P$35-G1318+1)/365</f>
        <v>1.1095890410958904</v>
      </c>
      <c r="Q1318" s="18">
        <f>(P1318-N1318)/M1318*(K1318-L1318)</f>
        <v>7185.1350000000011</v>
      </c>
      <c r="R1318" s="18">
        <f t="shared" ref="R1318:R1381" si="215">Q1318+O1318</f>
        <v>7185.1350000000011</v>
      </c>
      <c r="S1318" s="18">
        <f t="shared" si="205"/>
        <v>3781.65</v>
      </c>
    </row>
    <row r="1319" spans="1:19" ht="15" customHeight="1" x14ac:dyDescent="0.2">
      <c r="A1319" s="14">
        <f t="shared" si="204"/>
        <v>1280</v>
      </c>
      <c r="B1319" s="28" t="s">
        <v>1197</v>
      </c>
      <c r="C1319" s="15" t="s">
        <v>3</v>
      </c>
      <c r="D1319" s="21" t="s">
        <v>1162</v>
      </c>
      <c r="E1319" s="21"/>
      <c r="F1319" s="69" t="s">
        <v>4</v>
      </c>
      <c r="G1319" s="25">
        <v>44004</v>
      </c>
      <c r="H1319" s="26">
        <v>0</v>
      </c>
      <c r="I1319" s="27">
        <v>1068185.1000000001</v>
      </c>
      <c r="J1319" s="17">
        <v>0</v>
      </c>
      <c r="K1319" s="17">
        <f t="shared" si="212"/>
        <v>1068185.1000000001</v>
      </c>
      <c r="L1319" s="23">
        <f t="shared" si="207"/>
        <v>53409.255000000005</v>
      </c>
      <c r="M1319" s="34">
        <v>8</v>
      </c>
      <c r="N1319" s="18">
        <f t="shared" si="213"/>
        <v>0</v>
      </c>
      <c r="O1319" s="23">
        <f>(K1319-L1319)/M1319*N1319-J1319</f>
        <v>0</v>
      </c>
      <c r="P1319" s="18">
        <f t="shared" si="214"/>
        <v>0.77808219178082194</v>
      </c>
      <c r="Q1319" s="18">
        <f>(P1319-N1319)/M1319*(K1319-L1319)+34457</f>
        <v>133154.37670547946</v>
      </c>
      <c r="R1319" s="18">
        <f t="shared" si="215"/>
        <v>133154.37670547946</v>
      </c>
      <c r="S1319" s="18">
        <f t="shared" si="205"/>
        <v>53409.255000000005</v>
      </c>
    </row>
    <row r="1320" spans="1:19" ht="15" customHeight="1" x14ac:dyDescent="0.2">
      <c r="A1320" s="14">
        <f t="shared" si="204"/>
        <v>1281</v>
      </c>
      <c r="B1320" s="28" t="s">
        <v>1198</v>
      </c>
      <c r="C1320" s="15" t="s">
        <v>3</v>
      </c>
      <c r="D1320" s="21" t="s">
        <v>1162</v>
      </c>
      <c r="E1320" s="21"/>
      <c r="F1320" s="69" t="s">
        <v>4</v>
      </c>
      <c r="G1320" s="25">
        <v>44246</v>
      </c>
      <c r="H1320" s="26">
        <v>0</v>
      </c>
      <c r="I1320" s="27">
        <v>830107.78</v>
      </c>
      <c r="J1320" s="17">
        <v>0</v>
      </c>
      <c r="K1320" s="17">
        <f t="shared" si="212"/>
        <v>830107.78</v>
      </c>
      <c r="L1320" s="23">
        <f t="shared" si="207"/>
        <v>41505.389000000003</v>
      </c>
      <c r="M1320" s="34">
        <v>8</v>
      </c>
      <c r="N1320" s="18">
        <f t="shared" si="213"/>
        <v>0</v>
      </c>
      <c r="O1320" s="23">
        <f>(K1320-L1320)/M1320*N1320-J1320</f>
        <v>0</v>
      </c>
      <c r="P1320" s="18">
        <f t="shared" si="214"/>
        <v>0.11506849315068493</v>
      </c>
      <c r="Q1320" s="18">
        <f t="shared" ref="Q1320:Q1383" si="216">(P1320-N1320)/M1320*(K1320-L1320)</f>
        <v>11342.911103424658</v>
      </c>
      <c r="R1320" s="18">
        <f t="shared" si="215"/>
        <v>11342.911103424658</v>
      </c>
      <c r="S1320" s="18">
        <f t="shared" ref="S1320:S1383" si="217">+IF(N1320&gt;P1320,0,L1320)</f>
        <v>41505.389000000003</v>
      </c>
    </row>
    <row r="1321" spans="1:19" ht="15" customHeight="1" x14ac:dyDescent="0.2">
      <c r="A1321" s="14">
        <f t="shared" si="204"/>
        <v>1282</v>
      </c>
      <c r="B1321" s="21" t="s">
        <v>1199</v>
      </c>
      <c r="C1321" s="15" t="s">
        <v>3</v>
      </c>
      <c r="D1321" s="21" t="s">
        <v>1200</v>
      </c>
      <c r="E1321" s="21"/>
      <c r="F1321" s="69" t="s">
        <v>4</v>
      </c>
      <c r="G1321" s="9">
        <v>42170</v>
      </c>
      <c r="H1321" s="22">
        <v>53000</v>
      </c>
      <c r="I1321" s="17">
        <v>0</v>
      </c>
      <c r="J1321" s="17">
        <v>8056</v>
      </c>
      <c r="K1321" s="17">
        <f t="shared" si="212"/>
        <v>44944</v>
      </c>
      <c r="L1321" s="23">
        <f>H1321*0.05</f>
        <v>2650</v>
      </c>
      <c r="M1321" s="23">
        <v>5</v>
      </c>
      <c r="N1321" s="18">
        <f t="shared" si="213"/>
        <v>4.8027397260273972</v>
      </c>
      <c r="O1321" s="23">
        <f t="shared" ref="O1321:O1351" si="218">H1321-K1321</f>
        <v>8056</v>
      </c>
      <c r="P1321" s="18">
        <f t="shared" si="214"/>
        <v>5.8027397260273972</v>
      </c>
      <c r="Q1321" s="18">
        <f t="shared" si="216"/>
        <v>8458.8000000000011</v>
      </c>
      <c r="R1321" s="18">
        <f t="shared" si="215"/>
        <v>16514.800000000003</v>
      </c>
      <c r="S1321" s="18">
        <f t="shared" si="217"/>
        <v>2650</v>
      </c>
    </row>
    <row r="1322" spans="1:19" ht="15" customHeight="1" x14ac:dyDescent="0.2">
      <c r="A1322" s="14">
        <f t="shared" si="204"/>
        <v>1283</v>
      </c>
      <c r="B1322" s="21" t="s">
        <v>1201</v>
      </c>
      <c r="C1322" s="15" t="s">
        <v>3</v>
      </c>
      <c r="D1322" s="21" t="s">
        <v>1200</v>
      </c>
      <c r="E1322" s="21"/>
      <c r="F1322" s="69" t="s">
        <v>4</v>
      </c>
      <c r="G1322" s="9">
        <v>42139</v>
      </c>
      <c r="H1322" s="22">
        <v>4777.7</v>
      </c>
      <c r="I1322" s="17">
        <v>0</v>
      </c>
      <c r="J1322" s="17">
        <v>803.3080794520547</v>
      </c>
      <c r="K1322" s="17">
        <f t="shared" si="212"/>
        <v>3974.3919205479451</v>
      </c>
      <c r="L1322" s="23">
        <f t="shared" ref="L1322:L1385" si="219">H1322*0.05</f>
        <v>238.88499999999999</v>
      </c>
      <c r="M1322" s="23">
        <v>5</v>
      </c>
      <c r="N1322" s="18">
        <f t="shared" si="213"/>
        <v>4.8876712328767127</v>
      </c>
      <c r="O1322" s="23">
        <f t="shared" si="218"/>
        <v>803.3080794520547</v>
      </c>
      <c r="P1322" s="18">
        <f t="shared" si="214"/>
        <v>5.8876712328767127</v>
      </c>
      <c r="Q1322" s="18">
        <f t="shared" si="216"/>
        <v>747.10138410958905</v>
      </c>
      <c r="R1322" s="18">
        <f t="shared" si="215"/>
        <v>1550.4094635616439</v>
      </c>
      <c r="S1322" s="18">
        <f t="shared" si="217"/>
        <v>238.88499999999999</v>
      </c>
    </row>
    <row r="1323" spans="1:19" ht="15" customHeight="1" x14ac:dyDescent="0.2">
      <c r="A1323" s="14">
        <f t="shared" ref="A1323:A1386" si="220">+A1322+1</f>
        <v>1284</v>
      </c>
      <c r="B1323" s="21" t="s">
        <v>1202</v>
      </c>
      <c r="C1323" s="15" t="s">
        <v>3</v>
      </c>
      <c r="D1323" s="21" t="s">
        <v>1200</v>
      </c>
      <c r="E1323" s="21"/>
      <c r="F1323" s="69" t="s">
        <v>4</v>
      </c>
      <c r="G1323" s="9">
        <v>42139</v>
      </c>
      <c r="H1323" s="22">
        <v>66500</v>
      </c>
      <c r="I1323" s="17">
        <v>0</v>
      </c>
      <c r="J1323" s="17">
        <v>11181.109589041096</v>
      </c>
      <c r="K1323" s="17">
        <f t="shared" si="212"/>
        <v>55318.890410958906</v>
      </c>
      <c r="L1323" s="23">
        <f t="shared" si="219"/>
        <v>3325</v>
      </c>
      <c r="M1323" s="23">
        <v>5</v>
      </c>
      <c r="N1323" s="18">
        <f t="shared" si="213"/>
        <v>4.8876712328767127</v>
      </c>
      <c r="O1323" s="23">
        <f t="shared" si="218"/>
        <v>11181.109589041094</v>
      </c>
      <c r="P1323" s="18">
        <f t="shared" si="214"/>
        <v>5.8876712328767127</v>
      </c>
      <c r="Q1323" s="18">
        <f t="shared" si="216"/>
        <v>10398.778082191782</v>
      </c>
      <c r="R1323" s="18">
        <f t="shared" si="215"/>
        <v>21579.887671232878</v>
      </c>
      <c r="S1323" s="18">
        <f t="shared" si="217"/>
        <v>3325</v>
      </c>
    </row>
    <row r="1324" spans="1:19" ht="15" customHeight="1" x14ac:dyDescent="0.2">
      <c r="A1324" s="14">
        <f t="shared" si="220"/>
        <v>1285</v>
      </c>
      <c r="B1324" s="21" t="s">
        <v>1203</v>
      </c>
      <c r="C1324" s="15" t="s">
        <v>3</v>
      </c>
      <c r="D1324" s="21" t="s">
        <v>1200</v>
      </c>
      <c r="E1324" s="21"/>
      <c r="F1324" s="69" t="s">
        <v>4</v>
      </c>
      <c r="G1324" s="9">
        <v>42200</v>
      </c>
      <c r="H1324" s="22">
        <v>14600</v>
      </c>
      <c r="I1324" s="17">
        <v>0</v>
      </c>
      <c r="J1324" s="17">
        <v>1991.2</v>
      </c>
      <c r="K1324" s="17">
        <f t="shared" si="212"/>
        <v>12608.8</v>
      </c>
      <c r="L1324" s="23">
        <f t="shared" si="219"/>
        <v>730</v>
      </c>
      <c r="M1324" s="23">
        <v>5</v>
      </c>
      <c r="N1324" s="18">
        <f t="shared" si="213"/>
        <v>4.720547945205479</v>
      </c>
      <c r="O1324" s="23">
        <f t="shared" si="218"/>
        <v>1991.2000000000007</v>
      </c>
      <c r="P1324" s="18">
        <f t="shared" si="214"/>
        <v>5.720547945205479</v>
      </c>
      <c r="Q1324" s="18">
        <f t="shared" si="216"/>
        <v>2375.7599999999998</v>
      </c>
      <c r="R1324" s="18">
        <f t="shared" si="215"/>
        <v>4366.9600000000009</v>
      </c>
      <c r="S1324" s="18">
        <f t="shared" si="217"/>
        <v>730</v>
      </c>
    </row>
    <row r="1325" spans="1:19" ht="15" customHeight="1" x14ac:dyDescent="0.2">
      <c r="A1325" s="14">
        <f t="shared" si="220"/>
        <v>1286</v>
      </c>
      <c r="B1325" s="21" t="s">
        <v>1204</v>
      </c>
      <c r="C1325" s="15" t="s">
        <v>3</v>
      </c>
      <c r="D1325" s="21" t="s">
        <v>1200</v>
      </c>
      <c r="E1325" s="21"/>
      <c r="F1325" s="69" t="s">
        <v>4</v>
      </c>
      <c r="G1325" s="9">
        <v>42231</v>
      </c>
      <c r="H1325" s="22">
        <v>10355.56</v>
      </c>
      <c r="I1325" s="17">
        <v>0</v>
      </c>
      <c r="J1325" s="17">
        <v>1245.2206257534244</v>
      </c>
      <c r="K1325" s="17">
        <f t="shared" si="212"/>
        <v>9110.3393742465742</v>
      </c>
      <c r="L1325" s="23">
        <f t="shared" si="219"/>
        <v>517.77800000000002</v>
      </c>
      <c r="M1325" s="23">
        <v>5</v>
      </c>
      <c r="N1325" s="18">
        <f t="shared" si="213"/>
        <v>4.6356164383561644</v>
      </c>
      <c r="O1325" s="23">
        <f t="shared" si="218"/>
        <v>1245.2206257534253</v>
      </c>
      <c r="P1325" s="18">
        <f t="shared" si="214"/>
        <v>5.6356164383561644</v>
      </c>
      <c r="Q1325" s="18">
        <f t="shared" si="216"/>
        <v>1718.512274849315</v>
      </c>
      <c r="R1325" s="18">
        <f t="shared" si="215"/>
        <v>2963.7329006027403</v>
      </c>
      <c r="S1325" s="18">
        <f t="shared" si="217"/>
        <v>517.77800000000002</v>
      </c>
    </row>
    <row r="1326" spans="1:19" ht="15" customHeight="1" x14ac:dyDescent="0.2">
      <c r="A1326" s="14">
        <f t="shared" si="220"/>
        <v>1287</v>
      </c>
      <c r="B1326" s="21" t="s">
        <v>1205</v>
      </c>
      <c r="C1326" s="15" t="s">
        <v>3</v>
      </c>
      <c r="D1326" s="21" t="s">
        <v>1200</v>
      </c>
      <c r="E1326" s="21"/>
      <c r="F1326" s="69" t="s">
        <v>4</v>
      </c>
      <c r="G1326" s="9">
        <v>42231</v>
      </c>
      <c r="H1326" s="22">
        <f>82844.44+250867</f>
        <v>333711.44</v>
      </c>
      <c r="I1326" s="17">
        <v>0</v>
      </c>
      <c r="J1326" s="17">
        <v>9961.760196164385</v>
      </c>
      <c r="K1326" s="17">
        <f t="shared" si="212"/>
        <v>323749.67980383564</v>
      </c>
      <c r="L1326" s="23">
        <f t="shared" si="219"/>
        <v>16685.572</v>
      </c>
      <c r="M1326" s="23">
        <v>5</v>
      </c>
      <c r="N1326" s="18">
        <f t="shared" si="213"/>
        <v>4.6356164383561644</v>
      </c>
      <c r="O1326" s="23">
        <f t="shared" si="218"/>
        <v>9961.7601961643668</v>
      </c>
      <c r="P1326" s="18">
        <f t="shared" si="214"/>
        <v>5.6356164383561644</v>
      </c>
      <c r="Q1326" s="18">
        <f t="shared" si="216"/>
        <v>61412.82156076713</v>
      </c>
      <c r="R1326" s="18">
        <f t="shared" si="215"/>
        <v>71374.581756931497</v>
      </c>
      <c r="S1326" s="18">
        <f>+IF(N1326&gt;P1326,0,L1326)</f>
        <v>16685.572</v>
      </c>
    </row>
    <row r="1327" spans="1:19" ht="15" customHeight="1" x14ac:dyDescent="0.2">
      <c r="A1327" s="14">
        <f t="shared" si="220"/>
        <v>1288</v>
      </c>
      <c r="B1327" s="21" t="s">
        <v>1206</v>
      </c>
      <c r="C1327" s="15" t="s">
        <v>3</v>
      </c>
      <c r="D1327" s="21" t="s">
        <v>1200</v>
      </c>
      <c r="E1327" s="21"/>
      <c r="F1327" s="69" t="s">
        <v>4</v>
      </c>
      <c r="G1327" s="9">
        <v>42231</v>
      </c>
      <c r="H1327" s="22">
        <v>7300</v>
      </c>
      <c r="I1327" s="17">
        <v>0</v>
      </c>
      <c r="J1327" s="17">
        <v>877.8</v>
      </c>
      <c r="K1327" s="17">
        <f t="shared" si="212"/>
        <v>6422.2</v>
      </c>
      <c r="L1327" s="23">
        <f t="shared" si="219"/>
        <v>365</v>
      </c>
      <c r="M1327" s="23">
        <v>5</v>
      </c>
      <c r="N1327" s="18">
        <f t="shared" si="213"/>
        <v>4.6356164383561644</v>
      </c>
      <c r="O1327" s="23">
        <f t="shared" si="218"/>
        <v>877.80000000000018</v>
      </c>
      <c r="P1327" s="18">
        <f t="shared" si="214"/>
        <v>5.6356164383561644</v>
      </c>
      <c r="Q1327" s="18">
        <f t="shared" si="216"/>
        <v>1211.44</v>
      </c>
      <c r="R1327" s="18">
        <f t="shared" si="215"/>
        <v>2089.2400000000002</v>
      </c>
      <c r="S1327" s="18">
        <f t="shared" si="217"/>
        <v>365</v>
      </c>
    </row>
    <row r="1328" spans="1:19" ht="15" customHeight="1" x14ac:dyDescent="0.2">
      <c r="A1328" s="14">
        <f t="shared" si="220"/>
        <v>1289</v>
      </c>
      <c r="B1328" s="21" t="s">
        <v>1203</v>
      </c>
      <c r="C1328" s="15" t="s">
        <v>3</v>
      </c>
      <c r="D1328" s="21" t="s">
        <v>1200</v>
      </c>
      <c r="E1328" s="21"/>
      <c r="F1328" s="69" t="s">
        <v>4</v>
      </c>
      <c r="G1328" s="9">
        <v>42251</v>
      </c>
      <c r="H1328" s="22">
        <v>15000</v>
      </c>
      <c r="I1328" s="17">
        <v>0</v>
      </c>
      <c r="J1328" s="17">
        <v>1647.5342465753424</v>
      </c>
      <c r="K1328" s="17">
        <f t="shared" si="212"/>
        <v>13352.465753424658</v>
      </c>
      <c r="L1328" s="23">
        <f t="shared" si="219"/>
        <v>750</v>
      </c>
      <c r="M1328" s="23">
        <v>5</v>
      </c>
      <c r="N1328" s="18">
        <f t="shared" si="213"/>
        <v>4.580821917808219</v>
      </c>
      <c r="O1328" s="23">
        <f t="shared" si="218"/>
        <v>1647.534246575342</v>
      </c>
      <c r="P1328" s="18">
        <f t="shared" si="214"/>
        <v>5.580821917808219</v>
      </c>
      <c r="Q1328" s="18">
        <f t="shared" si="216"/>
        <v>2520.4931506849316</v>
      </c>
      <c r="R1328" s="18">
        <f t="shared" si="215"/>
        <v>4168.0273972602736</v>
      </c>
      <c r="S1328" s="18">
        <f t="shared" si="217"/>
        <v>750</v>
      </c>
    </row>
    <row r="1329" spans="1:19" ht="15" customHeight="1" x14ac:dyDescent="0.2">
      <c r="A1329" s="14">
        <f t="shared" si="220"/>
        <v>1290</v>
      </c>
      <c r="B1329" s="21" t="s">
        <v>1207</v>
      </c>
      <c r="C1329" s="15" t="s">
        <v>3</v>
      </c>
      <c r="D1329" s="21" t="s">
        <v>1200</v>
      </c>
      <c r="E1329" s="21"/>
      <c r="F1329" s="69" t="s">
        <v>4</v>
      </c>
      <c r="G1329" s="9">
        <v>42251</v>
      </c>
      <c r="H1329" s="22">
        <v>2100</v>
      </c>
      <c r="I1329" s="17">
        <v>0</v>
      </c>
      <c r="J1329" s="17">
        <v>230.65479452054794</v>
      </c>
      <c r="K1329" s="17">
        <f t="shared" si="212"/>
        <v>1869.345205479452</v>
      </c>
      <c r="L1329" s="23">
        <f t="shared" si="219"/>
        <v>105</v>
      </c>
      <c r="M1329" s="23">
        <v>5</v>
      </c>
      <c r="N1329" s="18">
        <f t="shared" si="213"/>
        <v>4.580821917808219</v>
      </c>
      <c r="O1329" s="23">
        <f t="shared" si="218"/>
        <v>230.65479452054797</v>
      </c>
      <c r="P1329" s="18">
        <f t="shared" si="214"/>
        <v>5.580821917808219</v>
      </c>
      <c r="Q1329" s="18">
        <f t="shared" si="216"/>
        <v>352.86904109589045</v>
      </c>
      <c r="R1329" s="18">
        <f t="shared" si="215"/>
        <v>583.52383561643842</v>
      </c>
      <c r="S1329" s="18">
        <f t="shared" si="217"/>
        <v>105</v>
      </c>
    </row>
    <row r="1330" spans="1:19" ht="15" customHeight="1" x14ac:dyDescent="0.2">
      <c r="A1330" s="14">
        <f t="shared" si="220"/>
        <v>1291</v>
      </c>
      <c r="B1330" s="21" t="s">
        <v>1199</v>
      </c>
      <c r="C1330" s="15" t="s">
        <v>3</v>
      </c>
      <c r="D1330" s="21" t="s">
        <v>1200</v>
      </c>
      <c r="E1330" s="21"/>
      <c r="F1330" s="69" t="s">
        <v>4</v>
      </c>
      <c r="G1330" s="9">
        <v>42262</v>
      </c>
      <c r="H1330" s="22">
        <v>46900</v>
      </c>
      <c r="I1330" s="17">
        <v>0</v>
      </c>
      <c r="J1330" s="17">
        <v>4882.7397260273974</v>
      </c>
      <c r="K1330" s="17">
        <f t="shared" si="212"/>
        <v>42017.260273972599</v>
      </c>
      <c r="L1330" s="23">
        <f t="shared" si="219"/>
        <v>2345</v>
      </c>
      <c r="M1330" s="23">
        <v>5</v>
      </c>
      <c r="N1330" s="18">
        <f t="shared" si="213"/>
        <v>4.5506849315068489</v>
      </c>
      <c r="O1330" s="23">
        <f t="shared" si="218"/>
        <v>4882.739726027401</v>
      </c>
      <c r="P1330" s="18">
        <f t="shared" si="214"/>
        <v>5.5506849315068489</v>
      </c>
      <c r="Q1330" s="18">
        <f t="shared" si="216"/>
        <v>7934.4520547945203</v>
      </c>
      <c r="R1330" s="18">
        <f t="shared" si="215"/>
        <v>12817.191780821922</v>
      </c>
      <c r="S1330" s="18">
        <f t="shared" si="217"/>
        <v>2345</v>
      </c>
    </row>
    <row r="1331" spans="1:19" ht="15" customHeight="1" x14ac:dyDescent="0.2">
      <c r="A1331" s="14">
        <f t="shared" si="220"/>
        <v>1292</v>
      </c>
      <c r="B1331" s="21" t="s">
        <v>1208</v>
      </c>
      <c r="C1331" s="15" t="s">
        <v>3</v>
      </c>
      <c r="D1331" s="21" t="s">
        <v>1200</v>
      </c>
      <c r="E1331" s="21"/>
      <c r="F1331" s="69" t="s">
        <v>4</v>
      </c>
      <c r="G1331" s="9">
        <v>42292</v>
      </c>
      <c r="H1331" s="22">
        <v>19900</v>
      </c>
      <c r="I1331" s="17">
        <v>0</v>
      </c>
      <c r="J1331" s="17">
        <v>1761.0136986301368</v>
      </c>
      <c r="K1331" s="17">
        <f t="shared" si="212"/>
        <v>18138.986301369863</v>
      </c>
      <c r="L1331" s="23">
        <f t="shared" si="219"/>
        <v>995</v>
      </c>
      <c r="M1331" s="23">
        <v>5</v>
      </c>
      <c r="N1331" s="18">
        <f t="shared" si="213"/>
        <v>4.4684931506849317</v>
      </c>
      <c r="O1331" s="23">
        <f t="shared" si="218"/>
        <v>1761.0136986301368</v>
      </c>
      <c r="P1331" s="18">
        <f t="shared" si="214"/>
        <v>5.4684931506849317</v>
      </c>
      <c r="Q1331" s="18">
        <f t="shared" si="216"/>
        <v>3428.7972602739728</v>
      </c>
      <c r="R1331" s="18">
        <f t="shared" si="215"/>
        <v>5189.8109589041096</v>
      </c>
      <c r="S1331" s="18">
        <f t="shared" si="217"/>
        <v>995</v>
      </c>
    </row>
    <row r="1332" spans="1:19" ht="15" customHeight="1" x14ac:dyDescent="0.2">
      <c r="A1332" s="14">
        <f t="shared" si="220"/>
        <v>1293</v>
      </c>
      <c r="B1332" s="21" t="s">
        <v>1209</v>
      </c>
      <c r="C1332" s="15" t="s">
        <v>3</v>
      </c>
      <c r="D1332" s="21" t="s">
        <v>1200</v>
      </c>
      <c r="E1332" s="21"/>
      <c r="F1332" s="69" t="s">
        <v>4</v>
      </c>
      <c r="G1332" s="9">
        <v>42323</v>
      </c>
      <c r="H1332" s="22">
        <v>28000</v>
      </c>
      <c r="I1332" s="17">
        <v>0</v>
      </c>
      <c r="J1332" s="17">
        <v>2025.972602739726</v>
      </c>
      <c r="K1332" s="17">
        <f t="shared" si="212"/>
        <v>25974.027397260274</v>
      </c>
      <c r="L1332" s="23">
        <f t="shared" si="219"/>
        <v>1400</v>
      </c>
      <c r="M1332" s="23">
        <v>5</v>
      </c>
      <c r="N1332" s="18">
        <f t="shared" si="213"/>
        <v>4.3835616438356162</v>
      </c>
      <c r="O1332" s="23">
        <f t="shared" si="218"/>
        <v>2025.9726027397264</v>
      </c>
      <c r="P1332" s="18">
        <f t="shared" si="214"/>
        <v>5.3835616438356162</v>
      </c>
      <c r="Q1332" s="18">
        <f t="shared" si="216"/>
        <v>4914.8054794520549</v>
      </c>
      <c r="R1332" s="18">
        <f t="shared" si="215"/>
        <v>6940.7780821917813</v>
      </c>
      <c r="S1332" s="18">
        <f t="shared" si="217"/>
        <v>1400</v>
      </c>
    </row>
    <row r="1333" spans="1:19" ht="15" customHeight="1" x14ac:dyDescent="0.2">
      <c r="A1333" s="14">
        <f t="shared" si="220"/>
        <v>1294</v>
      </c>
      <c r="B1333" s="21" t="s">
        <v>1209</v>
      </c>
      <c r="C1333" s="15" t="s">
        <v>3</v>
      </c>
      <c r="D1333" s="21" t="s">
        <v>1200</v>
      </c>
      <c r="E1333" s="21"/>
      <c r="F1333" s="69" t="s">
        <v>4</v>
      </c>
      <c r="G1333" s="9">
        <v>42353</v>
      </c>
      <c r="H1333" s="22">
        <v>7574.64</v>
      </c>
      <c r="I1333" s="17">
        <v>0</v>
      </c>
      <c r="J1333" s="17">
        <v>429.7829983561644</v>
      </c>
      <c r="K1333" s="17">
        <f t="shared" si="212"/>
        <v>7144.8570016438362</v>
      </c>
      <c r="L1333" s="23">
        <f t="shared" si="219"/>
        <v>378.73200000000003</v>
      </c>
      <c r="M1333" s="23">
        <v>5</v>
      </c>
      <c r="N1333" s="18">
        <f t="shared" si="213"/>
        <v>4.3013698630136989</v>
      </c>
      <c r="O1333" s="23">
        <f t="shared" si="218"/>
        <v>429.78299835616417</v>
      </c>
      <c r="P1333" s="18">
        <f t="shared" si="214"/>
        <v>5.3013698630136989</v>
      </c>
      <c r="Q1333" s="18">
        <f t="shared" si="216"/>
        <v>1353.2250003287672</v>
      </c>
      <c r="R1333" s="18">
        <f t="shared" si="215"/>
        <v>1783.0079986849314</v>
      </c>
      <c r="S1333" s="18">
        <f t="shared" si="217"/>
        <v>378.73200000000003</v>
      </c>
    </row>
    <row r="1334" spans="1:19" ht="15" customHeight="1" x14ac:dyDescent="0.2">
      <c r="A1334" s="14">
        <f t="shared" si="220"/>
        <v>1295</v>
      </c>
      <c r="B1334" s="21" t="s">
        <v>1210</v>
      </c>
      <c r="C1334" s="15" t="s">
        <v>3</v>
      </c>
      <c r="D1334" s="21" t="s">
        <v>1200</v>
      </c>
      <c r="E1334" s="21"/>
      <c r="F1334" s="70" t="s">
        <v>7</v>
      </c>
      <c r="G1334" s="9">
        <v>42353</v>
      </c>
      <c r="H1334" s="22">
        <v>104475</v>
      </c>
      <c r="I1334" s="17">
        <v>0</v>
      </c>
      <c r="J1334" s="17">
        <v>5927.8828767123287</v>
      </c>
      <c r="K1334" s="17">
        <f t="shared" si="212"/>
        <v>98547.117123287666</v>
      </c>
      <c r="L1334" s="23">
        <f t="shared" si="219"/>
        <v>5223.75</v>
      </c>
      <c r="M1334" s="23">
        <v>5</v>
      </c>
      <c r="N1334" s="18">
        <f t="shared" si="213"/>
        <v>4.3013698630136989</v>
      </c>
      <c r="O1334" s="23">
        <f t="shared" si="218"/>
        <v>5927.8828767123341</v>
      </c>
      <c r="P1334" s="18">
        <f t="shared" si="214"/>
        <v>5.3013698630136989</v>
      </c>
      <c r="Q1334" s="18">
        <f t="shared" si="216"/>
        <v>18664.673424657532</v>
      </c>
      <c r="R1334" s="18">
        <f t="shared" si="215"/>
        <v>24592.556301369867</v>
      </c>
      <c r="S1334" s="18">
        <f t="shared" si="217"/>
        <v>5223.75</v>
      </c>
    </row>
    <row r="1335" spans="1:19" ht="15" customHeight="1" x14ac:dyDescent="0.2">
      <c r="A1335" s="14">
        <f t="shared" si="220"/>
        <v>1296</v>
      </c>
      <c r="B1335" s="21" t="s">
        <v>1211</v>
      </c>
      <c r="C1335" s="15" t="s">
        <v>3</v>
      </c>
      <c r="D1335" s="21" t="s">
        <v>1200</v>
      </c>
      <c r="E1335" s="21"/>
      <c r="F1335" s="70" t="s">
        <v>7</v>
      </c>
      <c r="G1335" s="9">
        <v>42353</v>
      </c>
      <c r="H1335" s="22">
        <v>138885</v>
      </c>
      <c r="I1335" s="17">
        <v>0</v>
      </c>
      <c r="J1335" s="17">
        <v>7880.2968493150684</v>
      </c>
      <c r="K1335" s="17">
        <f t="shared" si="212"/>
        <v>131004.70315068493</v>
      </c>
      <c r="L1335" s="23">
        <f t="shared" si="219"/>
        <v>6944.25</v>
      </c>
      <c r="M1335" s="23">
        <v>5</v>
      </c>
      <c r="N1335" s="18">
        <f t="shared" si="213"/>
        <v>4.3013698630136989</v>
      </c>
      <c r="O1335" s="23">
        <f t="shared" si="218"/>
        <v>7880.2968493150693</v>
      </c>
      <c r="P1335" s="18">
        <f t="shared" si="214"/>
        <v>5.3013698630136989</v>
      </c>
      <c r="Q1335" s="18">
        <f t="shared" si="216"/>
        <v>24812.090630136987</v>
      </c>
      <c r="R1335" s="18">
        <f t="shared" si="215"/>
        <v>32692.387479452056</v>
      </c>
      <c r="S1335" s="18">
        <f t="shared" si="217"/>
        <v>6944.25</v>
      </c>
    </row>
    <row r="1336" spans="1:19" ht="15" customHeight="1" x14ac:dyDescent="0.2">
      <c r="A1336" s="14">
        <f t="shared" si="220"/>
        <v>1297</v>
      </c>
      <c r="B1336" s="21" t="s">
        <v>1212</v>
      </c>
      <c r="C1336" s="15" t="s">
        <v>3</v>
      </c>
      <c r="D1336" s="21" t="s">
        <v>1200</v>
      </c>
      <c r="E1336" s="21"/>
      <c r="F1336" s="69" t="s">
        <v>4</v>
      </c>
      <c r="G1336" s="9">
        <v>42353</v>
      </c>
      <c r="H1336" s="22">
        <v>33975</v>
      </c>
      <c r="I1336" s="17">
        <v>0</v>
      </c>
      <c r="J1336" s="17">
        <v>1927.7321917808219</v>
      </c>
      <c r="K1336" s="17">
        <f t="shared" si="212"/>
        <v>32047.267808219178</v>
      </c>
      <c r="L1336" s="23">
        <f t="shared" si="219"/>
        <v>1698.75</v>
      </c>
      <c r="M1336" s="23">
        <v>5</v>
      </c>
      <c r="N1336" s="18">
        <f t="shared" si="213"/>
        <v>4.3013698630136989</v>
      </c>
      <c r="O1336" s="23">
        <f t="shared" si="218"/>
        <v>1927.7321917808222</v>
      </c>
      <c r="P1336" s="18">
        <f t="shared" si="214"/>
        <v>5.3013698630136989</v>
      </c>
      <c r="Q1336" s="18">
        <f t="shared" si="216"/>
        <v>6069.7035616438361</v>
      </c>
      <c r="R1336" s="18">
        <f t="shared" si="215"/>
        <v>7997.4357534246583</v>
      </c>
      <c r="S1336" s="18">
        <f t="shared" si="217"/>
        <v>1698.75</v>
      </c>
    </row>
    <row r="1337" spans="1:19" ht="15" customHeight="1" x14ac:dyDescent="0.2">
      <c r="A1337" s="14">
        <f t="shared" si="220"/>
        <v>1298</v>
      </c>
      <c r="B1337" s="21" t="s">
        <v>1213</v>
      </c>
      <c r="C1337" s="15" t="s">
        <v>3</v>
      </c>
      <c r="D1337" s="21" t="s">
        <v>1200</v>
      </c>
      <c r="E1337" s="21"/>
      <c r="F1337" s="69" t="s">
        <v>4</v>
      </c>
      <c r="G1337" s="9">
        <v>42362</v>
      </c>
      <c r="H1337" s="22">
        <v>185907</v>
      </c>
      <c r="I1337" s="17">
        <v>0</v>
      </c>
      <c r="J1337" s="17">
        <v>9677.3506849315072</v>
      </c>
      <c r="K1337" s="17">
        <f t="shared" si="212"/>
        <v>176229.6493150685</v>
      </c>
      <c r="L1337" s="23">
        <f t="shared" si="219"/>
        <v>9295.35</v>
      </c>
      <c r="M1337" s="23">
        <v>5</v>
      </c>
      <c r="N1337" s="18">
        <f t="shared" si="213"/>
        <v>4.2767123287671236</v>
      </c>
      <c r="O1337" s="23">
        <f t="shared" si="218"/>
        <v>9677.3506849315017</v>
      </c>
      <c r="P1337" s="18">
        <f t="shared" si="214"/>
        <v>5.2767123287671236</v>
      </c>
      <c r="Q1337" s="18">
        <f t="shared" si="216"/>
        <v>33386.859863013698</v>
      </c>
      <c r="R1337" s="18">
        <f t="shared" si="215"/>
        <v>43064.2105479452</v>
      </c>
      <c r="S1337" s="18">
        <f t="shared" si="217"/>
        <v>9295.35</v>
      </c>
    </row>
    <row r="1338" spans="1:19" ht="15" customHeight="1" x14ac:dyDescent="0.2">
      <c r="A1338" s="14">
        <f t="shared" si="220"/>
        <v>1299</v>
      </c>
      <c r="B1338" s="21" t="s">
        <v>1214</v>
      </c>
      <c r="C1338" s="15" t="s">
        <v>3</v>
      </c>
      <c r="D1338" s="21" t="s">
        <v>1200</v>
      </c>
      <c r="E1338" s="21"/>
      <c r="F1338" s="69" t="s">
        <v>4</v>
      </c>
      <c r="G1338" s="9">
        <v>42384</v>
      </c>
      <c r="H1338" s="22">
        <v>87000</v>
      </c>
      <c r="I1338" s="17">
        <v>0</v>
      </c>
      <c r="J1338" s="17">
        <v>3532.4383561643835</v>
      </c>
      <c r="K1338" s="17">
        <f t="shared" si="212"/>
        <v>83467.561643835623</v>
      </c>
      <c r="L1338" s="23">
        <f t="shared" si="219"/>
        <v>4350</v>
      </c>
      <c r="M1338" s="23">
        <v>5</v>
      </c>
      <c r="N1338" s="18">
        <f t="shared" si="213"/>
        <v>4.2164383561643834</v>
      </c>
      <c r="O1338" s="23">
        <f t="shared" si="218"/>
        <v>3532.4383561643772</v>
      </c>
      <c r="P1338" s="18">
        <f t="shared" si="214"/>
        <v>5.2164383561643834</v>
      </c>
      <c r="Q1338" s="18">
        <f t="shared" si="216"/>
        <v>15823.512328767125</v>
      </c>
      <c r="R1338" s="18">
        <f t="shared" si="215"/>
        <v>19355.9506849315</v>
      </c>
      <c r="S1338" s="18">
        <f t="shared" si="217"/>
        <v>4350</v>
      </c>
    </row>
    <row r="1339" spans="1:19" ht="15" customHeight="1" x14ac:dyDescent="0.2">
      <c r="A1339" s="14">
        <f t="shared" si="220"/>
        <v>1300</v>
      </c>
      <c r="B1339" s="21" t="s">
        <v>1215</v>
      </c>
      <c r="C1339" s="15" t="s">
        <v>3</v>
      </c>
      <c r="D1339" s="21" t="s">
        <v>1200</v>
      </c>
      <c r="E1339" s="21"/>
      <c r="F1339" s="69" t="s">
        <v>4</v>
      </c>
      <c r="G1339" s="9">
        <v>42384</v>
      </c>
      <c r="H1339" s="22">
        <v>159599.25</v>
      </c>
      <c r="I1339" s="17">
        <v>0</v>
      </c>
      <c r="J1339" s="17">
        <v>6480.1668082191791</v>
      </c>
      <c r="K1339" s="17">
        <f t="shared" si="212"/>
        <v>153119.08319178081</v>
      </c>
      <c r="L1339" s="23">
        <f t="shared" si="219"/>
        <v>7979.9625000000005</v>
      </c>
      <c r="M1339" s="23">
        <v>5</v>
      </c>
      <c r="N1339" s="18">
        <f t="shared" si="213"/>
        <v>4.2164383561643834</v>
      </c>
      <c r="O1339" s="23">
        <f t="shared" si="218"/>
        <v>6480.16680821919</v>
      </c>
      <c r="P1339" s="18">
        <f t="shared" si="214"/>
        <v>5.2164383561643834</v>
      </c>
      <c r="Q1339" s="18">
        <f t="shared" si="216"/>
        <v>29027.824138356165</v>
      </c>
      <c r="R1339" s="18">
        <f t="shared" si="215"/>
        <v>35507.990946575359</v>
      </c>
      <c r="S1339" s="18">
        <f t="shared" si="217"/>
        <v>7979.9625000000005</v>
      </c>
    </row>
    <row r="1340" spans="1:19" ht="15" customHeight="1" x14ac:dyDescent="0.2">
      <c r="A1340" s="14">
        <f t="shared" si="220"/>
        <v>1301</v>
      </c>
      <c r="B1340" s="21" t="s">
        <v>1216</v>
      </c>
      <c r="C1340" s="15" t="s">
        <v>3</v>
      </c>
      <c r="D1340" s="21" t="s">
        <v>1200</v>
      </c>
      <c r="E1340" s="21"/>
      <c r="F1340" s="69" t="s">
        <v>4</v>
      </c>
      <c r="G1340" s="9">
        <v>42384</v>
      </c>
      <c r="H1340" s="22">
        <v>397000.53</v>
      </c>
      <c r="I1340" s="17">
        <v>0</v>
      </c>
      <c r="J1340" s="17">
        <v>16119.309190684935</v>
      </c>
      <c r="K1340" s="17">
        <f t="shared" si="212"/>
        <v>380881.2208093151</v>
      </c>
      <c r="L1340" s="23">
        <f t="shared" si="219"/>
        <v>19850.026500000004</v>
      </c>
      <c r="M1340" s="23">
        <v>5</v>
      </c>
      <c r="N1340" s="18">
        <f t="shared" si="213"/>
        <v>4.2164383561643834</v>
      </c>
      <c r="O1340" s="23">
        <f t="shared" si="218"/>
        <v>16119.309190684929</v>
      </c>
      <c r="P1340" s="18">
        <f t="shared" si="214"/>
        <v>5.2164383561643834</v>
      </c>
      <c r="Q1340" s="18">
        <f t="shared" si="216"/>
        <v>72206.238861863021</v>
      </c>
      <c r="R1340" s="18">
        <f t="shared" si="215"/>
        <v>88325.548052547951</v>
      </c>
      <c r="S1340" s="18">
        <f t="shared" si="217"/>
        <v>19850.026500000004</v>
      </c>
    </row>
    <row r="1341" spans="1:19" ht="15" customHeight="1" x14ac:dyDescent="0.2">
      <c r="A1341" s="14">
        <f t="shared" si="220"/>
        <v>1302</v>
      </c>
      <c r="B1341" s="21" t="s">
        <v>1217</v>
      </c>
      <c r="C1341" s="15" t="s">
        <v>3</v>
      </c>
      <c r="D1341" s="21" t="s">
        <v>1200</v>
      </c>
      <c r="E1341" s="21"/>
      <c r="F1341" s="70" t="s">
        <v>7</v>
      </c>
      <c r="G1341" s="9">
        <v>42384</v>
      </c>
      <c r="H1341" s="22">
        <v>55125</v>
      </c>
      <c r="I1341" s="17">
        <v>0</v>
      </c>
      <c r="J1341" s="17">
        <v>2238.2260273972602</v>
      </c>
      <c r="K1341" s="17">
        <f t="shared" si="212"/>
        <v>52886.773972602743</v>
      </c>
      <c r="L1341" s="23">
        <f t="shared" si="219"/>
        <v>2756.25</v>
      </c>
      <c r="M1341" s="23">
        <v>5</v>
      </c>
      <c r="N1341" s="18">
        <f t="shared" si="213"/>
        <v>4.2164383561643834</v>
      </c>
      <c r="O1341" s="23">
        <f t="shared" si="218"/>
        <v>2238.226027397257</v>
      </c>
      <c r="P1341" s="18">
        <f t="shared" si="214"/>
        <v>5.2164383561643834</v>
      </c>
      <c r="Q1341" s="18">
        <f t="shared" si="216"/>
        <v>10026.10479452055</v>
      </c>
      <c r="R1341" s="18">
        <f t="shared" si="215"/>
        <v>12264.330821917807</v>
      </c>
      <c r="S1341" s="18">
        <f t="shared" si="217"/>
        <v>2756.25</v>
      </c>
    </row>
    <row r="1342" spans="1:19" ht="15" customHeight="1" x14ac:dyDescent="0.2">
      <c r="A1342" s="14">
        <f t="shared" si="220"/>
        <v>1303</v>
      </c>
      <c r="B1342" s="21" t="s">
        <v>1218</v>
      </c>
      <c r="C1342" s="15" t="s">
        <v>3</v>
      </c>
      <c r="D1342" s="21" t="s">
        <v>1200</v>
      </c>
      <c r="E1342" s="21"/>
      <c r="F1342" s="70" t="s">
        <v>7</v>
      </c>
      <c r="G1342" s="9">
        <v>42384</v>
      </c>
      <c r="H1342" s="22">
        <v>30450</v>
      </c>
      <c r="I1342" s="17">
        <v>0</v>
      </c>
      <c r="J1342" s="17">
        <v>1236.3534246575343</v>
      </c>
      <c r="K1342" s="17">
        <f t="shared" si="212"/>
        <v>29213.646575342467</v>
      </c>
      <c r="L1342" s="23">
        <f t="shared" si="219"/>
        <v>1522.5</v>
      </c>
      <c r="M1342" s="23">
        <v>5</v>
      </c>
      <c r="N1342" s="18">
        <f t="shared" si="213"/>
        <v>4.2164383561643834</v>
      </c>
      <c r="O1342" s="23">
        <f t="shared" si="218"/>
        <v>1236.3534246575327</v>
      </c>
      <c r="P1342" s="18">
        <f t="shared" si="214"/>
        <v>5.2164383561643834</v>
      </c>
      <c r="Q1342" s="18">
        <f t="shared" si="216"/>
        <v>5538.2293150684936</v>
      </c>
      <c r="R1342" s="18">
        <f t="shared" si="215"/>
        <v>6774.5827397260264</v>
      </c>
      <c r="S1342" s="18">
        <f t="shared" si="217"/>
        <v>1522.5</v>
      </c>
    </row>
    <row r="1343" spans="1:19" ht="15" customHeight="1" x14ac:dyDescent="0.2">
      <c r="A1343" s="14">
        <f t="shared" si="220"/>
        <v>1304</v>
      </c>
      <c r="B1343" s="21" t="s">
        <v>1219</v>
      </c>
      <c r="C1343" s="15" t="s">
        <v>3</v>
      </c>
      <c r="D1343" s="21" t="s">
        <v>1200</v>
      </c>
      <c r="E1343" s="21"/>
      <c r="F1343" s="69" t="s">
        <v>4</v>
      </c>
      <c r="G1343" s="9">
        <v>42415</v>
      </c>
      <c r="H1343" s="22">
        <v>158800.22</v>
      </c>
      <c r="I1343" s="17">
        <v>0</v>
      </c>
      <c r="J1343" s="17">
        <v>3885.1670263013698</v>
      </c>
      <c r="K1343" s="17">
        <f t="shared" si="212"/>
        <v>154915.05297369862</v>
      </c>
      <c r="L1343" s="23">
        <f t="shared" si="219"/>
        <v>7940.0110000000004</v>
      </c>
      <c r="M1343" s="23">
        <v>5</v>
      </c>
      <c r="N1343" s="18">
        <f t="shared" si="213"/>
        <v>4.1315068493150688</v>
      </c>
      <c r="O1343" s="23">
        <f t="shared" si="218"/>
        <v>3885.1670263013802</v>
      </c>
      <c r="P1343" s="18">
        <f t="shared" si="214"/>
        <v>5.1315068493150688</v>
      </c>
      <c r="Q1343" s="18">
        <f t="shared" si="216"/>
        <v>29395.008394739725</v>
      </c>
      <c r="R1343" s="18">
        <f t="shared" si="215"/>
        <v>33280.175421041102</v>
      </c>
      <c r="S1343" s="18">
        <f t="shared" si="217"/>
        <v>7940.0110000000004</v>
      </c>
    </row>
    <row r="1344" spans="1:19" ht="15" customHeight="1" x14ac:dyDescent="0.2">
      <c r="A1344" s="14">
        <f t="shared" si="220"/>
        <v>1305</v>
      </c>
      <c r="B1344" s="21" t="s">
        <v>1220</v>
      </c>
      <c r="C1344" s="15" t="s">
        <v>3</v>
      </c>
      <c r="D1344" s="21" t="s">
        <v>1200</v>
      </c>
      <c r="E1344" s="21"/>
      <c r="F1344" s="69" t="s">
        <v>4</v>
      </c>
      <c r="G1344" s="9">
        <v>42415</v>
      </c>
      <c r="H1344" s="22">
        <v>10645</v>
      </c>
      <c r="I1344" s="17">
        <v>0</v>
      </c>
      <c r="J1344" s="17">
        <v>260.43794520547942</v>
      </c>
      <c r="K1344" s="17">
        <f t="shared" si="212"/>
        <v>10384.56205479452</v>
      </c>
      <c r="L1344" s="23">
        <f t="shared" si="219"/>
        <v>532.25</v>
      </c>
      <c r="M1344" s="23">
        <v>5</v>
      </c>
      <c r="N1344" s="18">
        <f t="shared" si="213"/>
        <v>4.1315068493150688</v>
      </c>
      <c r="O1344" s="23">
        <f t="shared" si="218"/>
        <v>260.43794520547999</v>
      </c>
      <c r="P1344" s="18">
        <f t="shared" si="214"/>
        <v>5.1315068493150688</v>
      </c>
      <c r="Q1344" s="18">
        <f t="shared" si="216"/>
        <v>1970.462410958904</v>
      </c>
      <c r="R1344" s="18">
        <f t="shared" si="215"/>
        <v>2230.900356164384</v>
      </c>
      <c r="S1344" s="18">
        <f t="shared" si="217"/>
        <v>532.25</v>
      </c>
    </row>
    <row r="1345" spans="1:19" ht="15" customHeight="1" x14ac:dyDescent="0.2">
      <c r="A1345" s="14">
        <f t="shared" si="220"/>
        <v>1306</v>
      </c>
      <c r="B1345" s="21" t="s">
        <v>1221</v>
      </c>
      <c r="C1345" s="15" t="s">
        <v>3</v>
      </c>
      <c r="D1345" s="21" t="s">
        <v>1200</v>
      </c>
      <c r="E1345" s="21"/>
      <c r="F1345" s="69" t="s">
        <v>4</v>
      </c>
      <c r="G1345" s="9">
        <v>42415</v>
      </c>
      <c r="H1345" s="22">
        <v>16000</v>
      </c>
      <c r="I1345" s="17">
        <v>0</v>
      </c>
      <c r="J1345" s="17">
        <v>391.45205479452056</v>
      </c>
      <c r="K1345" s="17">
        <f t="shared" si="212"/>
        <v>15608.547945205479</v>
      </c>
      <c r="L1345" s="23">
        <f t="shared" si="219"/>
        <v>800</v>
      </c>
      <c r="M1345" s="23">
        <v>5</v>
      </c>
      <c r="N1345" s="18">
        <f t="shared" si="213"/>
        <v>4.1315068493150688</v>
      </c>
      <c r="O1345" s="23">
        <f t="shared" si="218"/>
        <v>391.45205479452125</v>
      </c>
      <c r="P1345" s="18">
        <f t="shared" si="214"/>
        <v>5.1315068493150688</v>
      </c>
      <c r="Q1345" s="18">
        <f t="shared" si="216"/>
        <v>2961.709589041096</v>
      </c>
      <c r="R1345" s="18">
        <f t="shared" si="215"/>
        <v>3353.1616438356173</v>
      </c>
      <c r="S1345" s="18">
        <f t="shared" si="217"/>
        <v>800</v>
      </c>
    </row>
    <row r="1346" spans="1:19" ht="15" customHeight="1" x14ac:dyDescent="0.2">
      <c r="A1346" s="14">
        <f t="shared" si="220"/>
        <v>1307</v>
      </c>
      <c r="B1346" s="21" t="s">
        <v>1222</v>
      </c>
      <c r="C1346" s="15" t="s">
        <v>3</v>
      </c>
      <c r="D1346" s="21" t="s">
        <v>1200</v>
      </c>
      <c r="E1346" s="21"/>
      <c r="F1346" s="69" t="s">
        <v>4</v>
      </c>
      <c r="G1346" s="9">
        <v>42415</v>
      </c>
      <c r="H1346" s="22">
        <v>41418.550000000003</v>
      </c>
      <c r="I1346" s="17">
        <v>0</v>
      </c>
      <c r="J1346" s="17">
        <v>1013.3360315068495</v>
      </c>
      <c r="K1346" s="17">
        <f t="shared" si="212"/>
        <v>40405.213968493154</v>
      </c>
      <c r="L1346" s="23">
        <f t="shared" si="219"/>
        <v>2070.9275000000002</v>
      </c>
      <c r="M1346" s="23">
        <v>5</v>
      </c>
      <c r="N1346" s="18">
        <f t="shared" si="213"/>
        <v>4.1315068493150688</v>
      </c>
      <c r="O1346" s="23">
        <f t="shared" si="218"/>
        <v>1013.3360315068494</v>
      </c>
      <c r="P1346" s="18">
        <f t="shared" si="214"/>
        <v>5.1315068493150688</v>
      </c>
      <c r="Q1346" s="18">
        <f t="shared" si="216"/>
        <v>7666.8572936986311</v>
      </c>
      <c r="R1346" s="18">
        <f t="shared" si="215"/>
        <v>8680.1933252054805</v>
      </c>
      <c r="S1346" s="18">
        <f t="shared" si="217"/>
        <v>2070.9275000000002</v>
      </c>
    </row>
    <row r="1347" spans="1:19" ht="15" customHeight="1" x14ac:dyDescent="0.2">
      <c r="A1347" s="14">
        <f t="shared" si="220"/>
        <v>1308</v>
      </c>
      <c r="B1347" s="21" t="s">
        <v>1223</v>
      </c>
      <c r="C1347" s="15" t="s">
        <v>3</v>
      </c>
      <c r="D1347" s="21" t="s">
        <v>1200</v>
      </c>
      <c r="E1347" s="21"/>
      <c r="F1347" s="69" t="s">
        <v>4</v>
      </c>
      <c r="G1347" s="9">
        <v>42415</v>
      </c>
      <c r="H1347" s="22">
        <v>49466.33</v>
      </c>
      <c r="I1347" s="17">
        <v>0</v>
      </c>
      <c r="J1347" s="17">
        <v>1210.2310326027396</v>
      </c>
      <c r="K1347" s="17">
        <f t="shared" si="212"/>
        <v>48256.098967397265</v>
      </c>
      <c r="L1347" s="23">
        <f t="shared" si="219"/>
        <v>2473.3165000000004</v>
      </c>
      <c r="M1347" s="23">
        <v>5</v>
      </c>
      <c r="N1347" s="18">
        <f t="shared" si="213"/>
        <v>4.1315068493150688</v>
      </c>
      <c r="O1347" s="23">
        <f t="shared" si="218"/>
        <v>1210.2310326027364</v>
      </c>
      <c r="P1347" s="18">
        <f t="shared" si="214"/>
        <v>5.1315068493150688</v>
      </c>
      <c r="Q1347" s="18">
        <f t="shared" si="216"/>
        <v>9156.5564934794529</v>
      </c>
      <c r="R1347" s="18">
        <f t="shared" si="215"/>
        <v>10366.787526082189</v>
      </c>
      <c r="S1347" s="18">
        <f t="shared" si="217"/>
        <v>2473.3165000000004</v>
      </c>
    </row>
    <row r="1348" spans="1:19" ht="15" customHeight="1" x14ac:dyDescent="0.2">
      <c r="A1348" s="14">
        <f t="shared" si="220"/>
        <v>1309</v>
      </c>
      <c r="B1348" s="21" t="s">
        <v>1224</v>
      </c>
      <c r="C1348" s="15" t="s">
        <v>3</v>
      </c>
      <c r="D1348" s="21" t="s">
        <v>1200</v>
      </c>
      <c r="E1348" s="21"/>
      <c r="F1348" s="69" t="s">
        <v>4</v>
      </c>
      <c r="G1348" s="9">
        <v>42415</v>
      </c>
      <c r="H1348" s="22">
        <v>260936.89</v>
      </c>
      <c r="I1348" s="17">
        <v>0</v>
      </c>
      <c r="J1348" s="17">
        <v>6384.0176101369861</v>
      </c>
      <c r="K1348" s="17">
        <f t="shared" si="212"/>
        <v>254552.87238986304</v>
      </c>
      <c r="L1348" s="23">
        <f t="shared" si="219"/>
        <v>13046.844500000001</v>
      </c>
      <c r="M1348" s="23">
        <v>5</v>
      </c>
      <c r="N1348" s="18">
        <f t="shared" si="213"/>
        <v>4.1315068493150688</v>
      </c>
      <c r="O1348" s="23">
        <f t="shared" si="218"/>
        <v>6384.0176101369725</v>
      </c>
      <c r="P1348" s="18">
        <f t="shared" si="214"/>
        <v>5.1315068493150688</v>
      </c>
      <c r="Q1348" s="18">
        <f t="shared" si="216"/>
        <v>48301.205577972607</v>
      </c>
      <c r="R1348" s="18">
        <f t="shared" si="215"/>
        <v>54685.223188109579</v>
      </c>
      <c r="S1348" s="18">
        <f t="shared" si="217"/>
        <v>13046.844500000001</v>
      </c>
    </row>
    <row r="1349" spans="1:19" ht="15" customHeight="1" x14ac:dyDescent="0.2">
      <c r="A1349" s="14">
        <f t="shared" si="220"/>
        <v>1310</v>
      </c>
      <c r="B1349" s="21" t="s">
        <v>1225</v>
      </c>
      <c r="C1349" s="15" t="s">
        <v>3</v>
      </c>
      <c r="D1349" s="21" t="s">
        <v>1200</v>
      </c>
      <c r="E1349" s="21"/>
      <c r="F1349" s="69" t="s">
        <v>4</v>
      </c>
      <c r="G1349" s="9">
        <v>42415</v>
      </c>
      <c r="H1349" s="22">
        <v>11291.23</v>
      </c>
      <c r="I1349" s="17">
        <v>0</v>
      </c>
      <c r="J1349" s="17">
        <v>276.24844904109591</v>
      </c>
      <c r="K1349" s="17">
        <f t="shared" si="212"/>
        <v>11014.981550958904</v>
      </c>
      <c r="L1349" s="23">
        <f t="shared" si="219"/>
        <v>564.56150000000002</v>
      </c>
      <c r="M1349" s="23">
        <v>5</v>
      </c>
      <c r="N1349" s="18">
        <f t="shared" si="213"/>
        <v>4.1315068493150688</v>
      </c>
      <c r="O1349" s="23">
        <f t="shared" si="218"/>
        <v>276.24844904109523</v>
      </c>
      <c r="P1349" s="18">
        <f t="shared" si="214"/>
        <v>5.1315068493150688</v>
      </c>
      <c r="Q1349" s="18">
        <f t="shared" si="216"/>
        <v>2090.0840101917811</v>
      </c>
      <c r="R1349" s="18">
        <f t="shared" si="215"/>
        <v>2366.3324592328763</v>
      </c>
      <c r="S1349" s="18">
        <f t="shared" si="217"/>
        <v>564.56150000000002</v>
      </c>
    </row>
    <row r="1350" spans="1:19" ht="15" customHeight="1" x14ac:dyDescent="0.2">
      <c r="A1350" s="14">
        <f t="shared" si="220"/>
        <v>1311</v>
      </c>
      <c r="B1350" s="21" t="s">
        <v>1226</v>
      </c>
      <c r="C1350" s="15" t="s">
        <v>3</v>
      </c>
      <c r="D1350" s="21" t="s">
        <v>1200</v>
      </c>
      <c r="E1350" s="21"/>
      <c r="F1350" s="69" t="s">
        <v>4</v>
      </c>
      <c r="G1350" s="9">
        <v>42415</v>
      </c>
      <c r="H1350" s="22">
        <v>11000</v>
      </c>
      <c r="I1350" s="17">
        <v>0</v>
      </c>
      <c r="J1350" s="17">
        <v>269.1232876712329</v>
      </c>
      <c r="K1350" s="17">
        <f t="shared" si="212"/>
        <v>10730.876712328767</v>
      </c>
      <c r="L1350" s="23">
        <f t="shared" si="219"/>
        <v>550</v>
      </c>
      <c r="M1350" s="23">
        <v>5</v>
      </c>
      <c r="N1350" s="18">
        <f t="shared" si="213"/>
        <v>4.1315068493150688</v>
      </c>
      <c r="O1350" s="23">
        <f t="shared" si="218"/>
        <v>269.1232876712329</v>
      </c>
      <c r="P1350" s="18">
        <f t="shared" si="214"/>
        <v>5.1315068493150688</v>
      </c>
      <c r="Q1350" s="18">
        <f t="shared" si="216"/>
        <v>2036.1753424657536</v>
      </c>
      <c r="R1350" s="18">
        <f t="shared" si="215"/>
        <v>2305.2986301369865</v>
      </c>
      <c r="S1350" s="18">
        <f t="shared" si="217"/>
        <v>550</v>
      </c>
    </row>
    <row r="1351" spans="1:19" ht="15" customHeight="1" x14ac:dyDescent="0.2">
      <c r="A1351" s="14">
        <f t="shared" si="220"/>
        <v>1312</v>
      </c>
      <c r="B1351" s="21" t="s">
        <v>1227</v>
      </c>
      <c r="C1351" s="15" t="s">
        <v>3</v>
      </c>
      <c r="D1351" s="21" t="s">
        <v>1200</v>
      </c>
      <c r="E1351" s="21"/>
      <c r="F1351" s="69" t="s">
        <v>4</v>
      </c>
      <c r="G1351" s="9">
        <v>42444</v>
      </c>
      <c r="H1351" s="22">
        <v>31989</v>
      </c>
      <c r="I1351" s="17">
        <v>0</v>
      </c>
      <c r="J1351" s="17">
        <v>299.73254794520545</v>
      </c>
      <c r="K1351" s="17">
        <f t="shared" si="212"/>
        <v>31689.267452054795</v>
      </c>
      <c r="L1351" s="23">
        <f t="shared" si="219"/>
        <v>1599.45</v>
      </c>
      <c r="M1351" s="23">
        <v>5</v>
      </c>
      <c r="N1351" s="18">
        <f t="shared" si="213"/>
        <v>4.0520547945205481</v>
      </c>
      <c r="O1351" s="23">
        <f t="shared" si="218"/>
        <v>299.73254794520471</v>
      </c>
      <c r="P1351" s="18">
        <f t="shared" si="214"/>
        <v>5.0520547945205481</v>
      </c>
      <c r="Q1351" s="18">
        <f t="shared" si="216"/>
        <v>6017.9634904109589</v>
      </c>
      <c r="R1351" s="18">
        <f t="shared" si="215"/>
        <v>6317.6960383561636</v>
      </c>
      <c r="S1351" s="18">
        <f t="shared" si="217"/>
        <v>1599.45</v>
      </c>
    </row>
    <row r="1352" spans="1:19" ht="15" customHeight="1" x14ac:dyDescent="0.2">
      <c r="A1352" s="14">
        <f t="shared" si="220"/>
        <v>1313</v>
      </c>
      <c r="B1352" s="21" t="s">
        <v>1228</v>
      </c>
      <c r="C1352" s="15" t="s">
        <v>3</v>
      </c>
      <c r="D1352" s="21" t="s">
        <v>1200</v>
      </c>
      <c r="E1352" s="21"/>
      <c r="F1352" s="69" t="s">
        <v>4</v>
      </c>
      <c r="G1352" s="9">
        <v>42079</v>
      </c>
      <c r="H1352" s="22">
        <v>25799</v>
      </c>
      <c r="I1352" s="17">
        <v>0</v>
      </c>
      <c r="J1352" s="17">
        <f>H1352-L1352-10000</f>
        <v>14509.05</v>
      </c>
      <c r="K1352" s="17">
        <f t="shared" si="212"/>
        <v>11289.95</v>
      </c>
      <c r="L1352" s="23">
        <f t="shared" si="219"/>
        <v>1289.95</v>
      </c>
      <c r="M1352" s="23">
        <v>5</v>
      </c>
      <c r="N1352" s="18">
        <f t="shared" si="213"/>
        <v>5.0520547945205481</v>
      </c>
      <c r="O1352" s="23">
        <v>7254.5249999999996</v>
      </c>
      <c r="P1352" s="18">
        <f t="shared" si="214"/>
        <v>6.0520547945205481</v>
      </c>
      <c r="Q1352" s="18">
        <f t="shared" si="216"/>
        <v>2000</v>
      </c>
      <c r="R1352" s="18">
        <f t="shared" si="215"/>
        <v>9254.5249999999996</v>
      </c>
      <c r="S1352" s="18">
        <f t="shared" si="217"/>
        <v>1289.95</v>
      </c>
    </row>
    <row r="1353" spans="1:19" ht="15" customHeight="1" x14ac:dyDescent="0.2">
      <c r="A1353" s="14">
        <f t="shared" si="220"/>
        <v>1314</v>
      </c>
      <c r="B1353" s="21" t="s">
        <v>1229</v>
      </c>
      <c r="C1353" s="15" t="s">
        <v>3</v>
      </c>
      <c r="D1353" s="21" t="s">
        <v>1200</v>
      </c>
      <c r="E1353" s="21"/>
      <c r="F1353" s="69" t="s">
        <v>4</v>
      </c>
      <c r="G1353" s="9">
        <v>42079</v>
      </c>
      <c r="H1353" s="22">
        <v>42600</v>
      </c>
      <c r="I1353" s="17">
        <v>0</v>
      </c>
      <c r="J1353" s="17">
        <f>H1353-L1353-15000</f>
        <v>25470</v>
      </c>
      <c r="K1353" s="17">
        <f t="shared" si="212"/>
        <v>17130</v>
      </c>
      <c r="L1353" s="23">
        <f t="shared" si="219"/>
        <v>2130</v>
      </c>
      <c r="M1353" s="23">
        <v>3</v>
      </c>
      <c r="N1353" s="18">
        <f t="shared" si="213"/>
        <v>5.0520547945205481</v>
      </c>
      <c r="O1353" s="23">
        <v>12735</v>
      </c>
      <c r="P1353" s="18">
        <f t="shared" si="214"/>
        <v>6.0520547945205481</v>
      </c>
      <c r="Q1353" s="18">
        <f t="shared" si="216"/>
        <v>5000</v>
      </c>
      <c r="R1353" s="18">
        <f t="shared" si="215"/>
        <v>17735</v>
      </c>
      <c r="S1353" s="18">
        <f t="shared" si="217"/>
        <v>2130</v>
      </c>
    </row>
    <row r="1354" spans="1:19" ht="15" customHeight="1" x14ac:dyDescent="0.2">
      <c r="A1354" s="14">
        <f t="shared" si="220"/>
        <v>1315</v>
      </c>
      <c r="B1354" s="21" t="s">
        <v>1230</v>
      </c>
      <c r="C1354" s="15" t="s">
        <v>3</v>
      </c>
      <c r="D1354" s="21" t="s">
        <v>1200</v>
      </c>
      <c r="E1354" s="21"/>
      <c r="F1354" s="69" t="s">
        <v>4</v>
      </c>
      <c r="G1354" s="9">
        <v>42079</v>
      </c>
      <c r="H1354" s="22">
        <v>60000</v>
      </c>
      <c r="I1354" s="17">
        <v>0</v>
      </c>
      <c r="J1354" s="17">
        <f>H1354-L1354-20000</f>
        <v>37000</v>
      </c>
      <c r="K1354" s="17">
        <f t="shared" si="212"/>
        <v>23000</v>
      </c>
      <c r="L1354" s="23">
        <f t="shared" si="219"/>
        <v>3000</v>
      </c>
      <c r="M1354" s="23">
        <v>5</v>
      </c>
      <c r="N1354" s="18">
        <f t="shared" si="213"/>
        <v>5.0520547945205481</v>
      </c>
      <c r="O1354" s="23">
        <v>18500</v>
      </c>
      <c r="P1354" s="18">
        <f t="shared" si="214"/>
        <v>6.0520547945205481</v>
      </c>
      <c r="Q1354" s="18">
        <f t="shared" si="216"/>
        <v>4000</v>
      </c>
      <c r="R1354" s="18">
        <f t="shared" si="215"/>
        <v>22500</v>
      </c>
      <c r="S1354" s="18">
        <f t="shared" si="217"/>
        <v>3000</v>
      </c>
    </row>
    <row r="1355" spans="1:19" ht="15" customHeight="1" x14ac:dyDescent="0.2">
      <c r="A1355" s="14">
        <f t="shared" si="220"/>
        <v>1316</v>
      </c>
      <c r="B1355" s="31" t="s">
        <v>1231</v>
      </c>
      <c r="C1355" s="15" t="s">
        <v>3</v>
      </c>
      <c r="D1355" s="21" t="s">
        <v>1200</v>
      </c>
      <c r="E1355" s="21"/>
      <c r="F1355" s="69" t="s">
        <v>4</v>
      </c>
      <c r="G1355" s="32">
        <v>42063</v>
      </c>
      <c r="H1355" s="29">
        <v>24000</v>
      </c>
      <c r="I1355" s="17">
        <v>0</v>
      </c>
      <c r="J1355" s="17">
        <f>H1355-L1355-10000</f>
        <v>12800</v>
      </c>
      <c r="K1355" s="17">
        <f t="shared" si="212"/>
        <v>11200</v>
      </c>
      <c r="L1355" s="23">
        <f t="shared" si="219"/>
        <v>1200</v>
      </c>
      <c r="M1355" s="33">
        <v>5</v>
      </c>
      <c r="N1355" s="18">
        <f t="shared" si="213"/>
        <v>5.095890410958904</v>
      </c>
      <c r="O1355" s="23">
        <v>6400</v>
      </c>
      <c r="P1355" s="18">
        <f t="shared" si="214"/>
        <v>6.095890410958904</v>
      </c>
      <c r="Q1355" s="18">
        <f t="shared" si="216"/>
        <v>2000</v>
      </c>
      <c r="R1355" s="18">
        <f t="shared" si="215"/>
        <v>8400</v>
      </c>
      <c r="S1355" s="18">
        <f t="shared" si="217"/>
        <v>1200</v>
      </c>
    </row>
    <row r="1356" spans="1:19" ht="15" customHeight="1" x14ac:dyDescent="0.2">
      <c r="A1356" s="14">
        <f t="shared" si="220"/>
        <v>1317</v>
      </c>
      <c r="B1356" s="21" t="s">
        <v>1232</v>
      </c>
      <c r="C1356" s="15" t="s">
        <v>3</v>
      </c>
      <c r="D1356" s="21" t="s">
        <v>1200</v>
      </c>
      <c r="E1356" s="21"/>
      <c r="F1356" s="69" t="s">
        <v>4</v>
      </c>
      <c r="G1356" s="9">
        <v>42063</v>
      </c>
      <c r="H1356" s="22">
        <v>24900</v>
      </c>
      <c r="I1356" s="17">
        <v>0</v>
      </c>
      <c r="J1356" s="17">
        <f t="shared" ref="J1356:J1415" si="221">H1356-L1356</f>
        <v>23655</v>
      </c>
      <c r="K1356" s="17">
        <f t="shared" si="212"/>
        <v>1245</v>
      </c>
      <c r="L1356" s="23">
        <f t="shared" si="219"/>
        <v>1245</v>
      </c>
      <c r="M1356" s="23">
        <v>5</v>
      </c>
      <c r="N1356" s="18">
        <f t="shared" si="213"/>
        <v>5.095890410958904</v>
      </c>
      <c r="O1356" s="23">
        <v>11827.5</v>
      </c>
      <c r="P1356" s="18">
        <f t="shared" si="214"/>
        <v>6.095890410958904</v>
      </c>
      <c r="Q1356" s="18">
        <f t="shared" si="216"/>
        <v>0</v>
      </c>
      <c r="R1356" s="18">
        <f t="shared" si="215"/>
        <v>11827.5</v>
      </c>
      <c r="S1356" s="18">
        <f t="shared" si="217"/>
        <v>1245</v>
      </c>
    </row>
    <row r="1357" spans="1:19" ht="15" customHeight="1" x14ac:dyDescent="0.2">
      <c r="A1357" s="14">
        <f t="shared" si="220"/>
        <v>1318</v>
      </c>
      <c r="B1357" s="21" t="s">
        <v>1228</v>
      </c>
      <c r="C1357" s="15" t="s">
        <v>3</v>
      </c>
      <c r="D1357" s="21" t="s">
        <v>1200</v>
      </c>
      <c r="E1357" s="21"/>
      <c r="F1357" s="69" t="s">
        <v>4</v>
      </c>
      <c r="G1357" s="9">
        <v>42035</v>
      </c>
      <c r="H1357" s="22">
        <v>15900</v>
      </c>
      <c r="I1357" s="17">
        <v>0</v>
      </c>
      <c r="J1357" s="17">
        <f t="shared" si="221"/>
        <v>15105</v>
      </c>
      <c r="K1357" s="17">
        <f t="shared" si="212"/>
        <v>795</v>
      </c>
      <c r="L1357" s="23">
        <f t="shared" si="219"/>
        <v>795</v>
      </c>
      <c r="M1357" s="23">
        <v>5</v>
      </c>
      <c r="N1357" s="18">
        <f t="shared" si="213"/>
        <v>5.1726027397260275</v>
      </c>
      <c r="O1357" s="23">
        <v>7552.5</v>
      </c>
      <c r="P1357" s="18">
        <f t="shared" si="214"/>
        <v>6.1726027397260275</v>
      </c>
      <c r="Q1357" s="18">
        <f t="shared" si="216"/>
        <v>0</v>
      </c>
      <c r="R1357" s="18">
        <f t="shared" si="215"/>
        <v>7552.5</v>
      </c>
      <c r="S1357" s="18">
        <f t="shared" si="217"/>
        <v>795</v>
      </c>
    </row>
    <row r="1358" spans="1:19" ht="15" customHeight="1" x14ac:dyDescent="0.2">
      <c r="A1358" s="14">
        <f t="shared" si="220"/>
        <v>1319</v>
      </c>
      <c r="B1358" s="21" t="s">
        <v>1233</v>
      </c>
      <c r="C1358" s="15" t="s">
        <v>3</v>
      </c>
      <c r="D1358" s="21" t="s">
        <v>1200</v>
      </c>
      <c r="E1358" s="21"/>
      <c r="F1358" s="69" t="s">
        <v>4</v>
      </c>
      <c r="G1358" s="9">
        <v>42035</v>
      </c>
      <c r="H1358" s="22">
        <v>137200</v>
      </c>
      <c r="I1358" s="17">
        <v>0</v>
      </c>
      <c r="J1358" s="17">
        <f>H1358-L1358-100000</f>
        <v>30340</v>
      </c>
      <c r="K1358" s="17">
        <f t="shared" si="212"/>
        <v>106860</v>
      </c>
      <c r="L1358" s="23">
        <f t="shared" si="219"/>
        <v>6860</v>
      </c>
      <c r="M1358" s="23">
        <v>3</v>
      </c>
      <c r="N1358" s="18">
        <f t="shared" si="213"/>
        <v>5.1726027397260275</v>
      </c>
      <c r="O1358" s="23">
        <v>15170</v>
      </c>
      <c r="P1358" s="18">
        <f t="shared" si="214"/>
        <v>6.1726027397260275</v>
      </c>
      <c r="Q1358" s="18">
        <f t="shared" si="216"/>
        <v>33333.333333333328</v>
      </c>
      <c r="R1358" s="18">
        <f t="shared" si="215"/>
        <v>48503.333333333328</v>
      </c>
      <c r="S1358" s="18">
        <f t="shared" si="217"/>
        <v>6860</v>
      </c>
    </row>
    <row r="1359" spans="1:19" ht="15" customHeight="1" x14ac:dyDescent="0.2">
      <c r="A1359" s="14">
        <f t="shared" si="220"/>
        <v>1320</v>
      </c>
      <c r="B1359" s="35" t="s">
        <v>1234</v>
      </c>
      <c r="C1359" s="15" t="s">
        <v>3</v>
      </c>
      <c r="D1359" s="21" t="s">
        <v>1200</v>
      </c>
      <c r="E1359" s="21"/>
      <c r="F1359" s="69" t="s">
        <v>4</v>
      </c>
      <c r="G1359" s="36">
        <v>42029</v>
      </c>
      <c r="H1359" s="37">
        <v>9999</v>
      </c>
      <c r="I1359" s="17">
        <v>0</v>
      </c>
      <c r="J1359" s="17">
        <f t="shared" si="221"/>
        <v>9499.0499999999993</v>
      </c>
      <c r="K1359" s="17">
        <f t="shared" si="212"/>
        <v>499.95000000000073</v>
      </c>
      <c r="L1359" s="23">
        <f t="shared" si="219"/>
        <v>499.95000000000005</v>
      </c>
      <c r="M1359" s="38">
        <v>5</v>
      </c>
      <c r="N1359" s="18">
        <f t="shared" si="213"/>
        <v>5.1890410958904107</v>
      </c>
      <c r="O1359" s="23">
        <v>4749.5249999999996</v>
      </c>
      <c r="P1359" s="18">
        <f t="shared" si="214"/>
        <v>6.1890410958904107</v>
      </c>
      <c r="Q1359" s="18">
        <f t="shared" si="216"/>
        <v>1.3642420526593926E-13</v>
      </c>
      <c r="R1359" s="18">
        <f t="shared" si="215"/>
        <v>4749.5249999999996</v>
      </c>
      <c r="S1359" s="18">
        <f t="shared" si="217"/>
        <v>499.95000000000005</v>
      </c>
    </row>
    <row r="1360" spans="1:19" ht="15" customHeight="1" x14ac:dyDescent="0.2">
      <c r="A1360" s="14">
        <f t="shared" si="220"/>
        <v>1321</v>
      </c>
      <c r="B1360" s="35" t="s">
        <v>1235</v>
      </c>
      <c r="C1360" s="15" t="s">
        <v>3</v>
      </c>
      <c r="D1360" s="21" t="s">
        <v>1200</v>
      </c>
      <c r="E1360" s="21"/>
      <c r="F1360" s="69" t="s">
        <v>4</v>
      </c>
      <c r="G1360" s="36">
        <v>42029</v>
      </c>
      <c r="H1360" s="37">
        <v>42899</v>
      </c>
      <c r="I1360" s="17">
        <v>0</v>
      </c>
      <c r="J1360" s="17">
        <f t="shared" si="221"/>
        <v>40754.050000000003</v>
      </c>
      <c r="K1360" s="17">
        <f t="shared" si="212"/>
        <v>2144.9499999999971</v>
      </c>
      <c r="L1360" s="23">
        <f t="shared" si="219"/>
        <v>2144.9500000000003</v>
      </c>
      <c r="M1360" s="38">
        <v>5</v>
      </c>
      <c r="N1360" s="18">
        <f t="shared" si="213"/>
        <v>5.1890410958904107</v>
      </c>
      <c r="O1360" s="23">
        <v>20377.025000000001</v>
      </c>
      <c r="P1360" s="18">
        <f t="shared" si="214"/>
        <v>6.1890410958904107</v>
      </c>
      <c r="Q1360" s="18">
        <f t="shared" si="216"/>
        <v>-6.3664629124104983E-13</v>
      </c>
      <c r="R1360" s="18">
        <f t="shared" si="215"/>
        <v>20377.025000000001</v>
      </c>
      <c r="S1360" s="18">
        <f t="shared" si="217"/>
        <v>2144.9500000000003</v>
      </c>
    </row>
    <row r="1361" spans="1:19" ht="15" customHeight="1" x14ac:dyDescent="0.2">
      <c r="A1361" s="14">
        <f t="shared" si="220"/>
        <v>1322</v>
      </c>
      <c r="B1361" s="35" t="s">
        <v>1236</v>
      </c>
      <c r="C1361" s="15" t="s">
        <v>3</v>
      </c>
      <c r="D1361" s="21" t="s">
        <v>1200</v>
      </c>
      <c r="E1361" s="21"/>
      <c r="F1361" s="69" t="s">
        <v>4</v>
      </c>
      <c r="G1361" s="36">
        <v>42009</v>
      </c>
      <c r="H1361" s="37">
        <v>57000</v>
      </c>
      <c r="I1361" s="17">
        <v>0</v>
      </c>
      <c r="J1361" s="17">
        <f t="shared" si="221"/>
        <v>54150</v>
      </c>
      <c r="K1361" s="17">
        <f t="shared" si="212"/>
        <v>2850</v>
      </c>
      <c r="L1361" s="23">
        <f t="shared" si="219"/>
        <v>2850</v>
      </c>
      <c r="M1361" s="38">
        <v>3</v>
      </c>
      <c r="N1361" s="18">
        <f t="shared" si="213"/>
        <v>5.2438356164383562</v>
      </c>
      <c r="O1361" s="23">
        <v>27075</v>
      </c>
      <c r="P1361" s="18">
        <f t="shared" si="214"/>
        <v>6.2438356164383562</v>
      </c>
      <c r="Q1361" s="18">
        <f t="shared" si="216"/>
        <v>0</v>
      </c>
      <c r="R1361" s="18">
        <f t="shared" si="215"/>
        <v>27075</v>
      </c>
      <c r="S1361" s="18">
        <f t="shared" si="217"/>
        <v>2850</v>
      </c>
    </row>
    <row r="1362" spans="1:19" ht="15" customHeight="1" x14ac:dyDescent="0.2">
      <c r="A1362" s="14">
        <f t="shared" si="220"/>
        <v>1323</v>
      </c>
      <c r="B1362" s="21" t="s">
        <v>1237</v>
      </c>
      <c r="C1362" s="15" t="s">
        <v>3</v>
      </c>
      <c r="D1362" s="21" t="s">
        <v>1200</v>
      </c>
      <c r="E1362" s="21"/>
      <c r="F1362" s="69" t="s">
        <v>4</v>
      </c>
      <c r="G1362" s="9">
        <v>42004</v>
      </c>
      <c r="H1362" s="22">
        <v>59000</v>
      </c>
      <c r="I1362" s="17">
        <v>0</v>
      </c>
      <c r="J1362" s="17">
        <f>H1362-L1362-20000</f>
        <v>36050</v>
      </c>
      <c r="K1362" s="17">
        <f t="shared" si="212"/>
        <v>22950</v>
      </c>
      <c r="L1362" s="23">
        <f t="shared" si="219"/>
        <v>2950</v>
      </c>
      <c r="M1362" s="23">
        <v>5</v>
      </c>
      <c r="N1362" s="18">
        <f t="shared" si="213"/>
        <v>5.2575342465753421</v>
      </c>
      <c r="O1362" s="23">
        <v>18025</v>
      </c>
      <c r="P1362" s="18">
        <f t="shared" si="214"/>
        <v>6.2575342465753421</v>
      </c>
      <c r="Q1362" s="18">
        <f t="shared" si="216"/>
        <v>4000</v>
      </c>
      <c r="R1362" s="18">
        <f t="shared" si="215"/>
        <v>22025</v>
      </c>
      <c r="S1362" s="18">
        <f t="shared" si="217"/>
        <v>2950</v>
      </c>
    </row>
    <row r="1363" spans="1:19" ht="15" customHeight="1" x14ac:dyDescent="0.2">
      <c r="A1363" s="14">
        <f t="shared" si="220"/>
        <v>1324</v>
      </c>
      <c r="B1363" s="21" t="s">
        <v>1208</v>
      </c>
      <c r="C1363" s="15" t="s">
        <v>3</v>
      </c>
      <c r="D1363" s="21" t="s">
        <v>1200</v>
      </c>
      <c r="E1363" s="21"/>
      <c r="F1363" s="69" t="s">
        <v>4</v>
      </c>
      <c r="G1363" s="9">
        <v>41994</v>
      </c>
      <c r="H1363" s="22">
        <v>6100</v>
      </c>
      <c r="I1363" s="17">
        <v>0</v>
      </c>
      <c r="J1363" s="17">
        <f t="shared" si="221"/>
        <v>5795</v>
      </c>
      <c r="K1363" s="17">
        <f t="shared" si="212"/>
        <v>305</v>
      </c>
      <c r="L1363" s="23">
        <f t="shared" si="219"/>
        <v>305</v>
      </c>
      <c r="M1363" s="23">
        <v>3</v>
      </c>
      <c r="N1363" s="18">
        <f t="shared" si="213"/>
        <v>5.2849315068493148</v>
      </c>
      <c r="O1363" s="23">
        <v>2897.5</v>
      </c>
      <c r="P1363" s="18">
        <f t="shared" si="214"/>
        <v>6.2849315068493148</v>
      </c>
      <c r="Q1363" s="18">
        <f t="shared" si="216"/>
        <v>0</v>
      </c>
      <c r="R1363" s="18">
        <f t="shared" si="215"/>
        <v>2897.5</v>
      </c>
      <c r="S1363" s="18">
        <f t="shared" si="217"/>
        <v>305</v>
      </c>
    </row>
    <row r="1364" spans="1:19" ht="15" customHeight="1" x14ac:dyDescent="0.2">
      <c r="A1364" s="14">
        <f t="shared" si="220"/>
        <v>1325</v>
      </c>
      <c r="B1364" s="21" t="s">
        <v>1238</v>
      </c>
      <c r="C1364" s="15" t="s">
        <v>3</v>
      </c>
      <c r="D1364" s="21" t="s">
        <v>1200</v>
      </c>
      <c r="E1364" s="21"/>
      <c r="F1364" s="69" t="s">
        <v>4</v>
      </c>
      <c r="G1364" s="9">
        <v>41988</v>
      </c>
      <c r="H1364" s="22">
        <v>10027.5</v>
      </c>
      <c r="I1364" s="17">
        <v>0</v>
      </c>
      <c r="J1364" s="17">
        <f t="shared" si="221"/>
        <v>9526.125</v>
      </c>
      <c r="K1364" s="17">
        <f t="shared" si="212"/>
        <v>501.375</v>
      </c>
      <c r="L1364" s="23">
        <f t="shared" si="219"/>
        <v>501.375</v>
      </c>
      <c r="M1364" s="23">
        <v>3</v>
      </c>
      <c r="N1364" s="18">
        <f t="shared" si="213"/>
        <v>5.3013698630136989</v>
      </c>
      <c r="O1364" s="23">
        <v>4763.0625</v>
      </c>
      <c r="P1364" s="18">
        <f t="shared" si="214"/>
        <v>6.3013698630136989</v>
      </c>
      <c r="Q1364" s="18">
        <f t="shared" si="216"/>
        <v>0</v>
      </c>
      <c r="R1364" s="18">
        <f t="shared" si="215"/>
        <v>4763.0625</v>
      </c>
      <c r="S1364" s="18">
        <f t="shared" si="217"/>
        <v>501.375</v>
      </c>
    </row>
    <row r="1365" spans="1:19" ht="15" customHeight="1" x14ac:dyDescent="0.2">
      <c r="A1365" s="14">
        <f t="shared" si="220"/>
        <v>1326</v>
      </c>
      <c r="B1365" s="21" t="s">
        <v>1239</v>
      </c>
      <c r="C1365" s="15" t="s">
        <v>3</v>
      </c>
      <c r="D1365" s="21" t="s">
        <v>1200</v>
      </c>
      <c r="E1365" s="21"/>
      <c r="F1365" s="69" t="s">
        <v>4</v>
      </c>
      <c r="G1365" s="9">
        <v>41964</v>
      </c>
      <c r="H1365" s="22">
        <v>50000</v>
      </c>
      <c r="I1365" s="17">
        <v>0</v>
      </c>
      <c r="J1365" s="17">
        <f>H1365-L1365-20000</f>
        <v>27500</v>
      </c>
      <c r="K1365" s="17">
        <f t="shared" si="212"/>
        <v>22500</v>
      </c>
      <c r="L1365" s="23">
        <f t="shared" si="219"/>
        <v>2500</v>
      </c>
      <c r="M1365" s="23">
        <v>3</v>
      </c>
      <c r="N1365" s="18">
        <f t="shared" si="213"/>
        <v>5.3671232876712329</v>
      </c>
      <c r="O1365" s="23">
        <v>13750</v>
      </c>
      <c r="P1365" s="18">
        <f t="shared" si="214"/>
        <v>6.3671232876712329</v>
      </c>
      <c r="Q1365" s="18">
        <f t="shared" si="216"/>
        <v>6666.6666666666661</v>
      </c>
      <c r="R1365" s="18">
        <f t="shared" si="215"/>
        <v>20416.666666666664</v>
      </c>
      <c r="S1365" s="18">
        <f t="shared" si="217"/>
        <v>2500</v>
      </c>
    </row>
    <row r="1366" spans="1:19" ht="15" customHeight="1" x14ac:dyDescent="0.2">
      <c r="A1366" s="14">
        <f t="shared" si="220"/>
        <v>1327</v>
      </c>
      <c r="B1366" s="21" t="s">
        <v>1240</v>
      </c>
      <c r="C1366" s="15" t="s">
        <v>3</v>
      </c>
      <c r="D1366" s="21" t="s">
        <v>1200</v>
      </c>
      <c r="E1366" s="21"/>
      <c r="F1366" s="69" t="s">
        <v>4</v>
      </c>
      <c r="G1366" s="9">
        <v>41954</v>
      </c>
      <c r="H1366" s="22">
        <v>3000</v>
      </c>
      <c r="I1366" s="17">
        <v>0</v>
      </c>
      <c r="J1366" s="17">
        <f t="shared" si="221"/>
        <v>2850</v>
      </c>
      <c r="K1366" s="17">
        <f t="shared" si="212"/>
        <v>150</v>
      </c>
      <c r="L1366" s="23">
        <f t="shared" si="219"/>
        <v>150</v>
      </c>
      <c r="M1366" s="23">
        <v>5</v>
      </c>
      <c r="N1366" s="18">
        <f t="shared" si="213"/>
        <v>5.3945205479452056</v>
      </c>
      <c r="O1366" s="23">
        <v>1425</v>
      </c>
      <c r="P1366" s="18">
        <f t="shared" si="214"/>
        <v>6.3945205479452056</v>
      </c>
      <c r="Q1366" s="18">
        <f t="shared" si="216"/>
        <v>0</v>
      </c>
      <c r="R1366" s="18">
        <f t="shared" si="215"/>
        <v>1425</v>
      </c>
      <c r="S1366" s="18">
        <f t="shared" si="217"/>
        <v>150</v>
      </c>
    </row>
    <row r="1367" spans="1:19" ht="15" customHeight="1" x14ac:dyDescent="0.2">
      <c r="A1367" s="14">
        <f t="shared" si="220"/>
        <v>1328</v>
      </c>
      <c r="B1367" s="21" t="s">
        <v>1208</v>
      </c>
      <c r="C1367" s="15" t="s">
        <v>3</v>
      </c>
      <c r="D1367" s="21" t="s">
        <v>1200</v>
      </c>
      <c r="E1367" s="21"/>
      <c r="F1367" s="69" t="s">
        <v>4</v>
      </c>
      <c r="G1367" s="9">
        <v>41953</v>
      </c>
      <c r="H1367" s="22">
        <v>1600</v>
      </c>
      <c r="I1367" s="17">
        <v>0</v>
      </c>
      <c r="J1367" s="17">
        <f t="shared" si="221"/>
        <v>1520</v>
      </c>
      <c r="K1367" s="17">
        <f t="shared" si="212"/>
        <v>80</v>
      </c>
      <c r="L1367" s="23">
        <f t="shared" si="219"/>
        <v>80</v>
      </c>
      <c r="M1367" s="23">
        <v>5</v>
      </c>
      <c r="N1367" s="18">
        <f t="shared" si="213"/>
        <v>5.397260273972603</v>
      </c>
      <c r="O1367" s="23">
        <v>760</v>
      </c>
      <c r="P1367" s="18">
        <f t="shared" si="214"/>
        <v>6.397260273972603</v>
      </c>
      <c r="Q1367" s="18">
        <f t="shared" si="216"/>
        <v>0</v>
      </c>
      <c r="R1367" s="18">
        <f t="shared" si="215"/>
        <v>760</v>
      </c>
      <c r="S1367" s="18">
        <f t="shared" si="217"/>
        <v>80</v>
      </c>
    </row>
    <row r="1368" spans="1:19" ht="15" customHeight="1" x14ac:dyDescent="0.2">
      <c r="A1368" s="14">
        <f t="shared" si="220"/>
        <v>1329</v>
      </c>
      <c r="B1368" s="21" t="s">
        <v>1241</v>
      </c>
      <c r="C1368" s="15" t="s">
        <v>3</v>
      </c>
      <c r="D1368" s="21" t="s">
        <v>1200</v>
      </c>
      <c r="E1368" s="21"/>
      <c r="F1368" s="69" t="s">
        <v>4</v>
      </c>
      <c r="G1368" s="9">
        <v>41927</v>
      </c>
      <c r="H1368" s="22">
        <v>425</v>
      </c>
      <c r="I1368" s="17">
        <v>0</v>
      </c>
      <c r="J1368" s="17">
        <f t="shared" si="221"/>
        <v>403.75</v>
      </c>
      <c r="K1368" s="17">
        <f t="shared" si="212"/>
        <v>21.25</v>
      </c>
      <c r="L1368" s="23">
        <f t="shared" si="219"/>
        <v>21.25</v>
      </c>
      <c r="M1368" s="23">
        <v>5</v>
      </c>
      <c r="N1368" s="18">
        <f t="shared" si="213"/>
        <v>5.4684931506849317</v>
      </c>
      <c r="O1368" s="23">
        <v>201.875</v>
      </c>
      <c r="P1368" s="18">
        <f t="shared" si="214"/>
        <v>6.4684931506849317</v>
      </c>
      <c r="Q1368" s="18">
        <f t="shared" si="216"/>
        <v>0</v>
      </c>
      <c r="R1368" s="18">
        <f t="shared" si="215"/>
        <v>201.875</v>
      </c>
      <c r="S1368" s="18">
        <f t="shared" si="217"/>
        <v>21.25</v>
      </c>
    </row>
    <row r="1369" spans="1:19" ht="15" customHeight="1" x14ac:dyDescent="0.2">
      <c r="A1369" s="14">
        <f t="shared" si="220"/>
        <v>1330</v>
      </c>
      <c r="B1369" s="21" t="s">
        <v>1242</v>
      </c>
      <c r="C1369" s="15" t="s">
        <v>3</v>
      </c>
      <c r="D1369" s="21" t="s">
        <v>1200</v>
      </c>
      <c r="E1369" s="21"/>
      <c r="F1369" s="69" t="s">
        <v>4</v>
      </c>
      <c r="G1369" s="9">
        <v>41927</v>
      </c>
      <c r="H1369" s="22">
        <v>1700</v>
      </c>
      <c r="I1369" s="17">
        <v>0</v>
      </c>
      <c r="J1369" s="17">
        <f t="shared" si="221"/>
        <v>1615</v>
      </c>
      <c r="K1369" s="17">
        <f t="shared" si="212"/>
        <v>85</v>
      </c>
      <c r="L1369" s="23">
        <f t="shared" si="219"/>
        <v>85</v>
      </c>
      <c r="M1369" s="23">
        <v>5</v>
      </c>
      <c r="N1369" s="18">
        <f t="shared" si="213"/>
        <v>5.4684931506849317</v>
      </c>
      <c r="O1369" s="23">
        <v>807.5</v>
      </c>
      <c r="P1369" s="18">
        <f t="shared" si="214"/>
        <v>6.4684931506849317</v>
      </c>
      <c r="Q1369" s="18">
        <f t="shared" si="216"/>
        <v>0</v>
      </c>
      <c r="R1369" s="18">
        <f t="shared" si="215"/>
        <v>807.5</v>
      </c>
      <c r="S1369" s="18">
        <f t="shared" si="217"/>
        <v>85</v>
      </c>
    </row>
    <row r="1370" spans="1:19" ht="15" customHeight="1" x14ac:dyDescent="0.2">
      <c r="A1370" s="14">
        <f t="shared" si="220"/>
        <v>1331</v>
      </c>
      <c r="B1370" s="21" t="s">
        <v>1208</v>
      </c>
      <c r="C1370" s="15" t="s">
        <v>3</v>
      </c>
      <c r="D1370" s="21" t="s">
        <v>1200</v>
      </c>
      <c r="E1370" s="21"/>
      <c r="F1370" s="69" t="s">
        <v>4</v>
      </c>
      <c r="G1370" s="9">
        <v>41897</v>
      </c>
      <c r="H1370" s="22">
        <v>1550</v>
      </c>
      <c r="I1370" s="17">
        <v>0</v>
      </c>
      <c r="J1370" s="17">
        <f t="shared" si="221"/>
        <v>1472.5</v>
      </c>
      <c r="K1370" s="17">
        <f t="shared" si="212"/>
        <v>77.5</v>
      </c>
      <c r="L1370" s="23">
        <f t="shared" si="219"/>
        <v>77.5</v>
      </c>
      <c r="M1370" s="23">
        <v>5</v>
      </c>
      <c r="N1370" s="18">
        <f t="shared" si="213"/>
        <v>5.5506849315068489</v>
      </c>
      <c r="O1370" s="23">
        <v>736.25</v>
      </c>
      <c r="P1370" s="18">
        <f t="shared" si="214"/>
        <v>6.5506849315068489</v>
      </c>
      <c r="Q1370" s="18">
        <f t="shared" si="216"/>
        <v>0</v>
      </c>
      <c r="R1370" s="18">
        <f t="shared" si="215"/>
        <v>736.25</v>
      </c>
      <c r="S1370" s="18">
        <f t="shared" si="217"/>
        <v>77.5</v>
      </c>
    </row>
    <row r="1371" spans="1:19" ht="15" customHeight="1" x14ac:dyDescent="0.2">
      <c r="A1371" s="14">
        <f t="shared" si="220"/>
        <v>1332</v>
      </c>
      <c r="B1371" s="21" t="s">
        <v>1199</v>
      </c>
      <c r="C1371" s="15" t="s">
        <v>3</v>
      </c>
      <c r="D1371" s="21" t="s">
        <v>1200</v>
      </c>
      <c r="E1371" s="21"/>
      <c r="F1371" s="69" t="s">
        <v>4</v>
      </c>
      <c r="G1371" s="9">
        <v>41877</v>
      </c>
      <c r="H1371" s="22">
        <v>52900</v>
      </c>
      <c r="I1371" s="17">
        <v>0</v>
      </c>
      <c r="J1371" s="17">
        <f>H1371-L1371-30000</f>
        <v>20255</v>
      </c>
      <c r="K1371" s="17">
        <f t="shared" si="212"/>
        <v>32645</v>
      </c>
      <c r="L1371" s="23">
        <f t="shared" si="219"/>
        <v>2645</v>
      </c>
      <c r="M1371" s="23">
        <v>3</v>
      </c>
      <c r="N1371" s="18">
        <f t="shared" si="213"/>
        <v>5.6054794520547944</v>
      </c>
      <c r="O1371" s="23">
        <v>10127.5</v>
      </c>
      <c r="P1371" s="18">
        <f t="shared" si="214"/>
        <v>6.6054794520547944</v>
      </c>
      <c r="Q1371" s="18">
        <f t="shared" si="216"/>
        <v>10000</v>
      </c>
      <c r="R1371" s="18">
        <f t="shared" si="215"/>
        <v>20127.5</v>
      </c>
      <c r="S1371" s="18">
        <f t="shared" si="217"/>
        <v>2645</v>
      </c>
    </row>
    <row r="1372" spans="1:19" ht="15" customHeight="1" x14ac:dyDescent="0.2">
      <c r="A1372" s="14">
        <f t="shared" si="220"/>
        <v>1333</v>
      </c>
      <c r="B1372" s="21" t="s">
        <v>1243</v>
      </c>
      <c r="C1372" s="15" t="s">
        <v>3</v>
      </c>
      <c r="D1372" s="21" t="s">
        <v>1200</v>
      </c>
      <c r="E1372" s="21"/>
      <c r="F1372" s="69" t="s">
        <v>4</v>
      </c>
      <c r="G1372" s="9">
        <v>41866</v>
      </c>
      <c r="H1372" s="22">
        <v>59429.88</v>
      </c>
      <c r="I1372" s="17">
        <v>0</v>
      </c>
      <c r="J1372" s="17">
        <f>H1372-L1372-30000</f>
        <v>26458.385999999999</v>
      </c>
      <c r="K1372" s="17">
        <f t="shared" si="212"/>
        <v>32971.493999999999</v>
      </c>
      <c r="L1372" s="23">
        <f t="shared" si="219"/>
        <v>2971.4940000000001</v>
      </c>
      <c r="M1372" s="23">
        <v>3</v>
      </c>
      <c r="N1372" s="18">
        <f t="shared" si="213"/>
        <v>5.6356164383561644</v>
      </c>
      <c r="O1372" s="23">
        <v>13229.192999999999</v>
      </c>
      <c r="P1372" s="18">
        <f t="shared" si="214"/>
        <v>6.6356164383561644</v>
      </c>
      <c r="Q1372" s="18">
        <f t="shared" si="216"/>
        <v>10000</v>
      </c>
      <c r="R1372" s="18">
        <f t="shared" si="215"/>
        <v>23229.192999999999</v>
      </c>
      <c r="S1372" s="18">
        <f t="shared" si="217"/>
        <v>2971.4940000000001</v>
      </c>
    </row>
    <row r="1373" spans="1:19" ht="15" customHeight="1" x14ac:dyDescent="0.2">
      <c r="A1373" s="14">
        <f t="shared" si="220"/>
        <v>1334</v>
      </c>
      <c r="B1373" s="21" t="s">
        <v>1244</v>
      </c>
      <c r="C1373" s="15" t="s">
        <v>3</v>
      </c>
      <c r="D1373" s="21" t="s">
        <v>1200</v>
      </c>
      <c r="E1373" s="21"/>
      <c r="F1373" s="69" t="s">
        <v>4</v>
      </c>
      <c r="G1373" s="9">
        <v>41820</v>
      </c>
      <c r="H1373" s="22">
        <v>2630</v>
      </c>
      <c r="I1373" s="17">
        <v>0</v>
      </c>
      <c r="J1373" s="17">
        <f t="shared" si="221"/>
        <v>2498.5</v>
      </c>
      <c r="K1373" s="17">
        <f t="shared" si="212"/>
        <v>131.5</v>
      </c>
      <c r="L1373" s="23">
        <f t="shared" si="219"/>
        <v>131.5</v>
      </c>
      <c r="M1373" s="23">
        <v>5</v>
      </c>
      <c r="N1373" s="18">
        <f t="shared" si="213"/>
        <v>5.7616438356164386</v>
      </c>
      <c r="O1373" s="23">
        <v>1249.25</v>
      </c>
      <c r="P1373" s="18">
        <f t="shared" si="214"/>
        <v>6.7616438356164386</v>
      </c>
      <c r="Q1373" s="18">
        <f t="shared" si="216"/>
        <v>0</v>
      </c>
      <c r="R1373" s="18">
        <f t="shared" si="215"/>
        <v>1249.25</v>
      </c>
      <c r="S1373" s="18">
        <f t="shared" si="217"/>
        <v>131.5</v>
      </c>
    </row>
    <row r="1374" spans="1:19" ht="15" customHeight="1" x14ac:dyDescent="0.2">
      <c r="A1374" s="14">
        <f t="shared" si="220"/>
        <v>1335</v>
      </c>
      <c r="B1374" s="21" t="s">
        <v>1245</v>
      </c>
      <c r="C1374" s="15" t="s">
        <v>3</v>
      </c>
      <c r="D1374" s="21" t="s">
        <v>1200</v>
      </c>
      <c r="E1374" s="21"/>
      <c r="F1374" s="69" t="s">
        <v>4</v>
      </c>
      <c r="G1374" s="9">
        <v>41805</v>
      </c>
      <c r="H1374" s="22">
        <v>5500</v>
      </c>
      <c r="I1374" s="17">
        <v>0</v>
      </c>
      <c r="J1374" s="17">
        <f t="shared" si="221"/>
        <v>5225</v>
      </c>
      <c r="K1374" s="17">
        <f t="shared" si="212"/>
        <v>275</v>
      </c>
      <c r="L1374" s="23">
        <f t="shared" si="219"/>
        <v>275</v>
      </c>
      <c r="M1374" s="23">
        <v>5</v>
      </c>
      <c r="N1374" s="18">
        <f t="shared" si="213"/>
        <v>5.8027397260273972</v>
      </c>
      <c r="O1374" s="23">
        <v>2612.5</v>
      </c>
      <c r="P1374" s="18">
        <f t="shared" si="214"/>
        <v>6.8027397260273972</v>
      </c>
      <c r="Q1374" s="18">
        <f t="shared" si="216"/>
        <v>0</v>
      </c>
      <c r="R1374" s="18">
        <f t="shared" si="215"/>
        <v>2612.5</v>
      </c>
      <c r="S1374" s="18">
        <f t="shared" si="217"/>
        <v>275</v>
      </c>
    </row>
    <row r="1375" spans="1:19" ht="15" customHeight="1" x14ac:dyDescent="0.2">
      <c r="A1375" s="14">
        <f t="shared" si="220"/>
        <v>1336</v>
      </c>
      <c r="B1375" s="21" t="s">
        <v>1246</v>
      </c>
      <c r="C1375" s="15" t="s">
        <v>3</v>
      </c>
      <c r="D1375" s="21" t="s">
        <v>1200</v>
      </c>
      <c r="E1375" s="21"/>
      <c r="F1375" s="69" t="s">
        <v>4</v>
      </c>
      <c r="G1375" s="9">
        <v>41805</v>
      </c>
      <c r="H1375" s="22">
        <v>57200</v>
      </c>
      <c r="I1375" s="17">
        <v>0</v>
      </c>
      <c r="J1375" s="17">
        <f t="shared" si="221"/>
        <v>54340</v>
      </c>
      <c r="K1375" s="17">
        <f t="shared" si="212"/>
        <v>2860</v>
      </c>
      <c r="L1375" s="23">
        <f t="shared" si="219"/>
        <v>2860</v>
      </c>
      <c r="M1375" s="23">
        <v>5</v>
      </c>
      <c r="N1375" s="18">
        <f t="shared" si="213"/>
        <v>5.8027397260273972</v>
      </c>
      <c r="O1375" s="23">
        <v>27170</v>
      </c>
      <c r="P1375" s="18">
        <f t="shared" si="214"/>
        <v>6.8027397260273972</v>
      </c>
      <c r="Q1375" s="18">
        <f t="shared" si="216"/>
        <v>0</v>
      </c>
      <c r="R1375" s="18">
        <f t="shared" si="215"/>
        <v>27170</v>
      </c>
      <c r="S1375" s="18">
        <f t="shared" si="217"/>
        <v>2860</v>
      </c>
    </row>
    <row r="1376" spans="1:19" ht="15" customHeight="1" x14ac:dyDescent="0.2">
      <c r="A1376" s="14">
        <f t="shared" si="220"/>
        <v>1337</v>
      </c>
      <c r="B1376" s="21" t="s">
        <v>1247</v>
      </c>
      <c r="C1376" s="15" t="s">
        <v>3</v>
      </c>
      <c r="D1376" s="21" t="s">
        <v>1200</v>
      </c>
      <c r="E1376" s="21"/>
      <c r="F1376" s="69" t="s">
        <v>4</v>
      </c>
      <c r="G1376" s="9">
        <v>41774</v>
      </c>
      <c r="H1376" s="22">
        <v>171600</v>
      </c>
      <c r="I1376" s="17">
        <v>0</v>
      </c>
      <c r="J1376" s="17">
        <f>H1376-L1376-75000</f>
        <v>88020</v>
      </c>
      <c r="K1376" s="17">
        <f t="shared" si="212"/>
        <v>83580</v>
      </c>
      <c r="L1376" s="23">
        <f t="shared" si="219"/>
        <v>8580</v>
      </c>
      <c r="M1376" s="23">
        <v>5</v>
      </c>
      <c r="N1376" s="18">
        <f t="shared" si="213"/>
        <v>5.8876712328767127</v>
      </c>
      <c r="O1376" s="23">
        <v>44010</v>
      </c>
      <c r="P1376" s="18">
        <f t="shared" si="214"/>
        <v>6.8876712328767127</v>
      </c>
      <c r="Q1376" s="18">
        <f t="shared" si="216"/>
        <v>15000</v>
      </c>
      <c r="R1376" s="18">
        <f t="shared" si="215"/>
        <v>59010</v>
      </c>
      <c r="S1376" s="18">
        <f t="shared" si="217"/>
        <v>8580</v>
      </c>
    </row>
    <row r="1377" spans="1:19" ht="15" customHeight="1" x14ac:dyDescent="0.2">
      <c r="A1377" s="14">
        <f t="shared" si="220"/>
        <v>1338</v>
      </c>
      <c r="B1377" s="21" t="s">
        <v>1248</v>
      </c>
      <c r="C1377" s="15" t="s">
        <v>3</v>
      </c>
      <c r="D1377" s="21" t="s">
        <v>1200</v>
      </c>
      <c r="E1377" s="21"/>
      <c r="F1377" s="69" t="s">
        <v>4</v>
      </c>
      <c r="G1377" s="9">
        <v>41759</v>
      </c>
      <c r="H1377" s="22">
        <v>24700</v>
      </c>
      <c r="I1377" s="17">
        <v>0</v>
      </c>
      <c r="J1377" s="17">
        <f>H1377-L1377-10000</f>
        <v>13465</v>
      </c>
      <c r="K1377" s="17">
        <f t="shared" si="212"/>
        <v>11235</v>
      </c>
      <c r="L1377" s="23">
        <f t="shared" si="219"/>
        <v>1235</v>
      </c>
      <c r="M1377" s="23">
        <v>5</v>
      </c>
      <c r="N1377" s="18">
        <f t="shared" si="213"/>
        <v>5.9287671232876713</v>
      </c>
      <c r="O1377" s="23">
        <v>6732.5</v>
      </c>
      <c r="P1377" s="18">
        <f t="shared" si="214"/>
        <v>6.9287671232876713</v>
      </c>
      <c r="Q1377" s="18">
        <f t="shared" si="216"/>
        <v>2000</v>
      </c>
      <c r="R1377" s="18">
        <f t="shared" si="215"/>
        <v>8732.5</v>
      </c>
      <c r="S1377" s="18">
        <f t="shared" si="217"/>
        <v>1235</v>
      </c>
    </row>
    <row r="1378" spans="1:19" ht="15" customHeight="1" x14ac:dyDescent="0.2">
      <c r="A1378" s="14">
        <f t="shared" si="220"/>
        <v>1339</v>
      </c>
      <c r="B1378" s="21" t="s">
        <v>1206</v>
      </c>
      <c r="C1378" s="15" t="s">
        <v>3</v>
      </c>
      <c r="D1378" s="21" t="s">
        <v>1200</v>
      </c>
      <c r="E1378" s="21"/>
      <c r="F1378" s="69" t="s">
        <v>4</v>
      </c>
      <c r="G1378" s="9">
        <v>41744</v>
      </c>
      <c r="H1378" s="22">
        <v>6900</v>
      </c>
      <c r="I1378" s="17">
        <v>0</v>
      </c>
      <c r="J1378" s="17">
        <f t="shared" si="221"/>
        <v>6555</v>
      </c>
      <c r="K1378" s="17">
        <f t="shared" si="212"/>
        <v>345</v>
      </c>
      <c r="L1378" s="23">
        <f t="shared" si="219"/>
        <v>345</v>
      </c>
      <c r="M1378" s="23">
        <v>3</v>
      </c>
      <c r="N1378" s="18">
        <f t="shared" si="213"/>
        <v>5.9698630136986299</v>
      </c>
      <c r="O1378" s="23">
        <v>3277.5</v>
      </c>
      <c r="P1378" s="18">
        <f t="shared" si="214"/>
        <v>6.9698630136986299</v>
      </c>
      <c r="Q1378" s="18">
        <f t="shared" si="216"/>
        <v>0</v>
      </c>
      <c r="R1378" s="18">
        <f t="shared" si="215"/>
        <v>3277.5</v>
      </c>
      <c r="S1378" s="18">
        <f t="shared" si="217"/>
        <v>345</v>
      </c>
    </row>
    <row r="1379" spans="1:19" ht="15" customHeight="1" x14ac:dyDescent="0.2">
      <c r="A1379" s="14">
        <f t="shared" si="220"/>
        <v>1340</v>
      </c>
      <c r="B1379" s="21" t="s">
        <v>1249</v>
      </c>
      <c r="C1379" s="15" t="s">
        <v>3</v>
      </c>
      <c r="D1379" s="21" t="s">
        <v>1200</v>
      </c>
      <c r="E1379" s="21"/>
      <c r="F1379" s="69" t="s">
        <v>4</v>
      </c>
      <c r="G1379" s="9">
        <v>41743</v>
      </c>
      <c r="H1379" s="22">
        <v>8100</v>
      </c>
      <c r="I1379" s="17">
        <v>0</v>
      </c>
      <c r="J1379" s="17">
        <f t="shared" si="221"/>
        <v>7695</v>
      </c>
      <c r="K1379" s="17">
        <f t="shared" si="212"/>
        <v>405</v>
      </c>
      <c r="L1379" s="23">
        <f t="shared" si="219"/>
        <v>405</v>
      </c>
      <c r="M1379" s="23">
        <v>5</v>
      </c>
      <c r="N1379" s="18">
        <f t="shared" si="213"/>
        <v>5.9726027397260273</v>
      </c>
      <c r="O1379" s="23">
        <v>3847.5</v>
      </c>
      <c r="P1379" s="18">
        <f t="shared" si="214"/>
        <v>6.9726027397260273</v>
      </c>
      <c r="Q1379" s="18">
        <f t="shared" si="216"/>
        <v>0</v>
      </c>
      <c r="R1379" s="18">
        <f t="shared" si="215"/>
        <v>3847.5</v>
      </c>
      <c r="S1379" s="18">
        <f t="shared" si="217"/>
        <v>405</v>
      </c>
    </row>
    <row r="1380" spans="1:19" ht="15" customHeight="1" x14ac:dyDescent="0.2">
      <c r="A1380" s="14">
        <f t="shared" si="220"/>
        <v>1341</v>
      </c>
      <c r="B1380" s="21" t="s">
        <v>1250</v>
      </c>
      <c r="C1380" s="15" t="s">
        <v>3</v>
      </c>
      <c r="D1380" s="21" t="s">
        <v>1200</v>
      </c>
      <c r="E1380" s="21"/>
      <c r="F1380" s="69" t="s">
        <v>4</v>
      </c>
      <c r="G1380" s="9">
        <v>41713</v>
      </c>
      <c r="H1380" s="22">
        <v>8000</v>
      </c>
      <c r="I1380" s="17">
        <v>0</v>
      </c>
      <c r="J1380" s="17">
        <f t="shared" si="221"/>
        <v>7600</v>
      </c>
      <c r="K1380" s="17">
        <f t="shared" si="212"/>
        <v>400</v>
      </c>
      <c r="L1380" s="23">
        <f t="shared" si="219"/>
        <v>400</v>
      </c>
      <c r="M1380" s="23">
        <v>3</v>
      </c>
      <c r="N1380" s="18">
        <f t="shared" si="213"/>
        <v>6.0547945205479454</v>
      </c>
      <c r="O1380" s="23">
        <v>3800</v>
      </c>
      <c r="P1380" s="18">
        <f t="shared" si="214"/>
        <v>7.0547945205479454</v>
      </c>
      <c r="Q1380" s="18">
        <f t="shared" si="216"/>
        <v>0</v>
      </c>
      <c r="R1380" s="18">
        <f t="shared" si="215"/>
        <v>3800</v>
      </c>
      <c r="S1380" s="18">
        <f t="shared" si="217"/>
        <v>400</v>
      </c>
    </row>
    <row r="1381" spans="1:19" ht="15" customHeight="1" x14ac:dyDescent="0.2">
      <c r="A1381" s="14">
        <f t="shared" si="220"/>
        <v>1342</v>
      </c>
      <c r="B1381" s="21" t="s">
        <v>1251</v>
      </c>
      <c r="C1381" s="15" t="s">
        <v>3</v>
      </c>
      <c r="D1381" s="21" t="s">
        <v>1200</v>
      </c>
      <c r="E1381" s="21"/>
      <c r="F1381" s="69" t="s">
        <v>4</v>
      </c>
      <c r="G1381" s="9">
        <v>41713</v>
      </c>
      <c r="H1381" s="22">
        <v>22300</v>
      </c>
      <c r="I1381" s="17">
        <v>0</v>
      </c>
      <c r="J1381" s="17">
        <f t="shared" si="221"/>
        <v>21185</v>
      </c>
      <c r="K1381" s="17">
        <f t="shared" si="212"/>
        <v>1115</v>
      </c>
      <c r="L1381" s="23">
        <f t="shared" si="219"/>
        <v>1115</v>
      </c>
      <c r="M1381" s="23">
        <v>3</v>
      </c>
      <c r="N1381" s="18">
        <f t="shared" si="213"/>
        <v>6.0547945205479454</v>
      </c>
      <c r="O1381" s="23">
        <v>10592.5</v>
      </c>
      <c r="P1381" s="18">
        <f t="shared" si="214"/>
        <v>7.0547945205479454</v>
      </c>
      <c r="Q1381" s="18">
        <f t="shared" si="216"/>
        <v>0</v>
      </c>
      <c r="R1381" s="18">
        <f t="shared" si="215"/>
        <v>10592.5</v>
      </c>
      <c r="S1381" s="18">
        <f t="shared" si="217"/>
        <v>1115</v>
      </c>
    </row>
    <row r="1382" spans="1:19" ht="15" customHeight="1" x14ac:dyDescent="0.2">
      <c r="A1382" s="14">
        <f t="shared" si="220"/>
        <v>1343</v>
      </c>
      <c r="B1382" s="21" t="s">
        <v>1252</v>
      </c>
      <c r="C1382" s="15" t="s">
        <v>3</v>
      </c>
      <c r="D1382" s="21" t="s">
        <v>1200</v>
      </c>
      <c r="E1382" s="21"/>
      <c r="F1382" s="69" t="s">
        <v>4</v>
      </c>
      <c r="G1382" s="9">
        <v>41713</v>
      </c>
      <c r="H1382" s="22">
        <v>36540</v>
      </c>
      <c r="I1382" s="17">
        <v>0</v>
      </c>
      <c r="J1382" s="17">
        <f>H1382-L1382-20000</f>
        <v>14713</v>
      </c>
      <c r="K1382" s="17">
        <f t="shared" ref="K1382:K1445" si="222">H1382+I1382-J1382</f>
        <v>21827</v>
      </c>
      <c r="L1382" s="23">
        <f t="shared" si="219"/>
        <v>1827</v>
      </c>
      <c r="M1382" s="23">
        <v>3</v>
      </c>
      <c r="N1382" s="18">
        <f t="shared" ref="N1382:N1445" si="223">IF(($N$35-G1382+1)/365&gt;0,($N$35-G1382+1)/365,0)</f>
        <v>6.0547945205479454</v>
      </c>
      <c r="O1382" s="23">
        <v>7356.5</v>
      </c>
      <c r="P1382" s="18">
        <f t="shared" ref="P1382:P1445" si="224">($P$35-G1382+1)/365</f>
        <v>7.0547945205479454</v>
      </c>
      <c r="Q1382" s="18">
        <f t="shared" si="216"/>
        <v>6666.6666666666661</v>
      </c>
      <c r="R1382" s="18">
        <f t="shared" ref="R1382:R1445" si="225">Q1382+O1382</f>
        <v>14023.166666666666</v>
      </c>
      <c r="S1382" s="18">
        <f t="shared" si="217"/>
        <v>1827</v>
      </c>
    </row>
    <row r="1383" spans="1:19" ht="15" customHeight="1" x14ac:dyDescent="0.2">
      <c r="A1383" s="14">
        <f t="shared" si="220"/>
        <v>1344</v>
      </c>
      <c r="B1383" s="21" t="s">
        <v>1253</v>
      </c>
      <c r="C1383" s="15" t="s">
        <v>3</v>
      </c>
      <c r="D1383" s="21" t="s">
        <v>1200</v>
      </c>
      <c r="E1383" s="21"/>
      <c r="F1383" s="69" t="s">
        <v>4</v>
      </c>
      <c r="G1383" s="9">
        <v>41713</v>
      </c>
      <c r="H1383" s="22">
        <v>82999</v>
      </c>
      <c r="I1383" s="17">
        <v>0</v>
      </c>
      <c r="J1383" s="17">
        <f t="shared" si="221"/>
        <v>78849.05</v>
      </c>
      <c r="K1383" s="17">
        <f t="shared" si="222"/>
        <v>4149.9499999999971</v>
      </c>
      <c r="L1383" s="23">
        <f t="shared" si="219"/>
        <v>4149.95</v>
      </c>
      <c r="M1383" s="23">
        <v>3</v>
      </c>
      <c r="N1383" s="18">
        <f t="shared" si="223"/>
        <v>6.0547945205479454</v>
      </c>
      <c r="O1383" s="23">
        <v>39424.525000000001</v>
      </c>
      <c r="P1383" s="18">
        <f t="shared" si="224"/>
        <v>7.0547945205479454</v>
      </c>
      <c r="Q1383" s="18">
        <f t="shared" si="216"/>
        <v>-9.0949470177292824E-13</v>
      </c>
      <c r="R1383" s="18">
        <f t="shared" si="225"/>
        <v>39424.525000000001</v>
      </c>
      <c r="S1383" s="18">
        <f t="shared" si="217"/>
        <v>4149.95</v>
      </c>
    </row>
    <row r="1384" spans="1:19" ht="15" customHeight="1" x14ac:dyDescent="0.2">
      <c r="A1384" s="14">
        <f t="shared" si="220"/>
        <v>1345</v>
      </c>
      <c r="B1384" s="21" t="s">
        <v>1243</v>
      </c>
      <c r="C1384" s="15" t="s">
        <v>3</v>
      </c>
      <c r="D1384" s="21" t="s">
        <v>1200</v>
      </c>
      <c r="E1384" s="21"/>
      <c r="F1384" s="69" t="s">
        <v>4</v>
      </c>
      <c r="G1384" s="9">
        <v>41711</v>
      </c>
      <c r="H1384" s="22">
        <v>108150</v>
      </c>
      <c r="I1384" s="17">
        <v>0</v>
      </c>
      <c r="J1384" s="17">
        <f>H1384-L1384-50000</f>
        <v>52742.5</v>
      </c>
      <c r="K1384" s="17">
        <f t="shared" si="222"/>
        <v>55407.5</v>
      </c>
      <c r="L1384" s="23">
        <f t="shared" si="219"/>
        <v>5407.5</v>
      </c>
      <c r="M1384" s="23">
        <v>3</v>
      </c>
      <c r="N1384" s="18">
        <f t="shared" si="223"/>
        <v>6.0602739726027401</v>
      </c>
      <c r="O1384" s="23">
        <v>26371.25</v>
      </c>
      <c r="P1384" s="18">
        <f t="shared" si="224"/>
        <v>7.0602739726027401</v>
      </c>
      <c r="Q1384" s="18">
        <f t="shared" ref="Q1384:Q1447" si="226">(P1384-N1384)/M1384*(K1384-L1384)</f>
        <v>16666.666666666664</v>
      </c>
      <c r="R1384" s="18">
        <f t="shared" si="225"/>
        <v>43037.916666666664</v>
      </c>
      <c r="S1384" s="18">
        <f t="shared" ref="S1384:S1447" si="227">+IF(N1384&gt;P1384,0,L1384)</f>
        <v>5407.5</v>
      </c>
    </row>
    <row r="1385" spans="1:19" ht="15" customHeight="1" x14ac:dyDescent="0.2">
      <c r="A1385" s="14">
        <f t="shared" si="220"/>
        <v>1346</v>
      </c>
      <c r="B1385" s="21" t="s">
        <v>1209</v>
      </c>
      <c r="C1385" s="15" t="s">
        <v>3</v>
      </c>
      <c r="D1385" s="21" t="s">
        <v>1200</v>
      </c>
      <c r="E1385" s="21"/>
      <c r="F1385" s="69" t="s">
        <v>4</v>
      </c>
      <c r="G1385" s="9">
        <v>41710</v>
      </c>
      <c r="H1385" s="22">
        <v>6900</v>
      </c>
      <c r="I1385" s="17">
        <v>0</v>
      </c>
      <c r="J1385" s="17">
        <f t="shared" si="221"/>
        <v>6555</v>
      </c>
      <c r="K1385" s="17">
        <f t="shared" si="222"/>
        <v>345</v>
      </c>
      <c r="L1385" s="23">
        <f t="shared" si="219"/>
        <v>345</v>
      </c>
      <c r="M1385" s="23">
        <v>3</v>
      </c>
      <c r="N1385" s="18">
        <f t="shared" si="223"/>
        <v>6.0630136986301366</v>
      </c>
      <c r="O1385" s="23">
        <v>3277.5</v>
      </c>
      <c r="P1385" s="18">
        <f t="shared" si="224"/>
        <v>7.0630136986301366</v>
      </c>
      <c r="Q1385" s="18">
        <f t="shared" si="226"/>
        <v>0</v>
      </c>
      <c r="R1385" s="18">
        <f t="shared" si="225"/>
        <v>3277.5</v>
      </c>
      <c r="S1385" s="18">
        <f t="shared" si="227"/>
        <v>345</v>
      </c>
    </row>
    <row r="1386" spans="1:19" ht="15" customHeight="1" x14ac:dyDescent="0.2">
      <c r="A1386" s="14">
        <f t="shared" si="220"/>
        <v>1347</v>
      </c>
      <c r="B1386" s="21" t="s">
        <v>1254</v>
      </c>
      <c r="C1386" s="15" t="s">
        <v>3</v>
      </c>
      <c r="D1386" s="21" t="s">
        <v>1200</v>
      </c>
      <c r="E1386" s="21"/>
      <c r="F1386" s="69" t="s">
        <v>4</v>
      </c>
      <c r="G1386" s="9">
        <v>41685</v>
      </c>
      <c r="H1386" s="22">
        <v>19000.310000000001</v>
      </c>
      <c r="I1386" s="17">
        <v>0</v>
      </c>
      <c r="J1386" s="17">
        <f t="shared" si="221"/>
        <v>18050.2945</v>
      </c>
      <c r="K1386" s="17">
        <f t="shared" si="222"/>
        <v>950.01550000000134</v>
      </c>
      <c r="L1386" s="23">
        <f t="shared" ref="L1386:L1449" si="228">H1386*0.05</f>
        <v>950.01550000000009</v>
      </c>
      <c r="M1386" s="23">
        <v>3</v>
      </c>
      <c r="N1386" s="18">
        <f t="shared" si="223"/>
        <v>6.1315068493150688</v>
      </c>
      <c r="O1386" s="23">
        <v>9025.14725</v>
      </c>
      <c r="P1386" s="18">
        <f t="shared" si="224"/>
        <v>7.1315068493150688</v>
      </c>
      <c r="Q1386" s="18">
        <f t="shared" si="226"/>
        <v>4.1685173831259209E-13</v>
      </c>
      <c r="R1386" s="18">
        <f t="shared" si="225"/>
        <v>9025.14725</v>
      </c>
      <c r="S1386" s="18">
        <f t="shared" si="227"/>
        <v>950.01550000000009</v>
      </c>
    </row>
    <row r="1387" spans="1:19" ht="15" customHeight="1" x14ac:dyDescent="0.2">
      <c r="A1387" s="14">
        <f t="shared" ref="A1387:A1450" si="229">+A1386+1</f>
        <v>1348</v>
      </c>
      <c r="B1387" s="21" t="s">
        <v>1255</v>
      </c>
      <c r="C1387" s="15" t="s">
        <v>3</v>
      </c>
      <c r="D1387" s="21" t="s">
        <v>1200</v>
      </c>
      <c r="E1387" s="21"/>
      <c r="F1387" s="69" t="s">
        <v>4</v>
      </c>
      <c r="G1387" s="9">
        <v>41685</v>
      </c>
      <c r="H1387" s="22">
        <v>52710</v>
      </c>
      <c r="I1387" s="17">
        <v>0</v>
      </c>
      <c r="J1387" s="17">
        <f t="shared" si="221"/>
        <v>50074.5</v>
      </c>
      <c r="K1387" s="17">
        <f t="shared" si="222"/>
        <v>2635.5</v>
      </c>
      <c r="L1387" s="23">
        <f t="shared" si="228"/>
        <v>2635.5</v>
      </c>
      <c r="M1387" s="23">
        <v>3</v>
      </c>
      <c r="N1387" s="18">
        <f t="shared" si="223"/>
        <v>6.1315068493150688</v>
      </c>
      <c r="O1387" s="23">
        <v>25037.25</v>
      </c>
      <c r="P1387" s="18">
        <f t="shared" si="224"/>
        <v>7.1315068493150688</v>
      </c>
      <c r="Q1387" s="18">
        <f t="shared" si="226"/>
        <v>0</v>
      </c>
      <c r="R1387" s="18">
        <f t="shared" si="225"/>
        <v>25037.25</v>
      </c>
      <c r="S1387" s="18">
        <f t="shared" si="227"/>
        <v>2635.5</v>
      </c>
    </row>
    <row r="1388" spans="1:19" ht="15" customHeight="1" x14ac:dyDescent="0.2">
      <c r="A1388" s="14">
        <f t="shared" si="229"/>
        <v>1349</v>
      </c>
      <c r="B1388" s="21" t="s">
        <v>1256</v>
      </c>
      <c r="C1388" s="15" t="s">
        <v>3</v>
      </c>
      <c r="D1388" s="21" t="s">
        <v>1200</v>
      </c>
      <c r="E1388" s="21"/>
      <c r="F1388" s="69" t="s">
        <v>4</v>
      </c>
      <c r="G1388" s="9">
        <v>41676</v>
      </c>
      <c r="H1388" s="22">
        <v>462240</v>
      </c>
      <c r="I1388" s="17">
        <v>0</v>
      </c>
      <c r="J1388" s="17">
        <f>H1388-L1388-300000</f>
        <v>139128</v>
      </c>
      <c r="K1388" s="17">
        <f t="shared" si="222"/>
        <v>323112</v>
      </c>
      <c r="L1388" s="23">
        <f t="shared" si="228"/>
        <v>23112</v>
      </c>
      <c r="M1388" s="23">
        <v>3</v>
      </c>
      <c r="N1388" s="18">
        <f t="shared" si="223"/>
        <v>6.1561643835616442</v>
      </c>
      <c r="O1388" s="23">
        <v>69564</v>
      </c>
      <c r="P1388" s="18">
        <f t="shared" si="224"/>
        <v>7.1561643835616442</v>
      </c>
      <c r="Q1388" s="18">
        <f t="shared" si="226"/>
        <v>100000</v>
      </c>
      <c r="R1388" s="18">
        <f t="shared" si="225"/>
        <v>169564</v>
      </c>
      <c r="S1388" s="18">
        <f t="shared" si="227"/>
        <v>23112</v>
      </c>
    </row>
    <row r="1389" spans="1:19" ht="15" customHeight="1" x14ac:dyDescent="0.2">
      <c r="A1389" s="14">
        <f t="shared" si="229"/>
        <v>1350</v>
      </c>
      <c r="B1389" s="21" t="s">
        <v>1255</v>
      </c>
      <c r="C1389" s="15" t="s">
        <v>3</v>
      </c>
      <c r="D1389" s="21" t="s">
        <v>1200</v>
      </c>
      <c r="E1389" s="21"/>
      <c r="F1389" s="69" t="s">
        <v>4</v>
      </c>
      <c r="G1389" s="9">
        <v>41654</v>
      </c>
      <c r="H1389" s="22">
        <v>52710</v>
      </c>
      <c r="I1389" s="17">
        <v>0</v>
      </c>
      <c r="J1389" s="17">
        <f>H1389-L1389-20000</f>
        <v>30074.5</v>
      </c>
      <c r="K1389" s="17">
        <f t="shared" si="222"/>
        <v>22635.5</v>
      </c>
      <c r="L1389" s="23">
        <f t="shared" si="228"/>
        <v>2635.5</v>
      </c>
      <c r="M1389" s="23">
        <v>3</v>
      </c>
      <c r="N1389" s="18">
        <f t="shared" si="223"/>
        <v>6.2164383561643834</v>
      </c>
      <c r="O1389" s="23">
        <v>15037.25</v>
      </c>
      <c r="P1389" s="18">
        <f t="shared" si="224"/>
        <v>7.2164383561643834</v>
      </c>
      <c r="Q1389" s="18">
        <f t="shared" si="226"/>
        <v>6666.6666666666661</v>
      </c>
      <c r="R1389" s="18">
        <f t="shared" si="225"/>
        <v>21703.916666666664</v>
      </c>
      <c r="S1389" s="18">
        <f t="shared" si="227"/>
        <v>2635.5</v>
      </c>
    </row>
    <row r="1390" spans="1:19" ht="15" customHeight="1" x14ac:dyDescent="0.2">
      <c r="A1390" s="14">
        <f t="shared" si="229"/>
        <v>1351</v>
      </c>
      <c r="B1390" s="21" t="s">
        <v>1257</v>
      </c>
      <c r="C1390" s="15" t="s">
        <v>3</v>
      </c>
      <c r="D1390" s="21" t="s">
        <v>1200</v>
      </c>
      <c r="E1390" s="21"/>
      <c r="F1390" s="69" t="s">
        <v>4</v>
      </c>
      <c r="G1390" s="9">
        <v>41640</v>
      </c>
      <c r="H1390" s="22">
        <v>37000</v>
      </c>
      <c r="I1390" s="17">
        <v>0</v>
      </c>
      <c r="J1390" s="17">
        <f>H1390-L1390-15000</f>
        <v>20150</v>
      </c>
      <c r="K1390" s="17">
        <f t="shared" si="222"/>
        <v>16850</v>
      </c>
      <c r="L1390" s="23">
        <f t="shared" si="228"/>
        <v>1850</v>
      </c>
      <c r="M1390" s="23">
        <v>5</v>
      </c>
      <c r="N1390" s="18">
        <f t="shared" si="223"/>
        <v>6.2547945205479456</v>
      </c>
      <c r="O1390" s="23">
        <v>10075</v>
      </c>
      <c r="P1390" s="18">
        <f t="shared" si="224"/>
        <v>7.2547945205479456</v>
      </c>
      <c r="Q1390" s="18">
        <f t="shared" si="226"/>
        <v>3000</v>
      </c>
      <c r="R1390" s="18">
        <f t="shared" si="225"/>
        <v>13075</v>
      </c>
      <c r="S1390" s="18">
        <f t="shared" si="227"/>
        <v>1850</v>
      </c>
    </row>
    <row r="1391" spans="1:19" ht="15" customHeight="1" x14ac:dyDescent="0.2">
      <c r="A1391" s="14">
        <f t="shared" si="229"/>
        <v>1352</v>
      </c>
      <c r="B1391" s="21" t="s">
        <v>1258</v>
      </c>
      <c r="C1391" s="15" t="s">
        <v>3</v>
      </c>
      <c r="D1391" s="21" t="s">
        <v>1200</v>
      </c>
      <c r="E1391" s="21"/>
      <c r="F1391" s="69" t="s">
        <v>4</v>
      </c>
      <c r="G1391" s="9">
        <v>41547</v>
      </c>
      <c r="H1391" s="22">
        <v>19500</v>
      </c>
      <c r="I1391" s="17">
        <v>0</v>
      </c>
      <c r="J1391" s="17">
        <f t="shared" si="221"/>
        <v>18525</v>
      </c>
      <c r="K1391" s="17">
        <f t="shared" si="222"/>
        <v>975</v>
      </c>
      <c r="L1391" s="23">
        <f t="shared" si="228"/>
        <v>975</v>
      </c>
      <c r="M1391" s="23">
        <v>5</v>
      </c>
      <c r="N1391" s="18">
        <f t="shared" si="223"/>
        <v>6.5095890410958903</v>
      </c>
      <c r="O1391" s="23">
        <v>9262.5</v>
      </c>
      <c r="P1391" s="18">
        <f t="shared" si="224"/>
        <v>7.5095890410958903</v>
      </c>
      <c r="Q1391" s="18">
        <f t="shared" si="226"/>
        <v>0</v>
      </c>
      <c r="R1391" s="18">
        <f t="shared" si="225"/>
        <v>9262.5</v>
      </c>
      <c r="S1391" s="18">
        <f t="shared" si="227"/>
        <v>975</v>
      </c>
    </row>
    <row r="1392" spans="1:19" ht="15" customHeight="1" x14ac:dyDescent="0.2">
      <c r="A1392" s="14">
        <f t="shared" si="229"/>
        <v>1353</v>
      </c>
      <c r="B1392" s="21" t="s">
        <v>1259</v>
      </c>
      <c r="C1392" s="15" t="s">
        <v>3</v>
      </c>
      <c r="D1392" s="21" t="s">
        <v>1200</v>
      </c>
      <c r="E1392" s="21"/>
      <c r="F1392" s="69" t="s">
        <v>4</v>
      </c>
      <c r="G1392" s="9">
        <v>41532</v>
      </c>
      <c r="H1392" s="22">
        <v>50000</v>
      </c>
      <c r="I1392" s="17">
        <v>0</v>
      </c>
      <c r="J1392" s="17">
        <f>H1392-L1392-25000</f>
        <v>22500</v>
      </c>
      <c r="K1392" s="17">
        <f t="shared" si="222"/>
        <v>27500</v>
      </c>
      <c r="L1392" s="23">
        <f t="shared" si="228"/>
        <v>2500</v>
      </c>
      <c r="M1392" s="23">
        <v>5</v>
      </c>
      <c r="N1392" s="18">
        <f t="shared" si="223"/>
        <v>6.5506849315068489</v>
      </c>
      <c r="O1392" s="23">
        <v>11250</v>
      </c>
      <c r="P1392" s="18">
        <f t="shared" si="224"/>
        <v>7.5506849315068489</v>
      </c>
      <c r="Q1392" s="18">
        <f t="shared" si="226"/>
        <v>5000</v>
      </c>
      <c r="R1392" s="18">
        <f t="shared" si="225"/>
        <v>16250</v>
      </c>
      <c r="S1392" s="18">
        <f t="shared" si="227"/>
        <v>2500</v>
      </c>
    </row>
    <row r="1393" spans="1:19" ht="15" customHeight="1" x14ac:dyDescent="0.2">
      <c r="A1393" s="14">
        <f t="shared" si="229"/>
        <v>1354</v>
      </c>
      <c r="B1393" s="21" t="s">
        <v>1199</v>
      </c>
      <c r="C1393" s="15" t="s">
        <v>3</v>
      </c>
      <c r="D1393" s="21" t="s">
        <v>1200</v>
      </c>
      <c r="E1393" s="21"/>
      <c r="F1393" s="69" t="s">
        <v>4</v>
      </c>
      <c r="G1393" s="9">
        <v>41471</v>
      </c>
      <c r="H1393" s="22">
        <v>49500</v>
      </c>
      <c r="I1393" s="17">
        <v>0</v>
      </c>
      <c r="J1393" s="17">
        <f>H1393-L1393-20000</f>
        <v>27025</v>
      </c>
      <c r="K1393" s="17">
        <f t="shared" si="222"/>
        <v>22475</v>
      </c>
      <c r="L1393" s="23">
        <f t="shared" si="228"/>
        <v>2475</v>
      </c>
      <c r="M1393" s="23">
        <v>3</v>
      </c>
      <c r="N1393" s="18">
        <f t="shared" si="223"/>
        <v>6.7178082191780826</v>
      </c>
      <c r="O1393" s="23">
        <v>13512.5</v>
      </c>
      <c r="P1393" s="18">
        <f t="shared" si="224"/>
        <v>7.7178082191780826</v>
      </c>
      <c r="Q1393" s="18">
        <f t="shared" si="226"/>
        <v>6666.6666666666661</v>
      </c>
      <c r="R1393" s="18">
        <f t="shared" si="225"/>
        <v>20179.166666666664</v>
      </c>
      <c r="S1393" s="18">
        <f t="shared" si="227"/>
        <v>2475</v>
      </c>
    </row>
    <row r="1394" spans="1:19" ht="15" customHeight="1" x14ac:dyDescent="0.2">
      <c r="A1394" s="14">
        <f t="shared" si="229"/>
        <v>1355</v>
      </c>
      <c r="B1394" s="21" t="s">
        <v>1209</v>
      </c>
      <c r="C1394" s="15" t="s">
        <v>3</v>
      </c>
      <c r="D1394" s="21" t="s">
        <v>1200</v>
      </c>
      <c r="E1394" s="21"/>
      <c r="F1394" s="69" t="s">
        <v>4</v>
      </c>
      <c r="G1394" s="9">
        <v>41409</v>
      </c>
      <c r="H1394" s="22">
        <v>19000.310000000001</v>
      </c>
      <c r="I1394" s="17">
        <v>0</v>
      </c>
      <c r="J1394" s="17">
        <f t="shared" si="221"/>
        <v>18050.2945</v>
      </c>
      <c r="K1394" s="17">
        <f t="shared" si="222"/>
        <v>950.01550000000134</v>
      </c>
      <c r="L1394" s="23">
        <f t="shared" si="228"/>
        <v>950.01550000000009</v>
      </c>
      <c r="M1394" s="23">
        <v>3</v>
      </c>
      <c r="N1394" s="18">
        <f t="shared" si="223"/>
        <v>6.8876712328767127</v>
      </c>
      <c r="O1394" s="23">
        <v>9025.14725</v>
      </c>
      <c r="P1394" s="18">
        <f t="shared" si="224"/>
        <v>7.8876712328767127</v>
      </c>
      <c r="Q1394" s="18">
        <f t="shared" si="226"/>
        <v>4.1685173831259209E-13</v>
      </c>
      <c r="R1394" s="18">
        <f t="shared" si="225"/>
        <v>9025.14725</v>
      </c>
      <c r="S1394" s="18">
        <f t="shared" si="227"/>
        <v>950.01550000000009</v>
      </c>
    </row>
    <row r="1395" spans="1:19" ht="15" customHeight="1" x14ac:dyDescent="0.2">
      <c r="A1395" s="14">
        <f t="shared" si="229"/>
        <v>1356</v>
      </c>
      <c r="B1395" s="21" t="s">
        <v>1260</v>
      </c>
      <c r="C1395" s="15" t="s">
        <v>3</v>
      </c>
      <c r="D1395" s="21" t="s">
        <v>1200</v>
      </c>
      <c r="E1395" s="21"/>
      <c r="F1395" s="69" t="s">
        <v>4</v>
      </c>
      <c r="G1395" s="9">
        <v>41379</v>
      </c>
      <c r="H1395" s="22">
        <v>10312.91</v>
      </c>
      <c r="I1395" s="17">
        <v>0</v>
      </c>
      <c r="J1395" s="17">
        <f t="shared" si="221"/>
        <v>9797.2644999999993</v>
      </c>
      <c r="K1395" s="17">
        <f t="shared" si="222"/>
        <v>515.64550000000054</v>
      </c>
      <c r="L1395" s="23">
        <f t="shared" si="228"/>
        <v>515.64549999999997</v>
      </c>
      <c r="M1395" s="23">
        <v>5</v>
      </c>
      <c r="N1395" s="18">
        <f t="shared" si="223"/>
        <v>6.9698630136986299</v>
      </c>
      <c r="O1395" s="23">
        <v>4898.6322499999997</v>
      </c>
      <c r="P1395" s="18">
        <f t="shared" si="224"/>
        <v>7.9698630136986299</v>
      </c>
      <c r="Q1395" s="18">
        <f t="shared" si="226"/>
        <v>1.1368683772161603E-13</v>
      </c>
      <c r="R1395" s="18">
        <f t="shared" si="225"/>
        <v>4898.6322499999997</v>
      </c>
      <c r="S1395" s="18">
        <f t="shared" si="227"/>
        <v>515.64549999999997</v>
      </c>
    </row>
    <row r="1396" spans="1:19" ht="15" customHeight="1" x14ac:dyDescent="0.2">
      <c r="A1396" s="14">
        <f t="shared" si="229"/>
        <v>1357</v>
      </c>
      <c r="B1396" s="21" t="s">
        <v>1199</v>
      </c>
      <c r="C1396" s="15" t="s">
        <v>3</v>
      </c>
      <c r="D1396" s="21" t="s">
        <v>1200</v>
      </c>
      <c r="E1396" s="21"/>
      <c r="F1396" s="69" t="s">
        <v>4</v>
      </c>
      <c r="G1396" s="9">
        <v>41379</v>
      </c>
      <c r="H1396" s="22">
        <v>44500</v>
      </c>
      <c r="I1396" s="17">
        <v>0</v>
      </c>
      <c r="J1396" s="17">
        <f>H1396-L1396-20000</f>
        <v>22275</v>
      </c>
      <c r="K1396" s="17">
        <f t="shared" si="222"/>
        <v>22225</v>
      </c>
      <c r="L1396" s="23">
        <f t="shared" si="228"/>
        <v>2225</v>
      </c>
      <c r="M1396" s="23">
        <v>3</v>
      </c>
      <c r="N1396" s="18">
        <f t="shared" si="223"/>
        <v>6.9698630136986299</v>
      </c>
      <c r="O1396" s="23">
        <v>11137.5</v>
      </c>
      <c r="P1396" s="18">
        <f t="shared" si="224"/>
        <v>7.9698630136986299</v>
      </c>
      <c r="Q1396" s="18">
        <f t="shared" si="226"/>
        <v>6666.6666666666661</v>
      </c>
      <c r="R1396" s="18">
        <f t="shared" si="225"/>
        <v>17804.166666666664</v>
      </c>
      <c r="S1396" s="18">
        <f t="shared" si="227"/>
        <v>2225</v>
      </c>
    </row>
    <row r="1397" spans="1:19" ht="15" customHeight="1" x14ac:dyDescent="0.2">
      <c r="A1397" s="14">
        <f t="shared" si="229"/>
        <v>1358</v>
      </c>
      <c r="B1397" s="21" t="s">
        <v>1209</v>
      </c>
      <c r="C1397" s="15" t="s">
        <v>3</v>
      </c>
      <c r="D1397" s="21" t="s">
        <v>1200</v>
      </c>
      <c r="E1397" s="21"/>
      <c r="F1397" s="69" t="s">
        <v>4</v>
      </c>
      <c r="G1397" s="9">
        <v>41348</v>
      </c>
      <c r="H1397" s="22">
        <v>14090</v>
      </c>
      <c r="I1397" s="17">
        <v>0</v>
      </c>
      <c r="J1397" s="17">
        <f t="shared" si="221"/>
        <v>13385.5</v>
      </c>
      <c r="K1397" s="17">
        <f t="shared" si="222"/>
        <v>704.5</v>
      </c>
      <c r="L1397" s="23">
        <f t="shared" si="228"/>
        <v>704.5</v>
      </c>
      <c r="M1397" s="23">
        <v>3</v>
      </c>
      <c r="N1397" s="18">
        <f t="shared" si="223"/>
        <v>7.0547945205479454</v>
      </c>
      <c r="O1397" s="23">
        <v>6692.75</v>
      </c>
      <c r="P1397" s="18">
        <f t="shared" si="224"/>
        <v>8.0547945205479454</v>
      </c>
      <c r="Q1397" s="18">
        <f t="shared" si="226"/>
        <v>0</v>
      </c>
      <c r="R1397" s="18">
        <f t="shared" si="225"/>
        <v>6692.75</v>
      </c>
      <c r="S1397" s="18">
        <f t="shared" si="227"/>
        <v>704.5</v>
      </c>
    </row>
    <row r="1398" spans="1:19" ht="15" customHeight="1" x14ac:dyDescent="0.2">
      <c r="A1398" s="14">
        <f t="shared" si="229"/>
        <v>1359</v>
      </c>
      <c r="B1398" s="21" t="s">
        <v>1261</v>
      </c>
      <c r="C1398" s="15" t="s">
        <v>3</v>
      </c>
      <c r="D1398" s="21" t="s">
        <v>1200</v>
      </c>
      <c r="E1398" s="21"/>
      <c r="F1398" s="69" t="s">
        <v>4</v>
      </c>
      <c r="G1398" s="9">
        <v>41348</v>
      </c>
      <c r="H1398" s="22">
        <v>18375</v>
      </c>
      <c r="I1398" s="17">
        <v>0</v>
      </c>
      <c r="J1398" s="17">
        <f t="shared" si="221"/>
        <v>17456.25</v>
      </c>
      <c r="K1398" s="17">
        <f t="shared" si="222"/>
        <v>918.75</v>
      </c>
      <c r="L1398" s="23">
        <f t="shared" si="228"/>
        <v>918.75</v>
      </c>
      <c r="M1398" s="23">
        <v>5</v>
      </c>
      <c r="N1398" s="18">
        <f t="shared" si="223"/>
        <v>7.0547945205479454</v>
      </c>
      <c r="O1398" s="23">
        <v>8728.125</v>
      </c>
      <c r="P1398" s="18">
        <f t="shared" si="224"/>
        <v>8.0547945205479454</v>
      </c>
      <c r="Q1398" s="18">
        <f t="shared" si="226"/>
        <v>0</v>
      </c>
      <c r="R1398" s="18">
        <f t="shared" si="225"/>
        <v>8728.125</v>
      </c>
      <c r="S1398" s="18">
        <f t="shared" si="227"/>
        <v>918.75</v>
      </c>
    </row>
    <row r="1399" spans="1:19" ht="15" customHeight="1" x14ac:dyDescent="0.2">
      <c r="A1399" s="14">
        <f t="shared" si="229"/>
        <v>1360</v>
      </c>
      <c r="B1399" s="21" t="s">
        <v>1262</v>
      </c>
      <c r="C1399" s="15" t="s">
        <v>3</v>
      </c>
      <c r="D1399" s="21" t="s">
        <v>1200</v>
      </c>
      <c r="E1399" s="21"/>
      <c r="F1399" s="69" t="s">
        <v>4</v>
      </c>
      <c r="G1399" s="9">
        <v>41348</v>
      </c>
      <c r="H1399" s="22">
        <v>98761</v>
      </c>
      <c r="I1399" s="17">
        <v>0</v>
      </c>
      <c r="J1399" s="17">
        <f>H1399-L1399-30000</f>
        <v>63822.95</v>
      </c>
      <c r="K1399" s="17">
        <f t="shared" si="222"/>
        <v>34938.050000000003</v>
      </c>
      <c r="L1399" s="23">
        <f t="shared" si="228"/>
        <v>4938.05</v>
      </c>
      <c r="M1399" s="23">
        <v>5</v>
      </c>
      <c r="N1399" s="18">
        <f t="shared" si="223"/>
        <v>7.0547945205479454</v>
      </c>
      <c r="O1399" s="23">
        <v>31911.474999999999</v>
      </c>
      <c r="P1399" s="18">
        <f t="shared" si="224"/>
        <v>8.0547945205479454</v>
      </c>
      <c r="Q1399" s="18">
        <f t="shared" si="226"/>
        <v>6000.0000000000009</v>
      </c>
      <c r="R1399" s="18">
        <f t="shared" si="225"/>
        <v>37911.474999999999</v>
      </c>
      <c r="S1399" s="18">
        <f t="shared" si="227"/>
        <v>4938.05</v>
      </c>
    </row>
    <row r="1400" spans="1:19" ht="15" customHeight="1" x14ac:dyDescent="0.2">
      <c r="A1400" s="14">
        <f t="shared" si="229"/>
        <v>1361</v>
      </c>
      <c r="B1400" s="21" t="s">
        <v>1263</v>
      </c>
      <c r="C1400" s="15" t="s">
        <v>3</v>
      </c>
      <c r="D1400" s="21" t="s">
        <v>1200</v>
      </c>
      <c r="E1400" s="21"/>
      <c r="F1400" s="69" t="s">
        <v>4</v>
      </c>
      <c r="G1400" s="9">
        <v>41348</v>
      </c>
      <c r="H1400" s="22">
        <v>131845</v>
      </c>
      <c r="I1400" s="17">
        <v>0</v>
      </c>
      <c r="J1400" s="17">
        <f>H1400-L1400-75000</f>
        <v>50252.75</v>
      </c>
      <c r="K1400" s="17">
        <f t="shared" si="222"/>
        <v>81592.25</v>
      </c>
      <c r="L1400" s="23">
        <f t="shared" si="228"/>
        <v>6592.25</v>
      </c>
      <c r="M1400" s="23">
        <v>5</v>
      </c>
      <c r="N1400" s="18">
        <f t="shared" si="223"/>
        <v>7.0547945205479454</v>
      </c>
      <c r="O1400" s="23">
        <v>25126.375</v>
      </c>
      <c r="P1400" s="18">
        <f t="shared" si="224"/>
        <v>8.0547945205479454</v>
      </c>
      <c r="Q1400" s="18">
        <f t="shared" si="226"/>
        <v>15000</v>
      </c>
      <c r="R1400" s="18">
        <f t="shared" si="225"/>
        <v>40126.375</v>
      </c>
      <c r="S1400" s="18">
        <f t="shared" si="227"/>
        <v>6592.25</v>
      </c>
    </row>
    <row r="1401" spans="1:19" ht="15" customHeight="1" x14ac:dyDescent="0.2">
      <c r="A1401" s="14">
        <f t="shared" si="229"/>
        <v>1362</v>
      </c>
      <c r="B1401" s="21" t="s">
        <v>1264</v>
      </c>
      <c r="C1401" s="15" t="s">
        <v>3</v>
      </c>
      <c r="D1401" s="21" t="s">
        <v>1200</v>
      </c>
      <c r="E1401" s="21"/>
      <c r="F1401" s="69" t="s">
        <v>4</v>
      </c>
      <c r="G1401" s="9">
        <v>41320</v>
      </c>
      <c r="H1401" s="22">
        <v>28750</v>
      </c>
      <c r="I1401" s="17">
        <v>0</v>
      </c>
      <c r="J1401" s="17">
        <v>8545.445205479451</v>
      </c>
      <c r="K1401" s="17">
        <f t="shared" si="222"/>
        <v>20204.554794520547</v>
      </c>
      <c r="L1401" s="23">
        <f t="shared" si="228"/>
        <v>1437.5</v>
      </c>
      <c r="M1401" s="23">
        <v>10</v>
      </c>
      <c r="N1401" s="18">
        <f t="shared" si="223"/>
        <v>7.1315068493150688</v>
      </c>
      <c r="O1401" s="23">
        <v>4272.7226027397264</v>
      </c>
      <c r="P1401" s="18">
        <f t="shared" si="224"/>
        <v>8.131506849315068</v>
      </c>
      <c r="Q1401" s="18">
        <f t="shared" si="226"/>
        <v>1876.7054794520529</v>
      </c>
      <c r="R1401" s="18">
        <f t="shared" si="225"/>
        <v>6149.4280821917791</v>
      </c>
      <c r="S1401" s="18">
        <f t="shared" si="227"/>
        <v>1437.5</v>
      </c>
    </row>
    <row r="1402" spans="1:19" ht="15" customHeight="1" x14ac:dyDescent="0.2">
      <c r="A1402" s="14">
        <f t="shared" si="229"/>
        <v>1363</v>
      </c>
      <c r="B1402" s="21" t="s">
        <v>1265</v>
      </c>
      <c r="C1402" s="15" t="s">
        <v>3</v>
      </c>
      <c r="D1402" s="21" t="s">
        <v>1200</v>
      </c>
      <c r="E1402" s="21"/>
      <c r="F1402" s="69" t="s">
        <v>4</v>
      </c>
      <c r="G1402" s="9">
        <v>41320</v>
      </c>
      <c r="H1402" s="22">
        <v>34000</v>
      </c>
      <c r="I1402" s="17">
        <v>0</v>
      </c>
      <c r="J1402" s="17">
        <f>H1402-L1402-10000</f>
        <v>22300</v>
      </c>
      <c r="K1402" s="17">
        <f t="shared" si="222"/>
        <v>11700</v>
      </c>
      <c r="L1402" s="23">
        <f t="shared" si="228"/>
        <v>1700</v>
      </c>
      <c r="M1402" s="23">
        <v>5</v>
      </c>
      <c r="N1402" s="18">
        <f t="shared" si="223"/>
        <v>7.1315068493150688</v>
      </c>
      <c r="O1402" s="23">
        <v>11150</v>
      </c>
      <c r="P1402" s="18">
        <f t="shared" si="224"/>
        <v>8.131506849315068</v>
      </c>
      <c r="Q1402" s="18">
        <f t="shared" si="226"/>
        <v>1999.9999999999982</v>
      </c>
      <c r="R1402" s="18">
        <f t="shared" si="225"/>
        <v>13149.999999999998</v>
      </c>
      <c r="S1402" s="18">
        <f t="shared" si="227"/>
        <v>1700</v>
      </c>
    </row>
    <row r="1403" spans="1:19" ht="15" customHeight="1" x14ac:dyDescent="0.2">
      <c r="A1403" s="14">
        <f t="shared" si="229"/>
        <v>1364</v>
      </c>
      <c r="B1403" s="21" t="s">
        <v>1266</v>
      </c>
      <c r="C1403" s="15" t="s">
        <v>3</v>
      </c>
      <c r="D1403" s="21" t="s">
        <v>1200</v>
      </c>
      <c r="E1403" s="21"/>
      <c r="F1403" s="69" t="s">
        <v>4</v>
      </c>
      <c r="G1403" s="9">
        <v>41320</v>
      </c>
      <c r="H1403" s="22">
        <v>36050</v>
      </c>
      <c r="I1403" s="17">
        <v>0</v>
      </c>
      <c r="J1403" s="17">
        <f>H1403-L1403-10000</f>
        <v>24247.5</v>
      </c>
      <c r="K1403" s="17">
        <f t="shared" si="222"/>
        <v>11802.5</v>
      </c>
      <c r="L1403" s="23">
        <f t="shared" si="228"/>
        <v>1802.5</v>
      </c>
      <c r="M1403" s="23">
        <v>5</v>
      </c>
      <c r="N1403" s="18">
        <f t="shared" si="223"/>
        <v>7.1315068493150688</v>
      </c>
      <c r="O1403" s="23">
        <v>12123.75</v>
      </c>
      <c r="P1403" s="18">
        <f t="shared" si="224"/>
        <v>8.131506849315068</v>
      </c>
      <c r="Q1403" s="18">
        <f t="shared" si="226"/>
        <v>1999.9999999999982</v>
      </c>
      <c r="R1403" s="18">
        <f t="shared" si="225"/>
        <v>14123.749999999998</v>
      </c>
      <c r="S1403" s="18">
        <f t="shared" si="227"/>
        <v>1802.5</v>
      </c>
    </row>
    <row r="1404" spans="1:19" ht="15" customHeight="1" x14ac:dyDescent="0.2">
      <c r="A1404" s="14">
        <f t="shared" si="229"/>
        <v>1365</v>
      </c>
      <c r="B1404" s="21" t="s">
        <v>1267</v>
      </c>
      <c r="C1404" s="15" t="s">
        <v>3</v>
      </c>
      <c r="D1404" s="21" t="s">
        <v>1200</v>
      </c>
      <c r="E1404" s="21"/>
      <c r="F1404" s="69" t="s">
        <v>4</v>
      </c>
      <c r="G1404" s="9">
        <v>41312</v>
      </c>
      <c r="H1404" s="22">
        <v>16757</v>
      </c>
      <c r="I1404" s="17">
        <v>0</v>
      </c>
      <c r="J1404" s="17">
        <f t="shared" si="221"/>
        <v>15919.15</v>
      </c>
      <c r="K1404" s="17">
        <f t="shared" si="222"/>
        <v>837.85000000000036</v>
      </c>
      <c r="L1404" s="23">
        <f t="shared" si="228"/>
        <v>837.85</v>
      </c>
      <c r="M1404" s="23">
        <v>5</v>
      </c>
      <c r="N1404" s="18">
        <f t="shared" si="223"/>
        <v>7.1534246575342468</v>
      </c>
      <c r="O1404" s="23">
        <v>7959.5749999999998</v>
      </c>
      <c r="P1404" s="18">
        <f t="shared" si="224"/>
        <v>8.1534246575342468</v>
      </c>
      <c r="Q1404" s="18">
        <f t="shared" si="226"/>
        <v>6.8212102632969628E-14</v>
      </c>
      <c r="R1404" s="18">
        <f t="shared" si="225"/>
        <v>7959.5749999999998</v>
      </c>
      <c r="S1404" s="18">
        <f t="shared" si="227"/>
        <v>837.85</v>
      </c>
    </row>
    <row r="1405" spans="1:19" ht="15" customHeight="1" x14ac:dyDescent="0.2">
      <c r="A1405" s="14">
        <f t="shared" si="229"/>
        <v>1366</v>
      </c>
      <c r="B1405" s="21" t="s">
        <v>1208</v>
      </c>
      <c r="C1405" s="15" t="s">
        <v>3</v>
      </c>
      <c r="D1405" s="21" t="s">
        <v>1200</v>
      </c>
      <c r="E1405" s="21"/>
      <c r="F1405" s="69" t="s">
        <v>4</v>
      </c>
      <c r="G1405" s="9">
        <v>41299</v>
      </c>
      <c r="H1405" s="22">
        <v>3500</v>
      </c>
      <c r="I1405" s="17">
        <v>0</v>
      </c>
      <c r="J1405" s="17">
        <f t="shared" si="221"/>
        <v>3325</v>
      </c>
      <c r="K1405" s="17">
        <f t="shared" si="222"/>
        <v>175</v>
      </c>
      <c r="L1405" s="23">
        <f t="shared" si="228"/>
        <v>175</v>
      </c>
      <c r="M1405" s="23">
        <v>5</v>
      </c>
      <c r="N1405" s="18">
        <f t="shared" si="223"/>
        <v>7.1890410958904107</v>
      </c>
      <c r="O1405" s="23">
        <v>1662.5</v>
      </c>
      <c r="P1405" s="18">
        <f t="shared" si="224"/>
        <v>8.1890410958904116</v>
      </c>
      <c r="Q1405" s="18">
        <f t="shared" si="226"/>
        <v>0</v>
      </c>
      <c r="R1405" s="18">
        <f t="shared" si="225"/>
        <v>1662.5</v>
      </c>
      <c r="S1405" s="18">
        <f t="shared" si="227"/>
        <v>175</v>
      </c>
    </row>
    <row r="1406" spans="1:19" ht="15" customHeight="1" x14ac:dyDescent="0.2">
      <c r="A1406" s="14">
        <f t="shared" si="229"/>
        <v>1367</v>
      </c>
      <c r="B1406" s="21" t="s">
        <v>1268</v>
      </c>
      <c r="C1406" s="15" t="s">
        <v>3</v>
      </c>
      <c r="D1406" s="21" t="s">
        <v>1200</v>
      </c>
      <c r="E1406" s="21"/>
      <c r="F1406" s="69" t="s">
        <v>4</v>
      </c>
      <c r="G1406" s="9">
        <v>41289</v>
      </c>
      <c r="H1406" s="22">
        <v>4095</v>
      </c>
      <c r="I1406" s="17">
        <v>0</v>
      </c>
      <c r="J1406" s="17">
        <f t="shared" si="221"/>
        <v>3890.25</v>
      </c>
      <c r="K1406" s="17">
        <f t="shared" si="222"/>
        <v>204.75</v>
      </c>
      <c r="L1406" s="23">
        <f t="shared" si="228"/>
        <v>204.75</v>
      </c>
      <c r="M1406" s="23">
        <v>3</v>
      </c>
      <c r="N1406" s="18">
        <f t="shared" si="223"/>
        <v>7.2164383561643834</v>
      </c>
      <c r="O1406" s="23">
        <v>1945.125</v>
      </c>
      <c r="P1406" s="18">
        <f t="shared" si="224"/>
        <v>8.2164383561643834</v>
      </c>
      <c r="Q1406" s="18">
        <f t="shared" si="226"/>
        <v>0</v>
      </c>
      <c r="R1406" s="18">
        <f t="shared" si="225"/>
        <v>1945.125</v>
      </c>
      <c r="S1406" s="18">
        <f t="shared" si="227"/>
        <v>204.75</v>
      </c>
    </row>
    <row r="1407" spans="1:19" ht="15" customHeight="1" x14ac:dyDescent="0.2">
      <c r="A1407" s="14">
        <f t="shared" si="229"/>
        <v>1368</v>
      </c>
      <c r="B1407" s="21" t="s">
        <v>1269</v>
      </c>
      <c r="C1407" s="15" t="s">
        <v>3</v>
      </c>
      <c r="D1407" s="21" t="s">
        <v>1200</v>
      </c>
      <c r="E1407" s="21"/>
      <c r="F1407" s="69" t="s">
        <v>4</v>
      </c>
      <c r="G1407" s="9">
        <v>41283</v>
      </c>
      <c r="H1407" s="22">
        <v>11595</v>
      </c>
      <c r="I1407" s="17">
        <v>0</v>
      </c>
      <c r="J1407" s="17">
        <f t="shared" si="221"/>
        <v>11015.25</v>
      </c>
      <c r="K1407" s="17">
        <f t="shared" si="222"/>
        <v>579.75</v>
      </c>
      <c r="L1407" s="23">
        <f t="shared" si="228"/>
        <v>579.75</v>
      </c>
      <c r="M1407" s="23">
        <v>5</v>
      </c>
      <c r="N1407" s="18">
        <f t="shared" si="223"/>
        <v>7.2328767123287667</v>
      </c>
      <c r="O1407" s="23">
        <v>5507.625</v>
      </c>
      <c r="P1407" s="18">
        <f t="shared" si="224"/>
        <v>8.2328767123287676</v>
      </c>
      <c r="Q1407" s="18">
        <f t="shared" si="226"/>
        <v>0</v>
      </c>
      <c r="R1407" s="18">
        <f t="shared" si="225"/>
        <v>5507.625</v>
      </c>
      <c r="S1407" s="18">
        <f t="shared" si="227"/>
        <v>579.75</v>
      </c>
    </row>
    <row r="1408" spans="1:19" ht="15" customHeight="1" x14ac:dyDescent="0.2">
      <c r="A1408" s="14">
        <f t="shared" si="229"/>
        <v>1369</v>
      </c>
      <c r="B1408" s="21" t="s">
        <v>1208</v>
      </c>
      <c r="C1408" s="15" t="s">
        <v>3</v>
      </c>
      <c r="D1408" s="21" t="s">
        <v>1200</v>
      </c>
      <c r="E1408" s="21"/>
      <c r="F1408" s="69" t="s">
        <v>4</v>
      </c>
      <c r="G1408" s="9">
        <v>41272</v>
      </c>
      <c r="H1408" s="22">
        <v>7990</v>
      </c>
      <c r="I1408" s="17">
        <v>0</v>
      </c>
      <c r="J1408" s="17">
        <f t="shared" si="221"/>
        <v>7590.5</v>
      </c>
      <c r="K1408" s="17">
        <f t="shared" si="222"/>
        <v>399.5</v>
      </c>
      <c r="L1408" s="23">
        <f t="shared" si="228"/>
        <v>399.5</v>
      </c>
      <c r="M1408" s="23">
        <v>5</v>
      </c>
      <c r="N1408" s="18">
        <f t="shared" si="223"/>
        <v>7.2630136986301368</v>
      </c>
      <c r="O1408" s="23">
        <v>3795.25</v>
      </c>
      <c r="P1408" s="18">
        <f t="shared" si="224"/>
        <v>8.2630136986301377</v>
      </c>
      <c r="Q1408" s="18">
        <f t="shared" si="226"/>
        <v>0</v>
      </c>
      <c r="R1408" s="18">
        <f t="shared" si="225"/>
        <v>3795.25</v>
      </c>
      <c r="S1408" s="18">
        <f t="shared" si="227"/>
        <v>399.5</v>
      </c>
    </row>
    <row r="1409" spans="1:19" ht="15" customHeight="1" x14ac:dyDescent="0.2">
      <c r="A1409" s="14">
        <f t="shared" si="229"/>
        <v>1370</v>
      </c>
      <c r="B1409" s="21" t="s">
        <v>1209</v>
      </c>
      <c r="C1409" s="15" t="s">
        <v>3</v>
      </c>
      <c r="D1409" s="21" t="s">
        <v>1200</v>
      </c>
      <c r="E1409" s="21"/>
      <c r="F1409" s="69" t="s">
        <v>4</v>
      </c>
      <c r="G1409" s="9">
        <v>41258</v>
      </c>
      <c r="H1409" s="22">
        <v>17850</v>
      </c>
      <c r="I1409" s="17">
        <v>0</v>
      </c>
      <c r="J1409" s="17">
        <f t="shared" si="221"/>
        <v>16957.5</v>
      </c>
      <c r="K1409" s="17">
        <f t="shared" si="222"/>
        <v>892.5</v>
      </c>
      <c r="L1409" s="23">
        <f t="shared" si="228"/>
        <v>892.5</v>
      </c>
      <c r="M1409" s="23">
        <v>3</v>
      </c>
      <c r="N1409" s="18">
        <f t="shared" si="223"/>
        <v>7.3013698630136989</v>
      </c>
      <c r="O1409" s="23">
        <v>8478.75</v>
      </c>
      <c r="P1409" s="18">
        <f t="shared" si="224"/>
        <v>8.3013698630136989</v>
      </c>
      <c r="Q1409" s="18">
        <f t="shared" si="226"/>
        <v>0</v>
      </c>
      <c r="R1409" s="18">
        <f t="shared" si="225"/>
        <v>8478.75</v>
      </c>
      <c r="S1409" s="18">
        <f t="shared" si="227"/>
        <v>892.5</v>
      </c>
    </row>
    <row r="1410" spans="1:19" ht="15" customHeight="1" x14ac:dyDescent="0.2">
      <c r="A1410" s="14">
        <f t="shared" si="229"/>
        <v>1371</v>
      </c>
      <c r="B1410" s="21" t="s">
        <v>1270</v>
      </c>
      <c r="C1410" s="15" t="s">
        <v>3</v>
      </c>
      <c r="D1410" s="21" t="s">
        <v>1200</v>
      </c>
      <c r="E1410" s="21"/>
      <c r="F1410" s="69" t="s">
        <v>4</v>
      </c>
      <c r="G1410" s="9">
        <v>41258</v>
      </c>
      <c r="H1410" s="22">
        <v>10455.66</v>
      </c>
      <c r="I1410" s="17">
        <v>0</v>
      </c>
      <c r="J1410" s="17">
        <f t="shared" si="221"/>
        <v>9932.8770000000004</v>
      </c>
      <c r="K1410" s="17">
        <f t="shared" si="222"/>
        <v>522.78299999999945</v>
      </c>
      <c r="L1410" s="23">
        <f t="shared" si="228"/>
        <v>522.78300000000002</v>
      </c>
      <c r="M1410" s="23">
        <v>5</v>
      </c>
      <c r="N1410" s="18">
        <f t="shared" si="223"/>
        <v>7.3013698630136989</v>
      </c>
      <c r="O1410" s="23">
        <v>4966.4385000000002</v>
      </c>
      <c r="P1410" s="18">
        <f t="shared" si="224"/>
        <v>8.3013698630136989</v>
      </c>
      <c r="Q1410" s="18">
        <f t="shared" si="226"/>
        <v>-1.1368683772161603E-13</v>
      </c>
      <c r="R1410" s="18">
        <f t="shared" si="225"/>
        <v>4966.4385000000002</v>
      </c>
      <c r="S1410" s="18">
        <f t="shared" si="227"/>
        <v>522.78300000000002</v>
      </c>
    </row>
    <row r="1411" spans="1:19" ht="15" customHeight="1" x14ac:dyDescent="0.2">
      <c r="A1411" s="14">
        <f t="shared" si="229"/>
        <v>1372</v>
      </c>
      <c r="B1411" s="21" t="s">
        <v>1271</v>
      </c>
      <c r="C1411" s="15" t="s">
        <v>3</v>
      </c>
      <c r="D1411" s="21" t="s">
        <v>1200</v>
      </c>
      <c r="E1411" s="21"/>
      <c r="F1411" s="69" t="s">
        <v>4</v>
      </c>
      <c r="G1411" s="9">
        <v>41251</v>
      </c>
      <c r="H1411" s="22">
        <v>17200</v>
      </c>
      <c r="I1411" s="17">
        <v>0</v>
      </c>
      <c r="J1411" s="17">
        <f t="shared" si="221"/>
        <v>16340</v>
      </c>
      <c r="K1411" s="17">
        <f t="shared" si="222"/>
        <v>860</v>
      </c>
      <c r="L1411" s="23">
        <f t="shared" si="228"/>
        <v>860</v>
      </c>
      <c r="M1411" s="23">
        <v>5</v>
      </c>
      <c r="N1411" s="18">
        <f t="shared" si="223"/>
        <v>7.3205479452054796</v>
      </c>
      <c r="O1411" s="23">
        <v>8170</v>
      </c>
      <c r="P1411" s="18">
        <f t="shared" si="224"/>
        <v>8.3205479452054796</v>
      </c>
      <c r="Q1411" s="18">
        <f t="shared" si="226"/>
        <v>0</v>
      </c>
      <c r="R1411" s="18">
        <f t="shared" si="225"/>
        <v>8170</v>
      </c>
      <c r="S1411" s="18">
        <f t="shared" si="227"/>
        <v>860</v>
      </c>
    </row>
    <row r="1412" spans="1:19" ht="15" customHeight="1" x14ac:dyDescent="0.2">
      <c r="A1412" s="14">
        <f t="shared" si="229"/>
        <v>1373</v>
      </c>
      <c r="B1412" s="21" t="s">
        <v>1272</v>
      </c>
      <c r="C1412" s="15" t="s">
        <v>3</v>
      </c>
      <c r="D1412" s="21" t="s">
        <v>1200</v>
      </c>
      <c r="E1412" s="21"/>
      <c r="F1412" s="69" t="s">
        <v>4</v>
      </c>
      <c r="G1412" s="9">
        <v>41250</v>
      </c>
      <c r="H1412" s="22">
        <v>25800</v>
      </c>
      <c r="I1412" s="17">
        <v>0</v>
      </c>
      <c r="J1412" s="17">
        <f t="shared" si="221"/>
        <v>24510</v>
      </c>
      <c r="K1412" s="17">
        <f t="shared" si="222"/>
        <v>1290</v>
      </c>
      <c r="L1412" s="23">
        <f t="shared" si="228"/>
        <v>1290</v>
      </c>
      <c r="M1412" s="23">
        <v>5</v>
      </c>
      <c r="N1412" s="18">
        <f t="shared" si="223"/>
        <v>7.3232876712328769</v>
      </c>
      <c r="O1412" s="23">
        <v>12255</v>
      </c>
      <c r="P1412" s="18">
        <f t="shared" si="224"/>
        <v>8.3232876712328761</v>
      </c>
      <c r="Q1412" s="18">
        <f t="shared" si="226"/>
        <v>0</v>
      </c>
      <c r="R1412" s="18">
        <f t="shared" si="225"/>
        <v>12255</v>
      </c>
      <c r="S1412" s="18">
        <f t="shared" si="227"/>
        <v>1290</v>
      </c>
    </row>
    <row r="1413" spans="1:19" ht="15" customHeight="1" x14ac:dyDescent="0.2">
      <c r="A1413" s="14">
        <f t="shared" si="229"/>
        <v>1374</v>
      </c>
      <c r="B1413" s="21" t="s">
        <v>1208</v>
      </c>
      <c r="C1413" s="15" t="s">
        <v>3</v>
      </c>
      <c r="D1413" s="21" t="s">
        <v>1200</v>
      </c>
      <c r="E1413" s="21"/>
      <c r="F1413" s="69" t="s">
        <v>4</v>
      </c>
      <c r="G1413" s="9">
        <v>41249</v>
      </c>
      <c r="H1413" s="22">
        <v>12000</v>
      </c>
      <c r="I1413" s="17">
        <v>0</v>
      </c>
      <c r="J1413" s="17">
        <f t="shared" si="221"/>
        <v>11400</v>
      </c>
      <c r="K1413" s="17">
        <f t="shared" si="222"/>
        <v>600</v>
      </c>
      <c r="L1413" s="23">
        <f t="shared" si="228"/>
        <v>600</v>
      </c>
      <c r="M1413" s="23">
        <v>5</v>
      </c>
      <c r="N1413" s="18">
        <f t="shared" si="223"/>
        <v>7.3260273972602743</v>
      </c>
      <c r="O1413" s="23">
        <v>5700</v>
      </c>
      <c r="P1413" s="18">
        <f t="shared" si="224"/>
        <v>8.3260273972602743</v>
      </c>
      <c r="Q1413" s="18">
        <f t="shared" si="226"/>
        <v>0</v>
      </c>
      <c r="R1413" s="18">
        <f t="shared" si="225"/>
        <v>5700</v>
      </c>
      <c r="S1413" s="18">
        <f t="shared" si="227"/>
        <v>600</v>
      </c>
    </row>
    <row r="1414" spans="1:19" ht="15" customHeight="1" x14ac:dyDescent="0.2">
      <c r="A1414" s="14">
        <f t="shared" si="229"/>
        <v>1375</v>
      </c>
      <c r="B1414" s="21" t="s">
        <v>1265</v>
      </c>
      <c r="C1414" s="15" t="s">
        <v>3</v>
      </c>
      <c r="D1414" s="21" t="s">
        <v>1200</v>
      </c>
      <c r="E1414" s="21"/>
      <c r="F1414" s="69" t="s">
        <v>4</v>
      </c>
      <c r="G1414" s="9">
        <v>41233</v>
      </c>
      <c r="H1414" s="22">
        <v>30600</v>
      </c>
      <c r="I1414" s="17">
        <v>0</v>
      </c>
      <c r="J1414" s="17">
        <f t="shared" si="221"/>
        <v>29070</v>
      </c>
      <c r="K1414" s="17">
        <f t="shared" si="222"/>
        <v>1530</v>
      </c>
      <c r="L1414" s="23">
        <f t="shared" si="228"/>
        <v>1530</v>
      </c>
      <c r="M1414" s="23">
        <v>5</v>
      </c>
      <c r="N1414" s="18">
        <f t="shared" si="223"/>
        <v>7.3698630136986303</v>
      </c>
      <c r="O1414" s="23">
        <v>14535</v>
      </c>
      <c r="P1414" s="18">
        <f t="shared" si="224"/>
        <v>8.3698630136986303</v>
      </c>
      <c r="Q1414" s="18">
        <f t="shared" si="226"/>
        <v>0</v>
      </c>
      <c r="R1414" s="18">
        <f t="shared" si="225"/>
        <v>14535</v>
      </c>
      <c r="S1414" s="18">
        <f t="shared" si="227"/>
        <v>1530</v>
      </c>
    </row>
    <row r="1415" spans="1:19" ht="15" customHeight="1" x14ac:dyDescent="0.2">
      <c r="A1415" s="14">
        <f t="shared" si="229"/>
        <v>1376</v>
      </c>
      <c r="B1415" s="21" t="s">
        <v>1273</v>
      </c>
      <c r="C1415" s="15" t="s">
        <v>3</v>
      </c>
      <c r="D1415" s="21" t="s">
        <v>1200</v>
      </c>
      <c r="E1415" s="21"/>
      <c r="F1415" s="69" t="s">
        <v>4</v>
      </c>
      <c r="G1415" s="9">
        <v>41228</v>
      </c>
      <c r="H1415" s="22">
        <v>6825</v>
      </c>
      <c r="I1415" s="17">
        <v>0</v>
      </c>
      <c r="J1415" s="17">
        <f t="shared" si="221"/>
        <v>6483.75</v>
      </c>
      <c r="K1415" s="17">
        <f t="shared" si="222"/>
        <v>341.25</v>
      </c>
      <c r="L1415" s="23">
        <f t="shared" si="228"/>
        <v>341.25</v>
      </c>
      <c r="M1415" s="23">
        <v>3</v>
      </c>
      <c r="N1415" s="18">
        <f t="shared" si="223"/>
        <v>7.3835616438356162</v>
      </c>
      <c r="O1415" s="23">
        <v>3241.875</v>
      </c>
      <c r="P1415" s="18">
        <f t="shared" si="224"/>
        <v>8.3835616438356162</v>
      </c>
      <c r="Q1415" s="18">
        <f t="shared" si="226"/>
        <v>0</v>
      </c>
      <c r="R1415" s="18">
        <f t="shared" si="225"/>
        <v>3241.875</v>
      </c>
      <c r="S1415" s="18">
        <f t="shared" si="227"/>
        <v>341.25</v>
      </c>
    </row>
    <row r="1416" spans="1:19" ht="15" customHeight="1" x14ac:dyDescent="0.2">
      <c r="A1416" s="14">
        <f t="shared" si="229"/>
        <v>1377</v>
      </c>
      <c r="B1416" s="21" t="s">
        <v>1274</v>
      </c>
      <c r="C1416" s="15" t="s">
        <v>3</v>
      </c>
      <c r="D1416" s="21" t="s">
        <v>1200</v>
      </c>
      <c r="E1416" s="21"/>
      <c r="F1416" s="69" t="s">
        <v>4</v>
      </c>
      <c r="G1416" s="9">
        <v>41228</v>
      </c>
      <c r="H1416" s="22">
        <v>11600</v>
      </c>
      <c r="I1416" s="17">
        <v>0</v>
      </c>
      <c r="J1416" s="17">
        <f t="shared" ref="J1416:J1479" si="230">H1416-L1416</f>
        <v>11020</v>
      </c>
      <c r="K1416" s="17">
        <f t="shared" si="222"/>
        <v>580</v>
      </c>
      <c r="L1416" s="23">
        <f t="shared" si="228"/>
        <v>580</v>
      </c>
      <c r="M1416" s="23">
        <v>5</v>
      </c>
      <c r="N1416" s="18">
        <f t="shared" si="223"/>
        <v>7.3835616438356162</v>
      </c>
      <c r="O1416" s="23">
        <v>5510</v>
      </c>
      <c r="P1416" s="18">
        <f t="shared" si="224"/>
        <v>8.3835616438356162</v>
      </c>
      <c r="Q1416" s="18">
        <f t="shared" si="226"/>
        <v>0</v>
      </c>
      <c r="R1416" s="18">
        <f t="shared" si="225"/>
        <v>5510</v>
      </c>
      <c r="S1416" s="18">
        <f t="shared" si="227"/>
        <v>580</v>
      </c>
    </row>
    <row r="1417" spans="1:19" ht="15" customHeight="1" x14ac:dyDescent="0.2">
      <c r="A1417" s="14">
        <f t="shared" si="229"/>
        <v>1378</v>
      </c>
      <c r="B1417" s="21" t="s">
        <v>1270</v>
      </c>
      <c r="C1417" s="15" t="s">
        <v>3</v>
      </c>
      <c r="D1417" s="21" t="s">
        <v>1200</v>
      </c>
      <c r="E1417" s="21"/>
      <c r="F1417" s="69" t="s">
        <v>4</v>
      </c>
      <c r="G1417" s="9">
        <v>41228</v>
      </c>
      <c r="H1417" s="22">
        <v>14462.67</v>
      </c>
      <c r="I1417" s="17">
        <v>0</v>
      </c>
      <c r="J1417" s="17">
        <f t="shared" si="230"/>
        <v>13739.5365</v>
      </c>
      <c r="K1417" s="17">
        <f t="shared" si="222"/>
        <v>723.13349999999991</v>
      </c>
      <c r="L1417" s="23">
        <f t="shared" si="228"/>
        <v>723.13350000000003</v>
      </c>
      <c r="M1417" s="23">
        <v>5</v>
      </c>
      <c r="N1417" s="18">
        <f t="shared" si="223"/>
        <v>7.3835616438356162</v>
      </c>
      <c r="O1417" s="23">
        <v>6869.7682500000001</v>
      </c>
      <c r="P1417" s="18">
        <f t="shared" si="224"/>
        <v>8.3835616438356162</v>
      </c>
      <c r="Q1417" s="18">
        <f t="shared" si="226"/>
        <v>-2.2737367544323207E-14</v>
      </c>
      <c r="R1417" s="18">
        <f t="shared" si="225"/>
        <v>6869.7682500000001</v>
      </c>
      <c r="S1417" s="18">
        <f t="shared" si="227"/>
        <v>723.13350000000003</v>
      </c>
    </row>
    <row r="1418" spans="1:19" ht="15" customHeight="1" x14ac:dyDescent="0.2">
      <c r="A1418" s="14">
        <f t="shared" si="229"/>
        <v>1379</v>
      </c>
      <c r="B1418" s="21" t="s">
        <v>1243</v>
      </c>
      <c r="C1418" s="15" t="s">
        <v>3</v>
      </c>
      <c r="D1418" s="21" t="s">
        <v>1200</v>
      </c>
      <c r="E1418" s="21"/>
      <c r="F1418" s="69" t="s">
        <v>4</v>
      </c>
      <c r="G1418" s="9">
        <v>41228</v>
      </c>
      <c r="H1418" s="22">
        <v>31499.89</v>
      </c>
      <c r="I1418" s="17">
        <v>0</v>
      </c>
      <c r="J1418" s="17">
        <f t="shared" si="230"/>
        <v>29924.895499999999</v>
      </c>
      <c r="K1418" s="17">
        <f t="shared" si="222"/>
        <v>1574.9945000000007</v>
      </c>
      <c r="L1418" s="23">
        <f t="shared" si="228"/>
        <v>1574.9945</v>
      </c>
      <c r="M1418" s="23">
        <v>3</v>
      </c>
      <c r="N1418" s="18">
        <f t="shared" si="223"/>
        <v>7.3835616438356162</v>
      </c>
      <c r="O1418" s="23">
        <v>14962.447749999999</v>
      </c>
      <c r="P1418" s="18">
        <f t="shared" si="224"/>
        <v>8.3835616438356162</v>
      </c>
      <c r="Q1418" s="18">
        <f t="shared" si="226"/>
        <v>2.2737367544323206E-13</v>
      </c>
      <c r="R1418" s="18">
        <f t="shared" si="225"/>
        <v>14962.447749999999</v>
      </c>
      <c r="S1418" s="18">
        <f t="shared" si="227"/>
        <v>1574.9945</v>
      </c>
    </row>
    <row r="1419" spans="1:19" ht="15" customHeight="1" x14ac:dyDescent="0.2">
      <c r="A1419" s="14">
        <f t="shared" si="229"/>
        <v>1380</v>
      </c>
      <c r="B1419" s="21" t="s">
        <v>1275</v>
      </c>
      <c r="C1419" s="15" t="s">
        <v>3</v>
      </c>
      <c r="D1419" s="21" t="s">
        <v>1200</v>
      </c>
      <c r="E1419" s="21"/>
      <c r="F1419" s="69" t="s">
        <v>4</v>
      </c>
      <c r="G1419" s="9">
        <v>41228</v>
      </c>
      <c r="H1419" s="22">
        <v>23893.510000000002</v>
      </c>
      <c r="I1419" s="17">
        <v>0</v>
      </c>
      <c r="J1419" s="17">
        <f t="shared" si="230"/>
        <v>22698.834500000001</v>
      </c>
      <c r="K1419" s="17">
        <f t="shared" si="222"/>
        <v>1194.6755000000012</v>
      </c>
      <c r="L1419" s="23">
        <f t="shared" si="228"/>
        <v>1194.6755000000001</v>
      </c>
      <c r="M1419" s="23">
        <v>5</v>
      </c>
      <c r="N1419" s="18">
        <f t="shared" si="223"/>
        <v>7.3835616438356162</v>
      </c>
      <c r="O1419" s="23">
        <v>11349.41725</v>
      </c>
      <c r="P1419" s="18">
        <f t="shared" si="224"/>
        <v>8.3835616438356162</v>
      </c>
      <c r="Q1419" s="18">
        <f t="shared" si="226"/>
        <v>2.2737367544323206E-13</v>
      </c>
      <c r="R1419" s="18">
        <f t="shared" si="225"/>
        <v>11349.41725</v>
      </c>
      <c r="S1419" s="18">
        <f t="shared" si="227"/>
        <v>1194.6755000000001</v>
      </c>
    </row>
    <row r="1420" spans="1:19" ht="15" customHeight="1" x14ac:dyDescent="0.2">
      <c r="A1420" s="14">
        <f t="shared" si="229"/>
        <v>1381</v>
      </c>
      <c r="B1420" s="21" t="s">
        <v>1276</v>
      </c>
      <c r="C1420" s="15" t="s">
        <v>3</v>
      </c>
      <c r="D1420" s="21" t="s">
        <v>1200</v>
      </c>
      <c r="E1420" s="21"/>
      <c r="F1420" s="69" t="s">
        <v>4</v>
      </c>
      <c r="G1420" s="9">
        <v>41228</v>
      </c>
      <c r="H1420" s="22">
        <v>190006.49000000002</v>
      </c>
      <c r="I1420" s="17">
        <v>0</v>
      </c>
      <c r="J1420" s="17">
        <f>H1420-L1420-100000</f>
        <v>80506.165500000032</v>
      </c>
      <c r="K1420" s="17">
        <f t="shared" si="222"/>
        <v>109500.32449999999</v>
      </c>
      <c r="L1420" s="23">
        <f t="shared" si="228"/>
        <v>9500.3245000000006</v>
      </c>
      <c r="M1420" s="23">
        <v>5</v>
      </c>
      <c r="N1420" s="18">
        <f t="shared" si="223"/>
        <v>7.3835616438356162</v>
      </c>
      <c r="O1420" s="23">
        <v>40253.082750000016</v>
      </c>
      <c r="P1420" s="18">
        <f t="shared" si="224"/>
        <v>8.3835616438356162</v>
      </c>
      <c r="Q1420" s="18">
        <f t="shared" si="226"/>
        <v>20000</v>
      </c>
      <c r="R1420" s="18">
        <f t="shared" si="225"/>
        <v>60253.082750000016</v>
      </c>
      <c r="S1420" s="18">
        <f t="shared" si="227"/>
        <v>9500.3245000000006</v>
      </c>
    </row>
    <row r="1421" spans="1:19" ht="15" customHeight="1" x14ac:dyDescent="0.2">
      <c r="A1421" s="14">
        <f t="shared" si="229"/>
        <v>1382</v>
      </c>
      <c r="B1421" s="21" t="s">
        <v>1208</v>
      </c>
      <c r="C1421" s="15" t="s">
        <v>3</v>
      </c>
      <c r="D1421" s="21" t="s">
        <v>1200</v>
      </c>
      <c r="E1421" s="21"/>
      <c r="F1421" s="69" t="s">
        <v>4</v>
      </c>
      <c r="G1421" s="9">
        <v>41223</v>
      </c>
      <c r="H1421" s="22">
        <v>47255</v>
      </c>
      <c r="I1421" s="17">
        <v>0</v>
      </c>
      <c r="J1421" s="17">
        <f>H1421-L1421-15000</f>
        <v>29892.25</v>
      </c>
      <c r="K1421" s="17">
        <f t="shared" si="222"/>
        <v>17362.75</v>
      </c>
      <c r="L1421" s="23">
        <f t="shared" si="228"/>
        <v>2362.75</v>
      </c>
      <c r="M1421" s="23">
        <v>5</v>
      </c>
      <c r="N1421" s="18">
        <f t="shared" si="223"/>
        <v>7.397260273972603</v>
      </c>
      <c r="O1421" s="23">
        <v>14946.125</v>
      </c>
      <c r="P1421" s="18">
        <f t="shared" si="224"/>
        <v>8.3972602739726021</v>
      </c>
      <c r="Q1421" s="18">
        <f t="shared" si="226"/>
        <v>2999.9999999999973</v>
      </c>
      <c r="R1421" s="18">
        <f t="shared" si="225"/>
        <v>17946.124999999996</v>
      </c>
      <c r="S1421" s="18">
        <f t="shared" si="227"/>
        <v>2362.75</v>
      </c>
    </row>
    <row r="1422" spans="1:19" ht="15" customHeight="1" x14ac:dyDescent="0.2">
      <c r="A1422" s="14">
        <f t="shared" si="229"/>
        <v>1383</v>
      </c>
      <c r="B1422" s="21" t="s">
        <v>1208</v>
      </c>
      <c r="C1422" s="15" t="s">
        <v>3</v>
      </c>
      <c r="D1422" s="21" t="s">
        <v>1200</v>
      </c>
      <c r="E1422" s="21"/>
      <c r="F1422" s="69" t="s">
        <v>4</v>
      </c>
      <c r="G1422" s="9">
        <v>41213</v>
      </c>
      <c r="H1422" s="22">
        <v>15500</v>
      </c>
      <c r="I1422" s="17">
        <v>0</v>
      </c>
      <c r="J1422" s="17">
        <f t="shared" si="230"/>
        <v>14725</v>
      </c>
      <c r="K1422" s="17">
        <f t="shared" si="222"/>
        <v>775</v>
      </c>
      <c r="L1422" s="23">
        <f t="shared" si="228"/>
        <v>775</v>
      </c>
      <c r="M1422" s="23">
        <v>5</v>
      </c>
      <c r="N1422" s="18">
        <f t="shared" si="223"/>
        <v>7.4246575342465757</v>
      </c>
      <c r="O1422" s="23">
        <v>7362.5</v>
      </c>
      <c r="P1422" s="18">
        <f t="shared" si="224"/>
        <v>8.4246575342465757</v>
      </c>
      <c r="Q1422" s="18">
        <f t="shared" si="226"/>
        <v>0</v>
      </c>
      <c r="R1422" s="18">
        <f t="shared" si="225"/>
        <v>7362.5</v>
      </c>
      <c r="S1422" s="18">
        <f t="shared" si="227"/>
        <v>775</v>
      </c>
    </row>
    <row r="1423" spans="1:19" ht="15" customHeight="1" x14ac:dyDescent="0.2">
      <c r="A1423" s="14">
        <f t="shared" si="229"/>
        <v>1384</v>
      </c>
      <c r="B1423" s="21" t="s">
        <v>1277</v>
      </c>
      <c r="C1423" s="15" t="s">
        <v>3</v>
      </c>
      <c r="D1423" s="21" t="s">
        <v>1200</v>
      </c>
      <c r="E1423" s="21"/>
      <c r="F1423" s="69" t="s">
        <v>4</v>
      </c>
      <c r="G1423" s="9">
        <v>41200</v>
      </c>
      <c r="H1423" s="22">
        <v>5500</v>
      </c>
      <c r="I1423" s="17">
        <v>0</v>
      </c>
      <c r="J1423" s="17">
        <f t="shared" si="230"/>
        <v>5225</v>
      </c>
      <c r="K1423" s="17">
        <f t="shared" si="222"/>
        <v>275</v>
      </c>
      <c r="L1423" s="23">
        <f t="shared" si="228"/>
        <v>275</v>
      </c>
      <c r="M1423" s="23">
        <v>5</v>
      </c>
      <c r="N1423" s="18">
        <f t="shared" si="223"/>
        <v>7.4602739726027396</v>
      </c>
      <c r="O1423" s="23">
        <v>2612.5</v>
      </c>
      <c r="P1423" s="18">
        <f t="shared" si="224"/>
        <v>8.4602739726027405</v>
      </c>
      <c r="Q1423" s="18">
        <f t="shared" si="226"/>
        <v>0</v>
      </c>
      <c r="R1423" s="18">
        <f t="shared" si="225"/>
        <v>2612.5</v>
      </c>
      <c r="S1423" s="18">
        <f t="shared" si="227"/>
        <v>275</v>
      </c>
    </row>
    <row r="1424" spans="1:19" ht="15" customHeight="1" x14ac:dyDescent="0.2">
      <c r="A1424" s="14">
        <f t="shared" si="229"/>
        <v>1385</v>
      </c>
      <c r="B1424" s="21" t="s">
        <v>1278</v>
      </c>
      <c r="C1424" s="15" t="s">
        <v>3</v>
      </c>
      <c r="D1424" s="21" t="s">
        <v>1200</v>
      </c>
      <c r="E1424" s="21"/>
      <c r="F1424" s="69" t="s">
        <v>4</v>
      </c>
      <c r="G1424" s="9">
        <v>41200</v>
      </c>
      <c r="H1424" s="22">
        <v>10000</v>
      </c>
      <c r="I1424" s="17">
        <v>0</v>
      </c>
      <c r="J1424" s="17">
        <f t="shared" si="230"/>
        <v>9500</v>
      </c>
      <c r="K1424" s="17">
        <f t="shared" si="222"/>
        <v>500</v>
      </c>
      <c r="L1424" s="23">
        <f t="shared" si="228"/>
        <v>500</v>
      </c>
      <c r="M1424" s="23">
        <v>5</v>
      </c>
      <c r="N1424" s="18">
        <f t="shared" si="223"/>
        <v>7.4602739726027396</v>
      </c>
      <c r="O1424" s="23">
        <v>4750</v>
      </c>
      <c r="P1424" s="18">
        <f t="shared" si="224"/>
        <v>8.4602739726027405</v>
      </c>
      <c r="Q1424" s="18">
        <f t="shared" si="226"/>
        <v>0</v>
      </c>
      <c r="R1424" s="18">
        <f t="shared" si="225"/>
        <v>4750</v>
      </c>
      <c r="S1424" s="18">
        <f t="shared" si="227"/>
        <v>500</v>
      </c>
    </row>
    <row r="1425" spans="1:19" ht="15" customHeight="1" x14ac:dyDescent="0.2">
      <c r="A1425" s="14">
        <f t="shared" si="229"/>
        <v>1386</v>
      </c>
      <c r="B1425" s="21" t="s">
        <v>1274</v>
      </c>
      <c r="C1425" s="15" t="s">
        <v>3</v>
      </c>
      <c r="D1425" s="21" t="s">
        <v>1200</v>
      </c>
      <c r="E1425" s="21"/>
      <c r="F1425" s="69" t="s">
        <v>4</v>
      </c>
      <c r="G1425" s="9">
        <v>41187</v>
      </c>
      <c r="H1425" s="22">
        <v>18650</v>
      </c>
      <c r="I1425" s="17">
        <v>0</v>
      </c>
      <c r="J1425" s="17">
        <f t="shared" si="230"/>
        <v>17717.5</v>
      </c>
      <c r="K1425" s="17">
        <f t="shared" si="222"/>
        <v>932.5</v>
      </c>
      <c r="L1425" s="23">
        <f t="shared" si="228"/>
        <v>932.5</v>
      </c>
      <c r="M1425" s="23">
        <v>5</v>
      </c>
      <c r="N1425" s="18">
        <f t="shared" si="223"/>
        <v>7.4958904109589044</v>
      </c>
      <c r="O1425" s="23">
        <v>8858.75</v>
      </c>
      <c r="P1425" s="18">
        <f t="shared" si="224"/>
        <v>8.4958904109589035</v>
      </c>
      <c r="Q1425" s="18">
        <f t="shared" si="226"/>
        <v>0</v>
      </c>
      <c r="R1425" s="18">
        <f t="shared" si="225"/>
        <v>8858.75</v>
      </c>
      <c r="S1425" s="18">
        <f t="shared" si="227"/>
        <v>932.5</v>
      </c>
    </row>
    <row r="1426" spans="1:19" ht="15" customHeight="1" x14ac:dyDescent="0.2">
      <c r="A1426" s="14">
        <f t="shared" si="229"/>
        <v>1387</v>
      </c>
      <c r="B1426" s="21" t="s">
        <v>1279</v>
      </c>
      <c r="C1426" s="15" t="s">
        <v>3</v>
      </c>
      <c r="D1426" s="21" t="s">
        <v>1200</v>
      </c>
      <c r="E1426" s="21"/>
      <c r="F1426" s="69" t="s">
        <v>4</v>
      </c>
      <c r="G1426" s="9">
        <v>41177</v>
      </c>
      <c r="H1426" s="22">
        <v>1200</v>
      </c>
      <c r="I1426" s="17">
        <v>0</v>
      </c>
      <c r="J1426" s="17">
        <f t="shared" si="230"/>
        <v>1140</v>
      </c>
      <c r="K1426" s="17">
        <f t="shared" si="222"/>
        <v>60</v>
      </c>
      <c r="L1426" s="23">
        <f t="shared" si="228"/>
        <v>60</v>
      </c>
      <c r="M1426" s="23">
        <v>3</v>
      </c>
      <c r="N1426" s="18">
        <f t="shared" si="223"/>
        <v>7.5232876712328771</v>
      </c>
      <c r="O1426" s="23">
        <v>570</v>
      </c>
      <c r="P1426" s="18">
        <f t="shared" si="224"/>
        <v>8.5232876712328771</v>
      </c>
      <c r="Q1426" s="18">
        <f t="shared" si="226"/>
        <v>0</v>
      </c>
      <c r="R1426" s="18">
        <f t="shared" si="225"/>
        <v>570</v>
      </c>
      <c r="S1426" s="18">
        <f t="shared" si="227"/>
        <v>60</v>
      </c>
    </row>
    <row r="1427" spans="1:19" ht="15" customHeight="1" x14ac:dyDescent="0.2">
      <c r="A1427" s="14">
        <f t="shared" si="229"/>
        <v>1388</v>
      </c>
      <c r="B1427" s="21" t="s">
        <v>1280</v>
      </c>
      <c r="C1427" s="15" t="s">
        <v>3</v>
      </c>
      <c r="D1427" s="21" t="s">
        <v>1200</v>
      </c>
      <c r="E1427" s="21"/>
      <c r="F1427" s="69" t="s">
        <v>4</v>
      </c>
      <c r="G1427" s="9">
        <v>41172</v>
      </c>
      <c r="H1427" s="22">
        <v>16000</v>
      </c>
      <c r="I1427" s="17">
        <v>0</v>
      </c>
      <c r="J1427" s="17">
        <f t="shared" si="230"/>
        <v>15200</v>
      </c>
      <c r="K1427" s="17">
        <f t="shared" si="222"/>
        <v>800</v>
      </c>
      <c r="L1427" s="23">
        <f t="shared" si="228"/>
        <v>800</v>
      </c>
      <c r="M1427" s="23">
        <v>5</v>
      </c>
      <c r="N1427" s="18">
        <f t="shared" si="223"/>
        <v>7.536986301369863</v>
      </c>
      <c r="O1427" s="23">
        <v>7600</v>
      </c>
      <c r="P1427" s="18">
        <f t="shared" si="224"/>
        <v>8.536986301369863</v>
      </c>
      <c r="Q1427" s="18">
        <f t="shared" si="226"/>
        <v>0</v>
      </c>
      <c r="R1427" s="18">
        <f t="shared" si="225"/>
        <v>7600</v>
      </c>
      <c r="S1427" s="18">
        <f t="shared" si="227"/>
        <v>800</v>
      </c>
    </row>
    <row r="1428" spans="1:19" ht="15" customHeight="1" x14ac:dyDescent="0.2">
      <c r="A1428" s="14">
        <f t="shared" si="229"/>
        <v>1389</v>
      </c>
      <c r="B1428" s="21" t="s">
        <v>1281</v>
      </c>
      <c r="C1428" s="15" t="s">
        <v>3</v>
      </c>
      <c r="D1428" s="21" t="s">
        <v>1200</v>
      </c>
      <c r="E1428" s="21"/>
      <c r="F1428" s="69" t="s">
        <v>4</v>
      </c>
      <c r="G1428" s="9">
        <v>41171</v>
      </c>
      <c r="H1428" s="22">
        <v>71785</v>
      </c>
      <c r="I1428" s="17">
        <v>0</v>
      </c>
      <c r="J1428" s="17">
        <f t="shared" si="230"/>
        <v>68195.75</v>
      </c>
      <c r="K1428" s="17">
        <f t="shared" si="222"/>
        <v>3589.25</v>
      </c>
      <c r="L1428" s="23">
        <f t="shared" si="228"/>
        <v>3589.25</v>
      </c>
      <c r="M1428" s="23">
        <v>3</v>
      </c>
      <c r="N1428" s="18">
        <f t="shared" si="223"/>
        <v>7.5397260273972604</v>
      </c>
      <c r="O1428" s="23">
        <v>34097.875</v>
      </c>
      <c r="P1428" s="18">
        <f t="shared" si="224"/>
        <v>8.5397260273972595</v>
      </c>
      <c r="Q1428" s="18">
        <f t="shared" si="226"/>
        <v>0</v>
      </c>
      <c r="R1428" s="18">
        <f t="shared" si="225"/>
        <v>34097.875</v>
      </c>
      <c r="S1428" s="18">
        <f t="shared" si="227"/>
        <v>3589.25</v>
      </c>
    </row>
    <row r="1429" spans="1:19" ht="15" customHeight="1" x14ac:dyDescent="0.2">
      <c r="A1429" s="14">
        <f t="shared" si="229"/>
        <v>1390</v>
      </c>
      <c r="B1429" s="21" t="s">
        <v>1279</v>
      </c>
      <c r="C1429" s="15" t="s">
        <v>3</v>
      </c>
      <c r="D1429" s="21" t="s">
        <v>1200</v>
      </c>
      <c r="E1429" s="21"/>
      <c r="F1429" s="69" t="s">
        <v>4</v>
      </c>
      <c r="G1429" s="9">
        <v>41170</v>
      </c>
      <c r="H1429" s="22">
        <v>19800</v>
      </c>
      <c r="I1429" s="17">
        <v>0</v>
      </c>
      <c r="J1429" s="17">
        <f t="shared" si="230"/>
        <v>18810</v>
      </c>
      <c r="K1429" s="17">
        <f t="shared" si="222"/>
        <v>990</v>
      </c>
      <c r="L1429" s="23">
        <f t="shared" si="228"/>
        <v>990</v>
      </c>
      <c r="M1429" s="23">
        <v>3</v>
      </c>
      <c r="N1429" s="18">
        <f t="shared" si="223"/>
        <v>7.5424657534246577</v>
      </c>
      <c r="O1429" s="23">
        <v>9405</v>
      </c>
      <c r="P1429" s="18">
        <f t="shared" si="224"/>
        <v>8.5424657534246577</v>
      </c>
      <c r="Q1429" s="18">
        <f t="shared" si="226"/>
        <v>0</v>
      </c>
      <c r="R1429" s="18">
        <f t="shared" si="225"/>
        <v>9405</v>
      </c>
      <c r="S1429" s="18">
        <f t="shared" si="227"/>
        <v>990</v>
      </c>
    </row>
    <row r="1430" spans="1:19" ht="15" customHeight="1" x14ac:dyDescent="0.2">
      <c r="A1430" s="14">
        <f t="shared" si="229"/>
        <v>1391</v>
      </c>
      <c r="B1430" s="21" t="s">
        <v>1206</v>
      </c>
      <c r="C1430" s="15" t="s">
        <v>3</v>
      </c>
      <c r="D1430" s="21" t="s">
        <v>1200</v>
      </c>
      <c r="E1430" s="21"/>
      <c r="F1430" s="69" t="s">
        <v>4</v>
      </c>
      <c r="G1430" s="9">
        <v>41136</v>
      </c>
      <c r="H1430" s="22">
        <v>6719.97</v>
      </c>
      <c r="I1430" s="17">
        <v>0</v>
      </c>
      <c r="J1430" s="17">
        <f t="shared" si="230"/>
        <v>6383.9715000000006</v>
      </c>
      <c r="K1430" s="17">
        <f t="shared" si="222"/>
        <v>335.99849999999969</v>
      </c>
      <c r="L1430" s="23">
        <f t="shared" si="228"/>
        <v>335.99850000000004</v>
      </c>
      <c r="M1430" s="23">
        <v>3</v>
      </c>
      <c r="N1430" s="18">
        <f t="shared" si="223"/>
        <v>7.6356164383561644</v>
      </c>
      <c r="O1430" s="23">
        <v>3191.9857500000003</v>
      </c>
      <c r="P1430" s="18">
        <f t="shared" si="224"/>
        <v>8.6356164383561644</v>
      </c>
      <c r="Q1430" s="18">
        <f t="shared" si="226"/>
        <v>-1.1368683772161603E-13</v>
      </c>
      <c r="R1430" s="18">
        <f t="shared" si="225"/>
        <v>3191.9857500000003</v>
      </c>
      <c r="S1430" s="18">
        <f t="shared" si="227"/>
        <v>335.99850000000004</v>
      </c>
    </row>
    <row r="1431" spans="1:19" ht="15" customHeight="1" x14ac:dyDescent="0.2">
      <c r="A1431" s="14">
        <f t="shared" si="229"/>
        <v>1392</v>
      </c>
      <c r="B1431" s="21" t="s">
        <v>1282</v>
      </c>
      <c r="C1431" s="15" t="s">
        <v>3</v>
      </c>
      <c r="D1431" s="21" t="s">
        <v>1200</v>
      </c>
      <c r="E1431" s="21"/>
      <c r="F1431" s="69" t="s">
        <v>4</v>
      </c>
      <c r="G1431" s="9">
        <v>41136</v>
      </c>
      <c r="H1431" s="22">
        <v>35000</v>
      </c>
      <c r="I1431" s="17">
        <v>0</v>
      </c>
      <c r="J1431" s="17">
        <f t="shared" si="230"/>
        <v>33250</v>
      </c>
      <c r="K1431" s="17">
        <f t="shared" si="222"/>
        <v>1750</v>
      </c>
      <c r="L1431" s="23">
        <f t="shared" si="228"/>
        <v>1750</v>
      </c>
      <c r="M1431" s="23">
        <v>3</v>
      </c>
      <c r="N1431" s="18">
        <f t="shared" si="223"/>
        <v>7.6356164383561644</v>
      </c>
      <c r="O1431" s="23">
        <v>16625</v>
      </c>
      <c r="P1431" s="18">
        <f t="shared" si="224"/>
        <v>8.6356164383561644</v>
      </c>
      <c r="Q1431" s="18">
        <f t="shared" si="226"/>
        <v>0</v>
      </c>
      <c r="R1431" s="18">
        <f t="shared" si="225"/>
        <v>16625</v>
      </c>
      <c r="S1431" s="18">
        <f t="shared" si="227"/>
        <v>1750</v>
      </c>
    </row>
    <row r="1432" spans="1:19" ht="15" customHeight="1" x14ac:dyDescent="0.2">
      <c r="A1432" s="14">
        <f t="shared" si="229"/>
        <v>1393</v>
      </c>
      <c r="B1432" s="21" t="s">
        <v>1283</v>
      </c>
      <c r="C1432" s="15" t="s">
        <v>3</v>
      </c>
      <c r="D1432" s="21" t="s">
        <v>1200</v>
      </c>
      <c r="E1432" s="21"/>
      <c r="F1432" s="69" t="s">
        <v>4</v>
      </c>
      <c r="G1432" s="9">
        <v>41014</v>
      </c>
      <c r="H1432" s="22">
        <v>52390.26</v>
      </c>
      <c r="I1432" s="17">
        <v>0</v>
      </c>
      <c r="J1432" s="17">
        <f>H1432-L1432-20000</f>
        <v>29770.747000000003</v>
      </c>
      <c r="K1432" s="17">
        <f t="shared" si="222"/>
        <v>22619.512999999999</v>
      </c>
      <c r="L1432" s="23">
        <f t="shared" si="228"/>
        <v>2619.5130000000004</v>
      </c>
      <c r="M1432" s="23">
        <v>3</v>
      </c>
      <c r="N1432" s="18">
        <f t="shared" si="223"/>
        <v>7.9698630136986299</v>
      </c>
      <c r="O1432" s="23">
        <v>14885.373500000002</v>
      </c>
      <c r="P1432" s="18">
        <f t="shared" si="224"/>
        <v>8.9698630136986299</v>
      </c>
      <c r="Q1432" s="18">
        <f t="shared" si="226"/>
        <v>6666.6666666666661</v>
      </c>
      <c r="R1432" s="18">
        <f t="shared" si="225"/>
        <v>21552.040166666666</v>
      </c>
      <c r="S1432" s="18">
        <f t="shared" si="227"/>
        <v>2619.5130000000004</v>
      </c>
    </row>
    <row r="1433" spans="1:19" ht="15" customHeight="1" x14ac:dyDescent="0.2">
      <c r="A1433" s="14">
        <f t="shared" si="229"/>
        <v>1394</v>
      </c>
      <c r="B1433" s="21" t="s">
        <v>1284</v>
      </c>
      <c r="C1433" s="15" t="s">
        <v>3</v>
      </c>
      <c r="D1433" s="21" t="s">
        <v>1200</v>
      </c>
      <c r="E1433" s="21"/>
      <c r="F1433" s="69" t="s">
        <v>4</v>
      </c>
      <c r="G1433" s="9">
        <v>40983</v>
      </c>
      <c r="H1433" s="22">
        <v>6200.1</v>
      </c>
      <c r="I1433" s="17">
        <v>0</v>
      </c>
      <c r="J1433" s="17">
        <f t="shared" si="230"/>
        <v>5890.0950000000003</v>
      </c>
      <c r="K1433" s="17">
        <f t="shared" si="222"/>
        <v>310.00500000000011</v>
      </c>
      <c r="L1433" s="23">
        <f t="shared" si="228"/>
        <v>310.00500000000005</v>
      </c>
      <c r="M1433" s="23">
        <v>3</v>
      </c>
      <c r="N1433" s="18">
        <f t="shared" si="223"/>
        <v>8.0547945205479454</v>
      </c>
      <c r="O1433" s="23">
        <v>2945.0475000000001</v>
      </c>
      <c r="P1433" s="18">
        <f t="shared" si="224"/>
        <v>9.0547945205479454</v>
      </c>
      <c r="Q1433" s="18">
        <f t="shared" si="226"/>
        <v>1.8947806286936004E-14</v>
      </c>
      <c r="R1433" s="18">
        <f t="shared" si="225"/>
        <v>2945.0475000000001</v>
      </c>
      <c r="S1433" s="18">
        <f t="shared" si="227"/>
        <v>310.00500000000005</v>
      </c>
    </row>
    <row r="1434" spans="1:19" ht="15" customHeight="1" x14ac:dyDescent="0.2">
      <c r="A1434" s="14">
        <f t="shared" si="229"/>
        <v>1395</v>
      </c>
      <c r="B1434" s="21" t="s">
        <v>1283</v>
      </c>
      <c r="C1434" s="15" t="s">
        <v>3</v>
      </c>
      <c r="D1434" s="21" t="s">
        <v>1200</v>
      </c>
      <c r="E1434" s="21"/>
      <c r="F1434" s="69" t="s">
        <v>4</v>
      </c>
      <c r="G1434" s="9">
        <v>40983</v>
      </c>
      <c r="H1434" s="22">
        <v>26879.91</v>
      </c>
      <c r="I1434" s="17">
        <v>0</v>
      </c>
      <c r="J1434" s="17">
        <f>H1434-L1434-10000</f>
        <v>15535.914499999999</v>
      </c>
      <c r="K1434" s="17">
        <f t="shared" si="222"/>
        <v>11343.995500000001</v>
      </c>
      <c r="L1434" s="23">
        <f t="shared" si="228"/>
        <v>1343.9955</v>
      </c>
      <c r="M1434" s="23">
        <v>3</v>
      </c>
      <c r="N1434" s="18">
        <f t="shared" si="223"/>
        <v>8.0547945205479454</v>
      </c>
      <c r="O1434" s="23">
        <v>7767.9572499999995</v>
      </c>
      <c r="P1434" s="18">
        <f t="shared" si="224"/>
        <v>9.0547945205479454</v>
      </c>
      <c r="Q1434" s="18">
        <f t="shared" si="226"/>
        <v>3333.333333333333</v>
      </c>
      <c r="R1434" s="18">
        <f t="shared" si="225"/>
        <v>11101.290583333332</v>
      </c>
      <c r="S1434" s="18">
        <f t="shared" si="227"/>
        <v>1343.9955</v>
      </c>
    </row>
    <row r="1435" spans="1:19" ht="15" customHeight="1" x14ac:dyDescent="0.2">
      <c r="A1435" s="14">
        <f t="shared" si="229"/>
        <v>1396</v>
      </c>
      <c r="B1435" s="21" t="s">
        <v>1285</v>
      </c>
      <c r="C1435" s="15" t="s">
        <v>3</v>
      </c>
      <c r="D1435" s="21" t="s">
        <v>1200</v>
      </c>
      <c r="E1435" s="21"/>
      <c r="F1435" s="69" t="s">
        <v>4</v>
      </c>
      <c r="G1435" s="9">
        <v>40983</v>
      </c>
      <c r="H1435" s="22">
        <v>132299.51999999999</v>
      </c>
      <c r="I1435" s="17">
        <v>0</v>
      </c>
      <c r="J1435" s="17">
        <f>H1435-L1435-75000</f>
        <v>50684.543999999994</v>
      </c>
      <c r="K1435" s="17">
        <f t="shared" si="222"/>
        <v>81614.975999999995</v>
      </c>
      <c r="L1435" s="23">
        <f t="shared" si="228"/>
        <v>6614.9759999999997</v>
      </c>
      <c r="M1435" s="23">
        <v>3</v>
      </c>
      <c r="N1435" s="18">
        <f t="shared" si="223"/>
        <v>8.0547945205479454</v>
      </c>
      <c r="O1435" s="23">
        <v>25342.271999999997</v>
      </c>
      <c r="P1435" s="18">
        <f t="shared" si="224"/>
        <v>9.0547945205479454</v>
      </c>
      <c r="Q1435" s="18">
        <f t="shared" si="226"/>
        <v>25000</v>
      </c>
      <c r="R1435" s="18">
        <f t="shared" si="225"/>
        <v>50342.271999999997</v>
      </c>
      <c r="S1435" s="18">
        <f t="shared" si="227"/>
        <v>6614.9759999999997</v>
      </c>
    </row>
    <row r="1436" spans="1:19" ht="15" customHeight="1" x14ac:dyDescent="0.2">
      <c r="A1436" s="14">
        <f t="shared" si="229"/>
        <v>1397</v>
      </c>
      <c r="B1436" s="21" t="s">
        <v>1286</v>
      </c>
      <c r="C1436" s="15" t="s">
        <v>3</v>
      </c>
      <c r="D1436" s="21" t="s">
        <v>1200</v>
      </c>
      <c r="E1436" s="21"/>
      <c r="F1436" s="69" t="s">
        <v>4</v>
      </c>
      <c r="G1436" s="9">
        <v>40983</v>
      </c>
      <c r="H1436" s="22">
        <v>157499.44</v>
      </c>
      <c r="I1436" s="17">
        <v>0</v>
      </c>
      <c r="J1436" s="17">
        <f>H1436-L1436-75000</f>
        <v>74624.467999999993</v>
      </c>
      <c r="K1436" s="17">
        <f t="shared" si="222"/>
        <v>82874.972000000009</v>
      </c>
      <c r="L1436" s="23">
        <f t="shared" si="228"/>
        <v>7874.9720000000007</v>
      </c>
      <c r="M1436" s="23">
        <v>3</v>
      </c>
      <c r="N1436" s="18">
        <f t="shared" si="223"/>
        <v>8.0547945205479454</v>
      </c>
      <c r="O1436" s="23">
        <v>37312.233999999997</v>
      </c>
      <c r="P1436" s="18">
        <f t="shared" si="224"/>
        <v>9.0547945205479454</v>
      </c>
      <c r="Q1436" s="18">
        <f t="shared" si="226"/>
        <v>25000.000000000004</v>
      </c>
      <c r="R1436" s="18">
        <f t="shared" si="225"/>
        <v>62312.233999999997</v>
      </c>
      <c r="S1436" s="18">
        <f t="shared" si="227"/>
        <v>7874.9720000000007</v>
      </c>
    </row>
    <row r="1437" spans="1:19" ht="15" customHeight="1" x14ac:dyDescent="0.2">
      <c r="A1437" s="14">
        <f t="shared" si="229"/>
        <v>1398</v>
      </c>
      <c r="B1437" s="21" t="s">
        <v>1287</v>
      </c>
      <c r="C1437" s="15" t="s">
        <v>3</v>
      </c>
      <c r="D1437" s="21" t="s">
        <v>1200</v>
      </c>
      <c r="E1437" s="21"/>
      <c r="F1437" s="69" t="s">
        <v>4</v>
      </c>
      <c r="G1437" s="9">
        <v>40920</v>
      </c>
      <c r="H1437" s="22">
        <v>751.08</v>
      </c>
      <c r="I1437" s="17">
        <v>0</v>
      </c>
      <c r="J1437" s="17">
        <f t="shared" si="230"/>
        <v>713.52600000000007</v>
      </c>
      <c r="K1437" s="17">
        <f t="shared" si="222"/>
        <v>37.553999999999974</v>
      </c>
      <c r="L1437" s="23">
        <f t="shared" si="228"/>
        <v>37.554000000000002</v>
      </c>
      <c r="M1437" s="23">
        <v>5</v>
      </c>
      <c r="N1437" s="18">
        <f t="shared" si="223"/>
        <v>8.2273972602739729</v>
      </c>
      <c r="O1437" s="23">
        <v>356.76300000000003</v>
      </c>
      <c r="P1437" s="18">
        <f t="shared" si="224"/>
        <v>9.2273972602739729</v>
      </c>
      <c r="Q1437" s="18">
        <f t="shared" si="226"/>
        <v>-5.6843418860808018E-15</v>
      </c>
      <c r="R1437" s="18">
        <f t="shared" si="225"/>
        <v>356.76300000000003</v>
      </c>
      <c r="S1437" s="18">
        <f t="shared" si="227"/>
        <v>37.554000000000002</v>
      </c>
    </row>
    <row r="1438" spans="1:19" ht="15" customHeight="1" x14ac:dyDescent="0.2">
      <c r="A1438" s="14">
        <f t="shared" si="229"/>
        <v>1399</v>
      </c>
      <c r="B1438" s="21" t="s">
        <v>1288</v>
      </c>
      <c r="C1438" s="15" t="s">
        <v>3</v>
      </c>
      <c r="D1438" s="21" t="s">
        <v>1200</v>
      </c>
      <c r="E1438" s="21"/>
      <c r="F1438" s="70" t="s">
        <v>7</v>
      </c>
      <c r="G1438" s="9">
        <v>40892</v>
      </c>
      <c r="H1438" s="22">
        <v>145000</v>
      </c>
      <c r="I1438" s="17">
        <v>0</v>
      </c>
      <c r="J1438" s="17">
        <f>H1438-L1438-75000</f>
        <v>62750</v>
      </c>
      <c r="K1438" s="17">
        <f t="shared" si="222"/>
        <v>82250</v>
      </c>
      <c r="L1438" s="23">
        <f t="shared" si="228"/>
        <v>7250</v>
      </c>
      <c r="M1438" s="23">
        <v>3</v>
      </c>
      <c r="N1438" s="18">
        <f t="shared" si="223"/>
        <v>8.3041095890410954</v>
      </c>
      <c r="O1438" s="23">
        <v>31375</v>
      </c>
      <c r="P1438" s="18">
        <f t="shared" si="224"/>
        <v>9.3041095890410954</v>
      </c>
      <c r="Q1438" s="18">
        <f t="shared" si="226"/>
        <v>25000</v>
      </c>
      <c r="R1438" s="18">
        <f t="shared" si="225"/>
        <v>56375</v>
      </c>
      <c r="S1438" s="18">
        <f t="shared" si="227"/>
        <v>7250</v>
      </c>
    </row>
    <row r="1439" spans="1:19" ht="15" customHeight="1" x14ac:dyDescent="0.2">
      <c r="A1439" s="14">
        <f t="shared" si="229"/>
        <v>1400</v>
      </c>
      <c r="B1439" s="21" t="s">
        <v>1289</v>
      </c>
      <c r="C1439" s="15" t="s">
        <v>3</v>
      </c>
      <c r="D1439" s="21" t="s">
        <v>1200</v>
      </c>
      <c r="E1439" s="21"/>
      <c r="F1439" s="70" t="s">
        <v>7</v>
      </c>
      <c r="G1439" s="9">
        <v>40862</v>
      </c>
      <c r="H1439" s="22">
        <v>464000</v>
      </c>
      <c r="I1439" s="17">
        <v>0</v>
      </c>
      <c r="J1439" s="17">
        <f>H1439-L1439-250000</f>
        <v>190800</v>
      </c>
      <c r="K1439" s="17">
        <f t="shared" si="222"/>
        <v>273200</v>
      </c>
      <c r="L1439" s="23">
        <f t="shared" si="228"/>
        <v>23200</v>
      </c>
      <c r="M1439" s="23">
        <v>3</v>
      </c>
      <c r="N1439" s="18">
        <f t="shared" si="223"/>
        <v>8.3863013698630144</v>
      </c>
      <c r="O1439" s="23">
        <v>95400</v>
      </c>
      <c r="P1439" s="18">
        <f t="shared" si="224"/>
        <v>9.3863013698630144</v>
      </c>
      <c r="Q1439" s="18">
        <f t="shared" si="226"/>
        <v>83333.333333333328</v>
      </c>
      <c r="R1439" s="18">
        <f t="shared" si="225"/>
        <v>178733.33333333331</v>
      </c>
      <c r="S1439" s="18">
        <f t="shared" si="227"/>
        <v>23200</v>
      </c>
    </row>
    <row r="1440" spans="1:19" ht="15" customHeight="1" x14ac:dyDescent="0.2">
      <c r="A1440" s="14">
        <f t="shared" si="229"/>
        <v>1401</v>
      </c>
      <c r="B1440" s="21" t="s">
        <v>1290</v>
      </c>
      <c r="C1440" s="15" t="s">
        <v>3</v>
      </c>
      <c r="D1440" s="21" t="s">
        <v>1200</v>
      </c>
      <c r="E1440" s="21"/>
      <c r="F1440" s="69" t="s">
        <v>4</v>
      </c>
      <c r="G1440" s="9">
        <v>40862</v>
      </c>
      <c r="H1440" s="22">
        <v>301200</v>
      </c>
      <c r="I1440" s="17">
        <v>0</v>
      </c>
      <c r="J1440" s="17">
        <f>H1440-L1440-75000</f>
        <v>211140</v>
      </c>
      <c r="K1440" s="17">
        <f t="shared" si="222"/>
        <v>90060</v>
      </c>
      <c r="L1440" s="23">
        <f t="shared" si="228"/>
        <v>15060</v>
      </c>
      <c r="M1440" s="23">
        <v>3</v>
      </c>
      <c r="N1440" s="18">
        <f t="shared" si="223"/>
        <v>8.3863013698630144</v>
      </c>
      <c r="O1440" s="23">
        <v>105570</v>
      </c>
      <c r="P1440" s="18">
        <f t="shared" si="224"/>
        <v>9.3863013698630144</v>
      </c>
      <c r="Q1440" s="18">
        <f t="shared" si="226"/>
        <v>25000</v>
      </c>
      <c r="R1440" s="18">
        <f t="shared" si="225"/>
        <v>130570</v>
      </c>
      <c r="S1440" s="18">
        <f t="shared" si="227"/>
        <v>15060</v>
      </c>
    </row>
    <row r="1441" spans="1:19" ht="15" customHeight="1" x14ac:dyDescent="0.2">
      <c r="A1441" s="14">
        <f t="shared" si="229"/>
        <v>1402</v>
      </c>
      <c r="B1441" s="21" t="s">
        <v>1291</v>
      </c>
      <c r="C1441" s="15" t="s">
        <v>3</v>
      </c>
      <c r="D1441" s="21" t="s">
        <v>1200</v>
      </c>
      <c r="E1441" s="21"/>
      <c r="F1441" s="69" t="s">
        <v>4</v>
      </c>
      <c r="G1441" s="9">
        <v>40862</v>
      </c>
      <c r="H1441" s="22">
        <v>70507.850000000006</v>
      </c>
      <c r="I1441" s="17">
        <v>0</v>
      </c>
      <c r="J1441" s="17">
        <f t="shared" si="230"/>
        <v>66982.457500000004</v>
      </c>
      <c r="K1441" s="17">
        <f t="shared" si="222"/>
        <v>3525.3925000000017</v>
      </c>
      <c r="L1441" s="23">
        <f t="shared" si="228"/>
        <v>3525.3925000000004</v>
      </c>
      <c r="M1441" s="23">
        <v>3</v>
      </c>
      <c r="N1441" s="18">
        <f t="shared" si="223"/>
        <v>8.3863013698630144</v>
      </c>
      <c r="O1441" s="23">
        <v>33491.228750000002</v>
      </c>
      <c r="P1441" s="18">
        <f t="shared" si="224"/>
        <v>9.3863013698630144</v>
      </c>
      <c r="Q1441" s="18">
        <f t="shared" si="226"/>
        <v>4.5474735088646412E-13</v>
      </c>
      <c r="R1441" s="18">
        <f t="shared" si="225"/>
        <v>33491.228750000002</v>
      </c>
      <c r="S1441" s="18">
        <f t="shared" si="227"/>
        <v>3525.3925000000004</v>
      </c>
    </row>
    <row r="1442" spans="1:19" ht="15" customHeight="1" x14ac:dyDescent="0.2">
      <c r="A1442" s="14">
        <f t="shared" si="229"/>
        <v>1403</v>
      </c>
      <c r="B1442" s="21" t="s">
        <v>1292</v>
      </c>
      <c r="C1442" s="15" t="s">
        <v>3</v>
      </c>
      <c r="D1442" s="21" t="s">
        <v>1200</v>
      </c>
      <c r="E1442" s="21"/>
      <c r="F1442" s="69" t="s">
        <v>4</v>
      </c>
      <c r="G1442" s="9">
        <v>40856</v>
      </c>
      <c r="H1442" s="22">
        <v>6720</v>
      </c>
      <c r="I1442" s="17">
        <v>0</v>
      </c>
      <c r="J1442" s="17">
        <f t="shared" si="230"/>
        <v>6384</v>
      </c>
      <c r="K1442" s="17">
        <f t="shared" si="222"/>
        <v>336</v>
      </c>
      <c r="L1442" s="23">
        <f t="shared" si="228"/>
        <v>336</v>
      </c>
      <c r="M1442" s="23">
        <v>3</v>
      </c>
      <c r="N1442" s="18">
        <f t="shared" si="223"/>
        <v>8.4027397260273968</v>
      </c>
      <c r="O1442" s="23">
        <v>3192</v>
      </c>
      <c r="P1442" s="18">
        <f t="shared" si="224"/>
        <v>9.4027397260273968</v>
      </c>
      <c r="Q1442" s="18">
        <f t="shared" si="226"/>
        <v>0</v>
      </c>
      <c r="R1442" s="18">
        <f t="shared" si="225"/>
        <v>3192</v>
      </c>
      <c r="S1442" s="18">
        <f t="shared" si="227"/>
        <v>336</v>
      </c>
    </row>
    <row r="1443" spans="1:19" ht="15" customHeight="1" x14ac:dyDescent="0.2">
      <c r="A1443" s="14">
        <f t="shared" si="229"/>
        <v>1404</v>
      </c>
      <c r="B1443" s="21" t="s">
        <v>1287</v>
      </c>
      <c r="C1443" s="15" t="s">
        <v>3</v>
      </c>
      <c r="D1443" s="21" t="s">
        <v>1200</v>
      </c>
      <c r="E1443" s="21"/>
      <c r="F1443" s="69" t="s">
        <v>4</v>
      </c>
      <c r="G1443" s="9">
        <v>40801</v>
      </c>
      <c r="H1443" s="22">
        <v>1502.17</v>
      </c>
      <c r="I1443" s="17">
        <v>0</v>
      </c>
      <c r="J1443" s="17">
        <f t="shared" si="230"/>
        <v>1427.0615</v>
      </c>
      <c r="K1443" s="17">
        <f t="shared" si="222"/>
        <v>75.108500000000049</v>
      </c>
      <c r="L1443" s="23">
        <f t="shared" si="228"/>
        <v>75.108500000000006</v>
      </c>
      <c r="M1443" s="23">
        <v>5</v>
      </c>
      <c r="N1443" s="18">
        <f t="shared" si="223"/>
        <v>8.5534246575342472</v>
      </c>
      <c r="O1443" s="23">
        <v>713.53075000000001</v>
      </c>
      <c r="P1443" s="18">
        <f t="shared" si="224"/>
        <v>9.5534246575342472</v>
      </c>
      <c r="Q1443" s="18">
        <f t="shared" si="226"/>
        <v>8.5265128291212035E-15</v>
      </c>
      <c r="R1443" s="18">
        <f t="shared" si="225"/>
        <v>713.53075000000001</v>
      </c>
      <c r="S1443" s="18">
        <f t="shared" si="227"/>
        <v>75.108500000000006</v>
      </c>
    </row>
    <row r="1444" spans="1:19" ht="15" customHeight="1" x14ac:dyDescent="0.2">
      <c r="A1444" s="14">
        <f t="shared" si="229"/>
        <v>1405</v>
      </c>
      <c r="B1444" s="21" t="s">
        <v>1293</v>
      </c>
      <c r="C1444" s="15" t="s">
        <v>3</v>
      </c>
      <c r="D1444" s="21" t="s">
        <v>1200</v>
      </c>
      <c r="E1444" s="21"/>
      <c r="F1444" s="69" t="s">
        <v>4</v>
      </c>
      <c r="G1444" s="9">
        <v>40801</v>
      </c>
      <c r="H1444" s="22">
        <v>836.06</v>
      </c>
      <c r="I1444" s="17">
        <v>0</v>
      </c>
      <c r="J1444" s="17">
        <f t="shared" si="230"/>
        <v>794.25699999999995</v>
      </c>
      <c r="K1444" s="17">
        <f t="shared" si="222"/>
        <v>41.802999999999997</v>
      </c>
      <c r="L1444" s="23">
        <f t="shared" si="228"/>
        <v>41.802999999999997</v>
      </c>
      <c r="M1444" s="23">
        <v>5</v>
      </c>
      <c r="N1444" s="18">
        <f t="shared" si="223"/>
        <v>8.5534246575342472</v>
      </c>
      <c r="O1444" s="23">
        <v>397.12849999999997</v>
      </c>
      <c r="P1444" s="18">
        <f t="shared" si="224"/>
        <v>9.5534246575342472</v>
      </c>
      <c r="Q1444" s="18">
        <f t="shared" si="226"/>
        <v>0</v>
      </c>
      <c r="R1444" s="18">
        <f t="shared" si="225"/>
        <v>397.12849999999997</v>
      </c>
      <c r="S1444" s="18">
        <f t="shared" si="227"/>
        <v>41.802999999999997</v>
      </c>
    </row>
    <row r="1445" spans="1:19" ht="15" customHeight="1" x14ac:dyDescent="0.2">
      <c r="A1445" s="14">
        <f t="shared" si="229"/>
        <v>1406</v>
      </c>
      <c r="B1445" s="21" t="s">
        <v>1294</v>
      </c>
      <c r="C1445" s="15" t="s">
        <v>3</v>
      </c>
      <c r="D1445" s="21" t="s">
        <v>1200</v>
      </c>
      <c r="E1445" s="21"/>
      <c r="F1445" s="69" t="s">
        <v>4</v>
      </c>
      <c r="G1445" s="9">
        <v>40770</v>
      </c>
      <c r="H1445" s="22">
        <v>836.06</v>
      </c>
      <c r="I1445" s="17">
        <v>0</v>
      </c>
      <c r="J1445" s="17">
        <f t="shared" si="230"/>
        <v>794.25699999999995</v>
      </c>
      <c r="K1445" s="17">
        <f t="shared" si="222"/>
        <v>41.802999999999997</v>
      </c>
      <c r="L1445" s="23">
        <f t="shared" si="228"/>
        <v>41.802999999999997</v>
      </c>
      <c r="M1445" s="23">
        <v>5</v>
      </c>
      <c r="N1445" s="18">
        <f t="shared" si="223"/>
        <v>8.6383561643835609</v>
      </c>
      <c r="O1445" s="23">
        <v>397.12849999999997</v>
      </c>
      <c r="P1445" s="18">
        <f t="shared" si="224"/>
        <v>9.6383561643835609</v>
      </c>
      <c r="Q1445" s="18">
        <f t="shared" si="226"/>
        <v>0</v>
      </c>
      <c r="R1445" s="18">
        <f t="shared" si="225"/>
        <v>397.12849999999997</v>
      </c>
      <c r="S1445" s="18">
        <f t="shared" si="227"/>
        <v>41.802999999999997</v>
      </c>
    </row>
    <row r="1446" spans="1:19" ht="15" customHeight="1" x14ac:dyDescent="0.2">
      <c r="A1446" s="14">
        <f t="shared" si="229"/>
        <v>1407</v>
      </c>
      <c r="B1446" s="21" t="s">
        <v>1295</v>
      </c>
      <c r="C1446" s="15" t="s">
        <v>3</v>
      </c>
      <c r="D1446" s="21" t="s">
        <v>1200</v>
      </c>
      <c r="E1446" s="21"/>
      <c r="F1446" s="69" t="s">
        <v>4</v>
      </c>
      <c r="G1446" s="9">
        <v>40739</v>
      </c>
      <c r="H1446" s="22">
        <v>1672.12</v>
      </c>
      <c r="I1446" s="17">
        <v>0</v>
      </c>
      <c r="J1446" s="17">
        <f t="shared" si="230"/>
        <v>1588.5139999999999</v>
      </c>
      <c r="K1446" s="17">
        <f t="shared" ref="K1446:K1509" si="231">H1446+I1446-J1446</f>
        <v>83.605999999999995</v>
      </c>
      <c r="L1446" s="23">
        <f t="shared" si="228"/>
        <v>83.605999999999995</v>
      </c>
      <c r="M1446" s="23">
        <v>5</v>
      </c>
      <c r="N1446" s="18">
        <f t="shared" ref="N1446:N1509" si="232">IF(($N$35-G1446+1)/365&gt;0,($N$35-G1446+1)/365,0)</f>
        <v>8.7232876712328764</v>
      </c>
      <c r="O1446" s="23">
        <v>794.25699999999995</v>
      </c>
      <c r="P1446" s="18">
        <f t="shared" ref="P1446:P1509" si="233">($P$35-G1446+1)/365</f>
        <v>9.7232876712328764</v>
      </c>
      <c r="Q1446" s="18">
        <f t="shared" si="226"/>
        <v>0</v>
      </c>
      <c r="R1446" s="18">
        <f t="shared" ref="R1446:R1509" si="234">Q1446+O1446</f>
        <v>794.25699999999995</v>
      </c>
      <c r="S1446" s="18">
        <f t="shared" si="227"/>
        <v>83.605999999999995</v>
      </c>
    </row>
    <row r="1447" spans="1:19" ht="15" customHeight="1" x14ac:dyDescent="0.2">
      <c r="A1447" s="14">
        <f t="shared" si="229"/>
        <v>1408</v>
      </c>
      <c r="B1447" s="21" t="s">
        <v>1287</v>
      </c>
      <c r="C1447" s="15" t="s">
        <v>3</v>
      </c>
      <c r="D1447" s="21" t="s">
        <v>1200</v>
      </c>
      <c r="E1447" s="21"/>
      <c r="F1447" s="69" t="s">
        <v>4</v>
      </c>
      <c r="G1447" s="9">
        <v>40739</v>
      </c>
      <c r="H1447" s="22">
        <v>660.95</v>
      </c>
      <c r="I1447" s="17">
        <v>0</v>
      </c>
      <c r="J1447" s="17">
        <f t="shared" si="230"/>
        <v>627.90250000000003</v>
      </c>
      <c r="K1447" s="17">
        <f t="shared" si="231"/>
        <v>33.047500000000014</v>
      </c>
      <c r="L1447" s="23">
        <f t="shared" si="228"/>
        <v>33.047500000000007</v>
      </c>
      <c r="M1447" s="23">
        <v>5</v>
      </c>
      <c r="N1447" s="18">
        <f t="shared" si="232"/>
        <v>8.7232876712328764</v>
      </c>
      <c r="O1447" s="23">
        <v>313.95125000000002</v>
      </c>
      <c r="P1447" s="18">
        <f t="shared" si="233"/>
        <v>9.7232876712328764</v>
      </c>
      <c r="Q1447" s="18">
        <f t="shared" si="226"/>
        <v>1.4210854715202005E-15</v>
      </c>
      <c r="R1447" s="18">
        <f t="shared" si="234"/>
        <v>313.95125000000002</v>
      </c>
      <c r="S1447" s="18">
        <f t="shared" si="227"/>
        <v>33.047500000000007</v>
      </c>
    </row>
    <row r="1448" spans="1:19" ht="15" customHeight="1" x14ac:dyDescent="0.2">
      <c r="A1448" s="14">
        <f t="shared" si="229"/>
        <v>1409</v>
      </c>
      <c r="B1448" s="21" t="s">
        <v>1296</v>
      </c>
      <c r="C1448" s="15" t="s">
        <v>3</v>
      </c>
      <c r="D1448" s="21" t="s">
        <v>1200</v>
      </c>
      <c r="E1448" s="21"/>
      <c r="F1448" s="69" t="s">
        <v>4</v>
      </c>
      <c r="G1448" s="9">
        <v>40709</v>
      </c>
      <c r="H1448" s="22">
        <v>1500</v>
      </c>
      <c r="I1448" s="17">
        <v>0</v>
      </c>
      <c r="J1448" s="17">
        <f t="shared" si="230"/>
        <v>1425</v>
      </c>
      <c r="K1448" s="17">
        <f t="shared" si="231"/>
        <v>75</v>
      </c>
      <c r="L1448" s="23">
        <f t="shared" si="228"/>
        <v>75</v>
      </c>
      <c r="M1448" s="23">
        <v>5</v>
      </c>
      <c r="N1448" s="18">
        <f t="shared" si="232"/>
        <v>8.8054794520547937</v>
      </c>
      <c r="O1448" s="23">
        <v>712.5</v>
      </c>
      <c r="P1448" s="18">
        <f t="shared" si="233"/>
        <v>9.8054794520547937</v>
      </c>
      <c r="Q1448" s="18">
        <f t="shared" ref="Q1448:Q1511" si="235">(P1448-N1448)/M1448*(K1448-L1448)</f>
        <v>0</v>
      </c>
      <c r="R1448" s="18">
        <f t="shared" si="234"/>
        <v>712.5</v>
      </c>
      <c r="S1448" s="18">
        <f t="shared" ref="S1448:S1511" si="236">+IF(N1448&gt;P1448,0,L1448)</f>
        <v>75</v>
      </c>
    </row>
    <row r="1449" spans="1:19" ht="15" customHeight="1" x14ac:dyDescent="0.2">
      <c r="A1449" s="14">
        <f t="shared" si="229"/>
        <v>1410</v>
      </c>
      <c r="B1449" s="21" t="s">
        <v>1294</v>
      </c>
      <c r="C1449" s="15" t="s">
        <v>3</v>
      </c>
      <c r="D1449" s="21" t="s">
        <v>1200</v>
      </c>
      <c r="E1449" s="21"/>
      <c r="F1449" s="69" t="s">
        <v>4</v>
      </c>
      <c r="G1449" s="9">
        <v>40709</v>
      </c>
      <c r="H1449" s="22">
        <v>836.06</v>
      </c>
      <c r="I1449" s="17">
        <v>0</v>
      </c>
      <c r="J1449" s="17">
        <f t="shared" si="230"/>
        <v>794.25699999999995</v>
      </c>
      <c r="K1449" s="17">
        <f t="shared" si="231"/>
        <v>41.802999999999997</v>
      </c>
      <c r="L1449" s="23">
        <f t="shared" si="228"/>
        <v>41.802999999999997</v>
      </c>
      <c r="M1449" s="23">
        <v>5</v>
      </c>
      <c r="N1449" s="18">
        <f t="shared" si="232"/>
        <v>8.8054794520547937</v>
      </c>
      <c r="O1449" s="23">
        <v>397.12849999999997</v>
      </c>
      <c r="P1449" s="18">
        <f t="shared" si="233"/>
        <v>9.8054794520547937</v>
      </c>
      <c r="Q1449" s="18">
        <f t="shared" si="235"/>
        <v>0</v>
      </c>
      <c r="R1449" s="18">
        <f t="shared" si="234"/>
        <v>397.12849999999997</v>
      </c>
      <c r="S1449" s="18">
        <f t="shared" si="236"/>
        <v>41.802999999999997</v>
      </c>
    </row>
    <row r="1450" spans="1:19" ht="15" customHeight="1" x14ac:dyDescent="0.2">
      <c r="A1450" s="14">
        <f t="shared" si="229"/>
        <v>1411</v>
      </c>
      <c r="B1450" s="21" t="s">
        <v>1297</v>
      </c>
      <c r="C1450" s="15" t="s">
        <v>3</v>
      </c>
      <c r="D1450" s="21" t="s">
        <v>1200</v>
      </c>
      <c r="E1450" s="21"/>
      <c r="F1450" s="69" t="s">
        <v>4</v>
      </c>
      <c r="G1450" s="9">
        <v>40678</v>
      </c>
      <c r="H1450" s="22">
        <v>7772.5</v>
      </c>
      <c r="I1450" s="17">
        <v>0</v>
      </c>
      <c r="J1450" s="17">
        <f t="shared" si="230"/>
        <v>7383.875</v>
      </c>
      <c r="K1450" s="17">
        <f t="shared" si="231"/>
        <v>388.625</v>
      </c>
      <c r="L1450" s="23">
        <f t="shared" ref="L1450:L1513" si="237">H1450*0.05</f>
        <v>388.625</v>
      </c>
      <c r="M1450" s="23">
        <v>5</v>
      </c>
      <c r="N1450" s="18">
        <f t="shared" si="232"/>
        <v>8.8904109589041092</v>
      </c>
      <c r="O1450" s="23">
        <v>3691.9375</v>
      </c>
      <c r="P1450" s="18">
        <f t="shared" si="233"/>
        <v>9.8904109589041092</v>
      </c>
      <c r="Q1450" s="18">
        <f t="shared" si="235"/>
        <v>0</v>
      </c>
      <c r="R1450" s="18">
        <f t="shared" si="234"/>
        <v>3691.9375</v>
      </c>
      <c r="S1450" s="18">
        <f t="shared" si="236"/>
        <v>388.625</v>
      </c>
    </row>
    <row r="1451" spans="1:19" ht="15" customHeight="1" x14ac:dyDescent="0.2">
      <c r="A1451" s="14">
        <f t="shared" ref="A1451:A1514" si="238">+A1450+1</f>
        <v>1412</v>
      </c>
      <c r="B1451" s="21" t="s">
        <v>1294</v>
      </c>
      <c r="C1451" s="15" t="s">
        <v>3</v>
      </c>
      <c r="D1451" s="21" t="s">
        <v>1200</v>
      </c>
      <c r="E1451" s="21"/>
      <c r="F1451" s="69" t="s">
        <v>4</v>
      </c>
      <c r="G1451" s="9">
        <v>40678</v>
      </c>
      <c r="H1451" s="22">
        <v>933.48</v>
      </c>
      <c r="I1451" s="17">
        <v>0</v>
      </c>
      <c r="J1451" s="17">
        <f t="shared" si="230"/>
        <v>886.80600000000004</v>
      </c>
      <c r="K1451" s="17">
        <f t="shared" si="231"/>
        <v>46.673999999999978</v>
      </c>
      <c r="L1451" s="23">
        <f t="shared" si="237"/>
        <v>46.674000000000007</v>
      </c>
      <c r="M1451" s="23">
        <v>5</v>
      </c>
      <c r="N1451" s="18">
        <f t="shared" si="232"/>
        <v>8.8904109589041092</v>
      </c>
      <c r="O1451" s="23">
        <v>443.40300000000002</v>
      </c>
      <c r="P1451" s="18">
        <f t="shared" si="233"/>
        <v>9.8904109589041092</v>
      </c>
      <c r="Q1451" s="18">
        <f t="shared" si="235"/>
        <v>-5.6843418860808018E-15</v>
      </c>
      <c r="R1451" s="18">
        <f t="shared" si="234"/>
        <v>443.40300000000002</v>
      </c>
      <c r="S1451" s="18">
        <f t="shared" si="236"/>
        <v>46.674000000000007</v>
      </c>
    </row>
    <row r="1452" spans="1:19" ht="15" customHeight="1" x14ac:dyDescent="0.2">
      <c r="A1452" s="14">
        <f t="shared" si="238"/>
        <v>1413</v>
      </c>
      <c r="B1452" s="21" t="s">
        <v>1287</v>
      </c>
      <c r="C1452" s="15" t="s">
        <v>3</v>
      </c>
      <c r="D1452" s="21" t="s">
        <v>1200</v>
      </c>
      <c r="E1452" s="21"/>
      <c r="F1452" s="69" t="s">
        <v>4</v>
      </c>
      <c r="G1452" s="9">
        <v>40678</v>
      </c>
      <c r="H1452" s="22">
        <v>660.95</v>
      </c>
      <c r="I1452" s="17">
        <v>0</v>
      </c>
      <c r="J1452" s="17">
        <f t="shared" si="230"/>
        <v>627.90250000000003</v>
      </c>
      <c r="K1452" s="17">
        <f t="shared" si="231"/>
        <v>33.047500000000014</v>
      </c>
      <c r="L1452" s="23">
        <f t="shared" si="237"/>
        <v>33.047500000000007</v>
      </c>
      <c r="M1452" s="23">
        <v>5</v>
      </c>
      <c r="N1452" s="18">
        <f t="shared" si="232"/>
        <v>8.8904109589041092</v>
      </c>
      <c r="O1452" s="23">
        <v>313.95125000000002</v>
      </c>
      <c r="P1452" s="18">
        <f t="shared" si="233"/>
        <v>9.8904109589041092</v>
      </c>
      <c r="Q1452" s="18">
        <f t="shared" si="235"/>
        <v>1.4210854715202005E-15</v>
      </c>
      <c r="R1452" s="18">
        <f t="shared" si="234"/>
        <v>313.95125000000002</v>
      </c>
      <c r="S1452" s="18">
        <f t="shared" si="236"/>
        <v>33.047500000000007</v>
      </c>
    </row>
    <row r="1453" spans="1:19" ht="15" customHeight="1" x14ac:dyDescent="0.2">
      <c r="A1453" s="14">
        <f t="shared" si="238"/>
        <v>1414</v>
      </c>
      <c r="B1453" s="21" t="s">
        <v>1298</v>
      </c>
      <c r="C1453" s="15" t="s">
        <v>3</v>
      </c>
      <c r="D1453" s="21" t="s">
        <v>1200</v>
      </c>
      <c r="E1453" s="21"/>
      <c r="F1453" s="69" t="s">
        <v>4</v>
      </c>
      <c r="G1453" s="9">
        <v>40648</v>
      </c>
      <c r="H1453" s="22">
        <v>2199.67</v>
      </c>
      <c r="I1453" s="17">
        <v>0</v>
      </c>
      <c r="J1453" s="17">
        <f t="shared" si="230"/>
        <v>2089.6865000000003</v>
      </c>
      <c r="K1453" s="17">
        <f t="shared" si="231"/>
        <v>109.98349999999982</v>
      </c>
      <c r="L1453" s="23">
        <f t="shared" si="237"/>
        <v>109.98350000000001</v>
      </c>
      <c r="M1453" s="23">
        <v>5</v>
      </c>
      <c r="N1453" s="18">
        <f t="shared" si="232"/>
        <v>8.9726027397260282</v>
      </c>
      <c r="O1453" s="23">
        <v>1044.8432500000001</v>
      </c>
      <c r="P1453" s="18">
        <f t="shared" si="233"/>
        <v>9.9726027397260282</v>
      </c>
      <c r="Q1453" s="18">
        <f t="shared" si="235"/>
        <v>-3.6948222259525211E-14</v>
      </c>
      <c r="R1453" s="18">
        <f t="shared" si="234"/>
        <v>1044.8432500000001</v>
      </c>
      <c r="S1453" s="18">
        <f t="shared" si="236"/>
        <v>109.98350000000001</v>
      </c>
    </row>
    <row r="1454" spans="1:19" ht="15" customHeight="1" x14ac:dyDescent="0.2">
      <c r="A1454" s="14">
        <f t="shared" si="238"/>
        <v>1415</v>
      </c>
      <c r="B1454" s="21" t="s">
        <v>1294</v>
      </c>
      <c r="C1454" s="15" t="s">
        <v>3</v>
      </c>
      <c r="D1454" s="21" t="s">
        <v>1200</v>
      </c>
      <c r="E1454" s="21"/>
      <c r="F1454" s="69" t="s">
        <v>4</v>
      </c>
      <c r="G1454" s="9">
        <v>40648</v>
      </c>
      <c r="H1454" s="22">
        <v>903.62</v>
      </c>
      <c r="I1454" s="17">
        <v>0</v>
      </c>
      <c r="J1454" s="17">
        <f t="shared" si="230"/>
        <v>858.43899999999996</v>
      </c>
      <c r="K1454" s="17">
        <f t="shared" si="231"/>
        <v>45.18100000000004</v>
      </c>
      <c r="L1454" s="23">
        <f t="shared" si="237"/>
        <v>45.181000000000004</v>
      </c>
      <c r="M1454" s="23">
        <v>5</v>
      </c>
      <c r="N1454" s="18">
        <f t="shared" si="232"/>
        <v>8.9726027397260282</v>
      </c>
      <c r="O1454" s="23">
        <v>429.21949999999998</v>
      </c>
      <c r="P1454" s="18">
        <f t="shared" si="233"/>
        <v>9.9726027397260282</v>
      </c>
      <c r="Q1454" s="18">
        <f t="shared" si="235"/>
        <v>7.1054273576010019E-15</v>
      </c>
      <c r="R1454" s="18">
        <f t="shared" si="234"/>
        <v>429.21949999999998</v>
      </c>
      <c r="S1454" s="18">
        <f t="shared" si="236"/>
        <v>45.181000000000004</v>
      </c>
    </row>
    <row r="1455" spans="1:19" ht="15" customHeight="1" x14ac:dyDescent="0.2">
      <c r="A1455" s="14">
        <f t="shared" si="238"/>
        <v>1416</v>
      </c>
      <c r="B1455" s="21" t="s">
        <v>1299</v>
      </c>
      <c r="C1455" s="15" t="s">
        <v>3</v>
      </c>
      <c r="D1455" s="21" t="s">
        <v>1200</v>
      </c>
      <c r="E1455" s="21"/>
      <c r="F1455" s="69" t="s">
        <v>4</v>
      </c>
      <c r="G1455" s="9">
        <v>40617</v>
      </c>
      <c r="H1455" s="22">
        <v>3674.17</v>
      </c>
      <c r="I1455" s="17">
        <v>0</v>
      </c>
      <c r="J1455" s="17">
        <f t="shared" si="230"/>
        <v>3490.4614999999999</v>
      </c>
      <c r="K1455" s="17">
        <f t="shared" si="231"/>
        <v>183.70850000000019</v>
      </c>
      <c r="L1455" s="23">
        <f t="shared" si="237"/>
        <v>183.70850000000002</v>
      </c>
      <c r="M1455" s="23">
        <v>5</v>
      </c>
      <c r="N1455" s="18">
        <f t="shared" si="232"/>
        <v>9.0575342465753419</v>
      </c>
      <c r="O1455" s="23">
        <v>1745.2307499999999</v>
      </c>
      <c r="P1455" s="18">
        <f t="shared" si="233"/>
        <v>10.057534246575342</v>
      </c>
      <c r="Q1455" s="18">
        <f t="shared" si="235"/>
        <v>3.4106051316484814E-14</v>
      </c>
      <c r="R1455" s="18">
        <f t="shared" si="234"/>
        <v>1745.2307499999999</v>
      </c>
      <c r="S1455" s="18">
        <f t="shared" si="236"/>
        <v>183.70850000000002</v>
      </c>
    </row>
    <row r="1456" spans="1:19" ht="15" customHeight="1" x14ac:dyDescent="0.2">
      <c r="A1456" s="14">
        <f t="shared" si="238"/>
        <v>1417</v>
      </c>
      <c r="B1456" s="21" t="s">
        <v>1300</v>
      </c>
      <c r="C1456" s="15" t="s">
        <v>3</v>
      </c>
      <c r="D1456" s="21" t="s">
        <v>1200</v>
      </c>
      <c r="E1456" s="21"/>
      <c r="F1456" s="69" t="s">
        <v>4</v>
      </c>
      <c r="G1456" s="9">
        <v>40597</v>
      </c>
      <c r="H1456" s="22">
        <v>69002</v>
      </c>
      <c r="I1456" s="17">
        <v>0</v>
      </c>
      <c r="J1456" s="17">
        <f t="shared" si="230"/>
        <v>65551.899999999994</v>
      </c>
      <c r="K1456" s="17">
        <f t="shared" si="231"/>
        <v>3450.1000000000058</v>
      </c>
      <c r="L1456" s="23">
        <f t="shared" si="237"/>
        <v>3450.1000000000004</v>
      </c>
      <c r="M1456" s="23">
        <v>5</v>
      </c>
      <c r="N1456" s="18">
        <f t="shared" si="232"/>
        <v>9.1123287671232873</v>
      </c>
      <c r="O1456" s="23">
        <v>32775.949999999997</v>
      </c>
      <c r="P1456" s="18">
        <f t="shared" si="233"/>
        <v>10.112328767123287</v>
      </c>
      <c r="Q1456" s="18">
        <f t="shared" si="235"/>
        <v>1.091393642127514E-12</v>
      </c>
      <c r="R1456" s="18">
        <f t="shared" si="234"/>
        <v>32775.949999999997</v>
      </c>
      <c r="S1456" s="18">
        <f t="shared" si="236"/>
        <v>3450.1000000000004</v>
      </c>
    </row>
    <row r="1457" spans="1:19" ht="15" customHeight="1" x14ac:dyDescent="0.2">
      <c r="A1457" s="14">
        <f t="shared" si="238"/>
        <v>1418</v>
      </c>
      <c r="B1457" s="21" t="s">
        <v>1207</v>
      </c>
      <c r="C1457" s="15" t="s">
        <v>3</v>
      </c>
      <c r="D1457" s="21" t="s">
        <v>1200</v>
      </c>
      <c r="E1457" s="21"/>
      <c r="F1457" s="69" t="s">
        <v>4</v>
      </c>
      <c r="G1457" s="9">
        <v>40589</v>
      </c>
      <c r="H1457" s="22">
        <v>997.44</v>
      </c>
      <c r="I1457" s="17">
        <v>0</v>
      </c>
      <c r="J1457" s="17">
        <f t="shared" si="230"/>
        <v>947.5680000000001</v>
      </c>
      <c r="K1457" s="17">
        <f t="shared" si="231"/>
        <v>49.871999999999957</v>
      </c>
      <c r="L1457" s="23">
        <f t="shared" si="237"/>
        <v>49.872000000000007</v>
      </c>
      <c r="M1457" s="23">
        <v>5</v>
      </c>
      <c r="N1457" s="18">
        <f t="shared" si="232"/>
        <v>9.1342465753424662</v>
      </c>
      <c r="O1457" s="23">
        <v>473.78400000000005</v>
      </c>
      <c r="P1457" s="18">
        <f t="shared" si="233"/>
        <v>10.134246575342466</v>
      </c>
      <c r="Q1457" s="18">
        <f t="shared" si="235"/>
        <v>-9.9475983006414035E-15</v>
      </c>
      <c r="R1457" s="18">
        <f t="shared" si="234"/>
        <v>473.78400000000005</v>
      </c>
      <c r="S1457" s="18">
        <f t="shared" si="236"/>
        <v>49.872000000000007</v>
      </c>
    </row>
    <row r="1458" spans="1:19" ht="15" customHeight="1" x14ac:dyDescent="0.2">
      <c r="A1458" s="14">
        <f t="shared" si="238"/>
        <v>1419</v>
      </c>
      <c r="B1458" s="21" t="s">
        <v>1294</v>
      </c>
      <c r="C1458" s="15" t="s">
        <v>3</v>
      </c>
      <c r="D1458" s="21" t="s">
        <v>1200</v>
      </c>
      <c r="E1458" s="21"/>
      <c r="F1458" s="69" t="s">
        <v>4</v>
      </c>
      <c r="G1458" s="9">
        <v>40589</v>
      </c>
      <c r="H1458" s="22">
        <v>818.25</v>
      </c>
      <c r="I1458" s="17">
        <v>0</v>
      </c>
      <c r="J1458" s="17">
        <f t="shared" si="230"/>
        <v>777.33749999999998</v>
      </c>
      <c r="K1458" s="17">
        <f t="shared" si="231"/>
        <v>40.912500000000023</v>
      </c>
      <c r="L1458" s="23">
        <f t="shared" si="237"/>
        <v>40.912500000000001</v>
      </c>
      <c r="M1458" s="23">
        <v>5</v>
      </c>
      <c r="N1458" s="18">
        <f t="shared" si="232"/>
        <v>9.1342465753424662</v>
      </c>
      <c r="O1458" s="23">
        <v>388.66874999999999</v>
      </c>
      <c r="P1458" s="18">
        <f t="shared" si="233"/>
        <v>10.134246575342466</v>
      </c>
      <c r="Q1458" s="18">
        <f t="shared" si="235"/>
        <v>4.2632564145606017E-15</v>
      </c>
      <c r="R1458" s="18">
        <f t="shared" si="234"/>
        <v>388.66874999999999</v>
      </c>
      <c r="S1458" s="18">
        <f t="shared" si="236"/>
        <v>40.912500000000001</v>
      </c>
    </row>
    <row r="1459" spans="1:19" ht="15" customHeight="1" x14ac:dyDescent="0.2">
      <c r="A1459" s="14">
        <f t="shared" si="238"/>
        <v>1420</v>
      </c>
      <c r="B1459" s="21" t="s">
        <v>1292</v>
      </c>
      <c r="C1459" s="15" t="s">
        <v>3</v>
      </c>
      <c r="D1459" s="21" t="s">
        <v>1200</v>
      </c>
      <c r="E1459" s="21"/>
      <c r="F1459" s="69" t="s">
        <v>4</v>
      </c>
      <c r="G1459" s="9">
        <v>40589</v>
      </c>
      <c r="H1459" s="22">
        <v>6300</v>
      </c>
      <c r="I1459" s="17">
        <v>0</v>
      </c>
      <c r="J1459" s="17">
        <f t="shared" si="230"/>
        <v>5985</v>
      </c>
      <c r="K1459" s="17">
        <f t="shared" si="231"/>
        <v>315</v>
      </c>
      <c r="L1459" s="23">
        <f t="shared" si="237"/>
        <v>315</v>
      </c>
      <c r="M1459" s="23">
        <v>3</v>
      </c>
      <c r="N1459" s="18">
        <f t="shared" si="232"/>
        <v>9.1342465753424662</v>
      </c>
      <c r="O1459" s="23">
        <v>2992.5</v>
      </c>
      <c r="P1459" s="18">
        <f t="shared" si="233"/>
        <v>10.134246575342466</v>
      </c>
      <c r="Q1459" s="18">
        <f t="shared" si="235"/>
        <v>0</v>
      </c>
      <c r="R1459" s="18">
        <f t="shared" si="234"/>
        <v>2992.5</v>
      </c>
      <c r="S1459" s="18">
        <f t="shared" si="236"/>
        <v>315</v>
      </c>
    </row>
    <row r="1460" spans="1:19" ht="15" customHeight="1" x14ac:dyDescent="0.2">
      <c r="A1460" s="14">
        <f t="shared" si="238"/>
        <v>1421</v>
      </c>
      <c r="B1460" s="21" t="s">
        <v>1301</v>
      </c>
      <c r="C1460" s="15" t="s">
        <v>3</v>
      </c>
      <c r="D1460" s="21" t="s">
        <v>1200</v>
      </c>
      <c r="E1460" s="21"/>
      <c r="F1460" s="69" t="s">
        <v>4</v>
      </c>
      <c r="G1460" s="9">
        <v>40558</v>
      </c>
      <c r="H1460" s="22">
        <v>5817</v>
      </c>
      <c r="I1460" s="17">
        <v>0</v>
      </c>
      <c r="J1460" s="17">
        <f t="shared" si="230"/>
        <v>5526.15</v>
      </c>
      <c r="K1460" s="17">
        <f t="shared" si="231"/>
        <v>290.85000000000036</v>
      </c>
      <c r="L1460" s="23">
        <f t="shared" si="237"/>
        <v>290.85000000000002</v>
      </c>
      <c r="M1460" s="23">
        <v>5</v>
      </c>
      <c r="N1460" s="18">
        <f t="shared" si="232"/>
        <v>9.2191780821917817</v>
      </c>
      <c r="O1460" s="23">
        <v>2763.0749999999998</v>
      </c>
      <c r="P1460" s="18">
        <f t="shared" si="233"/>
        <v>10.219178082191782</v>
      </c>
      <c r="Q1460" s="18">
        <f t="shared" si="235"/>
        <v>6.8212102632969628E-14</v>
      </c>
      <c r="R1460" s="18">
        <f t="shared" si="234"/>
        <v>2763.0749999999998</v>
      </c>
      <c r="S1460" s="18">
        <f t="shared" si="236"/>
        <v>290.85000000000002</v>
      </c>
    </row>
    <row r="1461" spans="1:19" ht="15" customHeight="1" x14ac:dyDescent="0.2">
      <c r="A1461" s="14">
        <f t="shared" si="238"/>
        <v>1422</v>
      </c>
      <c r="B1461" s="21" t="s">
        <v>1302</v>
      </c>
      <c r="C1461" s="15" t="s">
        <v>3</v>
      </c>
      <c r="D1461" s="21" t="s">
        <v>1200</v>
      </c>
      <c r="E1461" s="21"/>
      <c r="F1461" s="69" t="s">
        <v>4</v>
      </c>
      <c r="G1461" s="9">
        <v>40558</v>
      </c>
      <c r="H1461" s="22">
        <v>10709</v>
      </c>
      <c r="I1461" s="17">
        <v>0</v>
      </c>
      <c r="J1461" s="17">
        <f t="shared" si="230"/>
        <v>10173.549999999999</v>
      </c>
      <c r="K1461" s="17">
        <f t="shared" si="231"/>
        <v>535.45000000000073</v>
      </c>
      <c r="L1461" s="23">
        <f t="shared" si="237"/>
        <v>535.45000000000005</v>
      </c>
      <c r="M1461" s="23">
        <v>5</v>
      </c>
      <c r="N1461" s="18">
        <f t="shared" si="232"/>
        <v>9.2191780821917817</v>
      </c>
      <c r="O1461" s="23">
        <v>5086.7749999999996</v>
      </c>
      <c r="P1461" s="18">
        <f t="shared" si="233"/>
        <v>10.219178082191782</v>
      </c>
      <c r="Q1461" s="18">
        <f t="shared" si="235"/>
        <v>1.3642420526593926E-13</v>
      </c>
      <c r="R1461" s="18">
        <f t="shared" si="234"/>
        <v>5086.7749999999996</v>
      </c>
      <c r="S1461" s="18">
        <f t="shared" si="236"/>
        <v>535.45000000000005</v>
      </c>
    </row>
    <row r="1462" spans="1:19" ht="15" customHeight="1" x14ac:dyDescent="0.2">
      <c r="A1462" s="14">
        <f t="shared" si="238"/>
        <v>1423</v>
      </c>
      <c r="B1462" s="21" t="s">
        <v>1303</v>
      </c>
      <c r="C1462" s="15" t="s">
        <v>3</v>
      </c>
      <c r="D1462" s="21" t="s">
        <v>1200</v>
      </c>
      <c r="E1462" s="21"/>
      <c r="F1462" s="69" t="s">
        <v>4</v>
      </c>
      <c r="G1462" s="9">
        <v>40558</v>
      </c>
      <c r="H1462" s="22">
        <v>36131</v>
      </c>
      <c r="I1462" s="17">
        <v>0</v>
      </c>
      <c r="J1462" s="17">
        <f t="shared" si="230"/>
        <v>34324.449999999997</v>
      </c>
      <c r="K1462" s="17">
        <f t="shared" si="231"/>
        <v>1806.5500000000029</v>
      </c>
      <c r="L1462" s="23">
        <f t="shared" si="237"/>
        <v>1806.5500000000002</v>
      </c>
      <c r="M1462" s="23">
        <v>5</v>
      </c>
      <c r="N1462" s="18">
        <f t="shared" si="232"/>
        <v>9.2191780821917817</v>
      </c>
      <c r="O1462" s="23">
        <v>17162.224999999999</v>
      </c>
      <c r="P1462" s="18">
        <f t="shared" si="233"/>
        <v>10.219178082191782</v>
      </c>
      <c r="Q1462" s="18">
        <f t="shared" si="235"/>
        <v>5.4569682106375702E-13</v>
      </c>
      <c r="R1462" s="18">
        <f t="shared" si="234"/>
        <v>17162.224999999999</v>
      </c>
      <c r="S1462" s="18">
        <f t="shared" si="236"/>
        <v>1806.5500000000002</v>
      </c>
    </row>
    <row r="1463" spans="1:19" ht="15" customHeight="1" x14ac:dyDescent="0.2">
      <c r="A1463" s="14">
        <f t="shared" si="238"/>
        <v>1424</v>
      </c>
      <c r="B1463" s="21" t="s">
        <v>1301</v>
      </c>
      <c r="C1463" s="15" t="s">
        <v>3</v>
      </c>
      <c r="D1463" s="21" t="s">
        <v>1200</v>
      </c>
      <c r="E1463" s="21"/>
      <c r="F1463" s="69" t="s">
        <v>4</v>
      </c>
      <c r="G1463" s="9">
        <v>40527</v>
      </c>
      <c r="H1463" s="22">
        <v>3972.5</v>
      </c>
      <c r="I1463" s="17">
        <v>0</v>
      </c>
      <c r="J1463" s="17">
        <f t="shared" si="230"/>
        <v>3773.875</v>
      </c>
      <c r="K1463" s="17">
        <f t="shared" si="231"/>
        <v>198.625</v>
      </c>
      <c r="L1463" s="23">
        <f t="shared" si="237"/>
        <v>198.625</v>
      </c>
      <c r="M1463" s="23">
        <v>5</v>
      </c>
      <c r="N1463" s="18">
        <f t="shared" si="232"/>
        <v>9.3041095890410954</v>
      </c>
      <c r="O1463" s="23">
        <v>1886.9375</v>
      </c>
      <c r="P1463" s="18">
        <f t="shared" si="233"/>
        <v>10.304109589041095</v>
      </c>
      <c r="Q1463" s="18">
        <f t="shared" si="235"/>
        <v>0</v>
      </c>
      <c r="R1463" s="18">
        <f t="shared" si="234"/>
        <v>1886.9375</v>
      </c>
      <c r="S1463" s="18">
        <f t="shared" si="236"/>
        <v>198.625</v>
      </c>
    </row>
    <row r="1464" spans="1:19" ht="15" customHeight="1" x14ac:dyDescent="0.2">
      <c r="A1464" s="14">
        <f t="shared" si="238"/>
        <v>1425</v>
      </c>
      <c r="B1464" s="21" t="s">
        <v>1207</v>
      </c>
      <c r="C1464" s="15" t="s">
        <v>3</v>
      </c>
      <c r="D1464" s="21" t="s">
        <v>1200</v>
      </c>
      <c r="E1464" s="21"/>
      <c r="F1464" s="69" t="s">
        <v>4</v>
      </c>
      <c r="G1464" s="9">
        <v>40527</v>
      </c>
      <c r="H1464" s="22">
        <v>827.04</v>
      </c>
      <c r="I1464" s="17">
        <v>0</v>
      </c>
      <c r="J1464" s="17">
        <f t="shared" si="230"/>
        <v>785.68799999999999</v>
      </c>
      <c r="K1464" s="17">
        <f t="shared" si="231"/>
        <v>41.351999999999975</v>
      </c>
      <c r="L1464" s="23">
        <f t="shared" si="237"/>
        <v>41.352000000000004</v>
      </c>
      <c r="M1464" s="23">
        <v>5</v>
      </c>
      <c r="N1464" s="18">
        <f t="shared" si="232"/>
        <v>9.3041095890410954</v>
      </c>
      <c r="O1464" s="23">
        <v>392.84399999999999</v>
      </c>
      <c r="P1464" s="18">
        <f t="shared" si="233"/>
        <v>10.304109589041095</v>
      </c>
      <c r="Q1464" s="18">
        <f t="shared" si="235"/>
        <v>-5.6843418860808018E-15</v>
      </c>
      <c r="R1464" s="18">
        <f t="shared" si="234"/>
        <v>392.84399999999999</v>
      </c>
      <c r="S1464" s="18">
        <f t="shared" si="236"/>
        <v>41.352000000000004</v>
      </c>
    </row>
    <row r="1465" spans="1:19" ht="15" customHeight="1" x14ac:dyDescent="0.2">
      <c r="A1465" s="14">
        <f t="shared" si="238"/>
        <v>1426</v>
      </c>
      <c r="B1465" s="21" t="s">
        <v>1287</v>
      </c>
      <c r="C1465" s="15" t="s">
        <v>3</v>
      </c>
      <c r="D1465" s="21" t="s">
        <v>1200</v>
      </c>
      <c r="E1465" s="21"/>
      <c r="F1465" s="69" t="s">
        <v>4</v>
      </c>
      <c r="G1465" s="9">
        <v>40527</v>
      </c>
      <c r="H1465" s="22">
        <v>660.95</v>
      </c>
      <c r="I1465" s="17">
        <v>0</v>
      </c>
      <c r="J1465" s="17">
        <f t="shared" si="230"/>
        <v>627.90250000000003</v>
      </c>
      <c r="K1465" s="17">
        <f t="shared" si="231"/>
        <v>33.047500000000014</v>
      </c>
      <c r="L1465" s="23">
        <f t="shared" si="237"/>
        <v>33.047500000000007</v>
      </c>
      <c r="M1465" s="23">
        <v>5</v>
      </c>
      <c r="N1465" s="18">
        <f t="shared" si="232"/>
        <v>9.3041095890410954</v>
      </c>
      <c r="O1465" s="23">
        <v>313.95125000000002</v>
      </c>
      <c r="P1465" s="18">
        <f t="shared" si="233"/>
        <v>10.304109589041095</v>
      </c>
      <c r="Q1465" s="18">
        <f t="shared" si="235"/>
        <v>1.4210854715202005E-15</v>
      </c>
      <c r="R1465" s="18">
        <f t="shared" si="234"/>
        <v>313.95125000000002</v>
      </c>
      <c r="S1465" s="18">
        <f t="shared" si="236"/>
        <v>33.047500000000007</v>
      </c>
    </row>
    <row r="1466" spans="1:19" ht="15" customHeight="1" x14ac:dyDescent="0.2">
      <c r="A1466" s="14">
        <f t="shared" si="238"/>
        <v>1427</v>
      </c>
      <c r="B1466" s="21" t="s">
        <v>1209</v>
      </c>
      <c r="C1466" s="15" t="s">
        <v>3</v>
      </c>
      <c r="D1466" s="21" t="s">
        <v>1200</v>
      </c>
      <c r="E1466" s="21"/>
      <c r="F1466" s="69" t="s">
        <v>4</v>
      </c>
      <c r="G1466" s="9">
        <v>40527</v>
      </c>
      <c r="H1466" s="22">
        <v>1829.91</v>
      </c>
      <c r="I1466" s="17">
        <v>0</v>
      </c>
      <c r="J1466" s="17">
        <f t="shared" si="230"/>
        <v>1738.4145000000001</v>
      </c>
      <c r="K1466" s="17">
        <f t="shared" si="231"/>
        <v>91.495499999999993</v>
      </c>
      <c r="L1466" s="23">
        <f t="shared" si="237"/>
        <v>91.495500000000007</v>
      </c>
      <c r="M1466" s="23">
        <v>3</v>
      </c>
      <c r="N1466" s="18">
        <f t="shared" si="232"/>
        <v>9.3041095890410954</v>
      </c>
      <c r="O1466" s="23">
        <v>869.20725000000004</v>
      </c>
      <c r="P1466" s="18">
        <f t="shared" si="233"/>
        <v>10.304109589041095</v>
      </c>
      <c r="Q1466" s="18">
        <f t="shared" si="235"/>
        <v>-4.736951571734001E-15</v>
      </c>
      <c r="R1466" s="18">
        <f t="shared" si="234"/>
        <v>869.20725000000004</v>
      </c>
      <c r="S1466" s="18">
        <f t="shared" si="236"/>
        <v>91.495500000000007</v>
      </c>
    </row>
    <row r="1467" spans="1:19" ht="15" customHeight="1" x14ac:dyDescent="0.2">
      <c r="A1467" s="14">
        <f t="shared" si="238"/>
        <v>1428</v>
      </c>
      <c r="B1467" s="21" t="s">
        <v>1304</v>
      </c>
      <c r="C1467" s="15" t="s">
        <v>3</v>
      </c>
      <c r="D1467" s="21" t="s">
        <v>1200</v>
      </c>
      <c r="E1467" s="21"/>
      <c r="F1467" s="69" t="s">
        <v>4</v>
      </c>
      <c r="G1467" s="9">
        <v>40504</v>
      </c>
      <c r="H1467" s="22">
        <v>515303</v>
      </c>
      <c r="I1467" s="17">
        <v>0</v>
      </c>
      <c r="J1467" s="17">
        <f t="shared" si="230"/>
        <v>489537.85</v>
      </c>
      <c r="K1467" s="17">
        <f t="shared" si="231"/>
        <v>25765.150000000023</v>
      </c>
      <c r="L1467" s="23">
        <f t="shared" si="237"/>
        <v>25765.15</v>
      </c>
      <c r="M1467" s="23">
        <v>3</v>
      </c>
      <c r="N1467" s="18">
        <f t="shared" si="232"/>
        <v>9.367123287671232</v>
      </c>
      <c r="O1467" s="23">
        <v>244768.92499999999</v>
      </c>
      <c r="P1467" s="18">
        <f t="shared" si="233"/>
        <v>10.367123287671232</v>
      </c>
      <c r="Q1467" s="18">
        <f t="shared" si="235"/>
        <v>7.2759576141834259E-12</v>
      </c>
      <c r="R1467" s="18">
        <f t="shared" si="234"/>
        <v>244768.92499999999</v>
      </c>
      <c r="S1467" s="18">
        <f t="shared" si="236"/>
        <v>25765.15</v>
      </c>
    </row>
    <row r="1468" spans="1:19" ht="15" customHeight="1" x14ac:dyDescent="0.2">
      <c r="A1468" s="14">
        <f t="shared" si="238"/>
        <v>1429</v>
      </c>
      <c r="B1468" s="21" t="s">
        <v>1305</v>
      </c>
      <c r="C1468" s="15" t="s">
        <v>3</v>
      </c>
      <c r="D1468" s="21" t="s">
        <v>1200</v>
      </c>
      <c r="E1468" s="21"/>
      <c r="F1468" s="69" t="s">
        <v>4</v>
      </c>
      <c r="G1468" s="9">
        <v>40497</v>
      </c>
      <c r="H1468" s="22">
        <v>3659.81</v>
      </c>
      <c r="I1468" s="17">
        <v>0</v>
      </c>
      <c r="J1468" s="17">
        <f t="shared" si="230"/>
        <v>3476.8195000000001</v>
      </c>
      <c r="K1468" s="17">
        <f t="shared" si="231"/>
        <v>182.99049999999988</v>
      </c>
      <c r="L1468" s="23">
        <f t="shared" si="237"/>
        <v>182.9905</v>
      </c>
      <c r="M1468" s="23">
        <v>3</v>
      </c>
      <c r="N1468" s="18">
        <f t="shared" si="232"/>
        <v>9.3863013698630144</v>
      </c>
      <c r="O1468" s="23">
        <v>1738.40975</v>
      </c>
      <c r="P1468" s="18">
        <f t="shared" si="233"/>
        <v>10.386301369863014</v>
      </c>
      <c r="Q1468" s="18">
        <f t="shared" si="235"/>
        <v>-3.7895612573872008E-14</v>
      </c>
      <c r="R1468" s="18">
        <f t="shared" si="234"/>
        <v>1738.40975</v>
      </c>
      <c r="S1468" s="18">
        <f t="shared" si="236"/>
        <v>182.9905</v>
      </c>
    </row>
    <row r="1469" spans="1:19" ht="15" customHeight="1" x14ac:dyDescent="0.2">
      <c r="A1469" s="14">
        <f t="shared" si="238"/>
        <v>1430</v>
      </c>
      <c r="B1469" s="21" t="s">
        <v>1306</v>
      </c>
      <c r="C1469" s="15" t="s">
        <v>3</v>
      </c>
      <c r="D1469" s="21" t="s">
        <v>1200</v>
      </c>
      <c r="E1469" s="21"/>
      <c r="F1469" s="69" t="s">
        <v>4</v>
      </c>
      <c r="G1469" s="9">
        <v>40466</v>
      </c>
      <c r="H1469" s="22">
        <v>6034.39</v>
      </c>
      <c r="I1469" s="17">
        <v>0</v>
      </c>
      <c r="J1469" s="17">
        <f t="shared" si="230"/>
        <v>5732.6705000000002</v>
      </c>
      <c r="K1469" s="17">
        <f t="shared" si="231"/>
        <v>301.71950000000015</v>
      </c>
      <c r="L1469" s="23">
        <f t="shared" si="237"/>
        <v>301.71950000000004</v>
      </c>
      <c r="M1469" s="23">
        <v>5</v>
      </c>
      <c r="N1469" s="18">
        <f t="shared" si="232"/>
        <v>9.4712328767123282</v>
      </c>
      <c r="O1469" s="23">
        <v>2866.3352500000001</v>
      </c>
      <c r="P1469" s="18">
        <f t="shared" si="233"/>
        <v>10.471232876712328</v>
      </c>
      <c r="Q1469" s="18">
        <f t="shared" si="235"/>
        <v>2.2737367544323207E-14</v>
      </c>
      <c r="R1469" s="18">
        <f t="shared" si="234"/>
        <v>2866.3352500000001</v>
      </c>
      <c r="S1469" s="18">
        <f t="shared" si="236"/>
        <v>301.71950000000004</v>
      </c>
    </row>
    <row r="1470" spans="1:19" ht="15" customHeight="1" x14ac:dyDescent="0.2">
      <c r="A1470" s="14">
        <f t="shared" si="238"/>
        <v>1431</v>
      </c>
      <c r="B1470" s="21" t="s">
        <v>1295</v>
      </c>
      <c r="C1470" s="15" t="s">
        <v>3</v>
      </c>
      <c r="D1470" s="21" t="s">
        <v>1200</v>
      </c>
      <c r="E1470" s="21"/>
      <c r="F1470" s="69" t="s">
        <v>4</v>
      </c>
      <c r="G1470" s="9">
        <v>40466</v>
      </c>
      <c r="H1470" s="22">
        <v>1866.95</v>
      </c>
      <c r="I1470" s="17">
        <v>0</v>
      </c>
      <c r="J1470" s="17">
        <f t="shared" si="230"/>
        <v>1773.6025</v>
      </c>
      <c r="K1470" s="17">
        <f t="shared" si="231"/>
        <v>93.347500000000082</v>
      </c>
      <c r="L1470" s="23">
        <f t="shared" si="237"/>
        <v>93.347500000000011</v>
      </c>
      <c r="M1470" s="23">
        <v>5</v>
      </c>
      <c r="N1470" s="18">
        <f t="shared" si="232"/>
        <v>9.4712328767123282</v>
      </c>
      <c r="O1470" s="23">
        <v>886.80124999999998</v>
      </c>
      <c r="P1470" s="18">
        <f t="shared" si="233"/>
        <v>10.471232876712328</v>
      </c>
      <c r="Q1470" s="18">
        <f t="shared" si="235"/>
        <v>1.4210854715202004E-14</v>
      </c>
      <c r="R1470" s="18">
        <f t="shared" si="234"/>
        <v>886.80124999999998</v>
      </c>
      <c r="S1470" s="18">
        <f t="shared" si="236"/>
        <v>93.347500000000011</v>
      </c>
    </row>
    <row r="1471" spans="1:19" ht="15" customHeight="1" x14ac:dyDescent="0.2">
      <c r="A1471" s="14">
        <f t="shared" si="238"/>
        <v>1432</v>
      </c>
      <c r="B1471" s="21" t="s">
        <v>1287</v>
      </c>
      <c r="C1471" s="15" t="s">
        <v>3</v>
      </c>
      <c r="D1471" s="21" t="s">
        <v>1200</v>
      </c>
      <c r="E1471" s="21"/>
      <c r="F1471" s="69" t="s">
        <v>4</v>
      </c>
      <c r="G1471" s="9">
        <v>40466</v>
      </c>
      <c r="H1471" s="22">
        <v>1026.02</v>
      </c>
      <c r="I1471" s="17">
        <v>0</v>
      </c>
      <c r="J1471" s="17">
        <f t="shared" si="230"/>
        <v>974.71899999999994</v>
      </c>
      <c r="K1471" s="17">
        <f t="shared" si="231"/>
        <v>51.301000000000045</v>
      </c>
      <c r="L1471" s="23">
        <f t="shared" si="237"/>
        <v>51.301000000000002</v>
      </c>
      <c r="M1471" s="23">
        <v>5</v>
      </c>
      <c r="N1471" s="18">
        <f t="shared" si="232"/>
        <v>9.4712328767123282</v>
      </c>
      <c r="O1471" s="23">
        <v>487.35949999999997</v>
      </c>
      <c r="P1471" s="18">
        <f t="shared" si="233"/>
        <v>10.471232876712328</v>
      </c>
      <c r="Q1471" s="18">
        <f t="shared" si="235"/>
        <v>8.5265128291212035E-15</v>
      </c>
      <c r="R1471" s="18">
        <f t="shared" si="234"/>
        <v>487.35949999999997</v>
      </c>
      <c r="S1471" s="18">
        <f t="shared" si="236"/>
        <v>51.301000000000002</v>
      </c>
    </row>
    <row r="1472" spans="1:19" ht="15" customHeight="1" x14ac:dyDescent="0.2">
      <c r="A1472" s="14">
        <f t="shared" si="238"/>
        <v>1433</v>
      </c>
      <c r="B1472" s="21" t="s">
        <v>1307</v>
      </c>
      <c r="C1472" s="15" t="s">
        <v>3</v>
      </c>
      <c r="D1472" s="21" t="s">
        <v>1200</v>
      </c>
      <c r="E1472" s="21"/>
      <c r="F1472" s="69" t="s">
        <v>4</v>
      </c>
      <c r="G1472" s="9">
        <v>40405</v>
      </c>
      <c r="H1472" s="22">
        <v>2794.39</v>
      </c>
      <c r="I1472" s="17">
        <v>0</v>
      </c>
      <c r="J1472" s="17">
        <f t="shared" si="230"/>
        <v>2654.6704999999997</v>
      </c>
      <c r="K1472" s="17">
        <f t="shared" si="231"/>
        <v>139.71950000000015</v>
      </c>
      <c r="L1472" s="23">
        <f t="shared" si="237"/>
        <v>139.71950000000001</v>
      </c>
      <c r="M1472" s="23">
        <v>5</v>
      </c>
      <c r="N1472" s="18">
        <f t="shared" si="232"/>
        <v>9.6383561643835609</v>
      </c>
      <c r="O1472" s="23">
        <v>1327.3352499999999</v>
      </c>
      <c r="P1472" s="18">
        <f t="shared" si="233"/>
        <v>10.638356164383561</v>
      </c>
      <c r="Q1472" s="18">
        <f t="shared" si="235"/>
        <v>2.8421709430404007E-14</v>
      </c>
      <c r="R1472" s="18">
        <f t="shared" si="234"/>
        <v>1327.3352499999999</v>
      </c>
      <c r="S1472" s="18">
        <f t="shared" si="236"/>
        <v>139.71950000000001</v>
      </c>
    </row>
    <row r="1473" spans="1:19" ht="15" customHeight="1" x14ac:dyDescent="0.2">
      <c r="A1473" s="14">
        <f t="shared" si="238"/>
        <v>1434</v>
      </c>
      <c r="B1473" s="21" t="s">
        <v>1292</v>
      </c>
      <c r="C1473" s="15" t="s">
        <v>3</v>
      </c>
      <c r="D1473" s="21" t="s">
        <v>1200</v>
      </c>
      <c r="E1473" s="21"/>
      <c r="F1473" s="69" t="s">
        <v>4</v>
      </c>
      <c r="G1473" s="9">
        <v>40405</v>
      </c>
      <c r="H1473" s="22">
        <v>2125</v>
      </c>
      <c r="I1473" s="17">
        <v>0</v>
      </c>
      <c r="J1473" s="17">
        <f t="shared" si="230"/>
        <v>2018.75</v>
      </c>
      <c r="K1473" s="17">
        <f t="shared" si="231"/>
        <v>106.25</v>
      </c>
      <c r="L1473" s="23">
        <f t="shared" si="237"/>
        <v>106.25</v>
      </c>
      <c r="M1473" s="23">
        <v>3</v>
      </c>
      <c r="N1473" s="18">
        <f t="shared" si="232"/>
        <v>9.6383561643835609</v>
      </c>
      <c r="O1473" s="23">
        <v>1009.375</v>
      </c>
      <c r="P1473" s="18">
        <f t="shared" si="233"/>
        <v>10.638356164383561</v>
      </c>
      <c r="Q1473" s="18">
        <f t="shared" si="235"/>
        <v>0</v>
      </c>
      <c r="R1473" s="18">
        <f t="shared" si="234"/>
        <v>1009.375</v>
      </c>
      <c r="S1473" s="18">
        <f t="shared" si="236"/>
        <v>106.25</v>
      </c>
    </row>
    <row r="1474" spans="1:19" ht="15" customHeight="1" x14ac:dyDescent="0.2">
      <c r="A1474" s="14">
        <f t="shared" si="238"/>
        <v>1435</v>
      </c>
      <c r="B1474" s="21" t="s">
        <v>1308</v>
      </c>
      <c r="C1474" s="15" t="s">
        <v>3</v>
      </c>
      <c r="D1474" s="21" t="s">
        <v>1200</v>
      </c>
      <c r="E1474" s="21"/>
      <c r="F1474" s="69" t="s">
        <v>4</v>
      </c>
      <c r="G1474" s="9">
        <v>40374</v>
      </c>
      <c r="H1474" s="22">
        <v>8101.66</v>
      </c>
      <c r="I1474" s="17">
        <v>0</v>
      </c>
      <c r="J1474" s="17">
        <f t="shared" si="230"/>
        <v>7696.5770000000002</v>
      </c>
      <c r="K1474" s="17">
        <f t="shared" si="231"/>
        <v>405.08299999999963</v>
      </c>
      <c r="L1474" s="23">
        <f t="shared" si="237"/>
        <v>405.08300000000003</v>
      </c>
      <c r="M1474" s="23">
        <v>5</v>
      </c>
      <c r="N1474" s="18">
        <f t="shared" si="232"/>
        <v>9.7232876712328764</v>
      </c>
      <c r="O1474" s="23">
        <v>3848.2885000000001</v>
      </c>
      <c r="P1474" s="18">
        <f t="shared" si="233"/>
        <v>10.723287671232876</v>
      </c>
      <c r="Q1474" s="18">
        <f t="shared" si="235"/>
        <v>-7.9580786405131228E-14</v>
      </c>
      <c r="R1474" s="18">
        <f t="shared" si="234"/>
        <v>3848.2885000000001</v>
      </c>
      <c r="S1474" s="18">
        <f t="shared" si="236"/>
        <v>405.08300000000003</v>
      </c>
    </row>
    <row r="1475" spans="1:19" ht="15" customHeight="1" x14ac:dyDescent="0.2">
      <c r="A1475" s="14">
        <f t="shared" si="238"/>
        <v>1436</v>
      </c>
      <c r="B1475" s="21" t="s">
        <v>1287</v>
      </c>
      <c r="C1475" s="15" t="s">
        <v>3</v>
      </c>
      <c r="D1475" s="21" t="s">
        <v>1200</v>
      </c>
      <c r="E1475" s="21"/>
      <c r="F1475" s="69" t="s">
        <v>4</v>
      </c>
      <c r="G1475" s="9">
        <v>40354</v>
      </c>
      <c r="H1475" s="22">
        <v>1054.01</v>
      </c>
      <c r="I1475" s="17">
        <v>0</v>
      </c>
      <c r="J1475" s="17">
        <f t="shared" si="230"/>
        <v>1001.3095</v>
      </c>
      <c r="K1475" s="17">
        <f t="shared" si="231"/>
        <v>52.700500000000034</v>
      </c>
      <c r="L1475" s="23">
        <f t="shared" si="237"/>
        <v>52.700500000000005</v>
      </c>
      <c r="M1475" s="23">
        <v>5</v>
      </c>
      <c r="N1475" s="18">
        <f t="shared" si="232"/>
        <v>9.7780821917808218</v>
      </c>
      <c r="O1475" s="23">
        <v>500.65474999999998</v>
      </c>
      <c r="P1475" s="18">
        <f t="shared" si="233"/>
        <v>10.778082191780822</v>
      </c>
      <c r="Q1475" s="18">
        <f t="shared" si="235"/>
        <v>5.6843418860808018E-15</v>
      </c>
      <c r="R1475" s="18">
        <f t="shared" si="234"/>
        <v>500.65474999999998</v>
      </c>
      <c r="S1475" s="18">
        <f t="shared" si="236"/>
        <v>52.700500000000005</v>
      </c>
    </row>
    <row r="1476" spans="1:19" ht="15" customHeight="1" x14ac:dyDescent="0.2">
      <c r="A1476" s="14">
        <f t="shared" si="238"/>
        <v>1437</v>
      </c>
      <c r="B1476" s="21" t="s">
        <v>1307</v>
      </c>
      <c r="C1476" s="15" t="s">
        <v>3</v>
      </c>
      <c r="D1476" s="21" t="s">
        <v>1200</v>
      </c>
      <c r="E1476" s="21"/>
      <c r="F1476" s="69" t="s">
        <v>4</v>
      </c>
      <c r="G1476" s="9">
        <v>40344</v>
      </c>
      <c r="H1476" s="22">
        <v>1454.83</v>
      </c>
      <c r="I1476" s="17">
        <v>0</v>
      </c>
      <c r="J1476" s="17">
        <f t="shared" si="230"/>
        <v>1382.0884999999998</v>
      </c>
      <c r="K1476" s="17">
        <f t="shared" si="231"/>
        <v>72.741500000000087</v>
      </c>
      <c r="L1476" s="23">
        <f t="shared" si="237"/>
        <v>72.741500000000002</v>
      </c>
      <c r="M1476" s="23">
        <v>5</v>
      </c>
      <c r="N1476" s="18">
        <f t="shared" si="232"/>
        <v>9.8054794520547937</v>
      </c>
      <c r="O1476" s="23">
        <v>691.04424999999992</v>
      </c>
      <c r="P1476" s="18">
        <f t="shared" si="233"/>
        <v>10.805479452054794</v>
      </c>
      <c r="Q1476" s="18">
        <f t="shared" si="235"/>
        <v>1.7053025658242407E-14</v>
      </c>
      <c r="R1476" s="18">
        <f t="shared" si="234"/>
        <v>691.04424999999992</v>
      </c>
      <c r="S1476" s="18">
        <f t="shared" si="236"/>
        <v>72.741500000000002</v>
      </c>
    </row>
    <row r="1477" spans="1:19" ht="15" customHeight="1" x14ac:dyDescent="0.2">
      <c r="A1477" s="14">
        <f t="shared" si="238"/>
        <v>1438</v>
      </c>
      <c r="B1477" s="21" t="s">
        <v>1287</v>
      </c>
      <c r="C1477" s="15" t="s">
        <v>3</v>
      </c>
      <c r="D1477" s="21" t="s">
        <v>1200</v>
      </c>
      <c r="E1477" s="21"/>
      <c r="F1477" s="69" t="s">
        <v>4</v>
      </c>
      <c r="G1477" s="9">
        <v>40323</v>
      </c>
      <c r="H1477" s="22">
        <v>1078.68</v>
      </c>
      <c r="I1477" s="17">
        <v>0</v>
      </c>
      <c r="J1477" s="17">
        <f t="shared" si="230"/>
        <v>1024.7460000000001</v>
      </c>
      <c r="K1477" s="17">
        <f t="shared" si="231"/>
        <v>53.933999999999969</v>
      </c>
      <c r="L1477" s="23">
        <f t="shared" si="237"/>
        <v>53.934000000000005</v>
      </c>
      <c r="M1477" s="23">
        <v>5</v>
      </c>
      <c r="N1477" s="18">
        <f t="shared" si="232"/>
        <v>9.8630136986301373</v>
      </c>
      <c r="O1477" s="23">
        <v>512.37300000000005</v>
      </c>
      <c r="P1477" s="18">
        <f t="shared" si="233"/>
        <v>10.863013698630137</v>
      </c>
      <c r="Q1477" s="18">
        <f t="shared" si="235"/>
        <v>-7.1054273576010019E-15</v>
      </c>
      <c r="R1477" s="18">
        <f t="shared" si="234"/>
        <v>512.37300000000005</v>
      </c>
      <c r="S1477" s="18">
        <f t="shared" si="236"/>
        <v>53.934000000000005</v>
      </c>
    </row>
    <row r="1478" spans="1:19" ht="15" customHeight="1" x14ac:dyDescent="0.2">
      <c r="A1478" s="14">
        <f t="shared" si="238"/>
        <v>1439</v>
      </c>
      <c r="B1478" s="21" t="s">
        <v>1309</v>
      </c>
      <c r="C1478" s="15" t="s">
        <v>3</v>
      </c>
      <c r="D1478" s="21" t="s">
        <v>1200</v>
      </c>
      <c r="E1478" s="21"/>
      <c r="F1478" s="69" t="s">
        <v>4</v>
      </c>
      <c r="G1478" s="9">
        <v>40313</v>
      </c>
      <c r="H1478" s="22">
        <v>11977</v>
      </c>
      <c r="I1478" s="17">
        <v>0</v>
      </c>
      <c r="J1478" s="17">
        <f t="shared" si="230"/>
        <v>11378.15</v>
      </c>
      <c r="K1478" s="17">
        <f t="shared" si="231"/>
        <v>598.85000000000036</v>
      </c>
      <c r="L1478" s="23">
        <f t="shared" si="237"/>
        <v>598.85</v>
      </c>
      <c r="M1478" s="23">
        <v>5</v>
      </c>
      <c r="N1478" s="18">
        <f t="shared" si="232"/>
        <v>9.8904109589041092</v>
      </c>
      <c r="O1478" s="23">
        <v>5689.0749999999998</v>
      </c>
      <c r="P1478" s="18">
        <f t="shared" si="233"/>
        <v>10.890410958904109</v>
      </c>
      <c r="Q1478" s="18">
        <f t="shared" si="235"/>
        <v>6.8212102632969628E-14</v>
      </c>
      <c r="R1478" s="18">
        <f t="shared" si="234"/>
        <v>5689.0749999999998</v>
      </c>
      <c r="S1478" s="18">
        <f t="shared" si="236"/>
        <v>598.85</v>
      </c>
    </row>
    <row r="1479" spans="1:19" ht="15" customHeight="1" x14ac:dyDescent="0.2">
      <c r="A1479" s="14">
        <f t="shared" si="238"/>
        <v>1440</v>
      </c>
      <c r="B1479" s="21" t="s">
        <v>1307</v>
      </c>
      <c r="C1479" s="15" t="s">
        <v>3</v>
      </c>
      <c r="D1479" s="21" t="s">
        <v>1200</v>
      </c>
      <c r="E1479" s="21"/>
      <c r="F1479" s="69" t="s">
        <v>4</v>
      </c>
      <c r="G1479" s="9">
        <v>40313</v>
      </c>
      <c r="H1479" s="22">
        <v>1390.08</v>
      </c>
      <c r="I1479" s="17">
        <v>0</v>
      </c>
      <c r="J1479" s="17">
        <f t="shared" si="230"/>
        <v>1320.576</v>
      </c>
      <c r="K1479" s="17">
        <f t="shared" si="231"/>
        <v>69.503999999999905</v>
      </c>
      <c r="L1479" s="23">
        <f t="shared" si="237"/>
        <v>69.504000000000005</v>
      </c>
      <c r="M1479" s="23">
        <v>5</v>
      </c>
      <c r="N1479" s="18">
        <f t="shared" si="232"/>
        <v>9.8904109589041092</v>
      </c>
      <c r="O1479" s="23">
        <v>660.28800000000001</v>
      </c>
      <c r="P1479" s="18">
        <f t="shared" si="233"/>
        <v>10.890410958904109</v>
      </c>
      <c r="Q1479" s="18">
        <f t="shared" si="235"/>
        <v>-1.9895196601282807E-14</v>
      </c>
      <c r="R1479" s="18">
        <f t="shared" si="234"/>
        <v>660.28800000000001</v>
      </c>
      <c r="S1479" s="18">
        <f t="shared" si="236"/>
        <v>69.504000000000005</v>
      </c>
    </row>
    <row r="1480" spans="1:19" ht="15" customHeight="1" x14ac:dyDescent="0.2">
      <c r="A1480" s="14">
        <f t="shared" si="238"/>
        <v>1441</v>
      </c>
      <c r="B1480" s="21" t="s">
        <v>1310</v>
      </c>
      <c r="C1480" s="15" t="s">
        <v>3</v>
      </c>
      <c r="D1480" s="21" t="s">
        <v>1200</v>
      </c>
      <c r="E1480" s="21"/>
      <c r="F1480" s="69" t="s">
        <v>4</v>
      </c>
      <c r="G1480" s="9">
        <v>40293</v>
      </c>
      <c r="H1480" s="22">
        <v>933.48</v>
      </c>
      <c r="I1480" s="17">
        <v>0</v>
      </c>
      <c r="J1480" s="17">
        <f t="shared" ref="J1480:J1543" si="239">H1480-L1480</f>
        <v>886.80600000000004</v>
      </c>
      <c r="K1480" s="17">
        <f t="shared" si="231"/>
        <v>46.673999999999978</v>
      </c>
      <c r="L1480" s="23">
        <f t="shared" si="237"/>
        <v>46.674000000000007</v>
      </c>
      <c r="M1480" s="23">
        <v>5</v>
      </c>
      <c r="N1480" s="18">
        <f t="shared" si="232"/>
        <v>9.9452054794520546</v>
      </c>
      <c r="O1480" s="23">
        <v>443.40300000000002</v>
      </c>
      <c r="P1480" s="18">
        <f t="shared" si="233"/>
        <v>10.945205479452055</v>
      </c>
      <c r="Q1480" s="18">
        <f t="shared" si="235"/>
        <v>-5.6843418860808018E-15</v>
      </c>
      <c r="R1480" s="18">
        <f t="shared" si="234"/>
        <v>443.40300000000002</v>
      </c>
      <c r="S1480" s="18">
        <f t="shared" si="236"/>
        <v>46.674000000000007</v>
      </c>
    </row>
    <row r="1481" spans="1:19" ht="15" customHeight="1" x14ac:dyDescent="0.2">
      <c r="A1481" s="14">
        <f t="shared" si="238"/>
        <v>1442</v>
      </c>
      <c r="B1481" s="21" t="s">
        <v>1310</v>
      </c>
      <c r="C1481" s="15" t="s">
        <v>3</v>
      </c>
      <c r="D1481" s="21" t="s">
        <v>1200</v>
      </c>
      <c r="E1481" s="21"/>
      <c r="F1481" s="69" t="s">
        <v>4</v>
      </c>
      <c r="G1481" s="9">
        <v>40293</v>
      </c>
      <c r="H1481" s="22">
        <v>933.48</v>
      </c>
      <c r="I1481" s="17">
        <v>0</v>
      </c>
      <c r="J1481" s="17">
        <f t="shared" si="239"/>
        <v>886.80600000000004</v>
      </c>
      <c r="K1481" s="17">
        <f t="shared" si="231"/>
        <v>46.673999999999978</v>
      </c>
      <c r="L1481" s="23">
        <f t="shared" si="237"/>
        <v>46.674000000000007</v>
      </c>
      <c r="M1481" s="23">
        <v>5</v>
      </c>
      <c r="N1481" s="18">
        <f t="shared" si="232"/>
        <v>9.9452054794520546</v>
      </c>
      <c r="O1481" s="23">
        <v>443.40300000000002</v>
      </c>
      <c r="P1481" s="18">
        <f t="shared" si="233"/>
        <v>10.945205479452055</v>
      </c>
      <c r="Q1481" s="18">
        <f t="shared" si="235"/>
        <v>-5.6843418860808018E-15</v>
      </c>
      <c r="R1481" s="18">
        <f t="shared" si="234"/>
        <v>443.40300000000002</v>
      </c>
      <c r="S1481" s="18">
        <f t="shared" si="236"/>
        <v>46.674000000000007</v>
      </c>
    </row>
    <row r="1482" spans="1:19" ht="15" customHeight="1" x14ac:dyDescent="0.2">
      <c r="A1482" s="14">
        <f t="shared" si="238"/>
        <v>1443</v>
      </c>
      <c r="B1482" s="21" t="s">
        <v>1311</v>
      </c>
      <c r="C1482" s="15" t="s">
        <v>3</v>
      </c>
      <c r="D1482" s="21" t="s">
        <v>1200</v>
      </c>
      <c r="E1482" s="21"/>
      <c r="F1482" s="69" t="s">
        <v>4</v>
      </c>
      <c r="G1482" s="9">
        <v>40283</v>
      </c>
      <c r="H1482" s="22">
        <v>8400</v>
      </c>
      <c r="I1482" s="17">
        <v>0</v>
      </c>
      <c r="J1482" s="17">
        <f t="shared" si="239"/>
        <v>7980</v>
      </c>
      <c r="K1482" s="17">
        <f t="shared" si="231"/>
        <v>420</v>
      </c>
      <c r="L1482" s="23">
        <f t="shared" si="237"/>
        <v>420</v>
      </c>
      <c r="M1482" s="23">
        <v>5</v>
      </c>
      <c r="N1482" s="18">
        <f t="shared" si="232"/>
        <v>9.9726027397260282</v>
      </c>
      <c r="O1482" s="23">
        <v>3990</v>
      </c>
      <c r="P1482" s="18">
        <f t="shared" si="233"/>
        <v>10.972602739726028</v>
      </c>
      <c r="Q1482" s="18">
        <f t="shared" si="235"/>
        <v>0</v>
      </c>
      <c r="R1482" s="18">
        <f t="shared" si="234"/>
        <v>3990</v>
      </c>
      <c r="S1482" s="18">
        <f t="shared" si="236"/>
        <v>420</v>
      </c>
    </row>
    <row r="1483" spans="1:19" ht="15" customHeight="1" x14ac:dyDescent="0.2">
      <c r="A1483" s="14">
        <f t="shared" si="238"/>
        <v>1444</v>
      </c>
      <c r="B1483" s="21" t="s">
        <v>1312</v>
      </c>
      <c r="C1483" s="15" t="s">
        <v>3</v>
      </c>
      <c r="D1483" s="21" t="s">
        <v>1200</v>
      </c>
      <c r="E1483" s="21"/>
      <c r="F1483" s="69" t="s">
        <v>4</v>
      </c>
      <c r="G1483" s="9">
        <v>40283</v>
      </c>
      <c r="H1483" s="22">
        <v>37590</v>
      </c>
      <c r="I1483" s="17">
        <v>0</v>
      </c>
      <c r="J1483" s="17">
        <f t="shared" si="239"/>
        <v>35710.5</v>
      </c>
      <c r="K1483" s="17">
        <f t="shared" si="231"/>
        <v>1879.5</v>
      </c>
      <c r="L1483" s="23">
        <f t="shared" si="237"/>
        <v>1879.5</v>
      </c>
      <c r="M1483" s="23">
        <v>3</v>
      </c>
      <c r="N1483" s="18">
        <f t="shared" si="232"/>
        <v>9.9726027397260282</v>
      </c>
      <c r="O1483" s="23">
        <v>17855.25</v>
      </c>
      <c r="P1483" s="18">
        <f t="shared" si="233"/>
        <v>10.972602739726028</v>
      </c>
      <c r="Q1483" s="18">
        <f t="shared" si="235"/>
        <v>0</v>
      </c>
      <c r="R1483" s="18">
        <f t="shared" si="234"/>
        <v>17855.25</v>
      </c>
      <c r="S1483" s="18">
        <f t="shared" si="236"/>
        <v>1879.5</v>
      </c>
    </row>
    <row r="1484" spans="1:19" ht="15" customHeight="1" x14ac:dyDescent="0.2">
      <c r="A1484" s="14">
        <f t="shared" si="238"/>
        <v>1445</v>
      </c>
      <c r="B1484" s="21" t="s">
        <v>1209</v>
      </c>
      <c r="C1484" s="15" t="s">
        <v>3</v>
      </c>
      <c r="D1484" s="21" t="s">
        <v>1200</v>
      </c>
      <c r="E1484" s="21"/>
      <c r="F1484" s="69" t="s">
        <v>4</v>
      </c>
      <c r="G1484" s="9">
        <v>40252</v>
      </c>
      <c r="H1484" s="22">
        <v>3255</v>
      </c>
      <c r="I1484" s="17">
        <v>0</v>
      </c>
      <c r="J1484" s="17">
        <f t="shared" si="239"/>
        <v>3092.25</v>
      </c>
      <c r="K1484" s="17">
        <f t="shared" si="231"/>
        <v>162.75</v>
      </c>
      <c r="L1484" s="23">
        <f t="shared" si="237"/>
        <v>162.75</v>
      </c>
      <c r="M1484" s="23">
        <v>3</v>
      </c>
      <c r="N1484" s="18">
        <f t="shared" si="232"/>
        <v>10.057534246575342</v>
      </c>
      <c r="O1484" s="23">
        <v>1546.125</v>
      </c>
      <c r="P1484" s="18">
        <f t="shared" si="233"/>
        <v>11.057534246575342</v>
      </c>
      <c r="Q1484" s="18">
        <f t="shared" si="235"/>
        <v>0</v>
      </c>
      <c r="R1484" s="18">
        <f t="shared" si="234"/>
        <v>1546.125</v>
      </c>
      <c r="S1484" s="18">
        <f t="shared" si="236"/>
        <v>162.75</v>
      </c>
    </row>
    <row r="1485" spans="1:19" ht="15" customHeight="1" x14ac:dyDescent="0.2">
      <c r="A1485" s="14">
        <f t="shared" si="238"/>
        <v>1446</v>
      </c>
      <c r="B1485" s="21" t="s">
        <v>1209</v>
      </c>
      <c r="C1485" s="15" t="s">
        <v>3</v>
      </c>
      <c r="D1485" s="21" t="s">
        <v>1200</v>
      </c>
      <c r="E1485" s="21"/>
      <c r="F1485" s="69" t="s">
        <v>4</v>
      </c>
      <c r="G1485" s="9">
        <v>40252</v>
      </c>
      <c r="H1485" s="22">
        <v>23625</v>
      </c>
      <c r="I1485" s="17">
        <v>0</v>
      </c>
      <c r="J1485" s="17">
        <f t="shared" si="239"/>
        <v>22443.75</v>
      </c>
      <c r="K1485" s="17">
        <f t="shared" si="231"/>
        <v>1181.25</v>
      </c>
      <c r="L1485" s="23">
        <f t="shared" si="237"/>
        <v>1181.25</v>
      </c>
      <c r="M1485" s="23">
        <v>3</v>
      </c>
      <c r="N1485" s="18">
        <f t="shared" si="232"/>
        <v>10.057534246575342</v>
      </c>
      <c r="O1485" s="23">
        <v>11221.875</v>
      </c>
      <c r="P1485" s="18">
        <f t="shared" si="233"/>
        <v>11.057534246575342</v>
      </c>
      <c r="Q1485" s="18">
        <f t="shared" si="235"/>
        <v>0</v>
      </c>
      <c r="R1485" s="18">
        <f t="shared" si="234"/>
        <v>11221.875</v>
      </c>
      <c r="S1485" s="18">
        <f t="shared" si="236"/>
        <v>1181.25</v>
      </c>
    </row>
    <row r="1486" spans="1:19" ht="15" customHeight="1" x14ac:dyDescent="0.2">
      <c r="A1486" s="14">
        <f t="shared" si="238"/>
        <v>1447</v>
      </c>
      <c r="B1486" s="21" t="s">
        <v>1287</v>
      </c>
      <c r="C1486" s="15" t="s">
        <v>3</v>
      </c>
      <c r="D1486" s="21" t="s">
        <v>1200</v>
      </c>
      <c r="E1486" s="21"/>
      <c r="F1486" s="69" t="s">
        <v>4</v>
      </c>
      <c r="G1486" s="9">
        <v>40132</v>
      </c>
      <c r="H1486" s="22">
        <v>1319.46</v>
      </c>
      <c r="I1486" s="17">
        <v>0</v>
      </c>
      <c r="J1486" s="17">
        <f t="shared" si="239"/>
        <v>1253.4870000000001</v>
      </c>
      <c r="K1486" s="17">
        <f t="shared" si="231"/>
        <v>65.972999999999956</v>
      </c>
      <c r="L1486" s="23">
        <f t="shared" si="237"/>
        <v>65.972999999999999</v>
      </c>
      <c r="M1486" s="23">
        <v>5</v>
      </c>
      <c r="N1486" s="18">
        <f t="shared" si="232"/>
        <v>10.386301369863014</v>
      </c>
      <c r="O1486" s="23">
        <v>626.74350000000004</v>
      </c>
      <c r="P1486" s="18">
        <f t="shared" si="233"/>
        <v>11.386301369863014</v>
      </c>
      <c r="Q1486" s="18">
        <f t="shared" si="235"/>
        <v>-8.5265128291212035E-15</v>
      </c>
      <c r="R1486" s="18">
        <f t="shared" si="234"/>
        <v>626.74350000000004</v>
      </c>
      <c r="S1486" s="18">
        <f t="shared" si="236"/>
        <v>65.972999999999999</v>
      </c>
    </row>
    <row r="1487" spans="1:19" ht="15" customHeight="1" x14ac:dyDescent="0.2">
      <c r="A1487" s="14">
        <f t="shared" si="238"/>
        <v>1448</v>
      </c>
      <c r="B1487" s="21" t="s">
        <v>1204</v>
      </c>
      <c r="C1487" s="15" t="s">
        <v>3</v>
      </c>
      <c r="D1487" s="21" t="s">
        <v>1200</v>
      </c>
      <c r="E1487" s="21"/>
      <c r="F1487" s="69" t="s">
        <v>4</v>
      </c>
      <c r="G1487" s="9">
        <v>40071</v>
      </c>
      <c r="H1487" s="22">
        <v>25750</v>
      </c>
      <c r="I1487" s="17">
        <v>0</v>
      </c>
      <c r="J1487" s="17">
        <f t="shared" si="239"/>
        <v>24462.5</v>
      </c>
      <c r="K1487" s="17">
        <f t="shared" si="231"/>
        <v>1287.5</v>
      </c>
      <c r="L1487" s="23">
        <f t="shared" si="237"/>
        <v>1287.5</v>
      </c>
      <c r="M1487" s="23">
        <v>5</v>
      </c>
      <c r="N1487" s="18">
        <f t="shared" si="232"/>
        <v>10.553424657534247</v>
      </c>
      <c r="O1487" s="23">
        <v>12231.25</v>
      </c>
      <c r="P1487" s="18">
        <f t="shared" si="233"/>
        <v>11.553424657534247</v>
      </c>
      <c r="Q1487" s="18">
        <f t="shared" si="235"/>
        <v>0</v>
      </c>
      <c r="R1487" s="18">
        <f t="shared" si="234"/>
        <v>12231.25</v>
      </c>
      <c r="S1487" s="18">
        <f t="shared" si="236"/>
        <v>1287.5</v>
      </c>
    </row>
    <row r="1488" spans="1:19" ht="15" customHeight="1" x14ac:dyDescent="0.2">
      <c r="A1488" s="14">
        <f t="shared" si="238"/>
        <v>1449</v>
      </c>
      <c r="B1488" s="21" t="s">
        <v>1296</v>
      </c>
      <c r="C1488" s="15" t="s">
        <v>3</v>
      </c>
      <c r="D1488" s="21" t="s">
        <v>1200</v>
      </c>
      <c r="E1488" s="21"/>
      <c r="F1488" s="69" t="s">
        <v>4</v>
      </c>
      <c r="G1488" s="9">
        <v>40040</v>
      </c>
      <c r="H1488" s="22">
        <v>5500</v>
      </c>
      <c r="I1488" s="17">
        <v>0</v>
      </c>
      <c r="J1488" s="17">
        <f t="shared" si="239"/>
        <v>5225</v>
      </c>
      <c r="K1488" s="17">
        <f t="shared" si="231"/>
        <v>275</v>
      </c>
      <c r="L1488" s="23">
        <f t="shared" si="237"/>
        <v>275</v>
      </c>
      <c r="M1488" s="23">
        <v>5</v>
      </c>
      <c r="N1488" s="18">
        <f t="shared" si="232"/>
        <v>10.638356164383561</v>
      </c>
      <c r="O1488" s="23">
        <v>2612.5</v>
      </c>
      <c r="P1488" s="18">
        <f t="shared" si="233"/>
        <v>11.638356164383561</v>
      </c>
      <c r="Q1488" s="18">
        <f t="shared" si="235"/>
        <v>0</v>
      </c>
      <c r="R1488" s="18">
        <f t="shared" si="234"/>
        <v>2612.5</v>
      </c>
      <c r="S1488" s="18">
        <f t="shared" si="236"/>
        <v>275</v>
      </c>
    </row>
    <row r="1489" spans="1:19" ht="15" customHeight="1" x14ac:dyDescent="0.2">
      <c r="A1489" s="14">
        <f t="shared" si="238"/>
        <v>1450</v>
      </c>
      <c r="B1489" s="21" t="s">
        <v>1310</v>
      </c>
      <c r="C1489" s="15" t="s">
        <v>3</v>
      </c>
      <c r="D1489" s="21" t="s">
        <v>1200</v>
      </c>
      <c r="E1489" s="21"/>
      <c r="F1489" s="69" t="s">
        <v>4</v>
      </c>
      <c r="G1489" s="9">
        <v>40040</v>
      </c>
      <c r="H1489" s="22">
        <v>884.82</v>
      </c>
      <c r="I1489" s="17">
        <v>0</v>
      </c>
      <c r="J1489" s="17">
        <f t="shared" si="239"/>
        <v>840.57900000000006</v>
      </c>
      <c r="K1489" s="17">
        <f t="shared" si="231"/>
        <v>44.240999999999985</v>
      </c>
      <c r="L1489" s="23">
        <f t="shared" si="237"/>
        <v>44.241000000000007</v>
      </c>
      <c r="M1489" s="23">
        <v>5</v>
      </c>
      <c r="N1489" s="18">
        <f t="shared" si="232"/>
        <v>10.638356164383561</v>
      </c>
      <c r="O1489" s="23">
        <v>420.28950000000003</v>
      </c>
      <c r="P1489" s="18">
        <f t="shared" si="233"/>
        <v>11.638356164383561</v>
      </c>
      <c r="Q1489" s="18">
        <f t="shared" si="235"/>
        <v>-4.2632564145606017E-15</v>
      </c>
      <c r="R1489" s="18">
        <f t="shared" si="234"/>
        <v>420.28950000000003</v>
      </c>
      <c r="S1489" s="18">
        <f t="shared" si="236"/>
        <v>44.241000000000007</v>
      </c>
    </row>
    <row r="1490" spans="1:19" ht="15" customHeight="1" x14ac:dyDescent="0.2">
      <c r="A1490" s="14">
        <f t="shared" si="238"/>
        <v>1451</v>
      </c>
      <c r="B1490" s="21" t="s">
        <v>1313</v>
      </c>
      <c r="C1490" s="15" t="s">
        <v>3</v>
      </c>
      <c r="D1490" s="21" t="s">
        <v>1200</v>
      </c>
      <c r="E1490" s="21"/>
      <c r="F1490" s="69" t="s">
        <v>4</v>
      </c>
      <c r="G1490" s="9">
        <v>40009</v>
      </c>
      <c r="H1490" s="22">
        <v>1726.17</v>
      </c>
      <c r="I1490" s="17">
        <v>0</v>
      </c>
      <c r="J1490" s="17">
        <f t="shared" si="239"/>
        <v>1639.8615</v>
      </c>
      <c r="K1490" s="17">
        <f t="shared" si="231"/>
        <v>86.308500000000095</v>
      </c>
      <c r="L1490" s="23">
        <f t="shared" si="237"/>
        <v>86.308500000000009</v>
      </c>
      <c r="M1490" s="23">
        <v>5</v>
      </c>
      <c r="N1490" s="18">
        <f t="shared" si="232"/>
        <v>10.723287671232876</v>
      </c>
      <c r="O1490" s="23">
        <v>819.93074999999999</v>
      </c>
      <c r="P1490" s="18">
        <f t="shared" si="233"/>
        <v>11.723287671232876</v>
      </c>
      <c r="Q1490" s="18">
        <f t="shared" si="235"/>
        <v>1.7053025658242407E-14</v>
      </c>
      <c r="R1490" s="18">
        <f t="shared" si="234"/>
        <v>819.93074999999999</v>
      </c>
      <c r="S1490" s="18">
        <f t="shared" si="236"/>
        <v>86.308500000000009</v>
      </c>
    </row>
    <row r="1491" spans="1:19" ht="15" customHeight="1" x14ac:dyDescent="0.2">
      <c r="A1491" s="14">
        <f t="shared" si="238"/>
        <v>1452</v>
      </c>
      <c r="B1491" s="21" t="s">
        <v>1307</v>
      </c>
      <c r="C1491" s="15" t="s">
        <v>3</v>
      </c>
      <c r="D1491" s="21" t="s">
        <v>1200</v>
      </c>
      <c r="E1491" s="21"/>
      <c r="F1491" s="69" t="s">
        <v>4</v>
      </c>
      <c r="G1491" s="9">
        <v>40009</v>
      </c>
      <c r="H1491" s="22">
        <v>1553.16</v>
      </c>
      <c r="I1491" s="17">
        <v>0</v>
      </c>
      <c r="J1491" s="17">
        <f t="shared" si="239"/>
        <v>1475.502</v>
      </c>
      <c r="K1491" s="17">
        <f t="shared" si="231"/>
        <v>77.658000000000129</v>
      </c>
      <c r="L1491" s="23">
        <f t="shared" si="237"/>
        <v>77.658000000000015</v>
      </c>
      <c r="M1491" s="23">
        <v>5</v>
      </c>
      <c r="N1491" s="18">
        <f t="shared" si="232"/>
        <v>10.723287671232876</v>
      </c>
      <c r="O1491" s="23">
        <v>737.75099999999998</v>
      </c>
      <c r="P1491" s="18">
        <f t="shared" si="233"/>
        <v>11.723287671232876</v>
      </c>
      <c r="Q1491" s="18">
        <f t="shared" si="235"/>
        <v>2.2737367544323207E-14</v>
      </c>
      <c r="R1491" s="18">
        <f t="shared" si="234"/>
        <v>737.75099999999998</v>
      </c>
      <c r="S1491" s="18">
        <f t="shared" si="236"/>
        <v>77.658000000000015</v>
      </c>
    </row>
    <row r="1492" spans="1:19" ht="15" customHeight="1" x14ac:dyDescent="0.2">
      <c r="A1492" s="14">
        <f t="shared" si="238"/>
        <v>1453</v>
      </c>
      <c r="B1492" s="21" t="s">
        <v>1287</v>
      </c>
      <c r="C1492" s="15" t="s">
        <v>3</v>
      </c>
      <c r="D1492" s="21" t="s">
        <v>1200</v>
      </c>
      <c r="E1492" s="21"/>
      <c r="F1492" s="69" t="s">
        <v>4</v>
      </c>
      <c r="G1492" s="9">
        <v>39979</v>
      </c>
      <c r="H1492" s="22">
        <v>1116.6600000000001</v>
      </c>
      <c r="I1492" s="17">
        <v>0</v>
      </c>
      <c r="J1492" s="17">
        <f t="shared" si="239"/>
        <v>1060.827</v>
      </c>
      <c r="K1492" s="17">
        <f t="shared" si="231"/>
        <v>55.833000000000084</v>
      </c>
      <c r="L1492" s="23">
        <f t="shared" si="237"/>
        <v>55.833000000000006</v>
      </c>
      <c r="M1492" s="23">
        <v>5</v>
      </c>
      <c r="N1492" s="18">
        <f t="shared" si="232"/>
        <v>10.805479452054794</v>
      </c>
      <c r="O1492" s="23">
        <v>530.4135</v>
      </c>
      <c r="P1492" s="18">
        <f t="shared" si="233"/>
        <v>11.805479452054794</v>
      </c>
      <c r="Q1492" s="18">
        <f t="shared" si="235"/>
        <v>1.5631940186722205E-14</v>
      </c>
      <c r="R1492" s="18">
        <f t="shared" si="234"/>
        <v>530.4135</v>
      </c>
      <c r="S1492" s="18">
        <f t="shared" si="236"/>
        <v>55.833000000000006</v>
      </c>
    </row>
    <row r="1493" spans="1:19" ht="15" customHeight="1" x14ac:dyDescent="0.2">
      <c r="A1493" s="14">
        <f t="shared" si="238"/>
        <v>1454</v>
      </c>
      <c r="B1493" s="21" t="s">
        <v>1314</v>
      </c>
      <c r="C1493" s="15" t="s">
        <v>3</v>
      </c>
      <c r="D1493" s="21" t="s">
        <v>1200</v>
      </c>
      <c r="E1493" s="21"/>
      <c r="F1493" s="69" t="s">
        <v>4</v>
      </c>
      <c r="G1493" s="9">
        <v>39979</v>
      </c>
      <c r="H1493" s="22">
        <v>6787.93</v>
      </c>
      <c r="I1493" s="17">
        <v>0</v>
      </c>
      <c r="J1493" s="17">
        <f t="shared" si="239"/>
        <v>6448.5335000000005</v>
      </c>
      <c r="K1493" s="17">
        <f t="shared" si="231"/>
        <v>339.39649999999983</v>
      </c>
      <c r="L1493" s="23">
        <f t="shared" si="237"/>
        <v>339.39650000000006</v>
      </c>
      <c r="M1493" s="23">
        <v>5</v>
      </c>
      <c r="N1493" s="18">
        <f t="shared" si="232"/>
        <v>10.805479452054794</v>
      </c>
      <c r="O1493" s="23">
        <v>3224.2667500000002</v>
      </c>
      <c r="P1493" s="18">
        <f t="shared" si="233"/>
        <v>11.805479452054794</v>
      </c>
      <c r="Q1493" s="18">
        <f t="shared" si="235"/>
        <v>-4.5474735088646414E-14</v>
      </c>
      <c r="R1493" s="18">
        <f t="shared" si="234"/>
        <v>3224.2667500000002</v>
      </c>
      <c r="S1493" s="18">
        <f t="shared" si="236"/>
        <v>339.39650000000006</v>
      </c>
    </row>
    <row r="1494" spans="1:19" ht="15" customHeight="1" x14ac:dyDescent="0.2">
      <c r="A1494" s="14">
        <f t="shared" si="238"/>
        <v>1455</v>
      </c>
      <c r="B1494" s="21" t="s">
        <v>1315</v>
      </c>
      <c r="C1494" s="15" t="s">
        <v>3</v>
      </c>
      <c r="D1494" s="21" t="s">
        <v>1200</v>
      </c>
      <c r="E1494" s="21"/>
      <c r="F1494" s="69" t="s">
        <v>4</v>
      </c>
      <c r="G1494" s="9">
        <v>39979</v>
      </c>
      <c r="H1494" s="22">
        <v>1220</v>
      </c>
      <c r="I1494" s="17">
        <v>0</v>
      </c>
      <c r="J1494" s="17">
        <f t="shared" si="239"/>
        <v>1159</v>
      </c>
      <c r="K1494" s="17">
        <f t="shared" si="231"/>
        <v>61</v>
      </c>
      <c r="L1494" s="23">
        <f t="shared" si="237"/>
        <v>61</v>
      </c>
      <c r="M1494" s="23">
        <v>5</v>
      </c>
      <c r="N1494" s="18">
        <f t="shared" si="232"/>
        <v>10.805479452054794</v>
      </c>
      <c r="O1494" s="23">
        <v>579.5</v>
      </c>
      <c r="P1494" s="18">
        <f t="shared" si="233"/>
        <v>11.805479452054794</v>
      </c>
      <c r="Q1494" s="18">
        <f t="shared" si="235"/>
        <v>0</v>
      </c>
      <c r="R1494" s="18">
        <f t="shared" si="234"/>
        <v>579.5</v>
      </c>
      <c r="S1494" s="18">
        <f t="shared" si="236"/>
        <v>61</v>
      </c>
    </row>
    <row r="1495" spans="1:19" ht="15" customHeight="1" x14ac:dyDescent="0.2">
      <c r="A1495" s="14">
        <f t="shared" si="238"/>
        <v>1456</v>
      </c>
      <c r="B1495" s="21" t="s">
        <v>1307</v>
      </c>
      <c r="C1495" s="15" t="s">
        <v>3</v>
      </c>
      <c r="D1495" s="21" t="s">
        <v>1200</v>
      </c>
      <c r="E1495" s="21"/>
      <c r="F1495" s="69" t="s">
        <v>4</v>
      </c>
      <c r="G1495" s="9">
        <v>39948</v>
      </c>
      <c r="H1495" s="22">
        <v>1511.13</v>
      </c>
      <c r="I1495" s="17">
        <v>0</v>
      </c>
      <c r="J1495" s="17">
        <f t="shared" si="239"/>
        <v>1435.5735000000002</v>
      </c>
      <c r="K1495" s="17">
        <f t="shared" si="231"/>
        <v>75.556499999999915</v>
      </c>
      <c r="L1495" s="23">
        <f t="shared" si="237"/>
        <v>75.556500000000014</v>
      </c>
      <c r="M1495" s="23">
        <v>5</v>
      </c>
      <c r="N1495" s="18">
        <f t="shared" si="232"/>
        <v>10.890410958904109</v>
      </c>
      <c r="O1495" s="23">
        <v>717.7867500000001</v>
      </c>
      <c r="P1495" s="18">
        <f t="shared" si="233"/>
        <v>11.890410958904109</v>
      </c>
      <c r="Q1495" s="18">
        <f t="shared" si="235"/>
        <v>-1.9895196601282807E-14</v>
      </c>
      <c r="R1495" s="18">
        <f t="shared" si="234"/>
        <v>717.7867500000001</v>
      </c>
      <c r="S1495" s="18">
        <f t="shared" si="236"/>
        <v>75.556500000000014</v>
      </c>
    </row>
    <row r="1496" spans="1:19" ht="15" customHeight="1" x14ac:dyDescent="0.2">
      <c r="A1496" s="14">
        <f t="shared" si="238"/>
        <v>1457</v>
      </c>
      <c r="B1496" s="21" t="s">
        <v>1316</v>
      </c>
      <c r="C1496" s="15" t="s">
        <v>3</v>
      </c>
      <c r="D1496" s="21" t="s">
        <v>1200</v>
      </c>
      <c r="E1496" s="21"/>
      <c r="F1496" s="69" t="s">
        <v>4</v>
      </c>
      <c r="G1496" s="9">
        <v>39948</v>
      </c>
      <c r="H1496" s="22">
        <v>8557.75</v>
      </c>
      <c r="I1496" s="17">
        <v>0</v>
      </c>
      <c r="J1496" s="17">
        <f t="shared" si="239"/>
        <v>8129.8625000000002</v>
      </c>
      <c r="K1496" s="17">
        <f t="shared" si="231"/>
        <v>427.88749999999982</v>
      </c>
      <c r="L1496" s="23">
        <f t="shared" si="237"/>
        <v>427.88750000000005</v>
      </c>
      <c r="M1496" s="23">
        <v>5</v>
      </c>
      <c r="N1496" s="18">
        <f t="shared" si="232"/>
        <v>10.890410958904109</v>
      </c>
      <c r="O1496" s="23">
        <v>4064.9312500000001</v>
      </c>
      <c r="P1496" s="18">
        <f t="shared" si="233"/>
        <v>11.890410958904109</v>
      </c>
      <c r="Q1496" s="18">
        <f t="shared" si="235"/>
        <v>-4.5474735088646414E-14</v>
      </c>
      <c r="R1496" s="18">
        <f t="shared" si="234"/>
        <v>4064.9312500000001</v>
      </c>
      <c r="S1496" s="18">
        <f t="shared" si="236"/>
        <v>427.88750000000005</v>
      </c>
    </row>
    <row r="1497" spans="1:19" ht="15" customHeight="1" x14ac:dyDescent="0.2">
      <c r="A1497" s="14">
        <f t="shared" si="238"/>
        <v>1458</v>
      </c>
      <c r="B1497" s="21" t="s">
        <v>1317</v>
      </c>
      <c r="C1497" s="15" t="s">
        <v>3</v>
      </c>
      <c r="D1497" s="21" t="s">
        <v>1200</v>
      </c>
      <c r="E1497" s="21"/>
      <c r="F1497" s="69" t="s">
        <v>4</v>
      </c>
      <c r="G1497" s="9">
        <v>39918</v>
      </c>
      <c r="H1497" s="22">
        <v>10050</v>
      </c>
      <c r="I1497" s="17">
        <v>0</v>
      </c>
      <c r="J1497" s="17">
        <f t="shared" si="239"/>
        <v>9547.5</v>
      </c>
      <c r="K1497" s="17">
        <f t="shared" si="231"/>
        <v>502.5</v>
      </c>
      <c r="L1497" s="23">
        <f t="shared" si="237"/>
        <v>502.5</v>
      </c>
      <c r="M1497" s="23">
        <v>5</v>
      </c>
      <c r="N1497" s="18">
        <f t="shared" si="232"/>
        <v>10.972602739726028</v>
      </c>
      <c r="O1497" s="23">
        <v>4773.75</v>
      </c>
      <c r="P1497" s="18">
        <f t="shared" si="233"/>
        <v>11.972602739726028</v>
      </c>
      <c r="Q1497" s="18">
        <f t="shared" si="235"/>
        <v>0</v>
      </c>
      <c r="R1497" s="18">
        <f t="shared" si="234"/>
        <v>4773.75</v>
      </c>
      <c r="S1497" s="18">
        <f t="shared" si="236"/>
        <v>502.5</v>
      </c>
    </row>
    <row r="1498" spans="1:19" ht="15" customHeight="1" x14ac:dyDescent="0.2">
      <c r="A1498" s="14">
        <f t="shared" si="238"/>
        <v>1459</v>
      </c>
      <c r="B1498" s="21" t="s">
        <v>1318</v>
      </c>
      <c r="C1498" s="15" t="s">
        <v>3</v>
      </c>
      <c r="D1498" s="21" t="s">
        <v>1200</v>
      </c>
      <c r="E1498" s="21"/>
      <c r="F1498" s="69" t="s">
        <v>4</v>
      </c>
      <c r="G1498" s="9">
        <v>39918</v>
      </c>
      <c r="H1498" s="22">
        <v>707.54</v>
      </c>
      <c r="I1498" s="17">
        <v>0</v>
      </c>
      <c r="J1498" s="17">
        <f t="shared" si="239"/>
        <v>672.16300000000001</v>
      </c>
      <c r="K1498" s="17">
        <f t="shared" si="231"/>
        <v>35.376999999999953</v>
      </c>
      <c r="L1498" s="23">
        <f t="shared" si="237"/>
        <v>35.377000000000002</v>
      </c>
      <c r="M1498" s="23">
        <v>5</v>
      </c>
      <c r="N1498" s="18">
        <f t="shared" si="232"/>
        <v>10.972602739726028</v>
      </c>
      <c r="O1498" s="23">
        <v>336.08150000000001</v>
      </c>
      <c r="P1498" s="18">
        <f t="shared" si="233"/>
        <v>11.972602739726028</v>
      </c>
      <c r="Q1498" s="18">
        <f t="shared" si="235"/>
        <v>-9.9475983006414035E-15</v>
      </c>
      <c r="R1498" s="18">
        <f t="shared" si="234"/>
        <v>336.08150000000001</v>
      </c>
      <c r="S1498" s="18">
        <f t="shared" si="236"/>
        <v>35.377000000000002</v>
      </c>
    </row>
    <row r="1499" spans="1:19" ht="15" customHeight="1" x14ac:dyDescent="0.2">
      <c r="A1499" s="14">
        <f t="shared" si="238"/>
        <v>1460</v>
      </c>
      <c r="B1499" s="21" t="s">
        <v>1206</v>
      </c>
      <c r="C1499" s="15" t="s">
        <v>3</v>
      </c>
      <c r="D1499" s="21" t="s">
        <v>1200</v>
      </c>
      <c r="E1499" s="21"/>
      <c r="F1499" s="69" t="s">
        <v>4</v>
      </c>
      <c r="G1499" s="9">
        <v>39918</v>
      </c>
      <c r="H1499" s="22">
        <v>18399.990000000002</v>
      </c>
      <c r="I1499" s="17">
        <v>0</v>
      </c>
      <c r="J1499" s="17">
        <f t="shared" si="239"/>
        <v>17479.9905</v>
      </c>
      <c r="K1499" s="17">
        <f t="shared" si="231"/>
        <v>919.99950000000172</v>
      </c>
      <c r="L1499" s="23">
        <f t="shared" si="237"/>
        <v>919.99950000000013</v>
      </c>
      <c r="M1499" s="23">
        <v>3</v>
      </c>
      <c r="N1499" s="18">
        <f t="shared" si="232"/>
        <v>10.972602739726028</v>
      </c>
      <c r="O1499" s="23">
        <v>8739.9952499999999</v>
      </c>
      <c r="P1499" s="18">
        <f t="shared" si="233"/>
        <v>11.972602739726028</v>
      </c>
      <c r="Q1499" s="18">
        <f t="shared" si="235"/>
        <v>5.3053857603420807E-13</v>
      </c>
      <c r="R1499" s="18">
        <f t="shared" si="234"/>
        <v>8739.9952499999999</v>
      </c>
      <c r="S1499" s="18">
        <f t="shared" si="236"/>
        <v>919.99950000000013</v>
      </c>
    </row>
    <row r="1500" spans="1:19" ht="15" customHeight="1" x14ac:dyDescent="0.2">
      <c r="A1500" s="14">
        <f t="shared" si="238"/>
        <v>1461</v>
      </c>
      <c r="B1500" s="21" t="s">
        <v>1319</v>
      </c>
      <c r="C1500" s="15" t="s">
        <v>3</v>
      </c>
      <c r="D1500" s="21" t="s">
        <v>1200</v>
      </c>
      <c r="E1500" s="21"/>
      <c r="F1500" s="69" t="s">
        <v>4</v>
      </c>
      <c r="G1500" s="9">
        <v>39897</v>
      </c>
      <c r="H1500" s="22">
        <v>18237</v>
      </c>
      <c r="I1500" s="17">
        <v>0</v>
      </c>
      <c r="J1500" s="17">
        <f t="shared" si="239"/>
        <v>17325.150000000001</v>
      </c>
      <c r="K1500" s="17">
        <f t="shared" si="231"/>
        <v>911.84999999999854</v>
      </c>
      <c r="L1500" s="23">
        <f t="shared" si="237"/>
        <v>911.85</v>
      </c>
      <c r="M1500" s="23">
        <v>5</v>
      </c>
      <c r="N1500" s="18">
        <f t="shared" si="232"/>
        <v>11.03013698630137</v>
      </c>
      <c r="O1500" s="23">
        <v>8662.5750000000007</v>
      </c>
      <c r="P1500" s="18">
        <f t="shared" si="233"/>
        <v>12.03013698630137</v>
      </c>
      <c r="Q1500" s="18">
        <f t="shared" si="235"/>
        <v>-2.9558577807620169E-13</v>
      </c>
      <c r="R1500" s="18">
        <f t="shared" si="234"/>
        <v>8662.5750000000007</v>
      </c>
      <c r="S1500" s="18">
        <f t="shared" si="236"/>
        <v>911.85</v>
      </c>
    </row>
    <row r="1501" spans="1:19" ht="15" customHeight="1" x14ac:dyDescent="0.2">
      <c r="A1501" s="14">
        <f t="shared" si="238"/>
        <v>1462</v>
      </c>
      <c r="B1501" s="21" t="s">
        <v>1287</v>
      </c>
      <c r="C1501" s="15" t="s">
        <v>3</v>
      </c>
      <c r="D1501" s="21" t="s">
        <v>1200</v>
      </c>
      <c r="E1501" s="21"/>
      <c r="F1501" s="69" t="s">
        <v>4</v>
      </c>
      <c r="G1501" s="9">
        <v>39887</v>
      </c>
      <c r="H1501" s="22">
        <v>1319.46</v>
      </c>
      <c r="I1501" s="17">
        <v>0</v>
      </c>
      <c r="J1501" s="17">
        <f t="shared" si="239"/>
        <v>1253.4870000000001</v>
      </c>
      <c r="K1501" s="17">
        <f t="shared" si="231"/>
        <v>65.972999999999956</v>
      </c>
      <c r="L1501" s="23">
        <f t="shared" si="237"/>
        <v>65.972999999999999</v>
      </c>
      <c r="M1501" s="23">
        <v>5</v>
      </c>
      <c r="N1501" s="18">
        <f t="shared" si="232"/>
        <v>11.057534246575342</v>
      </c>
      <c r="O1501" s="23">
        <v>626.74350000000004</v>
      </c>
      <c r="P1501" s="18">
        <f t="shared" si="233"/>
        <v>12.057534246575342</v>
      </c>
      <c r="Q1501" s="18">
        <f t="shared" si="235"/>
        <v>-8.5265128291212035E-15</v>
      </c>
      <c r="R1501" s="18">
        <f t="shared" si="234"/>
        <v>626.74350000000004</v>
      </c>
      <c r="S1501" s="18">
        <f t="shared" si="236"/>
        <v>65.972999999999999</v>
      </c>
    </row>
    <row r="1502" spans="1:19" ht="15" customHeight="1" x14ac:dyDescent="0.2">
      <c r="A1502" s="14">
        <f t="shared" si="238"/>
        <v>1463</v>
      </c>
      <c r="B1502" s="21" t="s">
        <v>1318</v>
      </c>
      <c r="C1502" s="15" t="s">
        <v>3</v>
      </c>
      <c r="D1502" s="21" t="s">
        <v>1200</v>
      </c>
      <c r="E1502" s="21"/>
      <c r="F1502" s="69" t="s">
        <v>4</v>
      </c>
      <c r="G1502" s="9">
        <v>39887</v>
      </c>
      <c r="H1502" s="22">
        <v>2122.61</v>
      </c>
      <c r="I1502" s="17">
        <v>0</v>
      </c>
      <c r="J1502" s="17">
        <f t="shared" si="239"/>
        <v>2016.4795000000001</v>
      </c>
      <c r="K1502" s="17">
        <f t="shared" si="231"/>
        <v>106.13049999999998</v>
      </c>
      <c r="L1502" s="23">
        <f t="shared" si="237"/>
        <v>106.13050000000001</v>
      </c>
      <c r="M1502" s="23">
        <v>5</v>
      </c>
      <c r="N1502" s="18">
        <f t="shared" si="232"/>
        <v>11.057534246575342</v>
      </c>
      <c r="O1502" s="23">
        <v>1008.2397500000001</v>
      </c>
      <c r="P1502" s="18">
        <f t="shared" si="233"/>
        <v>12.057534246575342</v>
      </c>
      <c r="Q1502" s="18">
        <f t="shared" si="235"/>
        <v>-5.6843418860808018E-15</v>
      </c>
      <c r="R1502" s="18">
        <f t="shared" si="234"/>
        <v>1008.2397500000001</v>
      </c>
      <c r="S1502" s="18">
        <f t="shared" si="236"/>
        <v>106.13050000000001</v>
      </c>
    </row>
    <row r="1503" spans="1:19" ht="15" customHeight="1" x14ac:dyDescent="0.2">
      <c r="A1503" s="14">
        <f t="shared" si="238"/>
        <v>1464</v>
      </c>
      <c r="B1503" s="21" t="s">
        <v>1320</v>
      </c>
      <c r="C1503" s="15" t="s">
        <v>3</v>
      </c>
      <c r="D1503" s="21" t="s">
        <v>1200</v>
      </c>
      <c r="E1503" s="21"/>
      <c r="F1503" s="69" t="s">
        <v>4</v>
      </c>
      <c r="G1503" s="9">
        <v>39878</v>
      </c>
      <c r="H1503" s="22">
        <v>10592</v>
      </c>
      <c r="I1503" s="17">
        <v>0</v>
      </c>
      <c r="J1503" s="17">
        <f t="shared" si="239"/>
        <v>10062.4</v>
      </c>
      <c r="K1503" s="17">
        <f t="shared" si="231"/>
        <v>529.60000000000036</v>
      </c>
      <c r="L1503" s="23">
        <f t="shared" si="237"/>
        <v>529.6</v>
      </c>
      <c r="M1503" s="23">
        <v>5</v>
      </c>
      <c r="N1503" s="18">
        <f t="shared" si="232"/>
        <v>11.082191780821917</v>
      </c>
      <c r="O1503" s="23">
        <v>5031.2</v>
      </c>
      <c r="P1503" s="18">
        <f t="shared" si="233"/>
        <v>12.082191780821917</v>
      </c>
      <c r="Q1503" s="18">
        <f t="shared" si="235"/>
        <v>6.8212102632969628E-14</v>
      </c>
      <c r="R1503" s="18">
        <f t="shared" si="234"/>
        <v>5031.2</v>
      </c>
      <c r="S1503" s="18">
        <f t="shared" si="236"/>
        <v>529.6</v>
      </c>
    </row>
    <row r="1504" spans="1:19" ht="15" customHeight="1" x14ac:dyDescent="0.2">
      <c r="A1504" s="14">
        <f t="shared" si="238"/>
        <v>1465</v>
      </c>
      <c r="B1504" s="21" t="s">
        <v>1321</v>
      </c>
      <c r="C1504" s="15" t="s">
        <v>3</v>
      </c>
      <c r="D1504" s="21" t="s">
        <v>1200</v>
      </c>
      <c r="E1504" s="21"/>
      <c r="F1504" s="69" t="s">
        <v>4</v>
      </c>
      <c r="G1504" s="9">
        <v>39867</v>
      </c>
      <c r="H1504" s="22">
        <v>1968</v>
      </c>
      <c r="I1504" s="17">
        <v>0</v>
      </c>
      <c r="J1504" s="17">
        <f t="shared" si="239"/>
        <v>1869.6</v>
      </c>
      <c r="K1504" s="17">
        <f t="shared" si="231"/>
        <v>98.400000000000091</v>
      </c>
      <c r="L1504" s="23">
        <f t="shared" si="237"/>
        <v>98.4</v>
      </c>
      <c r="M1504" s="23">
        <v>5</v>
      </c>
      <c r="N1504" s="18">
        <f t="shared" si="232"/>
        <v>11.112328767123287</v>
      </c>
      <c r="O1504" s="23">
        <v>934.8</v>
      </c>
      <c r="P1504" s="18">
        <f t="shared" si="233"/>
        <v>12.112328767123287</v>
      </c>
      <c r="Q1504" s="18">
        <f t="shared" si="235"/>
        <v>1.7053025658242407E-14</v>
      </c>
      <c r="R1504" s="18">
        <f t="shared" si="234"/>
        <v>934.8</v>
      </c>
      <c r="S1504" s="18">
        <f t="shared" si="236"/>
        <v>98.4</v>
      </c>
    </row>
    <row r="1505" spans="1:19" ht="15" customHeight="1" x14ac:dyDescent="0.2">
      <c r="A1505" s="14">
        <f t="shared" si="238"/>
        <v>1466</v>
      </c>
      <c r="B1505" s="21" t="s">
        <v>1322</v>
      </c>
      <c r="C1505" s="15" t="s">
        <v>3</v>
      </c>
      <c r="D1505" s="21" t="s">
        <v>1200</v>
      </c>
      <c r="E1505" s="21"/>
      <c r="F1505" s="69" t="s">
        <v>4</v>
      </c>
      <c r="G1505" s="9">
        <v>39828</v>
      </c>
      <c r="H1505" s="22">
        <v>2643.75</v>
      </c>
      <c r="I1505" s="17">
        <v>0</v>
      </c>
      <c r="J1505" s="17">
        <f t="shared" si="239"/>
        <v>2511.5625</v>
      </c>
      <c r="K1505" s="17">
        <f t="shared" si="231"/>
        <v>132.1875</v>
      </c>
      <c r="L1505" s="23">
        <f t="shared" si="237"/>
        <v>132.1875</v>
      </c>
      <c r="M1505" s="23">
        <v>5</v>
      </c>
      <c r="N1505" s="18">
        <f t="shared" si="232"/>
        <v>11.219178082191782</v>
      </c>
      <c r="O1505" s="23">
        <v>1255.78125</v>
      </c>
      <c r="P1505" s="18">
        <f t="shared" si="233"/>
        <v>12.219178082191782</v>
      </c>
      <c r="Q1505" s="18">
        <f t="shared" si="235"/>
        <v>0</v>
      </c>
      <c r="R1505" s="18">
        <f t="shared" si="234"/>
        <v>1255.78125</v>
      </c>
      <c r="S1505" s="18">
        <f t="shared" si="236"/>
        <v>132.1875</v>
      </c>
    </row>
    <row r="1506" spans="1:19" ht="15" customHeight="1" x14ac:dyDescent="0.2">
      <c r="A1506" s="14">
        <f t="shared" si="238"/>
        <v>1467</v>
      </c>
      <c r="B1506" s="21" t="s">
        <v>1323</v>
      </c>
      <c r="C1506" s="15" t="s">
        <v>3</v>
      </c>
      <c r="D1506" s="21" t="s">
        <v>1200</v>
      </c>
      <c r="E1506" s="21"/>
      <c r="F1506" s="69" t="s">
        <v>4</v>
      </c>
      <c r="G1506" s="9">
        <v>39797</v>
      </c>
      <c r="H1506" s="22">
        <v>29064.22</v>
      </c>
      <c r="I1506" s="17">
        <v>0</v>
      </c>
      <c r="J1506" s="17">
        <f t="shared" si="239"/>
        <v>27611.009000000002</v>
      </c>
      <c r="K1506" s="17">
        <f t="shared" si="231"/>
        <v>1453.2109999999993</v>
      </c>
      <c r="L1506" s="23">
        <f t="shared" si="237"/>
        <v>1453.2110000000002</v>
      </c>
      <c r="M1506" s="23">
        <v>6</v>
      </c>
      <c r="N1506" s="18">
        <f t="shared" si="232"/>
        <v>11.304109589041095</v>
      </c>
      <c r="O1506" s="23">
        <v>13805.504500000001</v>
      </c>
      <c r="P1506" s="18">
        <f t="shared" si="233"/>
        <v>12.304109589041095</v>
      </c>
      <c r="Q1506" s="18">
        <f t="shared" si="235"/>
        <v>-1.5158245029548803E-13</v>
      </c>
      <c r="R1506" s="18">
        <f t="shared" si="234"/>
        <v>13805.504500000001</v>
      </c>
      <c r="S1506" s="18">
        <f t="shared" si="236"/>
        <v>1453.2110000000002</v>
      </c>
    </row>
    <row r="1507" spans="1:19" ht="15" customHeight="1" x14ac:dyDescent="0.2">
      <c r="A1507" s="14">
        <f t="shared" si="238"/>
        <v>1468</v>
      </c>
      <c r="B1507" s="21" t="s">
        <v>1318</v>
      </c>
      <c r="C1507" s="15" t="s">
        <v>3</v>
      </c>
      <c r="D1507" s="21" t="s">
        <v>1200</v>
      </c>
      <c r="E1507" s="21"/>
      <c r="F1507" s="69" t="s">
        <v>4</v>
      </c>
      <c r="G1507" s="9">
        <v>39797</v>
      </c>
      <c r="H1507" s="22">
        <v>1415.07</v>
      </c>
      <c r="I1507" s="17">
        <v>0</v>
      </c>
      <c r="J1507" s="17">
        <f t="shared" si="239"/>
        <v>1344.3164999999999</v>
      </c>
      <c r="K1507" s="17">
        <f t="shared" si="231"/>
        <v>70.753500000000031</v>
      </c>
      <c r="L1507" s="23">
        <f t="shared" si="237"/>
        <v>70.753500000000003</v>
      </c>
      <c r="M1507" s="23">
        <v>5</v>
      </c>
      <c r="N1507" s="18">
        <f t="shared" si="232"/>
        <v>11.304109589041095</v>
      </c>
      <c r="O1507" s="23">
        <v>672.15824999999995</v>
      </c>
      <c r="P1507" s="18">
        <f t="shared" si="233"/>
        <v>12.304109589041095</v>
      </c>
      <c r="Q1507" s="18">
        <f t="shared" si="235"/>
        <v>5.6843418860808018E-15</v>
      </c>
      <c r="R1507" s="18">
        <f t="shared" si="234"/>
        <v>672.15824999999995</v>
      </c>
      <c r="S1507" s="18">
        <f t="shared" si="236"/>
        <v>70.753500000000003</v>
      </c>
    </row>
    <row r="1508" spans="1:19" ht="15" customHeight="1" x14ac:dyDescent="0.2">
      <c r="A1508" s="14">
        <f t="shared" si="238"/>
        <v>1469</v>
      </c>
      <c r="B1508" s="21" t="s">
        <v>1324</v>
      </c>
      <c r="C1508" s="15" t="s">
        <v>3</v>
      </c>
      <c r="D1508" s="21" t="s">
        <v>1200</v>
      </c>
      <c r="E1508" s="21"/>
      <c r="F1508" s="69" t="s">
        <v>4</v>
      </c>
      <c r="G1508" s="9">
        <v>39767</v>
      </c>
      <c r="H1508" s="22">
        <v>1832.98</v>
      </c>
      <c r="I1508" s="17">
        <v>0</v>
      </c>
      <c r="J1508" s="17">
        <f t="shared" si="239"/>
        <v>1741.3310000000001</v>
      </c>
      <c r="K1508" s="17">
        <f t="shared" si="231"/>
        <v>91.648999999999887</v>
      </c>
      <c r="L1508" s="23">
        <f t="shared" si="237"/>
        <v>91.649000000000001</v>
      </c>
      <c r="M1508" s="23">
        <v>3</v>
      </c>
      <c r="N1508" s="18">
        <f t="shared" si="232"/>
        <v>11.386301369863014</v>
      </c>
      <c r="O1508" s="23">
        <v>870.66550000000007</v>
      </c>
      <c r="P1508" s="18">
        <f t="shared" si="233"/>
        <v>12.386301369863014</v>
      </c>
      <c r="Q1508" s="18">
        <f t="shared" si="235"/>
        <v>-3.7895612573872008E-14</v>
      </c>
      <c r="R1508" s="18">
        <f t="shared" si="234"/>
        <v>870.66550000000007</v>
      </c>
      <c r="S1508" s="18">
        <f t="shared" si="236"/>
        <v>91.649000000000001</v>
      </c>
    </row>
    <row r="1509" spans="1:19" ht="15" customHeight="1" x14ac:dyDescent="0.2">
      <c r="A1509" s="14">
        <f t="shared" si="238"/>
        <v>1470</v>
      </c>
      <c r="B1509" s="21" t="s">
        <v>1325</v>
      </c>
      <c r="C1509" s="15" t="s">
        <v>3</v>
      </c>
      <c r="D1509" s="21" t="s">
        <v>1200</v>
      </c>
      <c r="E1509" s="21"/>
      <c r="F1509" s="69" t="s">
        <v>4</v>
      </c>
      <c r="G1509" s="9">
        <v>39767</v>
      </c>
      <c r="H1509" s="22">
        <v>30957.07</v>
      </c>
      <c r="I1509" s="17">
        <v>0</v>
      </c>
      <c r="J1509" s="17">
        <f t="shared" si="239"/>
        <v>29409.216499999999</v>
      </c>
      <c r="K1509" s="17">
        <f t="shared" si="231"/>
        <v>1547.8535000000011</v>
      </c>
      <c r="L1509" s="23">
        <f t="shared" si="237"/>
        <v>1547.8535000000002</v>
      </c>
      <c r="M1509" s="23">
        <v>3</v>
      </c>
      <c r="N1509" s="18">
        <f t="shared" si="232"/>
        <v>11.386301369863014</v>
      </c>
      <c r="O1509" s="23">
        <v>14704.608249999999</v>
      </c>
      <c r="P1509" s="18">
        <f t="shared" si="233"/>
        <v>12.386301369863014</v>
      </c>
      <c r="Q1509" s="18">
        <f t="shared" si="235"/>
        <v>3.0316490059097606E-13</v>
      </c>
      <c r="R1509" s="18">
        <f t="shared" si="234"/>
        <v>14704.608249999999</v>
      </c>
      <c r="S1509" s="18">
        <f t="shared" si="236"/>
        <v>1547.8535000000002</v>
      </c>
    </row>
    <row r="1510" spans="1:19" ht="15" customHeight="1" x14ac:dyDescent="0.2">
      <c r="A1510" s="14">
        <f t="shared" si="238"/>
        <v>1471</v>
      </c>
      <c r="B1510" s="21" t="s">
        <v>1282</v>
      </c>
      <c r="C1510" s="15" t="s">
        <v>3</v>
      </c>
      <c r="D1510" s="21" t="s">
        <v>1200</v>
      </c>
      <c r="E1510" s="21"/>
      <c r="F1510" s="69" t="s">
        <v>4</v>
      </c>
      <c r="G1510" s="9">
        <v>39767</v>
      </c>
      <c r="H1510" s="22">
        <v>33800</v>
      </c>
      <c r="I1510" s="17">
        <v>0</v>
      </c>
      <c r="J1510" s="17">
        <f t="shared" si="239"/>
        <v>32110</v>
      </c>
      <c r="K1510" s="17">
        <f t="shared" ref="K1510:K1573" si="240">H1510+I1510-J1510</f>
        <v>1690</v>
      </c>
      <c r="L1510" s="23">
        <f t="shared" si="237"/>
        <v>1690</v>
      </c>
      <c r="M1510" s="23">
        <v>3</v>
      </c>
      <c r="N1510" s="18">
        <f t="shared" ref="N1510:N1573" si="241">IF(($N$35-G1510+1)/365&gt;0,($N$35-G1510+1)/365,0)</f>
        <v>11.386301369863014</v>
      </c>
      <c r="O1510" s="23">
        <v>16055</v>
      </c>
      <c r="P1510" s="18">
        <f t="shared" ref="P1510:P1573" si="242">($P$35-G1510+1)/365</f>
        <v>12.386301369863014</v>
      </c>
      <c r="Q1510" s="18">
        <f t="shared" si="235"/>
        <v>0</v>
      </c>
      <c r="R1510" s="18">
        <f t="shared" ref="R1510:R1573" si="243">Q1510+O1510</f>
        <v>16055</v>
      </c>
      <c r="S1510" s="18">
        <f t="shared" si="236"/>
        <v>1690</v>
      </c>
    </row>
    <row r="1511" spans="1:19" ht="15" customHeight="1" x14ac:dyDescent="0.2">
      <c r="A1511" s="14">
        <f t="shared" si="238"/>
        <v>1472</v>
      </c>
      <c r="B1511" s="21" t="s">
        <v>1326</v>
      </c>
      <c r="C1511" s="15" t="s">
        <v>3</v>
      </c>
      <c r="D1511" s="21" t="s">
        <v>1200</v>
      </c>
      <c r="E1511" s="21"/>
      <c r="F1511" s="69" t="s">
        <v>4</v>
      </c>
      <c r="G1511" s="9">
        <v>39736</v>
      </c>
      <c r="H1511" s="22">
        <v>101400</v>
      </c>
      <c r="I1511" s="17">
        <v>0</v>
      </c>
      <c r="J1511" s="17">
        <f t="shared" si="239"/>
        <v>96330</v>
      </c>
      <c r="K1511" s="17">
        <f t="shared" si="240"/>
        <v>5070</v>
      </c>
      <c r="L1511" s="23">
        <f t="shared" si="237"/>
        <v>5070</v>
      </c>
      <c r="M1511" s="23">
        <v>3</v>
      </c>
      <c r="N1511" s="18">
        <f t="shared" si="241"/>
        <v>11.471232876712328</v>
      </c>
      <c r="O1511" s="23">
        <v>48165</v>
      </c>
      <c r="P1511" s="18">
        <f t="shared" si="242"/>
        <v>12.471232876712328</v>
      </c>
      <c r="Q1511" s="18">
        <f t="shared" si="235"/>
        <v>0</v>
      </c>
      <c r="R1511" s="18">
        <f t="shared" si="243"/>
        <v>48165</v>
      </c>
      <c r="S1511" s="18">
        <f t="shared" si="236"/>
        <v>5070</v>
      </c>
    </row>
    <row r="1512" spans="1:19" ht="15" customHeight="1" x14ac:dyDescent="0.2">
      <c r="A1512" s="14">
        <f t="shared" si="238"/>
        <v>1473</v>
      </c>
      <c r="B1512" s="21" t="s">
        <v>1327</v>
      </c>
      <c r="C1512" s="15" t="s">
        <v>3</v>
      </c>
      <c r="D1512" s="21" t="s">
        <v>1200</v>
      </c>
      <c r="E1512" s="21"/>
      <c r="F1512" s="69" t="s">
        <v>4</v>
      </c>
      <c r="G1512" s="9">
        <v>39522</v>
      </c>
      <c r="H1512" s="22">
        <v>9000</v>
      </c>
      <c r="I1512" s="17">
        <v>0</v>
      </c>
      <c r="J1512" s="17">
        <f t="shared" si="239"/>
        <v>8550</v>
      </c>
      <c r="K1512" s="17">
        <f t="shared" si="240"/>
        <v>450</v>
      </c>
      <c r="L1512" s="23">
        <f t="shared" si="237"/>
        <v>450</v>
      </c>
      <c r="M1512" s="23">
        <v>3</v>
      </c>
      <c r="N1512" s="18">
        <f t="shared" si="241"/>
        <v>12.057534246575342</v>
      </c>
      <c r="O1512" s="23">
        <v>4275</v>
      </c>
      <c r="P1512" s="18">
        <f t="shared" si="242"/>
        <v>13.057534246575342</v>
      </c>
      <c r="Q1512" s="18">
        <f t="shared" ref="Q1512:Q1575" si="244">(P1512-N1512)/M1512*(K1512-L1512)</f>
        <v>0</v>
      </c>
      <c r="R1512" s="18">
        <f t="shared" si="243"/>
        <v>4275</v>
      </c>
      <c r="S1512" s="18">
        <f t="shared" ref="S1512:S1575" si="245">+IF(N1512&gt;P1512,0,L1512)</f>
        <v>450</v>
      </c>
    </row>
    <row r="1513" spans="1:19" ht="15" customHeight="1" x14ac:dyDescent="0.2">
      <c r="A1513" s="14">
        <f t="shared" si="238"/>
        <v>1474</v>
      </c>
      <c r="B1513" s="21" t="s">
        <v>1296</v>
      </c>
      <c r="C1513" s="15" t="s">
        <v>3</v>
      </c>
      <c r="D1513" s="21" t="s">
        <v>1200</v>
      </c>
      <c r="E1513" s="21"/>
      <c r="F1513" s="69" t="s">
        <v>4</v>
      </c>
      <c r="G1513" s="9">
        <v>39522</v>
      </c>
      <c r="H1513" s="22">
        <v>11000</v>
      </c>
      <c r="I1513" s="17">
        <v>0</v>
      </c>
      <c r="J1513" s="17">
        <f t="shared" si="239"/>
        <v>10450</v>
      </c>
      <c r="K1513" s="17">
        <f t="shared" si="240"/>
        <v>550</v>
      </c>
      <c r="L1513" s="23">
        <f t="shared" si="237"/>
        <v>550</v>
      </c>
      <c r="M1513" s="23">
        <v>5</v>
      </c>
      <c r="N1513" s="18">
        <f t="shared" si="241"/>
        <v>12.057534246575342</v>
      </c>
      <c r="O1513" s="23">
        <v>5225</v>
      </c>
      <c r="P1513" s="18">
        <f t="shared" si="242"/>
        <v>13.057534246575342</v>
      </c>
      <c r="Q1513" s="18">
        <f t="shared" si="244"/>
        <v>0</v>
      </c>
      <c r="R1513" s="18">
        <f t="shared" si="243"/>
        <v>5225</v>
      </c>
      <c r="S1513" s="18">
        <f t="shared" si="245"/>
        <v>550</v>
      </c>
    </row>
    <row r="1514" spans="1:19" ht="15" customHeight="1" x14ac:dyDescent="0.2">
      <c r="A1514" s="14">
        <f t="shared" si="238"/>
        <v>1475</v>
      </c>
      <c r="B1514" s="21" t="s">
        <v>1328</v>
      </c>
      <c r="C1514" s="15" t="s">
        <v>3</v>
      </c>
      <c r="D1514" s="21" t="s">
        <v>1200</v>
      </c>
      <c r="E1514" s="21"/>
      <c r="F1514" s="69" t="s">
        <v>4</v>
      </c>
      <c r="G1514" s="9">
        <v>39494</v>
      </c>
      <c r="H1514" s="22">
        <v>8100</v>
      </c>
      <c r="I1514" s="17">
        <v>0</v>
      </c>
      <c r="J1514" s="17">
        <f t="shared" si="239"/>
        <v>7695</v>
      </c>
      <c r="K1514" s="17">
        <f t="shared" si="240"/>
        <v>405</v>
      </c>
      <c r="L1514" s="23">
        <f t="shared" ref="L1514:L1577" si="246">H1514*0.05</f>
        <v>405</v>
      </c>
      <c r="M1514" s="23">
        <v>5</v>
      </c>
      <c r="N1514" s="18">
        <f t="shared" si="241"/>
        <v>12.134246575342466</v>
      </c>
      <c r="O1514" s="23">
        <v>3847.5</v>
      </c>
      <c r="P1514" s="18">
        <f t="shared" si="242"/>
        <v>13.134246575342466</v>
      </c>
      <c r="Q1514" s="18">
        <f t="shared" si="244"/>
        <v>0</v>
      </c>
      <c r="R1514" s="18">
        <f t="shared" si="243"/>
        <v>3847.5</v>
      </c>
      <c r="S1514" s="18">
        <f t="shared" si="245"/>
        <v>405</v>
      </c>
    </row>
    <row r="1515" spans="1:19" ht="15" customHeight="1" x14ac:dyDescent="0.2">
      <c r="A1515" s="14">
        <f t="shared" ref="A1515:A1578" si="247">+A1514+1</f>
        <v>1476</v>
      </c>
      <c r="B1515" s="21" t="s">
        <v>1329</v>
      </c>
      <c r="C1515" s="15" t="s">
        <v>3</v>
      </c>
      <c r="D1515" s="21" t="s">
        <v>1200</v>
      </c>
      <c r="E1515" s="21"/>
      <c r="F1515" s="69" t="s">
        <v>4</v>
      </c>
      <c r="G1515" s="9">
        <v>39462</v>
      </c>
      <c r="H1515" s="22">
        <v>25830</v>
      </c>
      <c r="I1515" s="17">
        <v>0</v>
      </c>
      <c r="J1515" s="17">
        <f t="shared" si="239"/>
        <v>24538.5</v>
      </c>
      <c r="K1515" s="17">
        <f t="shared" si="240"/>
        <v>1291.5</v>
      </c>
      <c r="L1515" s="23">
        <f t="shared" si="246"/>
        <v>1291.5</v>
      </c>
      <c r="M1515" s="23">
        <v>3</v>
      </c>
      <c r="N1515" s="18">
        <f t="shared" si="241"/>
        <v>12.221917808219178</v>
      </c>
      <c r="O1515" s="23">
        <v>12269.25</v>
      </c>
      <c r="P1515" s="18">
        <f t="shared" si="242"/>
        <v>13.221917808219178</v>
      </c>
      <c r="Q1515" s="18">
        <f t="shared" si="244"/>
        <v>0</v>
      </c>
      <c r="R1515" s="18">
        <f t="shared" si="243"/>
        <v>12269.25</v>
      </c>
      <c r="S1515" s="18">
        <f t="shared" si="245"/>
        <v>1291.5</v>
      </c>
    </row>
    <row r="1516" spans="1:19" ht="15" customHeight="1" x14ac:dyDescent="0.2">
      <c r="A1516" s="14">
        <f t="shared" si="247"/>
        <v>1477</v>
      </c>
      <c r="B1516" s="21" t="s">
        <v>1310</v>
      </c>
      <c r="C1516" s="15" t="s">
        <v>3</v>
      </c>
      <c r="D1516" s="21" t="s">
        <v>1200</v>
      </c>
      <c r="E1516" s="21"/>
      <c r="F1516" s="69" t="s">
        <v>4</v>
      </c>
      <c r="G1516" s="9">
        <v>39448</v>
      </c>
      <c r="H1516" s="22">
        <v>14013.4</v>
      </c>
      <c r="I1516" s="17">
        <v>0</v>
      </c>
      <c r="J1516" s="17">
        <f t="shared" si="239"/>
        <v>13312.73</v>
      </c>
      <c r="K1516" s="17">
        <f t="shared" si="240"/>
        <v>700.67000000000007</v>
      </c>
      <c r="L1516" s="23">
        <f t="shared" si="246"/>
        <v>700.67000000000007</v>
      </c>
      <c r="M1516" s="23">
        <v>5</v>
      </c>
      <c r="N1516" s="18">
        <f t="shared" si="241"/>
        <v>12.260273972602739</v>
      </c>
      <c r="O1516" s="23">
        <v>6656.3649999999998</v>
      </c>
      <c r="P1516" s="18">
        <f t="shared" si="242"/>
        <v>13.260273972602739</v>
      </c>
      <c r="Q1516" s="18">
        <f t="shared" si="244"/>
        <v>0</v>
      </c>
      <c r="R1516" s="18">
        <f t="shared" si="243"/>
        <v>6656.3649999999998</v>
      </c>
      <c r="S1516" s="18">
        <f t="shared" si="245"/>
        <v>700.67000000000007</v>
      </c>
    </row>
    <row r="1517" spans="1:19" ht="15" customHeight="1" x14ac:dyDescent="0.2">
      <c r="A1517" s="14">
        <f t="shared" si="247"/>
        <v>1478</v>
      </c>
      <c r="B1517" s="21" t="s">
        <v>1322</v>
      </c>
      <c r="C1517" s="15" t="s">
        <v>3</v>
      </c>
      <c r="D1517" s="21" t="s">
        <v>1200</v>
      </c>
      <c r="E1517" s="21"/>
      <c r="F1517" s="69" t="s">
        <v>4</v>
      </c>
      <c r="G1517" s="9">
        <v>39448</v>
      </c>
      <c r="H1517" s="22">
        <v>14724.23</v>
      </c>
      <c r="I1517" s="17">
        <v>0</v>
      </c>
      <c r="J1517" s="17">
        <f t="shared" si="239"/>
        <v>13988.0185</v>
      </c>
      <c r="K1517" s="17">
        <f t="shared" si="240"/>
        <v>736.21149999999943</v>
      </c>
      <c r="L1517" s="23">
        <f t="shared" si="246"/>
        <v>736.2115</v>
      </c>
      <c r="M1517" s="23">
        <v>5</v>
      </c>
      <c r="N1517" s="18">
        <f t="shared" si="241"/>
        <v>12.260273972602739</v>
      </c>
      <c r="O1517" s="23">
        <v>6994.0092500000001</v>
      </c>
      <c r="P1517" s="18">
        <f t="shared" si="242"/>
        <v>13.260273972602739</v>
      </c>
      <c r="Q1517" s="18">
        <f t="shared" si="244"/>
        <v>-1.1368683772161603E-13</v>
      </c>
      <c r="R1517" s="18">
        <f t="shared" si="243"/>
        <v>6994.0092500000001</v>
      </c>
      <c r="S1517" s="18">
        <f t="shared" si="245"/>
        <v>736.2115</v>
      </c>
    </row>
    <row r="1518" spans="1:19" ht="15" customHeight="1" x14ac:dyDescent="0.2">
      <c r="A1518" s="14">
        <f t="shared" si="247"/>
        <v>1479</v>
      </c>
      <c r="B1518" s="21" t="s">
        <v>1287</v>
      </c>
      <c r="C1518" s="15" t="s">
        <v>3</v>
      </c>
      <c r="D1518" s="21" t="s">
        <v>1200</v>
      </c>
      <c r="E1518" s="21"/>
      <c r="F1518" s="69" t="s">
        <v>4</v>
      </c>
      <c r="G1518" s="9">
        <v>39448</v>
      </c>
      <c r="H1518" s="22">
        <v>6234.82</v>
      </c>
      <c r="I1518" s="17">
        <v>0</v>
      </c>
      <c r="J1518" s="17">
        <f t="shared" si="239"/>
        <v>5923.0789999999997</v>
      </c>
      <c r="K1518" s="17">
        <f t="shared" si="240"/>
        <v>311.74099999999999</v>
      </c>
      <c r="L1518" s="23">
        <f t="shared" si="246"/>
        <v>311.74099999999999</v>
      </c>
      <c r="M1518" s="23">
        <v>5</v>
      </c>
      <c r="N1518" s="18">
        <f t="shared" si="241"/>
        <v>12.260273972602739</v>
      </c>
      <c r="O1518" s="23">
        <v>2961.5394999999999</v>
      </c>
      <c r="P1518" s="18">
        <f t="shared" si="242"/>
        <v>13.260273972602739</v>
      </c>
      <c r="Q1518" s="18">
        <f t="shared" si="244"/>
        <v>0</v>
      </c>
      <c r="R1518" s="18">
        <f t="shared" si="243"/>
        <v>2961.5394999999999</v>
      </c>
      <c r="S1518" s="18">
        <f t="shared" si="245"/>
        <v>311.74099999999999</v>
      </c>
    </row>
    <row r="1519" spans="1:19" ht="15" customHeight="1" x14ac:dyDescent="0.2">
      <c r="A1519" s="14">
        <f t="shared" si="247"/>
        <v>1480</v>
      </c>
      <c r="B1519" s="21" t="s">
        <v>1330</v>
      </c>
      <c r="C1519" s="15" t="s">
        <v>3</v>
      </c>
      <c r="D1519" s="21" t="s">
        <v>1200</v>
      </c>
      <c r="E1519" s="21"/>
      <c r="F1519" s="69" t="s">
        <v>4</v>
      </c>
      <c r="G1519" s="9">
        <v>39448</v>
      </c>
      <c r="H1519" s="22">
        <v>14905</v>
      </c>
      <c r="I1519" s="17">
        <v>0</v>
      </c>
      <c r="J1519" s="17">
        <f t="shared" si="239"/>
        <v>14159.75</v>
      </c>
      <c r="K1519" s="17">
        <f t="shared" si="240"/>
        <v>745.25</v>
      </c>
      <c r="L1519" s="23">
        <f t="shared" si="246"/>
        <v>745.25</v>
      </c>
      <c r="M1519" s="23">
        <v>5</v>
      </c>
      <c r="N1519" s="18">
        <f t="shared" si="241"/>
        <v>12.260273972602739</v>
      </c>
      <c r="O1519" s="23">
        <v>7079.875</v>
      </c>
      <c r="P1519" s="18">
        <f t="shared" si="242"/>
        <v>13.260273972602739</v>
      </c>
      <c r="Q1519" s="18">
        <f t="shared" si="244"/>
        <v>0</v>
      </c>
      <c r="R1519" s="18">
        <f t="shared" si="243"/>
        <v>7079.875</v>
      </c>
      <c r="S1519" s="18">
        <f t="shared" si="245"/>
        <v>745.25</v>
      </c>
    </row>
    <row r="1520" spans="1:19" ht="15" customHeight="1" x14ac:dyDescent="0.2">
      <c r="A1520" s="14">
        <f t="shared" si="247"/>
        <v>1481</v>
      </c>
      <c r="B1520" s="21" t="s">
        <v>1331</v>
      </c>
      <c r="C1520" s="15" t="s">
        <v>3</v>
      </c>
      <c r="D1520" s="21" t="s">
        <v>1200</v>
      </c>
      <c r="E1520" s="21"/>
      <c r="F1520" s="69" t="s">
        <v>4</v>
      </c>
      <c r="G1520" s="9">
        <v>39431</v>
      </c>
      <c r="H1520" s="22">
        <v>16275</v>
      </c>
      <c r="I1520" s="17">
        <v>0</v>
      </c>
      <c r="J1520" s="17">
        <f t="shared" si="239"/>
        <v>15461.25</v>
      </c>
      <c r="K1520" s="17">
        <f t="shared" si="240"/>
        <v>813.75</v>
      </c>
      <c r="L1520" s="23">
        <f t="shared" si="246"/>
        <v>813.75</v>
      </c>
      <c r="M1520" s="23">
        <v>3</v>
      </c>
      <c r="N1520" s="18">
        <f t="shared" si="241"/>
        <v>12.306849315068494</v>
      </c>
      <c r="O1520" s="23">
        <v>7730.625</v>
      </c>
      <c r="P1520" s="18">
        <f t="shared" si="242"/>
        <v>13.306849315068494</v>
      </c>
      <c r="Q1520" s="18">
        <f t="shared" si="244"/>
        <v>0</v>
      </c>
      <c r="R1520" s="18">
        <f t="shared" si="243"/>
        <v>7730.625</v>
      </c>
      <c r="S1520" s="18">
        <f t="shared" si="245"/>
        <v>813.75</v>
      </c>
    </row>
    <row r="1521" spans="1:19" ht="15" customHeight="1" x14ac:dyDescent="0.2">
      <c r="A1521" s="14">
        <f t="shared" si="247"/>
        <v>1482</v>
      </c>
      <c r="B1521" s="21" t="s">
        <v>1329</v>
      </c>
      <c r="C1521" s="15" t="s">
        <v>3</v>
      </c>
      <c r="D1521" s="21" t="s">
        <v>1200</v>
      </c>
      <c r="E1521" s="21"/>
      <c r="F1521" s="69" t="s">
        <v>4</v>
      </c>
      <c r="G1521" s="9">
        <v>39431</v>
      </c>
      <c r="H1521" s="22">
        <v>25830</v>
      </c>
      <c r="I1521" s="17">
        <v>0</v>
      </c>
      <c r="J1521" s="17">
        <f t="shared" si="239"/>
        <v>24538.5</v>
      </c>
      <c r="K1521" s="17">
        <f t="shared" si="240"/>
        <v>1291.5</v>
      </c>
      <c r="L1521" s="23">
        <f t="shared" si="246"/>
        <v>1291.5</v>
      </c>
      <c r="M1521" s="23">
        <v>3</v>
      </c>
      <c r="N1521" s="18">
        <f t="shared" si="241"/>
        <v>12.306849315068494</v>
      </c>
      <c r="O1521" s="23">
        <v>12269.25</v>
      </c>
      <c r="P1521" s="18">
        <f t="shared" si="242"/>
        <v>13.306849315068494</v>
      </c>
      <c r="Q1521" s="18">
        <f t="shared" si="244"/>
        <v>0</v>
      </c>
      <c r="R1521" s="18">
        <f t="shared" si="243"/>
        <v>12269.25</v>
      </c>
      <c r="S1521" s="18">
        <f t="shared" si="245"/>
        <v>1291.5</v>
      </c>
    </row>
    <row r="1522" spans="1:19" ht="15" customHeight="1" x14ac:dyDescent="0.2">
      <c r="A1522" s="14">
        <f t="shared" si="247"/>
        <v>1483</v>
      </c>
      <c r="B1522" s="21" t="s">
        <v>1209</v>
      </c>
      <c r="C1522" s="15" t="s">
        <v>3</v>
      </c>
      <c r="D1522" s="21" t="s">
        <v>1200</v>
      </c>
      <c r="E1522" s="21"/>
      <c r="F1522" s="69" t="s">
        <v>4</v>
      </c>
      <c r="G1522" s="9">
        <v>39370</v>
      </c>
      <c r="H1522" s="22">
        <v>5969.24</v>
      </c>
      <c r="I1522" s="17">
        <v>0</v>
      </c>
      <c r="J1522" s="17">
        <f t="shared" si="239"/>
        <v>5670.7780000000002</v>
      </c>
      <c r="K1522" s="17">
        <f t="shared" si="240"/>
        <v>298.46199999999953</v>
      </c>
      <c r="L1522" s="23">
        <f t="shared" si="246"/>
        <v>298.46199999999999</v>
      </c>
      <c r="M1522" s="23">
        <v>3</v>
      </c>
      <c r="N1522" s="18">
        <f t="shared" si="241"/>
        <v>12.473972602739726</v>
      </c>
      <c r="O1522" s="23">
        <v>2835.3890000000001</v>
      </c>
      <c r="P1522" s="18">
        <f t="shared" si="242"/>
        <v>13.473972602739726</v>
      </c>
      <c r="Q1522" s="18">
        <f t="shared" si="244"/>
        <v>-1.5158245029548803E-13</v>
      </c>
      <c r="R1522" s="18">
        <f t="shared" si="243"/>
        <v>2835.3890000000001</v>
      </c>
      <c r="S1522" s="18">
        <f t="shared" si="245"/>
        <v>298.46199999999999</v>
      </c>
    </row>
    <row r="1523" spans="1:19" ht="15" customHeight="1" x14ac:dyDescent="0.2">
      <c r="A1523" s="14">
        <f t="shared" si="247"/>
        <v>1484</v>
      </c>
      <c r="B1523" s="21" t="s">
        <v>1329</v>
      </c>
      <c r="C1523" s="15" t="s">
        <v>3</v>
      </c>
      <c r="D1523" s="21" t="s">
        <v>1200</v>
      </c>
      <c r="E1523" s="21"/>
      <c r="F1523" s="69" t="s">
        <v>4</v>
      </c>
      <c r="G1523" s="9">
        <v>39370</v>
      </c>
      <c r="H1523" s="22">
        <v>134399.88</v>
      </c>
      <c r="I1523" s="17">
        <v>0</v>
      </c>
      <c r="J1523" s="17">
        <f t="shared" si="239"/>
        <v>127679.886</v>
      </c>
      <c r="K1523" s="17">
        <f t="shared" si="240"/>
        <v>6719.9940000000061</v>
      </c>
      <c r="L1523" s="23">
        <f t="shared" si="246"/>
        <v>6719.9940000000006</v>
      </c>
      <c r="M1523" s="23">
        <v>3</v>
      </c>
      <c r="N1523" s="18">
        <f t="shared" si="241"/>
        <v>12.473972602739726</v>
      </c>
      <c r="O1523" s="23">
        <v>63839.942999999999</v>
      </c>
      <c r="P1523" s="18">
        <f t="shared" si="242"/>
        <v>13.473972602739726</v>
      </c>
      <c r="Q1523" s="18">
        <f t="shared" si="244"/>
        <v>1.8189894035458565E-12</v>
      </c>
      <c r="R1523" s="18">
        <f t="shared" si="243"/>
        <v>63839.942999999999</v>
      </c>
      <c r="S1523" s="18">
        <f t="shared" si="245"/>
        <v>6719.9940000000006</v>
      </c>
    </row>
    <row r="1524" spans="1:19" ht="15" customHeight="1" x14ac:dyDescent="0.2">
      <c r="A1524" s="14">
        <f t="shared" si="247"/>
        <v>1485</v>
      </c>
      <c r="B1524" s="21" t="s">
        <v>1332</v>
      </c>
      <c r="C1524" s="15" t="s">
        <v>3</v>
      </c>
      <c r="D1524" s="21" t="s">
        <v>1200</v>
      </c>
      <c r="E1524" s="21"/>
      <c r="F1524" s="69" t="s">
        <v>4</v>
      </c>
      <c r="G1524" s="9">
        <v>39370</v>
      </c>
      <c r="H1524" s="22">
        <v>154374.88</v>
      </c>
      <c r="I1524" s="17">
        <v>0</v>
      </c>
      <c r="J1524" s="17">
        <f t="shared" si="239"/>
        <v>146656.136</v>
      </c>
      <c r="K1524" s="17">
        <f t="shared" si="240"/>
        <v>7718.7440000000061</v>
      </c>
      <c r="L1524" s="23">
        <f t="shared" si="246"/>
        <v>7718.7440000000006</v>
      </c>
      <c r="M1524" s="23">
        <v>6</v>
      </c>
      <c r="N1524" s="18">
        <f t="shared" si="241"/>
        <v>12.473972602739726</v>
      </c>
      <c r="O1524" s="23">
        <v>73328.067999999999</v>
      </c>
      <c r="P1524" s="18">
        <f t="shared" si="242"/>
        <v>13.473972602739726</v>
      </c>
      <c r="Q1524" s="18">
        <f t="shared" si="244"/>
        <v>9.0949470177292824E-13</v>
      </c>
      <c r="R1524" s="18">
        <f t="shared" si="243"/>
        <v>73328.067999999999</v>
      </c>
      <c r="S1524" s="18">
        <f t="shared" si="245"/>
        <v>7718.7440000000006</v>
      </c>
    </row>
    <row r="1525" spans="1:19" ht="15" customHeight="1" x14ac:dyDescent="0.2">
      <c r="A1525" s="14">
        <f t="shared" si="247"/>
        <v>1486</v>
      </c>
      <c r="B1525" s="21" t="s">
        <v>1209</v>
      </c>
      <c r="C1525" s="15" t="s">
        <v>3</v>
      </c>
      <c r="D1525" s="21" t="s">
        <v>1200</v>
      </c>
      <c r="E1525" s="21"/>
      <c r="F1525" s="69" t="s">
        <v>4</v>
      </c>
      <c r="G1525" s="9">
        <v>39290</v>
      </c>
      <c r="H1525" s="22">
        <v>49500</v>
      </c>
      <c r="I1525" s="17">
        <v>0</v>
      </c>
      <c r="J1525" s="17">
        <f t="shared" si="239"/>
        <v>47025</v>
      </c>
      <c r="K1525" s="17">
        <f t="shared" si="240"/>
        <v>2475</v>
      </c>
      <c r="L1525" s="23">
        <f t="shared" si="246"/>
        <v>2475</v>
      </c>
      <c r="M1525" s="23">
        <v>3</v>
      </c>
      <c r="N1525" s="18">
        <f t="shared" si="241"/>
        <v>12.693150684931506</v>
      </c>
      <c r="O1525" s="23">
        <v>23512.5</v>
      </c>
      <c r="P1525" s="18">
        <f t="shared" si="242"/>
        <v>13.693150684931506</v>
      </c>
      <c r="Q1525" s="18">
        <f t="shared" si="244"/>
        <v>0</v>
      </c>
      <c r="R1525" s="18">
        <f t="shared" si="243"/>
        <v>23512.5</v>
      </c>
      <c r="S1525" s="18">
        <f t="shared" si="245"/>
        <v>2475</v>
      </c>
    </row>
    <row r="1526" spans="1:19" ht="15" customHeight="1" x14ac:dyDescent="0.2">
      <c r="A1526" s="14">
        <f t="shared" si="247"/>
        <v>1487</v>
      </c>
      <c r="B1526" s="21" t="s">
        <v>1209</v>
      </c>
      <c r="C1526" s="15" t="s">
        <v>3</v>
      </c>
      <c r="D1526" s="21" t="s">
        <v>1200</v>
      </c>
      <c r="E1526" s="21"/>
      <c r="F1526" s="69" t="s">
        <v>4</v>
      </c>
      <c r="G1526" s="9">
        <v>39248</v>
      </c>
      <c r="H1526" s="22">
        <v>14700</v>
      </c>
      <c r="I1526" s="17">
        <v>0</v>
      </c>
      <c r="J1526" s="17">
        <f t="shared" si="239"/>
        <v>13965</v>
      </c>
      <c r="K1526" s="17">
        <f t="shared" si="240"/>
        <v>735</v>
      </c>
      <c r="L1526" s="23">
        <f t="shared" si="246"/>
        <v>735</v>
      </c>
      <c r="M1526" s="23">
        <v>3</v>
      </c>
      <c r="N1526" s="18">
        <f t="shared" si="241"/>
        <v>12.808219178082192</v>
      </c>
      <c r="O1526" s="23">
        <v>6982.5</v>
      </c>
      <c r="P1526" s="18">
        <f t="shared" si="242"/>
        <v>13.808219178082192</v>
      </c>
      <c r="Q1526" s="18">
        <f t="shared" si="244"/>
        <v>0</v>
      </c>
      <c r="R1526" s="18">
        <f t="shared" si="243"/>
        <v>6982.5</v>
      </c>
      <c r="S1526" s="18">
        <f t="shared" si="245"/>
        <v>735</v>
      </c>
    </row>
    <row r="1527" spans="1:19" ht="15" customHeight="1" x14ac:dyDescent="0.2">
      <c r="A1527" s="14">
        <f t="shared" si="247"/>
        <v>1488</v>
      </c>
      <c r="B1527" s="21" t="s">
        <v>1333</v>
      </c>
      <c r="C1527" s="15" t="s">
        <v>3</v>
      </c>
      <c r="D1527" s="21" t="s">
        <v>1200</v>
      </c>
      <c r="E1527" s="21"/>
      <c r="F1527" s="69" t="s">
        <v>4</v>
      </c>
      <c r="G1527" s="9">
        <v>39217</v>
      </c>
      <c r="H1527" s="22">
        <v>63600</v>
      </c>
      <c r="I1527" s="17">
        <v>0</v>
      </c>
      <c r="J1527" s="17">
        <f t="shared" si="239"/>
        <v>60420</v>
      </c>
      <c r="K1527" s="17">
        <f t="shared" si="240"/>
        <v>3180</v>
      </c>
      <c r="L1527" s="23">
        <f t="shared" si="246"/>
        <v>3180</v>
      </c>
      <c r="M1527" s="23">
        <v>3</v>
      </c>
      <c r="N1527" s="18">
        <f t="shared" si="241"/>
        <v>12.893150684931507</v>
      </c>
      <c r="O1527" s="23">
        <v>30210</v>
      </c>
      <c r="P1527" s="18">
        <f t="shared" si="242"/>
        <v>13.893150684931507</v>
      </c>
      <c r="Q1527" s="18">
        <f t="shared" si="244"/>
        <v>0</v>
      </c>
      <c r="R1527" s="18">
        <f t="shared" si="243"/>
        <v>30210</v>
      </c>
      <c r="S1527" s="18">
        <f t="shared" si="245"/>
        <v>3180</v>
      </c>
    </row>
    <row r="1528" spans="1:19" ht="15" customHeight="1" x14ac:dyDescent="0.2">
      <c r="A1528" s="14">
        <f t="shared" si="247"/>
        <v>1489</v>
      </c>
      <c r="B1528" s="21" t="s">
        <v>1199</v>
      </c>
      <c r="C1528" s="15" t="s">
        <v>3</v>
      </c>
      <c r="D1528" s="21" t="s">
        <v>1200</v>
      </c>
      <c r="E1528" s="21"/>
      <c r="F1528" s="69" t="s">
        <v>4</v>
      </c>
      <c r="G1528" s="9">
        <v>39217</v>
      </c>
      <c r="H1528" s="22">
        <v>69000</v>
      </c>
      <c r="I1528" s="17">
        <v>0</v>
      </c>
      <c r="J1528" s="17">
        <f t="shared" si="239"/>
        <v>65550</v>
      </c>
      <c r="K1528" s="17">
        <f t="shared" si="240"/>
        <v>3450</v>
      </c>
      <c r="L1528" s="23">
        <f t="shared" si="246"/>
        <v>3450</v>
      </c>
      <c r="M1528" s="23">
        <v>3</v>
      </c>
      <c r="N1528" s="18">
        <f t="shared" si="241"/>
        <v>12.893150684931507</v>
      </c>
      <c r="O1528" s="23">
        <v>32775</v>
      </c>
      <c r="P1528" s="18">
        <f t="shared" si="242"/>
        <v>13.893150684931507</v>
      </c>
      <c r="Q1528" s="18">
        <f t="shared" si="244"/>
        <v>0</v>
      </c>
      <c r="R1528" s="18">
        <f t="shared" si="243"/>
        <v>32775</v>
      </c>
      <c r="S1528" s="18">
        <f t="shared" si="245"/>
        <v>3450</v>
      </c>
    </row>
    <row r="1529" spans="1:19" ht="15" customHeight="1" x14ac:dyDescent="0.2">
      <c r="A1529" s="14">
        <f t="shared" si="247"/>
        <v>1490</v>
      </c>
      <c r="B1529" s="21" t="s">
        <v>1334</v>
      </c>
      <c r="C1529" s="15" t="s">
        <v>3</v>
      </c>
      <c r="D1529" s="21" t="s">
        <v>1200</v>
      </c>
      <c r="E1529" s="21"/>
      <c r="F1529" s="69" t="s">
        <v>4</v>
      </c>
      <c r="G1529" s="9">
        <v>39187</v>
      </c>
      <c r="H1529" s="22">
        <v>149340</v>
      </c>
      <c r="I1529" s="17">
        <v>0</v>
      </c>
      <c r="J1529" s="17">
        <f t="shared" si="239"/>
        <v>141873</v>
      </c>
      <c r="K1529" s="17">
        <f t="shared" si="240"/>
        <v>7467</v>
      </c>
      <c r="L1529" s="23">
        <f t="shared" si="246"/>
        <v>7467</v>
      </c>
      <c r="M1529" s="23">
        <v>6</v>
      </c>
      <c r="N1529" s="18">
        <f t="shared" si="241"/>
        <v>12.975342465753425</v>
      </c>
      <c r="O1529" s="23">
        <v>70936.5</v>
      </c>
      <c r="P1529" s="18">
        <f t="shared" si="242"/>
        <v>13.975342465753425</v>
      </c>
      <c r="Q1529" s="18">
        <f t="shared" si="244"/>
        <v>0</v>
      </c>
      <c r="R1529" s="18">
        <f t="shared" si="243"/>
        <v>70936.5</v>
      </c>
      <c r="S1529" s="18">
        <f t="shared" si="245"/>
        <v>7467</v>
      </c>
    </row>
    <row r="1530" spans="1:19" ht="15" customHeight="1" x14ac:dyDescent="0.2">
      <c r="A1530" s="14">
        <f t="shared" si="247"/>
        <v>1491</v>
      </c>
      <c r="B1530" s="21" t="s">
        <v>1310</v>
      </c>
      <c r="C1530" s="15" t="s">
        <v>3</v>
      </c>
      <c r="D1530" s="21" t="s">
        <v>1200</v>
      </c>
      <c r="E1530" s="21"/>
      <c r="F1530" s="69" t="s">
        <v>4</v>
      </c>
      <c r="G1530" s="9">
        <v>39083</v>
      </c>
      <c r="H1530" s="22">
        <v>24044.94</v>
      </c>
      <c r="I1530" s="17">
        <v>0</v>
      </c>
      <c r="J1530" s="17">
        <f t="shared" si="239"/>
        <v>22842.692999999999</v>
      </c>
      <c r="K1530" s="17">
        <f t="shared" si="240"/>
        <v>1202.2469999999994</v>
      </c>
      <c r="L1530" s="23">
        <f t="shared" si="246"/>
        <v>1202.2470000000001</v>
      </c>
      <c r="M1530" s="23">
        <v>5</v>
      </c>
      <c r="N1530" s="18">
        <f t="shared" si="241"/>
        <v>13.260273972602739</v>
      </c>
      <c r="O1530" s="23">
        <v>11421.3465</v>
      </c>
      <c r="P1530" s="18">
        <f t="shared" si="242"/>
        <v>14.260273972602739</v>
      </c>
      <c r="Q1530" s="18">
        <f t="shared" si="244"/>
        <v>-1.3642420526593926E-13</v>
      </c>
      <c r="R1530" s="18">
        <f t="shared" si="243"/>
        <v>11421.3465</v>
      </c>
      <c r="S1530" s="18">
        <f t="shared" si="245"/>
        <v>1202.2470000000001</v>
      </c>
    </row>
    <row r="1531" spans="1:19" ht="15" customHeight="1" x14ac:dyDescent="0.2">
      <c r="A1531" s="14">
        <f t="shared" si="247"/>
        <v>1492</v>
      </c>
      <c r="B1531" s="21" t="s">
        <v>1322</v>
      </c>
      <c r="C1531" s="15" t="s">
        <v>3</v>
      </c>
      <c r="D1531" s="21" t="s">
        <v>1200</v>
      </c>
      <c r="E1531" s="21"/>
      <c r="F1531" s="69" t="s">
        <v>4</v>
      </c>
      <c r="G1531" s="9">
        <v>39083</v>
      </c>
      <c r="H1531" s="22">
        <v>32890.93</v>
      </c>
      <c r="I1531" s="17">
        <v>0</v>
      </c>
      <c r="J1531" s="17">
        <f t="shared" si="239"/>
        <v>31246.3835</v>
      </c>
      <c r="K1531" s="17">
        <f t="shared" si="240"/>
        <v>1644.5465000000004</v>
      </c>
      <c r="L1531" s="23">
        <f t="shared" si="246"/>
        <v>1644.5465000000002</v>
      </c>
      <c r="M1531" s="23">
        <v>5</v>
      </c>
      <c r="N1531" s="18">
        <f t="shared" si="241"/>
        <v>13.260273972602739</v>
      </c>
      <c r="O1531" s="23">
        <v>15623.19175</v>
      </c>
      <c r="P1531" s="18">
        <f t="shared" si="242"/>
        <v>14.260273972602739</v>
      </c>
      <c r="Q1531" s="18">
        <f t="shared" si="244"/>
        <v>4.5474735088646414E-14</v>
      </c>
      <c r="R1531" s="18">
        <f t="shared" si="243"/>
        <v>15623.19175</v>
      </c>
      <c r="S1531" s="18">
        <f t="shared" si="245"/>
        <v>1644.5465000000002</v>
      </c>
    </row>
    <row r="1532" spans="1:19" ht="15" customHeight="1" x14ac:dyDescent="0.2">
      <c r="A1532" s="14">
        <f t="shared" si="247"/>
        <v>1493</v>
      </c>
      <c r="B1532" s="21" t="s">
        <v>1335</v>
      </c>
      <c r="C1532" s="15" t="s">
        <v>3</v>
      </c>
      <c r="D1532" s="21" t="s">
        <v>1200</v>
      </c>
      <c r="E1532" s="21"/>
      <c r="F1532" s="69" t="s">
        <v>4</v>
      </c>
      <c r="G1532" s="9">
        <v>39083</v>
      </c>
      <c r="H1532" s="22">
        <v>1886.6</v>
      </c>
      <c r="I1532" s="17">
        <v>0</v>
      </c>
      <c r="J1532" s="17">
        <f t="shared" si="239"/>
        <v>1792.27</v>
      </c>
      <c r="K1532" s="17">
        <f t="shared" si="240"/>
        <v>94.329999999999927</v>
      </c>
      <c r="L1532" s="23">
        <f t="shared" si="246"/>
        <v>94.33</v>
      </c>
      <c r="M1532" s="23">
        <v>5</v>
      </c>
      <c r="N1532" s="18">
        <f t="shared" si="241"/>
        <v>13.260273972602739</v>
      </c>
      <c r="O1532" s="23">
        <v>896.13499999999999</v>
      </c>
      <c r="P1532" s="18">
        <f t="shared" si="242"/>
        <v>14.260273972602739</v>
      </c>
      <c r="Q1532" s="18">
        <f t="shared" si="244"/>
        <v>-1.4210854715202004E-14</v>
      </c>
      <c r="R1532" s="18">
        <f t="shared" si="243"/>
        <v>896.13499999999999</v>
      </c>
      <c r="S1532" s="18">
        <f t="shared" si="245"/>
        <v>94.33</v>
      </c>
    </row>
    <row r="1533" spans="1:19" ht="15" customHeight="1" x14ac:dyDescent="0.2">
      <c r="A1533" s="14">
        <f t="shared" si="247"/>
        <v>1494</v>
      </c>
      <c r="B1533" s="21" t="s">
        <v>1336</v>
      </c>
      <c r="C1533" s="15" t="s">
        <v>3</v>
      </c>
      <c r="D1533" s="21" t="s">
        <v>1200</v>
      </c>
      <c r="E1533" s="21"/>
      <c r="F1533" s="69" t="s">
        <v>4</v>
      </c>
      <c r="G1533" s="9">
        <v>39083</v>
      </c>
      <c r="H1533" s="22">
        <v>9327.5300000000007</v>
      </c>
      <c r="I1533" s="17">
        <v>0</v>
      </c>
      <c r="J1533" s="17">
        <f t="shared" si="239"/>
        <v>8861.1535000000003</v>
      </c>
      <c r="K1533" s="17">
        <f t="shared" si="240"/>
        <v>466.37650000000031</v>
      </c>
      <c r="L1533" s="23">
        <f t="shared" si="246"/>
        <v>466.37650000000008</v>
      </c>
      <c r="M1533" s="23">
        <v>5</v>
      </c>
      <c r="N1533" s="18">
        <f t="shared" si="241"/>
        <v>13.260273972602739</v>
      </c>
      <c r="O1533" s="23">
        <v>4430.5767500000002</v>
      </c>
      <c r="P1533" s="18">
        <f t="shared" si="242"/>
        <v>14.260273972602739</v>
      </c>
      <c r="Q1533" s="18">
        <f t="shared" si="244"/>
        <v>4.5474735088646414E-14</v>
      </c>
      <c r="R1533" s="18">
        <f t="shared" si="243"/>
        <v>4430.5767500000002</v>
      </c>
      <c r="S1533" s="18">
        <f t="shared" si="245"/>
        <v>466.37650000000008</v>
      </c>
    </row>
    <row r="1534" spans="1:19" ht="15" customHeight="1" x14ac:dyDescent="0.2">
      <c r="A1534" s="14">
        <f t="shared" si="247"/>
        <v>1495</v>
      </c>
      <c r="B1534" s="21" t="s">
        <v>1337</v>
      </c>
      <c r="C1534" s="15" t="s">
        <v>3</v>
      </c>
      <c r="D1534" s="21" t="s">
        <v>1200</v>
      </c>
      <c r="E1534" s="21"/>
      <c r="F1534" s="69" t="s">
        <v>4</v>
      </c>
      <c r="G1534" s="9">
        <v>39083</v>
      </c>
      <c r="H1534" s="22">
        <v>33121.54</v>
      </c>
      <c r="I1534" s="17">
        <v>0</v>
      </c>
      <c r="J1534" s="17">
        <f t="shared" si="239"/>
        <v>31465.463</v>
      </c>
      <c r="K1534" s="17">
        <f t="shared" si="240"/>
        <v>1656.0770000000011</v>
      </c>
      <c r="L1534" s="23">
        <f t="shared" si="246"/>
        <v>1656.0770000000002</v>
      </c>
      <c r="M1534" s="23">
        <v>5</v>
      </c>
      <c r="N1534" s="18">
        <f t="shared" si="241"/>
        <v>13.260273972602739</v>
      </c>
      <c r="O1534" s="23">
        <v>15732.7315</v>
      </c>
      <c r="P1534" s="18">
        <f t="shared" si="242"/>
        <v>14.260273972602739</v>
      </c>
      <c r="Q1534" s="18">
        <f t="shared" si="244"/>
        <v>1.8189894035458566E-13</v>
      </c>
      <c r="R1534" s="18">
        <f t="shared" si="243"/>
        <v>15732.7315</v>
      </c>
      <c r="S1534" s="18">
        <f t="shared" si="245"/>
        <v>1656.0770000000002</v>
      </c>
    </row>
    <row r="1535" spans="1:19" ht="15" customHeight="1" x14ac:dyDescent="0.2">
      <c r="A1535" s="14">
        <f t="shared" si="247"/>
        <v>1496</v>
      </c>
      <c r="B1535" s="21" t="s">
        <v>1338</v>
      </c>
      <c r="C1535" s="15" t="s">
        <v>3</v>
      </c>
      <c r="D1535" s="21" t="s">
        <v>1200</v>
      </c>
      <c r="E1535" s="21"/>
      <c r="F1535" s="69" t="s">
        <v>4</v>
      </c>
      <c r="G1535" s="9">
        <v>39083</v>
      </c>
      <c r="H1535" s="22">
        <v>36499.58</v>
      </c>
      <c r="I1535" s="17">
        <v>0</v>
      </c>
      <c r="J1535" s="17">
        <f t="shared" si="239"/>
        <v>34674.601000000002</v>
      </c>
      <c r="K1535" s="17">
        <f t="shared" si="240"/>
        <v>1824.9789999999994</v>
      </c>
      <c r="L1535" s="23">
        <f t="shared" si="246"/>
        <v>1824.9790000000003</v>
      </c>
      <c r="M1535" s="23">
        <v>5</v>
      </c>
      <c r="N1535" s="18">
        <f t="shared" si="241"/>
        <v>13.260273972602739</v>
      </c>
      <c r="O1535" s="23">
        <v>17337.300500000001</v>
      </c>
      <c r="P1535" s="18">
        <f t="shared" si="242"/>
        <v>14.260273972602739</v>
      </c>
      <c r="Q1535" s="18">
        <f t="shared" si="244"/>
        <v>-1.8189894035458566E-13</v>
      </c>
      <c r="R1535" s="18">
        <f t="shared" si="243"/>
        <v>17337.300500000001</v>
      </c>
      <c r="S1535" s="18">
        <f t="shared" si="245"/>
        <v>1824.9790000000003</v>
      </c>
    </row>
    <row r="1536" spans="1:19" ht="15" customHeight="1" x14ac:dyDescent="0.2">
      <c r="A1536" s="14">
        <f t="shared" si="247"/>
        <v>1497</v>
      </c>
      <c r="B1536" s="21" t="s">
        <v>1339</v>
      </c>
      <c r="C1536" s="15" t="s">
        <v>3</v>
      </c>
      <c r="D1536" s="21" t="s">
        <v>1200</v>
      </c>
      <c r="E1536" s="21"/>
      <c r="F1536" s="69" t="s">
        <v>4</v>
      </c>
      <c r="G1536" s="9">
        <v>39083</v>
      </c>
      <c r="H1536" s="22">
        <v>3780</v>
      </c>
      <c r="I1536" s="17">
        <v>0</v>
      </c>
      <c r="J1536" s="17">
        <f t="shared" si="239"/>
        <v>3591</v>
      </c>
      <c r="K1536" s="17">
        <f t="shared" si="240"/>
        <v>189</v>
      </c>
      <c r="L1536" s="23">
        <f t="shared" si="246"/>
        <v>189</v>
      </c>
      <c r="M1536" s="23">
        <v>3</v>
      </c>
      <c r="N1536" s="18">
        <f t="shared" si="241"/>
        <v>13.260273972602739</v>
      </c>
      <c r="O1536" s="23">
        <v>1795.5</v>
      </c>
      <c r="P1536" s="18">
        <f t="shared" si="242"/>
        <v>14.260273972602739</v>
      </c>
      <c r="Q1536" s="18">
        <f t="shared" si="244"/>
        <v>0</v>
      </c>
      <c r="R1536" s="18">
        <f t="shared" si="243"/>
        <v>1795.5</v>
      </c>
      <c r="S1536" s="18">
        <f t="shared" si="245"/>
        <v>189</v>
      </c>
    </row>
    <row r="1537" spans="1:19" ht="15" customHeight="1" x14ac:dyDescent="0.2">
      <c r="A1537" s="14">
        <f t="shared" si="247"/>
        <v>1498</v>
      </c>
      <c r="B1537" s="21" t="s">
        <v>1340</v>
      </c>
      <c r="C1537" s="15" t="s">
        <v>3</v>
      </c>
      <c r="D1537" s="21" t="s">
        <v>1200</v>
      </c>
      <c r="E1537" s="21"/>
      <c r="F1537" s="69" t="s">
        <v>4</v>
      </c>
      <c r="G1537" s="9">
        <v>39083</v>
      </c>
      <c r="H1537" s="22">
        <v>6300</v>
      </c>
      <c r="I1537" s="17">
        <v>0</v>
      </c>
      <c r="J1537" s="17">
        <f t="shared" si="239"/>
        <v>5985</v>
      </c>
      <c r="K1537" s="17">
        <f t="shared" si="240"/>
        <v>315</v>
      </c>
      <c r="L1537" s="23">
        <f t="shared" si="246"/>
        <v>315</v>
      </c>
      <c r="M1537" s="23">
        <v>3</v>
      </c>
      <c r="N1537" s="18">
        <f t="shared" si="241"/>
        <v>13.260273972602739</v>
      </c>
      <c r="O1537" s="23">
        <v>2992.5</v>
      </c>
      <c r="P1537" s="18">
        <f t="shared" si="242"/>
        <v>14.260273972602739</v>
      </c>
      <c r="Q1537" s="18">
        <f t="shared" si="244"/>
        <v>0</v>
      </c>
      <c r="R1537" s="18">
        <f t="shared" si="243"/>
        <v>2992.5</v>
      </c>
      <c r="S1537" s="18">
        <f t="shared" si="245"/>
        <v>315</v>
      </c>
    </row>
    <row r="1538" spans="1:19" ht="15" customHeight="1" x14ac:dyDescent="0.2">
      <c r="A1538" s="14">
        <f t="shared" si="247"/>
        <v>1499</v>
      </c>
      <c r="B1538" s="21" t="s">
        <v>1341</v>
      </c>
      <c r="C1538" s="15" t="s">
        <v>3</v>
      </c>
      <c r="D1538" s="21" t="s">
        <v>1200</v>
      </c>
      <c r="E1538" s="21"/>
      <c r="F1538" s="69" t="s">
        <v>4</v>
      </c>
      <c r="G1538" s="9">
        <v>39066</v>
      </c>
      <c r="H1538" s="22">
        <v>28923.9</v>
      </c>
      <c r="I1538" s="17">
        <v>0</v>
      </c>
      <c r="J1538" s="17">
        <f t="shared" si="239"/>
        <v>27477.705000000002</v>
      </c>
      <c r="K1538" s="17">
        <f t="shared" si="240"/>
        <v>1446.1949999999997</v>
      </c>
      <c r="L1538" s="23">
        <f t="shared" si="246"/>
        <v>1446.1950000000002</v>
      </c>
      <c r="M1538" s="23">
        <v>3</v>
      </c>
      <c r="N1538" s="18">
        <f t="shared" si="241"/>
        <v>13.306849315068494</v>
      </c>
      <c r="O1538" s="23">
        <v>13738.852500000001</v>
      </c>
      <c r="P1538" s="18">
        <f t="shared" si="242"/>
        <v>14.306849315068494</v>
      </c>
      <c r="Q1538" s="18">
        <f t="shared" si="244"/>
        <v>-1.5158245029548803E-13</v>
      </c>
      <c r="R1538" s="18">
        <f t="shared" si="243"/>
        <v>13738.852500000001</v>
      </c>
      <c r="S1538" s="18">
        <f t="shared" si="245"/>
        <v>1446.1950000000002</v>
      </c>
    </row>
    <row r="1539" spans="1:19" ht="15" customHeight="1" x14ac:dyDescent="0.2">
      <c r="A1539" s="14">
        <f t="shared" si="247"/>
        <v>1500</v>
      </c>
      <c r="B1539" s="21" t="s">
        <v>1204</v>
      </c>
      <c r="C1539" s="15" t="s">
        <v>3</v>
      </c>
      <c r="D1539" s="21" t="s">
        <v>1200</v>
      </c>
      <c r="E1539" s="21"/>
      <c r="F1539" s="69" t="s">
        <v>4</v>
      </c>
      <c r="G1539" s="9">
        <v>39066</v>
      </c>
      <c r="H1539" s="22">
        <v>96793.76</v>
      </c>
      <c r="I1539" s="17">
        <v>0</v>
      </c>
      <c r="J1539" s="17">
        <f t="shared" si="239"/>
        <v>91954.072</v>
      </c>
      <c r="K1539" s="17">
        <f t="shared" si="240"/>
        <v>4839.6879999999946</v>
      </c>
      <c r="L1539" s="23">
        <f t="shared" si="246"/>
        <v>4839.6880000000001</v>
      </c>
      <c r="M1539" s="23">
        <v>5</v>
      </c>
      <c r="N1539" s="18">
        <f t="shared" si="241"/>
        <v>13.306849315068494</v>
      </c>
      <c r="O1539" s="23">
        <v>45977.036</v>
      </c>
      <c r="P1539" s="18">
        <f t="shared" si="242"/>
        <v>14.306849315068494</v>
      </c>
      <c r="Q1539" s="18">
        <f t="shared" si="244"/>
        <v>-1.091393642127514E-12</v>
      </c>
      <c r="R1539" s="18">
        <f t="shared" si="243"/>
        <v>45977.036</v>
      </c>
      <c r="S1539" s="18">
        <f t="shared" si="245"/>
        <v>4839.6880000000001</v>
      </c>
    </row>
    <row r="1540" spans="1:19" ht="15" customHeight="1" x14ac:dyDescent="0.2">
      <c r="A1540" s="14">
        <f t="shared" si="247"/>
        <v>1501</v>
      </c>
      <c r="B1540" s="21" t="s">
        <v>1204</v>
      </c>
      <c r="C1540" s="15" t="s">
        <v>3</v>
      </c>
      <c r="D1540" s="21" t="s">
        <v>1200</v>
      </c>
      <c r="E1540" s="21"/>
      <c r="F1540" s="69" t="s">
        <v>4</v>
      </c>
      <c r="G1540" s="9">
        <v>39036</v>
      </c>
      <c r="H1540" s="22">
        <v>48332.28</v>
      </c>
      <c r="I1540" s="17">
        <v>0</v>
      </c>
      <c r="J1540" s="17">
        <f t="shared" si="239"/>
        <v>45915.665999999997</v>
      </c>
      <c r="K1540" s="17">
        <f t="shared" si="240"/>
        <v>2416.6140000000014</v>
      </c>
      <c r="L1540" s="23">
        <f t="shared" si="246"/>
        <v>2416.614</v>
      </c>
      <c r="M1540" s="23">
        <v>5</v>
      </c>
      <c r="N1540" s="18">
        <f t="shared" si="241"/>
        <v>13.389041095890411</v>
      </c>
      <c r="O1540" s="23">
        <v>22957.832999999999</v>
      </c>
      <c r="P1540" s="18">
        <f t="shared" si="242"/>
        <v>14.389041095890411</v>
      </c>
      <c r="Q1540" s="18">
        <f t="shared" si="244"/>
        <v>2.7284841053187851E-13</v>
      </c>
      <c r="R1540" s="18">
        <f t="shared" si="243"/>
        <v>22957.832999999999</v>
      </c>
      <c r="S1540" s="18">
        <f t="shared" si="245"/>
        <v>2416.614</v>
      </c>
    </row>
    <row r="1541" spans="1:19" ht="15" customHeight="1" x14ac:dyDescent="0.2">
      <c r="A1541" s="14">
        <f t="shared" si="247"/>
        <v>1502</v>
      </c>
      <c r="B1541" s="21" t="s">
        <v>1342</v>
      </c>
      <c r="C1541" s="15" t="s">
        <v>3</v>
      </c>
      <c r="D1541" s="21" t="s">
        <v>1200</v>
      </c>
      <c r="E1541" s="21"/>
      <c r="F1541" s="69" t="s">
        <v>4</v>
      </c>
      <c r="G1541" s="9">
        <v>39005</v>
      </c>
      <c r="H1541" s="22">
        <v>16000</v>
      </c>
      <c r="I1541" s="17">
        <v>0</v>
      </c>
      <c r="J1541" s="17">
        <f t="shared" si="239"/>
        <v>15200</v>
      </c>
      <c r="K1541" s="17">
        <f t="shared" si="240"/>
        <v>800</v>
      </c>
      <c r="L1541" s="23">
        <f t="shared" si="246"/>
        <v>800</v>
      </c>
      <c r="M1541" s="23">
        <v>3</v>
      </c>
      <c r="N1541" s="18">
        <f t="shared" si="241"/>
        <v>13.473972602739726</v>
      </c>
      <c r="O1541" s="23">
        <v>7600</v>
      </c>
      <c r="P1541" s="18">
        <f t="shared" si="242"/>
        <v>14.473972602739726</v>
      </c>
      <c r="Q1541" s="18">
        <f t="shared" si="244"/>
        <v>0</v>
      </c>
      <c r="R1541" s="18">
        <f t="shared" si="243"/>
        <v>7600</v>
      </c>
      <c r="S1541" s="18">
        <f t="shared" si="245"/>
        <v>800</v>
      </c>
    </row>
    <row r="1542" spans="1:19" ht="15" customHeight="1" x14ac:dyDescent="0.2">
      <c r="A1542" s="14">
        <f t="shared" si="247"/>
        <v>1503</v>
      </c>
      <c r="B1542" s="21" t="s">
        <v>1209</v>
      </c>
      <c r="C1542" s="15" t="s">
        <v>3</v>
      </c>
      <c r="D1542" s="21" t="s">
        <v>1200</v>
      </c>
      <c r="E1542" s="21"/>
      <c r="F1542" s="69" t="s">
        <v>4</v>
      </c>
      <c r="G1542" s="9">
        <v>38975</v>
      </c>
      <c r="H1542" s="22">
        <v>16258.44</v>
      </c>
      <c r="I1542" s="17">
        <v>0</v>
      </c>
      <c r="J1542" s="17">
        <f t="shared" si="239"/>
        <v>15445.518</v>
      </c>
      <c r="K1542" s="17">
        <f t="shared" si="240"/>
        <v>812.92200000000048</v>
      </c>
      <c r="L1542" s="23">
        <f t="shared" si="246"/>
        <v>812.92200000000003</v>
      </c>
      <c r="M1542" s="23">
        <v>3</v>
      </c>
      <c r="N1542" s="18">
        <f t="shared" si="241"/>
        <v>13.556164383561644</v>
      </c>
      <c r="O1542" s="23">
        <v>7722.759</v>
      </c>
      <c r="P1542" s="18">
        <f t="shared" si="242"/>
        <v>14.556164383561644</v>
      </c>
      <c r="Q1542" s="18">
        <f t="shared" si="244"/>
        <v>1.5158245029548803E-13</v>
      </c>
      <c r="R1542" s="18">
        <f t="shared" si="243"/>
        <v>7722.759</v>
      </c>
      <c r="S1542" s="18">
        <f t="shared" si="245"/>
        <v>812.92200000000003</v>
      </c>
    </row>
    <row r="1543" spans="1:19" ht="15" customHeight="1" x14ac:dyDescent="0.2">
      <c r="A1543" s="14">
        <f t="shared" si="247"/>
        <v>1504</v>
      </c>
      <c r="B1543" s="21" t="s">
        <v>1343</v>
      </c>
      <c r="C1543" s="15" t="s">
        <v>3</v>
      </c>
      <c r="D1543" s="21" t="s">
        <v>1200</v>
      </c>
      <c r="E1543" s="21"/>
      <c r="F1543" s="69" t="s">
        <v>4</v>
      </c>
      <c r="G1543" s="9">
        <v>38975</v>
      </c>
      <c r="H1543" s="22">
        <v>21416.66</v>
      </c>
      <c r="I1543" s="17">
        <v>0</v>
      </c>
      <c r="J1543" s="17">
        <f t="shared" si="239"/>
        <v>20345.827000000001</v>
      </c>
      <c r="K1543" s="17">
        <f t="shared" si="240"/>
        <v>1070.8329999999987</v>
      </c>
      <c r="L1543" s="23">
        <f t="shared" si="246"/>
        <v>1070.8330000000001</v>
      </c>
      <c r="M1543" s="23">
        <v>5</v>
      </c>
      <c r="N1543" s="18">
        <f t="shared" si="241"/>
        <v>13.556164383561644</v>
      </c>
      <c r="O1543" s="23">
        <v>10172.913500000001</v>
      </c>
      <c r="P1543" s="18">
        <f t="shared" si="242"/>
        <v>14.556164383561644</v>
      </c>
      <c r="Q1543" s="18">
        <f t="shared" si="244"/>
        <v>-2.7284841053187851E-13</v>
      </c>
      <c r="R1543" s="18">
        <f t="shared" si="243"/>
        <v>10172.913500000001</v>
      </c>
      <c r="S1543" s="18">
        <f t="shared" si="245"/>
        <v>1070.8330000000001</v>
      </c>
    </row>
    <row r="1544" spans="1:19" ht="15" customHeight="1" x14ac:dyDescent="0.2">
      <c r="A1544" s="14">
        <f t="shared" si="247"/>
        <v>1505</v>
      </c>
      <c r="B1544" s="21" t="s">
        <v>1343</v>
      </c>
      <c r="C1544" s="15" t="s">
        <v>3</v>
      </c>
      <c r="D1544" s="21" t="s">
        <v>1200</v>
      </c>
      <c r="E1544" s="21"/>
      <c r="F1544" s="69" t="s">
        <v>4</v>
      </c>
      <c r="G1544" s="9">
        <v>38913</v>
      </c>
      <c r="H1544" s="22">
        <v>8175</v>
      </c>
      <c r="I1544" s="17">
        <v>0</v>
      </c>
      <c r="J1544" s="17">
        <f t="shared" ref="J1544:J1607" si="248">H1544-L1544</f>
        <v>7766.25</v>
      </c>
      <c r="K1544" s="17">
        <f t="shared" si="240"/>
        <v>408.75</v>
      </c>
      <c r="L1544" s="23">
        <f t="shared" si="246"/>
        <v>408.75</v>
      </c>
      <c r="M1544" s="23">
        <v>5</v>
      </c>
      <c r="N1544" s="18">
        <f t="shared" si="241"/>
        <v>13.726027397260275</v>
      </c>
      <c r="O1544" s="23">
        <v>3883.125</v>
      </c>
      <c r="P1544" s="18">
        <f t="shared" si="242"/>
        <v>14.726027397260275</v>
      </c>
      <c r="Q1544" s="18">
        <f t="shared" si="244"/>
        <v>0</v>
      </c>
      <c r="R1544" s="18">
        <f t="shared" si="243"/>
        <v>3883.125</v>
      </c>
      <c r="S1544" s="18">
        <f t="shared" si="245"/>
        <v>408.75</v>
      </c>
    </row>
    <row r="1545" spans="1:19" ht="15" customHeight="1" x14ac:dyDescent="0.2">
      <c r="A1545" s="14">
        <f t="shared" si="247"/>
        <v>1506</v>
      </c>
      <c r="B1545" s="21" t="s">
        <v>1209</v>
      </c>
      <c r="C1545" s="15" t="s">
        <v>3</v>
      </c>
      <c r="D1545" s="21" t="s">
        <v>1200</v>
      </c>
      <c r="E1545" s="21"/>
      <c r="F1545" s="69" t="s">
        <v>4</v>
      </c>
      <c r="G1545" s="9">
        <v>38913</v>
      </c>
      <c r="H1545" s="22">
        <v>11700</v>
      </c>
      <c r="I1545" s="17">
        <v>0</v>
      </c>
      <c r="J1545" s="17">
        <f t="shared" si="248"/>
        <v>11115</v>
      </c>
      <c r="K1545" s="17">
        <f t="shared" si="240"/>
        <v>585</v>
      </c>
      <c r="L1545" s="23">
        <f t="shared" si="246"/>
        <v>585</v>
      </c>
      <c r="M1545" s="23">
        <v>3</v>
      </c>
      <c r="N1545" s="18">
        <f t="shared" si="241"/>
        <v>13.726027397260275</v>
      </c>
      <c r="O1545" s="23">
        <v>5557.5</v>
      </c>
      <c r="P1545" s="18">
        <f t="shared" si="242"/>
        <v>14.726027397260275</v>
      </c>
      <c r="Q1545" s="18">
        <f t="shared" si="244"/>
        <v>0</v>
      </c>
      <c r="R1545" s="18">
        <f t="shared" si="243"/>
        <v>5557.5</v>
      </c>
      <c r="S1545" s="18">
        <f t="shared" si="245"/>
        <v>585</v>
      </c>
    </row>
    <row r="1546" spans="1:19" ht="15" customHeight="1" x14ac:dyDescent="0.2">
      <c r="A1546" s="14">
        <f t="shared" si="247"/>
        <v>1507</v>
      </c>
      <c r="B1546" s="21" t="s">
        <v>1204</v>
      </c>
      <c r="C1546" s="15" t="s">
        <v>3</v>
      </c>
      <c r="D1546" s="21" t="s">
        <v>1200</v>
      </c>
      <c r="E1546" s="21"/>
      <c r="F1546" s="69" t="s">
        <v>4</v>
      </c>
      <c r="G1546" s="9">
        <v>38913</v>
      </c>
      <c r="H1546" s="22">
        <v>14800</v>
      </c>
      <c r="I1546" s="17">
        <v>0</v>
      </c>
      <c r="J1546" s="17">
        <f t="shared" si="248"/>
        <v>14060</v>
      </c>
      <c r="K1546" s="17">
        <f t="shared" si="240"/>
        <v>740</v>
      </c>
      <c r="L1546" s="23">
        <f t="shared" si="246"/>
        <v>740</v>
      </c>
      <c r="M1546" s="23">
        <v>5</v>
      </c>
      <c r="N1546" s="18">
        <f t="shared" si="241"/>
        <v>13.726027397260275</v>
      </c>
      <c r="O1546" s="23">
        <v>7030</v>
      </c>
      <c r="P1546" s="18">
        <f t="shared" si="242"/>
        <v>14.726027397260275</v>
      </c>
      <c r="Q1546" s="18">
        <f t="shared" si="244"/>
        <v>0</v>
      </c>
      <c r="R1546" s="18">
        <f t="shared" si="243"/>
        <v>7030</v>
      </c>
      <c r="S1546" s="18">
        <f t="shared" si="245"/>
        <v>740</v>
      </c>
    </row>
    <row r="1547" spans="1:19" ht="15" customHeight="1" x14ac:dyDescent="0.2">
      <c r="A1547" s="14">
        <f t="shared" si="247"/>
        <v>1508</v>
      </c>
      <c r="B1547" s="21" t="s">
        <v>1344</v>
      </c>
      <c r="C1547" s="15" t="s">
        <v>3</v>
      </c>
      <c r="D1547" s="21" t="s">
        <v>1200</v>
      </c>
      <c r="E1547" s="21"/>
      <c r="F1547" s="69" t="s">
        <v>4</v>
      </c>
      <c r="G1547" s="9">
        <v>38913</v>
      </c>
      <c r="H1547" s="22">
        <v>14850</v>
      </c>
      <c r="I1547" s="17">
        <v>0</v>
      </c>
      <c r="J1547" s="17">
        <f t="shared" si="248"/>
        <v>14107.5</v>
      </c>
      <c r="K1547" s="17">
        <f t="shared" si="240"/>
        <v>742.5</v>
      </c>
      <c r="L1547" s="23">
        <f t="shared" si="246"/>
        <v>742.5</v>
      </c>
      <c r="M1547" s="23">
        <v>5</v>
      </c>
      <c r="N1547" s="18">
        <f t="shared" si="241"/>
        <v>13.726027397260275</v>
      </c>
      <c r="O1547" s="23">
        <v>7053.75</v>
      </c>
      <c r="P1547" s="18">
        <f t="shared" si="242"/>
        <v>14.726027397260275</v>
      </c>
      <c r="Q1547" s="18">
        <f t="shared" si="244"/>
        <v>0</v>
      </c>
      <c r="R1547" s="18">
        <f t="shared" si="243"/>
        <v>7053.75</v>
      </c>
      <c r="S1547" s="18">
        <f t="shared" si="245"/>
        <v>742.5</v>
      </c>
    </row>
    <row r="1548" spans="1:19" ht="15" customHeight="1" x14ac:dyDescent="0.2">
      <c r="A1548" s="14">
        <f t="shared" si="247"/>
        <v>1509</v>
      </c>
      <c r="B1548" s="21" t="s">
        <v>1341</v>
      </c>
      <c r="C1548" s="15" t="s">
        <v>3</v>
      </c>
      <c r="D1548" s="21" t="s">
        <v>1200</v>
      </c>
      <c r="E1548" s="21"/>
      <c r="F1548" s="69" t="s">
        <v>4</v>
      </c>
      <c r="G1548" s="9">
        <v>38913</v>
      </c>
      <c r="H1548" s="22">
        <v>161776.10999999999</v>
      </c>
      <c r="I1548" s="17">
        <v>0</v>
      </c>
      <c r="J1548" s="17">
        <f t="shared" si="248"/>
        <v>153687.3045</v>
      </c>
      <c r="K1548" s="17">
        <f t="shared" si="240"/>
        <v>8088.8054999999877</v>
      </c>
      <c r="L1548" s="23">
        <f t="shared" si="246"/>
        <v>8088.8054999999995</v>
      </c>
      <c r="M1548" s="23">
        <v>3</v>
      </c>
      <c r="N1548" s="18">
        <f t="shared" si="241"/>
        <v>13.726027397260275</v>
      </c>
      <c r="O1548" s="23">
        <v>76843.652249999999</v>
      </c>
      <c r="P1548" s="18">
        <f t="shared" si="242"/>
        <v>14.726027397260275</v>
      </c>
      <c r="Q1548" s="18">
        <f t="shared" si="244"/>
        <v>-3.9411437076826888E-12</v>
      </c>
      <c r="R1548" s="18">
        <f t="shared" si="243"/>
        <v>76843.652249999999</v>
      </c>
      <c r="S1548" s="18">
        <f t="shared" si="245"/>
        <v>8088.8054999999995</v>
      </c>
    </row>
    <row r="1549" spans="1:19" ht="15" customHeight="1" x14ac:dyDescent="0.2">
      <c r="A1549" s="14">
        <f t="shared" si="247"/>
        <v>1510</v>
      </c>
      <c r="B1549" s="21" t="s">
        <v>1307</v>
      </c>
      <c r="C1549" s="15" t="s">
        <v>3</v>
      </c>
      <c r="D1549" s="21" t="s">
        <v>1200</v>
      </c>
      <c r="E1549" s="21"/>
      <c r="F1549" s="69" t="s">
        <v>4</v>
      </c>
      <c r="G1549" s="9">
        <v>38898</v>
      </c>
      <c r="H1549" s="22">
        <v>1560</v>
      </c>
      <c r="I1549" s="17">
        <v>0</v>
      </c>
      <c r="J1549" s="17">
        <f t="shared" si="248"/>
        <v>1482</v>
      </c>
      <c r="K1549" s="17">
        <f t="shared" si="240"/>
        <v>78</v>
      </c>
      <c r="L1549" s="23">
        <f t="shared" si="246"/>
        <v>78</v>
      </c>
      <c r="M1549" s="23">
        <v>5</v>
      </c>
      <c r="N1549" s="18">
        <f t="shared" si="241"/>
        <v>13.767123287671232</v>
      </c>
      <c r="O1549" s="23">
        <v>741</v>
      </c>
      <c r="P1549" s="18">
        <f t="shared" si="242"/>
        <v>14.767123287671232</v>
      </c>
      <c r="Q1549" s="18">
        <f t="shared" si="244"/>
        <v>0</v>
      </c>
      <c r="R1549" s="18">
        <f t="shared" si="243"/>
        <v>741</v>
      </c>
      <c r="S1549" s="18">
        <f t="shared" si="245"/>
        <v>78</v>
      </c>
    </row>
    <row r="1550" spans="1:19" ht="15" customHeight="1" x14ac:dyDescent="0.2">
      <c r="A1550" s="14">
        <f t="shared" si="247"/>
        <v>1511</v>
      </c>
      <c r="B1550" s="21" t="s">
        <v>1345</v>
      </c>
      <c r="C1550" s="15" t="s">
        <v>3</v>
      </c>
      <c r="D1550" s="21" t="s">
        <v>1200</v>
      </c>
      <c r="E1550" s="21"/>
      <c r="F1550" s="69" t="s">
        <v>4</v>
      </c>
      <c r="G1550" s="9">
        <v>38898</v>
      </c>
      <c r="H1550" s="22">
        <v>6790</v>
      </c>
      <c r="I1550" s="17">
        <v>0</v>
      </c>
      <c r="J1550" s="17">
        <f t="shared" si="248"/>
        <v>6450.5</v>
      </c>
      <c r="K1550" s="17">
        <f t="shared" si="240"/>
        <v>339.5</v>
      </c>
      <c r="L1550" s="23">
        <f t="shared" si="246"/>
        <v>339.5</v>
      </c>
      <c r="M1550" s="23">
        <v>5</v>
      </c>
      <c r="N1550" s="18">
        <f t="shared" si="241"/>
        <v>13.767123287671232</v>
      </c>
      <c r="O1550" s="23">
        <v>3225.25</v>
      </c>
      <c r="P1550" s="18">
        <f t="shared" si="242"/>
        <v>14.767123287671232</v>
      </c>
      <c r="Q1550" s="18">
        <f t="shared" si="244"/>
        <v>0</v>
      </c>
      <c r="R1550" s="18">
        <f t="shared" si="243"/>
        <v>3225.25</v>
      </c>
      <c r="S1550" s="18">
        <f t="shared" si="245"/>
        <v>339.5</v>
      </c>
    </row>
    <row r="1551" spans="1:19" ht="15" customHeight="1" x14ac:dyDescent="0.2">
      <c r="A1551" s="14">
        <f t="shared" si="247"/>
        <v>1512</v>
      </c>
      <c r="B1551" s="21" t="s">
        <v>1346</v>
      </c>
      <c r="C1551" s="15" t="s">
        <v>3</v>
      </c>
      <c r="D1551" s="21" t="s">
        <v>1200</v>
      </c>
      <c r="E1551" s="21"/>
      <c r="F1551" s="69" t="s">
        <v>4</v>
      </c>
      <c r="G1551" s="9">
        <v>38807</v>
      </c>
      <c r="H1551" s="22">
        <v>57400.02</v>
      </c>
      <c r="I1551" s="17">
        <v>0</v>
      </c>
      <c r="J1551" s="17">
        <f t="shared" si="248"/>
        <v>54530.019</v>
      </c>
      <c r="K1551" s="17">
        <f t="shared" si="240"/>
        <v>2870.0009999999966</v>
      </c>
      <c r="L1551" s="23">
        <f t="shared" si="246"/>
        <v>2870.0010000000002</v>
      </c>
      <c r="M1551" s="23">
        <v>5</v>
      </c>
      <c r="N1551" s="18">
        <f t="shared" si="241"/>
        <v>14.016438356164384</v>
      </c>
      <c r="O1551" s="23">
        <v>27265.0095</v>
      </c>
      <c r="P1551" s="18">
        <f t="shared" si="242"/>
        <v>15.016438356164384</v>
      </c>
      <c r="Q1551" s="18">
        <f t="shared" si="244"/>
        <v>-7.2759576141834263E-13</v>
      </c>
      <c r="R1551" s="18">
        <f t="shared" si="243"/>
        <v>27265.0095</v>
      </c>
      <c r="S1551" s="18">
        <f t="shared" si="245"/>
        <v>2870.0010000000002</v>
      </c>
    </row>
    <row r="1552" spans="1:19" ht="15" customHeight="1" x14ac:dyDescent="0.2">
      <c r="A1552" s="14">
        <f t="shared" si="247"/>
        <v>1513</v>
      </c>
      <c r="B1552" s="21" t="s">
        <v>1347</v>
      </c>
      <c r="C1552" s="15" t="s">
        <v>3</v>
      </c>
      <c r="D1552" s="21" t="s">
        <v>1200</v>
      </c>
      <c r="E1552" s="21"/>
      <c r="F1552" s="69" t="s">
        <v>4</v>
      </c>
      <c r="G1552" s="9">
        <v>38748</v>
      </c>
      <c r="H1552" s="22">
        <v>5985</v>
      </c>
      <c r="I1552" s="17">
        <v>0</v>
      </c>
      <c r="J1552" s="17">
        <f t="shared" si="248"/>
        <v>5685.75</v>
      </c>
      <c r="K1552" s="17">
        <f t="shared" si="240"/>
        <v>299.25</v>
      </c>
      <c r="L1552" s="23">
        <f t="shared" si="246"/>
        <v>299.25</v>
      </c>
      <c r="M1552" s="23">
        <v>5</v>
      </c>
      <c r="N1552" s="18">
        <f t="shared" si="241"/>
        <v>14.178082191780822</v>
      </c>
      <c r="O1552" s="23">
        <v>2842.875</v>
      </c>
      <c r="P1552" s="18">
        <f t="shared" si="242"/>
        <v>15.178082191780822</v>
      </c>
      <c r="Q1552" s="18">
        <f t="shared" si="244"/>
        <v>0</v>
      </c>
      <c r="R1552" s="18">
        <f t="shared" si="243"/>
        <v>2842.875</v>
      </c>
      <c r="S1552" s="18">
        <f t="shared" si="245"/>
        <v>299.25</v>
      </c>
    </row>
    <row r="1553" spans="1:19" ht="15" customHeight="1" x14ac:dyDescent="0.2">
      <c r="A1553" s="14">
        <f t="shared" si="247"/>
        <v>1514</v>
      </c>
      <c r="B1553" s="21" t="s">
        <v>1348</v>
      </c>
      <c r="C1553" s="15" t="s">
        <v>3</v>
      </c>
      <c r="D1553" s="21" t="s">
        <v>1200</v>
      </c>
      <c r="E1553" s="21"/>
      <c r="F1553" s="69" t="s">
        <v>4</v>
      </c>
      <c r="G1553" s="9">
        <v>38718</v>
      </c>
      <c r="H1553" s="22">
        <v>14770.31</v>
      </c>
      <c r="I1553" s="17">
        <v>0</v>
      </c>
      <c r="J1553" s="17">
        <f t="shared" si="248"/>
        <v>14031.7945</v>
      </c>
      <c r="K1553" s="17">
        <f t="shared" si="240"/>
        <v>738.51549999999952</v>
      </c>
      <c r="L1553" s="23">
        <f t="shared" si="246"/>
        <v>738.51549999999997</v>
      </c>
      <c r="M1553" s="23">
        <v>5</v>
      </c>
      <c r="N1553" s="18">
        <f t="shared" si="241"/>
        <v>14.260273972602739</v>
      </c>
      <c r="O1553" s="23">
        <v>7015.89725</v>
      </c>
      <c r="P1553" s="18">
        <f t="shared" si="242"/>
        <v>15.260273972602739</v>
      </c>
      <c r="Q1553" s="18">
        <f t="shared" si="244"/>
        <v>-9.0949470177292829E-14</v>
      </c>
      <c r="R1553" s="18">
        <f t="shared" si="243"/>
        <v>7015.89725</v>
      </c>
      <c r="S1553" s="18">
        <f t="shared" si="245"/>
        <v>738.51549999999997</v>
      </c>
    </row>
    <row r="1554" spans="1:19" ht="15" customHeight="1" x14ac:dyDescent="0.2">
      <c r="A1554" s="14">
        <f t="shared" si="247"/>
        <v>1515</v>
      </c>
      <c r="B1554" s="21" t="s">
        <v>1349</v>
      </c>
      <c r="C1554" s="15" t="s">
        <v>3</v>
      </c>
      <c r="D1554" s="21" t="s">
        <v>1200</v>
      </c>
      <c r="E1554" s="21"/>
      <c r="F1554" s="69" t="s">
        <v>4</v>
      </c>
      <c r="G1554" s="9">
        <v>38718</v>
      </c>
      <c r="H1554" s="22">
        <v>2261.4</v>
      </c>
      <c r="I1554" s="17">
        <v>0</v>
      </c>
      <c r="J1554" s="17">
        <f t="shared" si="248"/>
        <v>2148.33</v>
      </c>
      <c r="K1554" s="17">
        <f t="shared" si="240"/>
        <v>113.07000000000016</v>
      </c>
      <c r="L1554" s="23">
        <f t="shared" si="246"/>
        <v>113.07000000000001</v>
      </c>
      <c r="M1554" s="23">
        <v>5</v>
      </c>
      <c r="N1554" s="18">
        <f t="shared" si="241"/>
        <v>14.260273972602739</v>
      </c>
      <c r="O1554" s="23">
        <v>1074.165</v>
      </c>
      <c r="P1554" s="18">
        <f t="shared" si="242"/>
        <v>15.260273972602739</v>
      </c>
      <c r="Q1554" s="18">
        <f t="shared" si="244"/>
        <v>3.1263880373444411E-14</v>
      </c>
      <c r="R1554" s="18">
        <f t="shared" si="243"/>
        <v>1074.165</v>
      </c>
      <c r="S1554" s="18">
        <f t="shared" si="245"/>
        <v>113.07000000000001</v>
      </c>
    </row>
    <row r="1555" spans="1:19" ht="15" customHeight="1" x14ac:dyDescent="0.2">
      <c r="A1555" s="14">
        <f t="shared" si="247"/>
        <v>1516</v>
      </c>
      <c r="B1555" s="21" t="s">
        <v>1350</v>
      </c>
      <c r="C1555" s="15" t="s">
        <v>3</v>
      </c>
      <c r="D1555" s="21" t="s">
        <v>1200</v>
      </c>
      <c r="E1555" s="21"/>
      <c r="F1555" s="69" t="s">
        <v>4</v>
      </c>
      <c r="G1555" s="9">
        <v>38718</v>
      </c>
      <c r="H1555" s="22">
        <v>2490</v>
      </c>
      <c r="I1555" s="17">
        <v>0</v>
      </c>
      <c r="J1555" s="17">
        <f t="shared" si="248"/>
        <v>2365.5</v>
      </c>
      <c r="K1555" s="17">
        <f t="shared" si="240"/>
        <v>124.5</v>
      </c>
      <c r="L1555" s="23">
        <f t="shared" si="246"/>
        <v>124.5</v>
      </c>
      <c r="M1555" s="23">
        <v>5</v>
      </c>
      <c r="N1555" s="18">
        <f t="shared" si="241"/>
        <v>14.260273972602739</v>
      </c>
      <c r="O1555" s="23">
        <v>1182.75</v>
      </c>
      <c r="P1555" s="18">
        <f t="shared" si="242"/>
        <v>15.260273972602739</v>
      </c>
      <c r="Q1555" s="18">
        <f t="shared" si="244"/>
        <v>0</v>
      </c>
      <c r="R1555" s="18">
        <f t="shared" si="243"/>
        <v>1182.75</v>
      </c>
      <c r="S1555" s="18">
        <f t="shared" si="245"/>
        <v>124.5</v>
      </c>
    </row>
    <row r="1556" spans="1:19" ht="15" customHeight="1" x14ac:dyDescent="0.2">
      <c r="A1556" s="14">
        <f t="shared" si="247"/>
        <v>1517</v>
      </c>
      <c r="B1556" s="21" t="s">
        <v>1351</v>
      </c>
      <c r="C1556" s="15" t="s">
        <v>3</v>
      </c>
      <c r="D1556" s="21" t="s">
        <v>1200</v>
      </c>
      <c r="E1556" s="21"/>
      <c r="F1556" s="69" t="s">
        <v>4</v>
      </c>
      <c r="G1556" s="9">
        <v>38718</v>
      </c>
      <c r="H1556" s="22">
        <v>22306.63</v>
      </c>
      <c r="I1556" s="17">
        <v>0</v>
      </c>
      <c r="J1556" s="17">
        <f t="shared" si="248"/>
        <v>21191.298500000001</v>
      </c>
      <c r="K1556" s="17">
        <f t="shared" si="240"/>
        <v>1115.3315000000002</v>
      </c>
      <c r="L1556" s="23">
        <f t="shared" si="246"/>
        <v>1115.3315</v>
      </c>
      <c r="M1556" s="23">
        <v>5</v>
      </c>
      <c r="N1556" s="18">
        <f t="shared" si="241"/>
        <v>14.260273972602739</v>
      </c>
      <c r="O1556" s="23">
        <v>10595.64925</v>
      </c>
      <c r="P1556" s="18">
        <f t="shared" si="242"/>
        <v>15.260273972602739</v>
      </c>
      <c r="Q1556" s="18">
        <f t="shared" si="244"/>
        <v>4.5474735088646414E-14</v>
      </c>
      <c r="R1556" s="18">
        <f t="shared" si="243"/>
        <v>10595.64925</v>
      </c>
      <c r="S1556" s="18">
        <f t="shared" si="245"/>
        <v>1115.3315</v>
      </c>
    </row>
    <row r="1557" spans="1:19" ht="15" customHeight="1" x14ac:dyDescent="0.2">
      <c r="A1557" s="14">
        <f t="shared" si="247"/>
        <v>1518</v>
      </c>
      <c r="B1557" s="21" t="s">
        <v>1352</v>
      </c>
      <c r="C1557" s="15" t="s">
        <v>3</v>
      </c>
      <c r="D1557" s="21" t="s">
        <v>1200</v>
      </c>
      <c r="E1557" s="21"/>
      <c r="F1557" s="69" t="s">
        <v>4</v>
      </c>
      <c r="G1557" s="9">
        <v>38718</v>
      </c>
      <c r="H1557" s="22">
        <v>2190.33</v>
      </c>
      <c r="I1557" s="17">
        <v>0</v>
      </c>
      <c r="J1557" s="17">
        <f t="shared" si="248"/>
        <v>2080.8134999999997</v>
      </c>
      <c r="K1557" s="17">
        <f t="shared" si="240"/>
        <v>109.51650000000018</v>
      </c>
      <c r="L1557" s="23">
        <f t="shared" si="246"/>
        <v>109.51650000000001</v>
      </c>
      <c r="M1557" s="23">
        <v>5</v>
      </c>
      <c r="N1557" s="18">
        <f t="shared" si="241"/>
        <v>14.260273972602739</v>
      </c>
      <c r="O1557" s="23">
        <v>1040.4067499999999</v>
      </c>
      <c r="P1557" s="18">
        <f t="shared" si="242"/>
        <v>15.260273972602739</v>
      </c>
      <c r="Q1557" s="18">
        <f t="shared" si="244"/>
        <v>3.4106051316484814E-14</v>
      </c>
      <c r="R1557" s="18">
        <f t="shared" si="243"/>
        <v>1040.4067499999999</v>
      </c>
      <c r="S1557" s="18">
        <f t="shared" si="245"/>
        <v>109.51650000000001</v>
      </c>
    </row>
    <row r="1558" spans="1:19" ht="15" customHeight="1" x14ac:dyDescent="0.2">
      <c r="A1558" s="14">
        <f t="shared" si="247"/>
        <v>1519</v>
      </c>
      <c r="B1558" s="21" t="s">
        <v>1243</v>
      </c>
      <c r="C1558" s="15" t="s">
        <v>3</v>
      </c>
      <c r="D1558" s="21" t="s">
        <v>1200</v>
      </c>
      <c r="E1558" s="21"/>
      <c r="F1558" s="69" t="s">
        <v>4</v>
      </c>
      <c r="G1558" s="9">
        <v>38714</v>
      </c>
      <c r="H1558" s="22">
        <v>53932.13</v>
      </c>
      <c r="I1558" s="17">
        <v>0</v>
      </c>
      <c r="J1558" s="17">
        <f t="shared" si="248"/>
        <v>51235.523499999996</v>
      </c>
      <c r="K1558" s="17">
        <f t="shared" si="240"/>
        <v>2696.6065000000017</v>
      </c>
      <c r="L1558" s="23">
        <f t="shared" si="246"/>
        <v>2696.6064999999999</v>
      </c>
      <c r="M1558" s="23">
        <v>3</v>
      </c>
      <c r="N1558" s="18">
        <f t="shared" si="241"/>
        <v>14.271232876712329</v>
      </c>
      <c r="O1558" s="23">
        <v>25617.761749999998</v>
      </c>
      <c r="P1558" s="18">
        <f t="shared" si="242"/>
        <v>15.271232876712329</v>
      </c>
      <c r="Q1558" s="18">
        <f t="shared" si="244"/>
        <v>6.0632980118195212E-13</v>
      </c>
      <c r="R1558" s="18">
        <f t="shared" si="243"/>
        <v>25617.761749999998</v>
      </c>
      <c r="S1558" s="18">
        <f t="shared" si="245"/>
        <v>2696.6064999999999</v>
      </c>
    </row>
    <row r="1559" spans="1:19" ht="15" customHeight="1" x14ac:dyDescent="0.2">
      <c r="A1559" s="14">
        <f t="shared" si="247"/>
        <v>1520</v>
      </c>
      <c r="B1559" s="21" t="s">
        <v>1243</v>
      </c>
      <c r="C1559" s="15" t="s">
        <v>3</v>
      </c>
      <c r="D1559" s="21" t="s">
        <v>1200</v>
      </c>
      <c r="E1559" s="21"/>
      <c r="F1559" s="69" t="s">
        <v>4</v>
      </c>
      <c r="G1559" s="9">
        <v>38714</v>
      </c>
      <c r="H1559" s="22">
        <v>398567.06</v>
      </c>
      <c r="I1559" s="17">
        <v>0</v>
      </c>
      <c r="J1559" s="17">
        <f t="shared" si="248"/>
        <v>378638.70699999999</v>
      </c>
      <c r="K1559" s="17">
        <f t="shared" si="240"/>
        <v>19928.353000000003</v>
      </c>
      <c r="L1559" s="23">
        <f t="shared" si="246"/>
        <v>19928.353000000003</v>
      </c>
      <c r="M1559" s="23">
        <v>3</v>
      </c>
      <c r="N1559" s="18">
        <f t="shared" si="241"/>
        <v>14.271232876712329</v>
      </c>
      <c r="O1559" s="23">
        <v>189319.3535</v>
      </c>
      <c r="P1559" s="18">
        <f t="shared" si="242"/>
        <v>15.271232876712329</v>
      </c>
      <c r="Q1559" s="18">
        <f t="shared" si="244"/>
        <v>0</v>
      </c>
      <c r="R1559" s="18">
        <f t="shared" si="243"/>
        <v>189319.3535</v>
      </c>
      <c r="S1559" s="18">
        <f t="shared" si="245"/>
        <v>19928.353000000003</v>
      </c>
    </row>
    <row r="1560" spans="1:19" ht="15" customHeight="1" x14ac:dyDescent="0.2">
      <c r="A1560" s="14">
        <f t="shared" si="247"/>
        <v>1521</v>
      </c>
      <c r="B1560" s="21" t="s">
        <v>1353</v>
      </c>
      <c r="C1560" s="15" t="s">
        <v>3</v>
      </c>
      <c r="D1560" s="21" t="s">
        <v>1200</v>
      </c>
      <c r="E1560" s="21"/>
      <c r="F1560" s="69" t="s">
        <v>4</v>
      </c>
      <c r="G1560" s="9">
        <v>38709</v>
      </c>
      <c r="H1560" s="22">
        <v>249216.2</v>
      </c>
      <c r="I1560" s="17">
        <v>0</v>
      </c>
      <c r="J1560" s="17">
        <f t="shared" si="248"/>
        <v>236755.39</v>
      </c>
      <c r="K1560" s="17">
        <f t="shared" si="240"/>
        <v>12460.809999999998</v>
      </c>
      <c r="L1560" s="23">
        <f t="shared" si="246"/>
        <v>12460.810000000001</v>
      </c>
      <c r="M1560" s="23">
        <v>5</v>
      </c>
      <c r="N1560" s="18">
        <f t="shared" si="241"/>
        <v>14.284931506849315</v>
      </c>
      <c r="O1560" s="23">
        <v>118377.69500000001</v>
      </c>
      <c r="P1560" s="18">
        <f t="shared" si="242"/>
        <v>15.284931506849315</v>
      </c>
      <c r="Q1560" s="18">
        <f t="shared" si="244"/>
        <v>-7.2759576141834263E-13</v>
      </c>
      <c r="R1560" s="18">
        <f t="shared" si="243"/>
        <v>118377.69500000001</v>
      </c>
      <c r="S1560" s="18">
        <f t="shared" si="245"/>
        <v>12460.810000000001</v>
      </c>
    </row>
    <row r="1561" spans="1:19" ht="15" customHeight="1" x14ac:dyDescent="0.2">
      <c r="A1561" s="14">
        <f t="shared" si="247"/>
        <v>1522</v>
      </c>
      <c r="B1561" s="21" t="s">
        <v>1354</v>
      </c>
      <c r="C1561" s="15" t="s">
        <v>3</v>
      </c>
      <c r="D1561" s="21" t="s">
        <v>1200</v>
      </c>
      <c r="E1561" s="21"/>
      <c r="F1561" s="69" t="s">
        <v>4</v>
      </c>
      <c r="G1561" s="9">
        <v>38686</v>
      </c>
      <c r="H1561" s="22">
        <v>141213.66</v>
      </c>
      <c r="I1561" s="17">
        <v>0</v>
      </c>
      <c r="J1561" s="17">
        <f t="shared" si="248"/>
        <v>134152.97700000001</v>
      </c>
      <c r="K1561" s="17">
        <f t="shared" si="240"/>
        <v>7060.68299999999</v>
      </c>
      <c r="L1561" s="23">
        <f t="shared" si="246"/>
        <v>7060.6830000000009</v>
      </c>
      <c r="M1561" s="23">
        <v>5</v>
      </c>
      <c r="N1561" s="18">
        <f t="shared" si="241"/>
        <v>14.347945205479451</v>
      </c>
      <c r="O1561" s="23">
        <v>67076.488500000007</v>
      </c>
      <c r="P1561" s="18">
        <f t="shared" si="242"/>
        <v>15.347945205479451</v>
      </c>
      <c r="Q1561" s="18">
        <f t="shared" si="244"/>
        <v>-2.1827872842550281E-12</v>
      </c>
      <c r="R1561" s="18">
        <f t="shared" si="243"/>
        <v>67076.488500000007</v>
      </c>
      <c r="S1561" s="18">
        <f t="shared" si="245"/>
        <v>7060.6830000000009</v>
      </c>
    </row>
    <row r="1562" spans="1:19" ht="15" customHeight="1" x14ac:dyDescent="0.2">
      <c r="A1562" s="14">
        <f t="shared" si="247"/>
        <v>1523</v>
      </c>
      <c r="B1562" s="21" t="s">
        <v>1343</v>
      </c>
      <c r="C1562" s="15" t="s">
        <v>3</v>
      </c>
      <c r="D1562" s="21" t="s">
        <v>1200</v>
      </c>
      <c r="E1562" s="21"/>
      <c r="F1562" s="69" t="s">
        <v>4</v>
      </c>
      <c r="G1562" s="9">
        <v>38668</v>
      </c>
      <c r="H1562" s="22">
        <v>7850</v>
      </c>
      <c r="I1562" s="17">
        <v>0</v>
      </c>
      <c r="J1562" s="17">
        <f t="shared" si="248"/>
        <v>7457.5</v>
      </c>
      <c r="K1562" s="17">
        <f t="shared" si="240"/>
        <v>392.5</v>
      </c>
      <c r="L1562" s="23">
        <f t="shared" si="246"/>
        <v>392.5</v>
      </c>
      <c r="M1562" s="23">
        <v>5</v>
      </c>
      <c r="N1562" s="18">
        <f t="shared" si="241"/>
        <v>14.397260273972602</v>
      </c>
      <c r="O1562" s="23">
        <v>3728.75</v>
      </c>
      <c r="P1562" s="18">
        <f t="shared" si="242"/>
        <v>15.397260273972602</v>
      </c>
      <c r="Q1562" s="18">
        <f t="shared" si="244"/>
        <v>0</v>
      </c>
      <c r="R1562" s="18">
        <f t="shared" si="243"/>
        <v>3728.75</v>
      </c>
      <c r="S1562" s="18">
        <f t="shared" si="245"/>
        <v>392.5</v>
      </c>
    </row>
    <row r="1563" spans="1:19" ht="15" customHeight="1" x14ac:dyDescent="0.2">
      <c r="A1563" s="14">
        <f t="shared" si="247"/>
        <v>1524</v>
      </c>
      <c r="B1563" s="21" t="s">
        <v>1204</v>
      </c>
      <c r="C1563" s="15" t="s">
        <v>3</v>
      </c>
      <c r="D1563" s="21" t="s">
        <v>1200</v>
      </c>
      <c r="E1563" s="21"/>
      <c r="F1563" s="69" t="s">
        <v>4</v>
      </c>
      <c r="G1563" s="9">
        <v>38627</v>
      </c>
      <c r="H1563" s="22">
        <v>15466.67</v>
      </c>
      <c r="I1563" s="17">
        <v>0</v>
      </c>
      <c r="J1563" s="17">
        <f t="shared" si="248"/>
        <v>14693.336499999999</v>
      </c>
      <c r="K1563" s="17">
        <f t="shared" si="240"/>
        <v>773.33350000000064</v>
      </c>
      <c r="L1563" s="23">
        <f t="shared" si="246"/>
        <v>773.33350000000007</v>
      </c>
      <c r="M1563" s="23">
        <v>5</v>
      </c>
      <c r="N1563" s="18">
        <f t="shared" si="241"/>
        <v>14.509589041095891</v>
      </c>
      <c r="O1563" s="23">
        <v>7346.6682499999997</v>
      </c>
      <c r="P1563" s="18">
        <f t="shared" si="242"/>
        <v>15.509589041095891</v>
      </c>
      <c r="Q1563" s="18">
        <f t="shared" si="244"/>
        <v>1.1368683772161603E-13</v>
      </c>
      <c r="R1563" s="18">
        <f t="shared" si="243"/>
        <v>7346.6682499999997</v>
      </c>
      <c r="S1563" s="18">
        <f t="shared" si="245"/>
        <v>773.33350000000007</v>
      </c>
    </row>
    <row r="1564" spans="1:19" ht="15" customHeight="1" x14ac:dyDescent="0.2">
      <c r="A1564" s="14">
        <f t="shared" si="247"/>
        <v>1525</v>
      </c>
      <c r="B1564" s="21" t="s">
        <v>1204</v>
      </c>
      <c r="C1564" s="15" t="s">
        <v>3</v>
      </c>
      <c r="D1564" s="21" t="s">
        <v>1200</v>
      </c>
      <c r="E1564" s="21"/>
      <c r="F1564" s="69" t="s">
        <v>4</v>
      </c>
      <c r="G1564" s="9">
        <v>38627</v>
      </c>
      <c r="H1564" s="22">
        <v>30933.34</v>
      </c>
      <c r="I1564" s="17">
        <v>0</v>
      </c>
      <c r="J1564" s="17">
        <f t="shared" si="248"/>
        <v>29386.672999999999</v>
      </c>
      <c r="K1564" s="17">
        <f t="shared" si="240"/>
        <v>1546.6670000000013</v>
      </c>
      <c r="L1564" s="23">
        <f t="shared" si="246"/>
        <v>1546.6670000000001</v>
      </c>
      <c r="M1564" s="23">
        <v>5</v>
      </c>
      <c r="N1564" s="18">
        <f t="shared" si="241"/>
        <v>14.509589041095891</v>
      </c>
      <c r="O1564" s="23">
        <v>14693.336499999999</v>
      </c>
      <c r="P1564" s="18">
        <f t="shared" si="242"/>
        <v>15.509589041095891</v>
      </c>
      <c r="Q1564" s="18">
        <f t="shared" si="244"/>
        <v>2.2737367544323206E-13</v>
      </c>
      <c r="R1564" s="18">
        <f t="shared" si="243"/>
        <v>14693.336499999999</v>
      </c>
      <c r="S1564" s="18">
        <f t="shared" si="245"/>
        <v>1546.6670000000001</v>
      </c>
    </row>
    <row r="1565" spans="1:19" ht="15" customHeight="1" x14ac:dyDescent="0.2">
      <c r="A1565" s="14">
        <f t="shared" si="247"/>
        <v>1526</v>
      </c>
      <c r="B1565" s="21" t="s">
        <v>1243</v>
      </c>
      <c r="C1565" s="15" t="s">
        <v>3</v>
      </c>
      <c r="D1565" s="21" t="s">
        <v>1200</v>
      </c>
      <c r="E1565" s="21"/>
      <c r="F1565" s="69" t="s">
        <v>4</v>
      </c>
      <c r="G1565" s="9">
        <v>38618</v>
      </c>
      <c r="H1565" s="22">
        <v>375050</v>
      </c>
      <c r="I1565" s="17">
        <v>0</v>
      </c>
      <c r="J1565" s="17">
        <f t="shared" si="248"/>
        <v>356297.5</v>
      </c>
      <c r="K1565" s="17">
        <f t="shared" si="240"/>
        <v>18752.5</v>
      </c>
      <c r="L1565" s="23">
        <f t="shared" si="246"/>
        <v>18752.5</v>
      </c>
      <c r="M1565" s="23">
        <v>3</v>
      </c>
      <c r="N1565" s="18">
        <f t="shared" si="241"/>
        <v>14.534246575342467</v>
      </c>
      <c r="O1565" s="23">
        <v>178148.75</v>
      </c>
      <c r="P1565" s="18">
        <f t="shared" si="242"/>
        <v>15.534246575342467</v>
      </c>
      <c r="Q1565" s="18">
        <f t="shared" si="244"/>
        <v>0</v>
      </c>
      <c r="R1565" s="18">
        <f t="shared" si="243"/>
        <v>178148.75</v>
      </c>
      <c r="S1565" s="18">
        <f t="shared" si="245"/>
        <v>18752.5</v>
      </c>
    </row>
    <row r="1566" spans="1:19" ht="15" customHeight="1" x14ac:dyDescent="0.2">
      <c r="A1566" s="14">
        <f t="shared" si="247"/>
        <v>1527</v>
      </c>
      <c r="B1566" s="21" t="s">
        <v>1355</v>
      </c>
      <c r="C1566" s="15" t="s">
        <v>3</v>
      </c>
      <c r="D1566" s="21" t="s">
        <v>1200</v>
      </c>
      <c r="E1566" s="21"/>
      <c r="F1566" s="69" t="s">
        <v>4</v>
      </c>
      <c r="G1566" s="9">
        <v>38561</v>
      </c>
      <c r="H1566" s="22">
        <v>38148</v>
      </c>
      <c r="I1566" s="17">
        <v>0</v>
      </c>
      <c r="J1566" s="17">
        <f t="shared" si="248"/>
        <v>36240.6</v>
      </c>
      <c r="K1566" s="17">
        <f t="shared" si="240"/>
        <v>1907.4000000000015</v>
      </c>
      <c r="L1566" s="23">
        <f t="shared" si="246"/>
        <v>1907.4</v>
      </c>
      <c r="M1566" s="23">
        <v>3</v>
      </c>
      <c r="N1566" s="18">
        <f t="shared" si="241"/>
        <v>14.69041095890411</v>
      </c>
      <c r="O1566" s="23">
        <v>18120.3</v>
      </c>
      <c r="P1566" s="18">
        <f t="shared" si="242"/>
        <v>15.69041095890411</v>
      </c>
      <c r="Q1566" s="18">
        <f t="shared" si="244"/>
        <v>4.5474735088646412E-13</v>
      </c>
      <c r="R1566" s="18">
        <f t="shared" si="243"/>
        <v>18120.3</v>
      </c>
      <c r="S1566" s="18">
        <f t="shared" si="245"/>
        <v>1907.4</v>
      </c>
    </row>
    <row r="1567" spans="1:19" ht="15" customHeight="1" x14ac:dyDescent="0.2">
      <c r="A1567" s="14">
        <f t="shared" si="247"/>
        <v>1528</v>
      </c>
      <c r="B1567" s="21" t="s">
        <v>1356</v>
      </c>
      <c r="C1567" s="15" t="s">
        <v>3</v>
      </c>
      <c r="D1567" s="21" t="s">
        <v>1200</v>
      </c>
      <c r="E1567" s="21"/>
      <c r="F1567" s="69" t="s">
        <v>4</v>
      </c>
      <c r="G1567" s="9">
        <v>38533</v>
      </c>
      <c r="H1567" s="22">
        <v>6100</v>
      </c>
      <c r="I1567" s="17">
        <v>0</v>
      </c>
      <c r="J1567" s="17">
        <f t="shared" si="248"/>
        <v>5795</v>
      </c>
      <c r="K1567" s="17">
        <f t="shared" si="240"/>
        <v>305</v>
      </c>
      <c r="L1567" s="23">
        <f t="shared" si="246"/>
        <v>305</v>
      </c>
      <c r="M1567" s="23">
        <v>3</v>
      </c>
      <c r="N1567" s="18">
        <f t="shared" si="241"/>
        <v>14.767123287671232</v>
      </c>
      <c r="O1567" s="23">
        <v>2897.5</v>
      </c>
      <c r="P1567" s="18">
        <f t="shared" si="242"/>
        <v>15.767123287671232</v>
      </c>
      <c r="Q1567" s="18">
        <f t="shared" si="244"/>
        <v>0</v>
      </c>
      <c r="R1567" s="18">
        <f t="shared" si="243"/>
        <v>2897.5</v>
      </c>
      <c r="S1567" s="18">
        <f t="shared" si="245"/>
        <v>305</v>
      </c>
    </row>
    <row r="1568" spans="1:19" ht="15" customHeight="1" x14ac:dyDescent="0.2">
      <c r="A1568" s="14">
        <f t="shared" si="247"/>
        <v>1529</v>
      </c>
      <c r="B1568" s="21" t="s">
        <v>1356</v>
      </c>
      <c r="C1568" s="15" t="s">
        <v>3</v>
      </c>
      <c r="D1568" s="21" t="s">
        <v>1200</v>
      </c>
      <c r="E1568" s="21"/>
      <c r="F1568" s="69" t="s">
        <v>4</v>
      </c>
      <c r="G1568" s="9">
        <v>38518</v>
      </c>
      <c r="H1568" s="22">
        <v>50000</v>
      </c>
      <c r="I1568" s="17">
        <v>0</v>
      </c>
      <c r="J1568" s="17">
        <f t="shared" si="248"/>
        <v>47500</v>
      </c>
      <c r="K1568" s="17">
        <f t="shared" si="240"/>
        <v>2500</v>
      </c>
      <c r="L1568" s="23">
        <f t="shared" si="246"/>
        <v>2500</v>
      </c>
      <c r="M1568" s="23">
        <v>3</v>
      </c>
      <c r="N1568" s="18">
        <f t="shared" si="241"/>
        <v>14.808219178082192</v>
      </c>
      <c r="O1568" s="23">
        <v>23750</v>
      </c>
      <c r="P1568" s="18">
        <f t="shared" si="242"/>
        <v>15.808219178082192</v>
      </c>
      <c r="Q1568" s="18">
        <f t="shared" si="244"/>
        <v>0</v>
      </c>
      <c r="R1568" s="18">
        <f t="shared" si="243"/>
        <v>23750</v>
      </c>
      <c r="S1568" s="18">
        <f t="shared" si="245"/>
        <v>2500</v>
      </c>
    </row>
    <row r="1569" spans="1:19" ht="15" customHeight="1" x14ac:dyDescent="0.2">
      <c r="A1569" s="14">
        <f t="shared" si="247"/>
        <v>1530</v>
      </c>
      <c r="B1569" s="21" t="s">
        <v>1357</v>
      </c>
      <c r="C1569" s="15" t="s">
        <v>3</v>
      </c>
      <c r="D1569" s="21" t="s">
        <v>1200</v>
      </c>
      <c r="E1569" s="21"/>
      <c r="F1569" s="69" t="s">
        <v>4</v>
      </c>
      <c r="G1569" s="9">
        <v>38508</v>
      </c>
      <c r="H1569" s="22">
        <v>17500</v>
      </c>
      <c r="I1569" s="17">
        <v>0</v>
      </c>
      <c r="J1569" s="17">
        <f t="shared" si="248"/>
        <v>16625</v>
      </c>
      <c r="K1569" s="17">
        <f t="shared" si="240"/>
        <v>875</v>
      </c>
      <c r="L1569" s="23">
        <f t="shared" si="246"/>
        <v>875</v>
      </c>
      <c r="M1569" s="23">
        <v>5</v>
      </c>
      <c r="N1569" s="18">
        <f t="shared" si="241"/>
        <v>14.835616438356164</v>
      </c>
      <c r="O1569" s="23">
        <v>8312.5</v>
      </c>
      <c r="P1569" s="18">
        <f t="shared" si="242"/>
        <v>15.835616438356164</v>
      </c>
      <c r="Q1569" s="18">
        <f t="shared" si="244"/>
        <v>0</v>
      </c>
      <c r="R1569" s="18">
        <f t="shared" si="243"/>
        <v>8312.5</v>
      </c>
      <c r="S1569" s="18">
        <f t="shared" si="245"/>
        <v>875</v>
      </c>
    </row>
    <row r="1570" spans="1:19" ht="15" customHeight="1" x14ac:dyDescent="0.2">
      <c r="A1570" s="14">
        <f t="shared" si="247"/>
        <v>1531</v>
      </c>
      <c r="B1570" s="21" t="s">
        <v>1355</v>
      </c>
      <c r="C1570" s="15" t="s">
        <v>3</v>
      </c>
      <c r="D1570" s="21" t="s">
        <v>1200</v>
      </c>
      <c r="E1570" s="21"/>
      <c r="F1570" s="69" t="s">
        <v>4</v>
      </c>
      <c r="G1570" s="9">
        <v>38467</v>
      </c>
      <c r="H1570" s="22">
        <v>81308</v>
      </c>
      <c r="I1570" s="17">
        <v>0</v>
      </c>
      <c r="J1570" s="17">
        <f t="shared" si="248"/>
        <v>77242.600000000006</v>
      </c>
      <c r="K1570" s="17">
        <f t="shared" si="240"/>
        <v>4065.3999999999942</v>
      </c>
      <c r="L1570" s="23">
        <f t="shared" si="246"/>
        <v>4065.4</v>
      </c>
      <c r="M1570" s="23">
        <v>3</v>
      </c>
      <c r="N1570" s="18">
        <f t="shared" si="241"/>
        <v>14.947945205479453</v>
      </c>
      <c r="O1570" s="23">
        <v>38621.300000000003</v>
      </c>
      <c r="P1570" s="18">
        <f t="shared" si="242"/>
        <v>15.947945205479453</v>
      </c>
      <c r="Q1570" s="18">
        <f t="shared" si="244"/>
        <v>-1.9705718538413444E-12</v>
      </c>
      <c r="R1570" s="18">
        <f t="shared" si="243"/>
        <v>38621.300000000003</v>
      </c>
      <c r="S1570" s="18">
        <f t="shared" si="245"/>
        <v>4065.4</v>
      </c>
    </row>
    <row r="1571" spans="1:19" ht="15" customHeight="1" x14ac:dyDescent="0.2">
      <c r="A1571" s="14">
        <f t="shared" si="247"/>
        <v>1532</v>
      </c>
      <c r="B1571" s="21" t="s">
        <v>1358</v>
      </c>
      <c r="C1571" s="15" t="s">
        <v>3</v>
      </c>
      <c r="D1571" s="21" t="s">
        <v>1200</v>
      </c>
      <c r="E1571" s="21"/>
      <c r="F1571" s="69" t="s">
        <v>4</v>
      </c>
      <c r="G1571" s="9">
        <v>38457</v>
      </c>
      <c r="H1571" s="22">
        <v>11930</v>
      </c>
      <c r="I1571" s="17">
        <v>0</v>
      </c>
      <c r="J1571" s="17">
        <f t="shared" si="248"/>
        <v>11333.5</v>
      </c>
      <c r="K1571" s="17">
        <f t="shared" si="240"/>
        <v>596.5</v>
      </c>
      <c r="L1571" s="23">
        <f t="shared" si="246"/>
        <v>596.5</v>
      </c>
      <c r="M1571" s="23">
        <v>5</v>
      </c>
      <c r="N1571" s="18">
        <f t="shared" si="241"/>
        <v>14.975342465753425</v>
      </c>
      <c r="O1571" s="23">
        <v>5666.75</v>
      </c>
      <c r="P1571" s="18">
        <f t="shared" si="242"/>
        <v>15.975342465753425</v>
      </c>
      <c r="Q1571" s="18">
        <f t="shared" si="244"/>
        <v>0</v>
      </c>
      <c r="R1571" s="18">
        <f t="shared" si="243"/>
        <v>5666.75</v>
      </c>
      <c r="S1571" s="18">
        <f t="shared" si="245"/>
        <v>596.5</v>
      </c>
    </row>
    <row r="1572" spans="1:19" ht="15" customHeight="1" x14ac:dyDescent="0.2">
      <c r="A1572" s="14">
        <f t="shared" si="247"/>
        <v>1533</v>
      </c>
      <c r="B1572" s="21" t="s">
        <v>1359</v>
      </c>
      <c r="C1572" s="15" t="s">
        <v>3</v>
      </c>
      <c r="D1572" s="21" t="s">
        <v>1200</v>
      </c>
      <c r="E1572" s="21"/>
      <c r="F1572" s="69" t="s">
        <v>4</v>
      </c>
      <c r="G1572" s="9">
        <v>38453</v>
      </c>
      <c r="H1572" s="22">
        <v>1584</v>
      </c>
      <c r="I1572" s="17">
        <v>0</v>
      </c>
      <c r="J1572" s="17">
        <f t="shared" si="248"/>
        <v>1504.8</v>
      </c>
      <c r="K1572" s="17">
        <f t="shared" si="240"/>
        <v>79.200000000000045</v>
      </c>
      <c r="L1572" s="23">
        <f t="shared" si="246"/>
        <v>79.2</v>
      </c>
      <c r="M1572" s="23">
        <v>10</v>
      </c>
      <c r="N1572" s="18">
        <f t="shared" si="241"/>
        <v>14.986301369863014</v>
      </c>
      <c r="O1572" s="23">
        <v>752.4</v>
      </c>
      <c r="P1572" s="18">
        <f t="shared" si="242"/>
        <v>15.986301369863014</v>
      </c>
      <c r="Q1572" s="18">
        <f t="shared" si="244"/>
        <v>4.2632564145606017E-15</v>
      </c>
      <c r="R1572" s="18">
        <f t="shared" si="243"/>
        <v>752.4</v>
      </c>
      <c r="S1572" s="18">
        <f t="shared" si="245"/>
        <v>79.2</v>
      </c>
    </row>
    <row r="1573" spans="1:19" ht="15" customHeight="1" x14ac:dyDescent="0.2">
      <c r="A1573" s="14">
        <f t="shared" si="247"/>
        <v>1534</v>
      </c>
      <c r="B1573" s="21" t="s">
        <v>1360</v>
      </c>
      <c r="C1573" s="15" t="s">
        <v>3</v>
      </c>
      <c r="D1573" s="21" t="s">
        <v>1200</v>
      </c>
      <c r="E1573" s="21"/>
      <c r="F1573" s="69" t="s">
        <v>4</v>
      </c>
      <c r="G1573" s="9">
        <v>38444</v>
      </c>
      <c r="H1573" s="22">
        <v>137520</v>
      </c>
      <c r="I1573" s="17">
        <v>0</v>
      </c>
      <c r="J1573" s="17">
        <f t="shared" si="248"/>
        <v>130644</v>
      </c>
      <c r="K1573" s="17">
        <f t="shared" si="240"/>
        <v>6876</v>
      </c>
      <c r="L1573" s="23">
        <f t="shared" si="246"/>
        <v>6876</v>
      </c>
      <c r="M1573" s="23">
        <v>3</v>
      </c>
      <c r="N1573" s="18">
        <f t="shared" si="241"/>
        <v>15.010958904109589</v>
      </c>
      <c r="O1573" s="23">
        <v>65322</v>
      </c>
      <c r="P1573" s="18">
        <f t="shared" si="242"/>
        <v>16.010958904109589</v>
      </c>
      <c r="Q1573" s="18">
        <f t="shared" si="244"/>
        <v>0</v>
      </c>
      <c r="R1573" s="18">
        <f t="shared" si="243"/>
        <v>65322</v>
      </c>
      <c r="S1573" s="18">
        <f t="shared" si="245"/>
        <v>6876</v>
      </c>
    </row>
    <row r="1574" spans="1:19" ht="15" customHeight="1" x14ac:dyDescent="0.2">
      <c r="A1574" s="14">
        <f t="shared" si="247"/>
        <v>1535</v>
      </c>
      <c r="B1574" s="21" t="s">
        <v>1209</v>
      </c>
      <c r="C1574" s="15" t="s">
        <v>3</v>
      </c>
      <c r="D1574" s="21" t="s">
        <v>1200</v>
      </c>
      <c r="E1574" s="21"/>
      <c r="F1574" s="69" t="s">
        <v>4</v>
      </c>
      <c r="G1574" s="9">
        <v>38442</v>
      </c>
      <c r="H1574" s="22">
        <v>6389.44</v>
      </c>
      <c r="I1574" s="17">
        <v>0</v>
      </c>
      <c r="J1574" s="17">
        <f t="shared" si="248"/>
        <v>6069.9679999999998</v>
      </c>
      <c r="K1574" s="17">
        <f t="shared" ref="K1574:K1637" si="249">H1574+I1574-J1574</f>
        <v>319.47199999999975</v>
      </c>
      <c r="L1574" s="23">
        <f t="shared" si="246"/>
        <v>319.47199999999998</v>
      </c>
      <c r="M1574" s="23">
        <v>3</v>
      </c>
      <c r="N1574" s="18">
        <f t="shared" ref="N1574:N1637" si="250">IF(($N$35-G1574+1)/365&gt;0,($N$35-G1574+1)/365,0)</f>
        <v>15.016438356164384</v>
      </c>
      <c r="O1574" s="23">
        <v>3034.9839999999999</v>
      </c>
      <c r="P1574" s="18">
        <f t="shared" ref="P1574:P1637" si="251">($P$35-G1574+1)/365</f>
        <v>16.016438356164382</v>
      </c>
      <c r="Q1574" s="18">
        <f t="shared" si="244"/>
        <v>-7.5791225147743889E-14</v>
      </c>
      <c r="R1574" s="18">
        <f t="shared" ref="R1574:R1637" si="252">Q1574+O1574</f>
        <v>3034.9839999999999</v>
      </c>
      <c r="S1574" s="18">
        <f t="shared" si="245"/>
        <v>319.47199999999998</v>
      </c>
    </row>
    <row r="1575" spans="1:19" ht="15" customHeight="1" x14ac:dyDescent="0.2">
      <c r="A1575" s="14">
        <f t="shared" si="247"/>
        <v>1536</v>
      </c>
      <c r="B1575" s="21" t="s">
        <v>1361</v>
      </c>
      <c r="C1575" s="15" t="s">
        <v>3</v>
      </c>
      <c r="D1575" s="21" t="s">
        <v>1200</v>
      </c>
      <c r="E1575" s="21"/>
      <c r="F1575" s="69" t="s">
        <v>4</v>
      </c>
      <c r="G1575" s="9">
        <v>38439</v>
      </c>
      <c r="H1575" s="22">
        <v>163330</v>
      </c>
      <c r="I1575" s="17">
        <v>0</v>
      </c>
      <c r="J1575" s="17">
        <f t="shared" si="248"/>
        <v>155163.5</v>
      </c>
      <c r="K1575" s="17">
        <f t="shared" si="249"/>
        <v>8166.5</v>
      </c>
      <c r="L1575" s="23">
        <f t="shared" si="246"/>
        <v>8166.5</v>
      </c>
      <c r="M1575" s="23">
        <v>3</v>
      </c>
      <c r="N1575" s="18">
        <f t="shared" si="250"/>
        <v>15.024657534246575</v>
      </c>
      <c r="O1575" s="23">
        <v>77581.75</v>
      </c>
      <c r="P1575" s="18">
        <f t="shared" si="251"/>
        <v>16.024657534246575</v>
      </c>
      <c r="Q1575" s="18">
        <f t="shared" si="244"/>
        <v>0</v>
      </c>
      <c r="R1575" s="18">
        <f t="shared" si="252"/>
        <v>77581.75</v>
      </c>
      <c r="S1575" s="18">
        <f t="shared" si="245"/>
        <v>8166.5</v>
      </c>
    </row>
    <row r="1576" spans="1:19" ht="15" customHeight="1" x14ac:dyDescent="0.2">
      <c r="A1576" s="14">
        <f t="shared" si="247"/>
        <v>1537</v>
      </c>
      <c r="B1576" s="21" t="s">
        <v>1330</v>
      </c>
      <c r="C1576" s="15" t="s">
        <v>3</v>
      </c>
      <c r="D1576" s="21" t="s">
        <v>1200</v>
      </c>
      <c r="E1576" s="21"/>
      <c r="F1576" s="69" t="s">
        <v>4</v>
      </c>
      <c r="G1576" s="9">
        <v>38383</v>
      </c>
      <c r="H1576" s="22">
        <v>6590</v>
      </c>
      <c r="I1576" s="17">
        <v>0</v>
      </c>
      <c r="J1576" s="17">
        <f t="shared" si="248"/>
        <v>6260.5</v>
      </c>
      <c r="K1576" s="17">
        <f t="shared" si="249"/>
        <v>329.5</v>
      </c>
      <c r="L1576" s="23">
        <f t="shared" si="246"/>
        <v>329.5</v>
      </c>
      <c r="M1576" s="23">
        <v>5</v>
      </c>
      <c r="N1576" s="18">
        <f t="shared" si="250"/>
        <v>15.178082191780822</v>
      </c>
      <c r="O1576" s="23">
        <v>3130.25</v>
      </c>
      <c r="P1576" s="18">
        <f t="shared" si="251"/>
        <v>16.17808219178082</v>
      </c>
      <c r="Q1576" s="18">
        <f t="shared" ref="Q1576:Q1639" si="253">(P1576-N1576)/M1576*(K1576-L1576)</f>
        <v>0</v>
      </c>
      <c r="R1576" s="18">
        <f t="shared" si="252"/>
        <v>3130.25</v>
      </c>
      <c r="S1576" s="18">
        <f t="shared" ref="S1576:S1639" si="254">+IF(N1576&gt;P1576,0,L1576)</f>
        <v>329.5</v>
      </c>
    </row>
    <row r="1577" spans="1:19" ht="15" customHeight="1" x14ac:dyDescent="0.2">
      <c r="A1577" s="14">
        <f t="shared" si="247"/>
        <v>1538</v>
      </c>
      <c r="B1577" s="21" t="s">
        <v>1362</v>
      </c>
      <c r="C1577" s="15" t="s">
        <v>3</v>
      </c>
      <c r="D1577" s="21" t="s">
        <v>1200</v>
      </c>
      <c r="E1577" s="21"/>
      <c r="F1577" s="69" t="s">
        <v>4</v>
      </c>
      <c r="G1577" s="9">
        <v>38383</v>
      </c>
      <c r="H1577" s="22">
        <v>5600</v>
      </c>
      <c r="I1577" s="17">
        <v>0</v>
      </c>
      <c r="J1577" s="17">
        <f t="shared" si="248"/>
        <v>5320</v>
      </c>
      <c r="K1577" s="17">
        <f t="shared" si="249"/>
        <v>280</v>
      </c>
      <c r="L1577" s="23">
        <f t="shared" si="246"/>
        <v>280</v>
      </c>
      <c r="M1577" s="23">
        <v>5</v>
      </c>
      <c r="N1577" s="18">
        <f t="shared" si="250"/>
        <v>15.178082191780822</v>
      </c>
      <c r="O1577" s="23">
        <v>2660</v>
      </c>
      <c r="P1577" s="18">
        <f t="shared" si="251"/>
        <v>16.17808219178082</v>
      </c>
      <c r="Q1577" s="18">
        <f t="shared" si="253"/>
        <v>0</v>
      </c>
      <c r="R1577" s="18">
        <f t="shared" si="252"/>
        <v>2660</v>
      </c>
      <c r="S1577" s="18">
        <f t="shared" si="254"/>
        <v>280</v>
      </c>
    </row>
    <row r="1578" spans="1:19" ht="15" customHeight="1" x14ac:dyDescent="0.2">
      <c r="A1578" s="14">
        <f t="shared" si="247"/>
        <v>1539</v>
      </c>
      <c r="B1578" s="21" t="s">
        <v>1363</v>
      </c>
      <c r="C1578" s="15" t="s">
        <v>3</v>
      </c>
      <c r="D1578" s="21" t="s">
        <v>1200</v>
      </c>
      <c r="E1578" s="21"/>
      <c r="F1578" s="69" t="s">
        <v>4</v>
      </c>
      <c r="G1578" s="9">
        <v>38353</v>
      </c>
      <c r="H1578" s="22">
        <v>13787.21</v>
      </c>
      <c r="I1578" s="17">
        <v>0</v>
      </c>
      <c r="J1578" s="17">
        <f t="shared" si="248"/>
        <v>13097.849499999998</v>
      </c>
      <c r="K1578" s="17">
        <f t="shared" si="249"/>
        <v>689.36050000000068</v>
      </c>
      <c r="L1578" s="23">
        <f t="shared" ref="L1578:L1641" si="255">H1578*0.05</f>
        <v>689.3605</v>
      </c>
      <c r="M1578" s="23">
        <v>5</v>
      </c>
      <c r="N1578" s="18">
        <f t="shared" si="250"/>
        <v>15.260273972602739</v>
      </c>
      <c r="O1578" s="23">
        <v>6548.9247499999992</v>
      </c>
      <c r="P1578" s="18">
        <f t="shared" si="251"/>
        <v>16.260273972602739</v>
      </c>
      <c r="Q1578" s="18">
        <f t="shared" si="253"/>
        <v>1.3642420526593926E-13</v>
      </c>
      <c r="R1578" s="18">
        <f t="shared" si="252"/>
        <v>6548.9247499999992</v>
      </c>
      <c r="S1578" s="18">
        <f t="shared" si="254"/>
        <v>689.3605</v>
      </c>
    </row>
    <row r="1579" spans="1:19" ht="15" customHeight="1" x14ac:dyDescent="0.2">
      <c r="A1579" s="14">
        <f t="shared" ref="A1579:A1642" si="256">+A1578+1</f>
        <v>1540</v>
      </c>
      <c r="B1579" s="21" t="s">
        <v>1364</v>
      </c>
      <c r="C1579" s="15" t="s">
        <v>3</v>
      </c>
      <c r="D1579" s="21" t="s">
        <v>1200</v>
      </c>
      <c r="E1579" s="21"/>
      <c r="F1579" s="69" t="s">
        <v>4</v>
      </c>
      <c r="G1579" s="9">
        <v>38353</v>
      </c>
      <c r="H1579" s="22">
        <v>6425.37</v>
      </c>
      <c r="I1579" s="17">
        <v>0</v>
      </c>
      <c r="J1579" s="17">
        <f t="shared" si="248"/>
        <v>6104.1014999999998</v>
      </c>
      <c r="K1579" s="17">
        <f t="shared" si="249"/>
        <v>321.26850000000013</v>
      </c>
      <c r="L1579" s="23">
        <f t="shared" si="255"/>
        <v>321.26850000000002</v>
      </c>
      <c r="M1579" s="23">
        <v>5</v>
      </c>
      <c r="N1579" s="18">
        <f t="shared" si="250"/>
        <v>15.260273972602739</v>
      </c>
      <c r="O1579" s="23">
        <v>3052.0507499999999</v>
      </c>
      <c r="P1579" s="18">
        <f t="shared" si="251"/>
        <v>16.260273972602739</v>
      </c>
      <c r="Q1579" s="18">
        <f t="shared" si="253"/>
        <v>2.2737367544323207E-14</v>
      </c>
      <c r="R1579" s="18">
        <f t="shared" si="252"/>
        <v>3052.0507499999999</v>
      </c>
      <c r="S1579" s="18">
        <f t="shared" si="254"/>
        <v>321.26850000000002</v>
      </c>
    </row>
    <row r="1580" spans="1:19" ht="15" customHeight="1" x14ac:dyDescent="0.2">
      <c r="A1580" s="14">
        <f t="shared" si="256"/>
        <v>1541</v>
      </c>
      <c r="B1580" s="21" t="s">
        <v>1365</v>
      </c>
      <c r="C1580" s="15" t="s">
        <v>3</v>
      </c>
      <c r="D1580" s="21" t="s">
        <v>1200</v>
      </c>
      <c r="E1580" s="21"/>
      <c r="F1580" s="69" t="s">
        <v>4</v>
      </c>
      <c r="G1580" s="9">
        <v>38353</v>
      </c>
      <c r="H1580" s="22">
        <v>4269.6000000000004</v>
      </c>
      <c r="I1580" s="17">
        <v>0</v>
      </c>
      <c r="J1580" s="17">
        <f t="shared" si="248"/>
        <v>4056.1200000000003</v>
      </c>
      <c r="K1580" s="17">
        <f t="shared" si="249"/>
        <v>213.48000000000002</v>
      </c>
      <c r="L1580" s="23">
        <f t="shared" si="255"/>
        <v>213.48000000000002</v>
      </c>
      <c r="M1580" s="23">
        <v>5</v>
      </c>
      <c r="N1580" s="18">
        <f t="shared" si="250"/>
        <v>15.260273972602739</v>
      </c>
      <c r="O1580" s="23">
        <v>2028.0600000000002</v>
      </c>
      <c r="P1580" s="18">
        <f t="shared" si="251"/>
        <v>16.260273972602739</v>
      </c>
      <c r="Q1580" s="18">
        <f t="shared" si="253"/>
        <v>0</v>
      </c>
      <c r="R1580" s="18">
        <f t="shared" si="252"/>
        <v>2028.0600000000002</v>
      </c>
      <c r="S1580" s="18">
        <f t="shared" si="254"/>
        <v>213.48000000000002</v>
      </c>
    </row>
    <row r="1581" spans="1:19" ht="15" customHeight="1" x14ac:dyDescent="0.2">
      <c r="A1581" s="14">
        <f t="shared" si="256"/>
        <v>1542</v>
      </c>
      <c r="B1581" s="21" t="s">
        <v>1366</v>
      </c>
      <c r="C1581" s="15" t="s">
        <v>3</v>
      </c>
      <c r="D1581" s="21" t="s">
        <v>1200</v>
      </c>
      <c r="E1581" s="21"/>
      <c r="F1581" s="69" t="s">
        <v>4</v>
      </c>
      <c r="G1581" s="9">
        <v>38353</v>
      </c>
      <c r="H1581" s="22">
        <v>17071.39</v>
      </c>
      <c r="I1581" s="17">
        <v>0</v>
      </c>
      <c r="J1581" s="17">
        <f t="shared" si="248"/>
        <v>16217.8205</v>
      </c>
      <c r="K1581" s="17">
        <f t="shared" si="249"/>
        <v>853.56949999999961</v>
      </c>
      <c r="L1581" s="23">
        <f t="shared" si="255"/>
        <v>853.56950000000006</v>
      </c>
      <c r="M1581" s="23">
        <v>5</v>
      </c>
      <c r="N1581" s="18">
        <f t="shared" si="250"/>
        <v>15.260273972602739</v>
      </c>
      <c r="O1581" s="23">
        <v>8108.9102499999999</v>
      </c>
      <c r="P1581" s="18">
        <f t="shared" si="251"/>
        <v>16.260273972602739</v>
      </c>
      <c r="Q1581" s="18">
        <f t="shared" si="253"/>
        <v>-9.0949470177292829E-14</v>
      </c>
      <c r="R1581" s="18">
        <f t="shared" si="252"/>
        <v>8108.9102499999999</v>
      </c>
      <c r="S1581" s="18">
        <f t="shared" si="254"/>
        <v>853.56950000000006</v>
      </c>
    </row>
    <row r="1582" spans="1:19" ht="15" customHeight="1" x14ac:dyDescent="0.2">
      <c r="A1582" s="14">
        <f t="shared" si="256"/>
        <v>1543</v>
      </c>
      <c r="B1582" s="21" t="s">
        <v>1367</v>
      </c>
      <c r="C1582" s="15" t="s">
        <v>3</v>
      </c>
      <c r="D1582" s="21" t="s">
        <v>1200</v>
      </c>
      <c r="E1582" s="21"/>
      <c r="F1582" s="69" t="s">
        <v>4</v>
      </c>
      <c r="G1582" s="9">
        <v>38353</v>
      </c>
      <c r="H1582" s="22">
        <v>21604.32</v>
      </c>
      <c r="I1582" s="17">
        <v>0</v>
      </c>
      <c r="J1582" s="17">
        <f t="shared" si="248"/>
        <v>20524.103999999999</v>
      </c>
      <c r="K1582" s="17">
        <f t="shared" si="249"/>
        <v>1080.2160000000003</v>
      </c>
      <c r="L1582" s="23">
        <f t="shared" si="255"/>
        <v>1080.2160000000001</v>
      </c>
      <c r="M1582" s="23">
        <v>5</v>
      </c>
      <c r="N1582" s="18">
        <f t="shared" si="250"/>
        <v>15.260273972602739</v>
      </c>
      <c r="O1582" s="23">
        <v>10262.052</v>
      </c>
      <c r="P1582" s="18">
        <f t="shared" si="251"/>
        <v>16.260273972602739</v>
      </c>
      <c r="Q1582" s="18">
        <f t="shared" si="253"/>
        <v>4.5474735088646414E-14</v>
      </c>
      <c r="R1582" s="18">
        <f t="shared" si="252"/>
        <v>10262.052</v>
      </c>
      <c r="S1582" s="18">
        <f t="shared" si="254"/>
        <v>1080.2160000000001</v>
      </c>
    </row>
    <row r="1583" spans="1:19" ht="15" customHeight="1" x14ac:dyDescent="0.2">
      <c r="A1583" s="14">
        <f t="shared" si="256"/>
        <v>1544</v>
      </c>
      <c r="B1583" s="21" t="s">
        <v>1368</v>
      </c>
      <c r="C1583" s="15" t="s">
        <v>3</v>
      </c>
      <c r="D1583" s="21" t="s">
        <v>1200</v>
      </c>
      <c r="E1583" s="21"/>
      <c r="F1583" s="69" t="s">
        <v>4</v>
      </c>
      <c r="G1583" s="9">
        <v>38353</v>
      </c>
      <c r="H1583" s="22">
        <v>19920</v>
      </c>
      <c r="I1583" s="17">
        <v>0</v>
      </c>
      <c r="J1583" s="17">
        <f t="shared" si="248"/>
        <v>18924</v>
      </c>
      <c r="K1583" s="17">
        <f t="shared" si="249"/>
        <v>996</v>
      </c>
      <c r="L1583" s="23">
        <f t="shared" si="255"/>
        <v>996</v>
      </c>
      <c r="M1583" s="23">
        <v>5</v>
      </c>
      <c r="N1583" s="18">
        <f t="shared" si="250"/>
        <v>15.260273972602739</v>
      </c>
      <c r="O1583" s="23">
        <v>9462</v>
      </c>
      <c r="P1583" s="18">
        <f t="shared" si="251"/>
        <v>16.260273972602739</v>
      </c>
      <c r="Q1583" s="18">
        <f t="shared" si="253"/>
        <v>0</v>
      </c>
      <c r="R1583" s="18">
        <f t="shared" si="252"/>
        <v>9462</v>
      </c>
      <c r="S1583" s="18">
        <f t="shared" si="254"/>
        <v>996</v>
      </c>
    </row>
    <row r="1584" spans="1:19" ht="15" customHeight="1" x14ac:dyDescent="0.2">
      <c r="A1584" s="14">
        <f t="shared" si="256"/>
        <v>1545</v>
      </c>
      <c r="B1584" s="21" t="s">
        <v>1359</v>
      </c>
      <c r="C1584" s="15" t="s">
        <v>3</v>
      </c>
      <c r="D1584" s="21" t="s">
        <v>1200</v>
      </c>
      <c r="E1584" s="21"/>
      <c r="F1584" s="69" t="s">
        <v>4</v>
      </c>
      <c r="G1584" s="9">
        <v>38352</v>
      </c>
      <c r="H1584" s="22">
        <v>1148</v>
      </c>
      <c r="I1584" s="17">
        <v>0</v>
      </c>
      <c r="J1584" s="17">
        <f t="shared" si="248"/>
        <v>1090.5999999999999</v>
      </c>
      <c r="K1584" s="17">
        <f t="shared" si="249"/>
        <v>57.400000000000091</v>
      </c>
      <c r="L1584" s="23">
        <f t="shared" si="255"/>
        <v>57.400000000000006</v>
      </c>
      <c r="M1584" s="23">
        <v>10</v>
      </c>
      <c r="N1584" s="18">
        <f t="shared" si="250"/>
        <v>15.263013698630138</v>
      </c>
      <c r="O1584" s="23">
        <v>545.29999999999995</v>
      </c>
      <c r="P1584" s="18">
        <f t="shared" si="251"/>
        <v>16.263013698630136</v>
      </c>
      <c r="Q1584" s="18">
        <f t="shared" si="253"/>
        <v>8.5265128291211877E-15</v>
      </c>
      <c r="R1584" s="18">
        <f t="shared" si="252"/>
        <v>545.29999999999995</v>
      </c>
      <c r="S1584" s="18">
        <f t="shared" si="254"/>
        <v>57.400000000000006</v>
      </c>
    </row>
    <row r="1585" spans="1:19" ht="15" customHeight="1" x14ac:dyDescent="0.2">
      <c r="A1585" s="14">
        <f t="shared" si="256"/>
        <v>1546</v>
      </c>
      <c r="B1585" s="21" t="s">
        <v>1369</v>
      </c>
      <c r="C1585" s="15" t="s">
        <v>3</v>
      </c>
      <c r="D1585" s="21" t="s">
        <v>1200</v>
      </c>
      <c r="E1585" s="21"/>
      <c r="F1585" s="69" t="s">
        <v>4</v>
      </c>
      <c r="G1585" s="9">
        <v>38352</v>
      </c>
      <c r="H1585" s="22">
        <v>299</v>
      </c>
      <c r="I1585" s="17">
        <v>0</v>
      </c>
      <c r="J1585" s="17">
        <f t="shared" si="248"/>
        <v>284.05</v>
      </c>
      <c r="K1585" s="17">
        <f t="shared" si="249"/>
        <v>14.949999999999989</v>
      </c>
      <c r="L1585" s="23">
        <f t="shared" si="255"/>
        <v>14.950000000000001</v>
      </c>
      <c r="M1585" s="23">
        <v>10</v>
      </c>
      <c r="N1585" s="18">
        <f t="shared" si="250"/>
        <v>15.263013698630138</v>
      </c>
      <c r="O1585" s="23">
        <v>142.02500000000001</v>
      </c>
      <c r="P1585" s="18">
        <f t="shared" si="251"/>
        <v>16.263013698630136</v>
      </c>
      <c r="Q1585" s="18">
        <f t="shared" si="253"/>
        <v>-1.2434497875801731E-15</v>
      </c>
      <c r="R1585" s="18">
        <f t="shared" si="252"/>
        <v>142.02500000000001</v>
      </c>
      <c r="S1585" s="18">
        <f t="shared" si="254"/>
        <v>14.950000000000001</v>
      </c>
    </row>
    <row r="1586" spans="1:19" ht="15" customHeight="1" x14ac:dyDescent="0.2">
      <c r="A1586" s="14">
        <f t="shared" si="256"/>
        <v>1547</v>
      </c>
      <c r="B1586" s="21" t="s">
        <v>1358</v>
      </c>
      <c r="C1586" s="15" t="s">
        <v>3</v>
      </c>
      <c r="D1586" s="21" t="s">
        <v>1200</v>
      </c>
      <c r="E1586" s="21"/>
      <c r="F1586" s="69" t="s">
        <v>4</v>
      </c>
      <c r="G1586" s="9">
        <v>38352</v>
      </c>
      <c r="H1586" s="22">
        <v>860</v>
      </c>
      <c r="I1586" s="17">
        <v>0</v>
      </c>
      <c r="J1586" s="17">
        <f t="shared" si="248"/>
        <v>817</v>
      </c>
      <c r="K1586" s="17">
        <f t="shared" si="249"/>
        <v>43</v>
      </c>
      <c r="L1586" s="23">
        <f t="shared" si="255"/>
        <v>43</v>
      </c>
      <c r="M1586" s="23">
        <v>5</v>
      </c>
      <c r="N1586" s="18">
        <f t="shared" si="250"/>
        <v>15.263013698630138</v>
      </c>
      <c r="O1586" s="23">
        <v>408.5</v>
      </c>
      <c r="P1586" s="18">
        <f t="shared" si="251"/>
        <v>16.263013698630136</v>
      </c>
      <c r="Q1586" s="18">
        <f t="shared" si="253"/>
        <v>0</v>
      </c>
      <c r="R1586" s="18">
        <f t="shared" si="252"/>
        <v>408.5</v>
      </c>
      <c r="S1586" s="18">
        <f t="shared" si="254"/>
        <v>43</v>
      </c>
    </row>
    <row r="1587" spans="1:19" ht="15" customHeight="1" x14ac:dyDescent="0.2">
      <c r="A1587" s="14">
        <f t="shared" si="256"/>
        <v>1548</v>
      </c>
      <c r="B1587" s="21" t="s">
        <v>1370</v>
      </c>
      <c r="C1587" s="15" t="s">
        <v>3</v>
      </c>
      <c r="D1587" s="21" t="s">
        <v>1200</v>
      </c>
      <c r="E1587" s="21"/>
      <c r="F1587" s="69" t="s">
        <v>4</v>
      </c>
      <c r="G1587" s="9">
        <v>38321</v>
      </c>
      <c r="H1587" s="22">
        <v>158200</v>
      </c>
      <c r="I1587" s="17">
        <v>0</v>
      </c>
      <c r="J1587" s="17">
        <f t="shared" si="248"/>
        <v>150290</v>
      </c>
      <c r="K1587" s="17">
        <f t="shared" si="249"/>
        <v>7910</v>
      </c>
      <c r="L1587" s="23">
        <f t="shared" si="255"/>
        <v>7910</v>
      </c>
      <c r="M1587" s="23">
        <v>3</v>
      </c>
      <c r="N1587" s="18">
        <f t="shared" si="250"/>
        <v>15.347945205479451</v>
      </c>
      <c r="O1587" s="23">
        <v>75145</v>
      </c>
      <c r="P1587" s="18">
        <f t="shared" si="251"/>
        <v>16.347945205479451</v>
      </c>
      <c r="Q1587" s="18">
        <f t="shared" si="253"/>
        <v>0</v>
      </c>
      <c r="R1587" s="18">
        <f t="shared" si="252"/>
        <v>75145</v>
      </c>
      <c r="S1587" s="18">
        <f t="shared" si="254"/>
        <v>7910</v>
      </c>
    </row>
    <row r="1588" spans="1:19" ht="15" customHeight="1" x14ac:dyDescent="0.2">
      <c r="A1588" s="14">
        <f t="shared" si="256"/>
        <v>1549</v>
      </c>
      <c r="B1588" s="21" t="s">
        <v>1371</v>
      </c>
      <c r="C1588" s="15" t="s">
        <v>3</v>
      </c>
      <c r="D1588" s="21" t="s">
        <v>1200</v>
      </c>
      <c r="E1588" s="21"/>
      <c r="F1588" s="69" t="s">
        <v>4</v>
      </c>
      <c r="G1588" s="9">
        <v>38297</v>
      </c>
      <c r="H1588" s="22">
        <v>42219.39</v>
      </c>
      <c r="I1588" s="17">
        <v>0</v>
      </c>
      <c r="J1588" s="17">
        <f t="shared" si="248"/>
        <v>40108.4205</v>
      </c>
      <c r="K1588" s="17">
        <f t="shared" si="249"/>
        <v>2110.9694999999992</v>
      </c>
      <c r="L1588" s="23">
        <f t="shared" si="255"/>
        <v>2110.9695000000002</v>
      </c>
      <c r="M1588" s="23">
        <v>5</v>
      </c>
      <c r="N1588" s="18">
        <f t="shared" si="250"/>
        <v>15.413698630136986</v>
      </c>
      <c r="O1588" s="23">
        <v>20054.21025</v>
      </c>
      <c r="P1588" s="18">
        <f t="shared" si="251"/>
        <v>16.413698630136988</v>
      </c>
      <c r="Q1588" s="18">
        <f t="shared" si="253"/>
        <v>-1.8189894035458596E-13</v>
      </c>
      <c r="R1588" s="18">
        <f t="shared" si="252"/>
        <v>20054.21025</v>
      </c>
      <c r="S1588" s="18">
        <f t="shared" si="254"/>
        <v>2110.9695000000002</v>
      </c>
    </row>
    <row r="1589" spans="1:19" ht="15" customHeight="1" x14ac:dyDescent="0.2">
      <c r="A1589" s="14">
        <f t="shared" si="256"/>
        <v>1550</v>
      </c>
      <c r="B1589" s="21" t="s">
        <v>1360</v>
      </c>
      <c r="C1589" s="15" t="s">
        <v>3</v>
      </c>
      <c r="D1589" s="21" t="s">
        <v>1200</v>
      </c>
      <c r="E1589" s="21"/>
      <c r="F1589" s="69" t="s">
        <v>4</v>
      </c>
      <c r="G1589" s="9">
        <v>38288</v>
      </c>
      <c r="H1589" s="22">
        <v>132000</v>
      </c>
      <c r="I1589" s="17">
        <v>0</v>
      </c>
      <c r="J1589" s="17">
        <f t="shared" si="248"/>
        <v>125400</v>
      </c>
      <c r="K1589" s="17">
        <f t="shared" si="249"/>
        <v>6600</v>
      </c>
      <c r="L1589" s="23">
        <f t="shared" si="255"/>
        <v>6600</v>
      </c>
      <c r="M1589" s="23">
        <v>3</v>
      </c>
      <c r="N1589" s="18">
        <f t="shared" si="250"/>
        <v>15.438356164383562</v>
      </c>
      <c r="O1589" s="23">
        <v>62700</v>
      </c>
      <c r="P1589" s="18">
        <f t="shared" si="251"/>
        <v>16.438356164383563</v>
      </c>
      <c r="Q1589" s="18">
        <f t="shared" si="253"/>
        <v>0</v>
      </c>
      <c r="R1589" s="18">
        <f t="shared" si="252"/>
        <v>62700</v>
      </c>
      <c r="S1589" s="18">
        <f t="shared" si="254"/>
        <v>6600</v>
      </c>
    </row>
    <row r="1590" spans="1:19" ht="15" customHeight="1" x14ac:dyDescent="0.2">
      <c r="A1590" s="14">
        <f t="shared" si="256"/>
        <v>1551</v>
      </c>
      <c r="B1590" s="21" t="s">
        <v>1372</v>
      </c>
      <c r="C1590" s="15" t="s">
        <v>3</v>
      </c>
      <c r="D1590" s="21" t="s">
        <v>1200</v>
      </c>
      <c r="E1590" s="21"/>
      <c r="F1590" s="69" t="s">
        <v>4</v>
      </c>
      <c r="G1590" s="9">
        <v>38280</v>
      </c>
      <c r="H1590" s="22">
        <v>145000</v>
      </c>
      <c r="I1590" s="17">
        <v>0</v>
      </c>
      <c r="J1590" s="17">
        <f t="shared" si="248"/>
        <v>137750</v>
      </c>
      <c r="K1590" s="17">
        <f t="shared" si="249"/>
        <v>7250</v>
      </c>
      <c r="L1590" s="23">
        <f t="shared" si="255"/>
        <v>7250</v>
      </c>
      <c r="M1590" s="23">
        <v>3</v>
      </c>
      <c r="N1590" s="18">
        <f t="shared" si="250"/>
        <v>15.46027397260274</v>
      </c>
      <c r="O1590" s="23">
        <v>68875</v>
      </c>
      <c r="P1590" s="18">
        <f t="shared" si="251"/>
        <v>16.460273972602739</v>
      </c>
      <c r="Q1590" s="18">
        <f t="shared" si="253"/>
        <v>0</v>
      </c>
      <c r="R1590" s="18">
        <f t="shared" si="252"/>
        <v>68875</v>
      </c>
      <c r="S1590" s="18">
        <f t="shared" si="254"/>
        <v>7250</v>
      </c>
    </row>
    <row r="1591" spans="1:19" ht="15" customHeight="1" x14ac:dyDescent="0.2">
      <c r="A1591" s="14">
        <f t="shared" si="256"/>
        <v>1552</v>
      </c>
      <c r="B1591" s="21" t="s">
        <v>1373</v>
      </c>
      <c r="C1591" s="15" t="s">
        <v>3</v>
      </c>
      <c r="D1591" s="21" t="s">
        <v>1200</v>
      </c>
      <c r="E1591" s="21"/>
      <c r="F1591" s="69" t="s">
        <v>4</v>
      </c>
      <c r="G1591" s="9">
        <v>38267</v>
      </c>
      <c r="H1591" s="22">
        <v>38527.94</v>
      </c>
      <c r="I1591" s="17">
        <v>0</v>
      </c>
      <c r="J1591" s="17">
        <f t="shared" si="248"/>
        <v>36601.543000000005</v>
      </c>
      <c r="K1591" s="17">
        <f t="shared" si="249"/>
        <v>1926.3969999999972</v>
      </c>
      <c r="L1591" s="23">
        <f t="shared" si="255"/>
        <v>1926.3970000000002</v>
      </c>
      <c r="M1591" s="23">
        <v>3</v>
      </c>
      <c r="N1591" s="18">
        <f t="shared" si="250"/>
        <v>15.495890410958904</v>
      </c>
      <c r="O1591" s="23">
        <v>18300.771500000003</v>
      </c>
      <c r="P1591" s="18">
        <f t="shared" si="251"/>
        <v>16.495890410958904</v>
      </c>
      <c r="Q1591" s="18">
        <f t="shared" si="253"/>
        <v>-9.8528592692067219E-13</v>
      </c>
      <c r="R1591" s="18">
        <f t="shared" si="252"/>
        <v>18300.771500000003</v>
      </c>
      <c r="S1591" s="18">
        <f t="shared" si="254"/>
        <v>1926.3970000000002</v>
      </c>
    </row>
    <row r="1592" spans="1:19" ht="15" customHeight="1" x14ac:dyDescent="0.2">
      <c r="A1592" s="14">
        <f t="shared" si="256"/>
        <v>1553</v>
      </c>
      <c r="B1592" s="21" t="s">
        <v>1374</v>
      </c>
      <c r="C1592" s="15" t="s">
        <v>3</v>
      </c>
      <c r="D1592" s="21" t="s">
        <v>1200</v>
      </c>
      <c r="E1592" s="21"/>
      <c r="F1592" s="69" t="s">
        <v>4</v>
      </c>
      <c r="G1592" s="9">
        <v>38260</v>
      </c>
      <c r="H1592" s="22">
        <v>5346</v>
      </c>
      <c r="I1592" s="17">
        <v>0</v>
      </c>
      <c r="J1592" s="17">
        <f t="shared" si="248"/>
        <v>5078.7</v>
      </c>
      <c r="K1592" s="17">
        <f t="shared" si="249"/>
        <v>267.30000000000018</v>
      </c>
      <c r="L1592" s="23">
        <f t="shared" si="255"/>
        <v>267.3</v>
      </c>
      <c r="M1592" s="23">
        <v>5</v>
      </c>
      <c r="N1592" s="18">
        <f t="shared" si="250"/>
        <v>15.515068493150684</v>
      </c>
      <c r="O1592" s="23">
        <v>2539.35</v>
      </c>
      <c r="P1592" s="18">
        <f t="shared" si="251"/>
        <v>16.515068493150686</v>
      </c>
      <c r="Q1592" s="18">
        <f t="shared" si="253"/>
        <v>3.4106051316484864E-14</v>
      </c>
      <c r="R1592" s="18">
        <f t="shared" si="252"/>
        <v>2539.35</v>
      </c>
      <c r="S1592" s="18">
        <f t="shared" si="254"/>
        <v>267.3</v>
      </c>
    </row>
    <row r="1593" spans="1:19" ht="15" customHeight="1" x14ac:dyDescent="0.2">
      <c r="A1593" s="14">
        <f t="shared" si="256"/>
        <v>1554</v>
      </c>
      <c r="B1593" s="21" t="s">
        <v>1375</v>
      </c>
      <c r="C1593" s="15" t="s">
        <v>3</v>
      </c>
      <c r="D1593" s="21" t="s">
        <v>1200</v>
      </c>
      <c r="E1593" s="21"/>
      <c r="F1593" s="69" t="s">
        <v>4</v>
      </c>
      <c r="G1593" s="9">
        <v>38201</v>
      </c>
      <c r="H1593" s="22">
        <v>151700</v>
      </c>
      <c r="I1593" s="17">
        <v>0</v>
      </c>
      <c r="J1593" s="17">
        <f t="shared" si="248"/>
        <v>144115</v>
      </c>
      <c r="K1593" s="17">
        <f t="shared" si="249"/>
        <v>7585</v>
      </c>
      <c r="L1593" s="23">
        <f t="shared" si="255"/>
        <v>7585</v>
      </c>
      <c r="M1593" s="23">
        <v>6</v>
      </c>
      <c r="N1593" s="18">
        <f t="shared" si="250"/>
        <v>15.676712328767124</v>
      </c>
      <c r="O1593" s="23">
        <v>72057.5</v>
      </c>
      <c r="P1593" s="18">
        <f t="shared" si="251"/>
        <v>16.676712328767124</v>
      </c>
      <c r="Q1593" s="18">
        <f t="shared" si="253"/>
        <v>0</v>
      </c>
      <c r="R1593" s="18">
        <f t="shared" si="252"/>
        <v>72057.5</v>
      </c>
      <c r="S1593" s="18">
        <f t="shared" si="254"/>
        <v>7585</v>
      </c>
    </row>
    <row r="1594" spans="1:19" ht="15" customHeight="1" x14ac:dyDescent="0.2">
      <c r="A1594" s="14">
        <f t="shared" si="256"/>
        <v>1555</v>
      </c>
      <c r="B1594" s="21" t="s">
        <v>1360</v>
      </c>
      <c r="C1594" s="15" t="s">
        <v>3</v>
      </c>
      <c r="D1594" s="21" t="s">
        <v>1200</v>
      </c>
      <c r="E1594" s="21"/>
      <c r="F1594" s="69" t="s">
        <v>4</v>
      </c>
      <c r="G1594" s="9">
        <v>38188</v>
      </c>
      <c r="H1594" s="22">
        <v>133040</v>
      </c>
      <c r="I1594" s="17">
        <v>0</v>
      </c>
      <c r="J1594" s="17">
        <f t="shared" si="248"/>
        <v>126388</v>
      </c>
      <c r="K1594" s="17">
        <f t="shared" si="249"/>
        <v>6652</v>
      </c>
      <c r="L1594" s="23">
        <f t="shared" si="255"/>
        <v>6652</v>
      </c>
      <c r="M1594" s="23">
        <v>3</v>
      </c>
      <c r="N1594" s="18">
        <f t="shared" si="250"/>
        <v>15.712328767123287</v>
      </c>
      <c r="O1594" s="23">
        <v>63194</v>
      </c>
      <c r="P1594" s="18">
        <f t="shared" si="251"/>
        <v>16.712328767123289</v>
      </c>
      <c r="Q1594" s="18">
        <f t="shared" si="253"/>
        <v>0</v>
      </c>
      <c r="R1594" s="18">
        <f t="shared" si="252"/>
        <v>63194</v>
      </c>
      <c r="S1594" s="18">
        <f t="shared" si="254"/>
        <v>6652</v>
      </c>
    </row>
    <row r="1595" spans="1:19" ht="15" customHeight="1" x14ac:dyDescent="0.2">
      <c r="A1595" s="14">
        <f t="shared" si="256"/>
        <v>1556</v>
      </c>
      <c r="B1595" s="21" t="s">
        <v>1376</v>
      </c>
      <c r="C1595" s="15" t="s">
        <v>3</v>
      </c>
      <c r="D1595" s="21" t="s">
        <v>1200</v>
      </c>
      <c r="E1595" s="21"/>
      <c r="F1595" s="69" t="s">
        <v>4</v>
      </c>
      <c r="G1595" s="9">
        <v>38129</v>
      </c>
      <c r="H1595" s="22">
        <v>8800</v>
      </c>
      <c r="I1595" s="17">
        <v>0</v>
      </c>
      <c r="J1595" s="17">
        <f t="shared" si="248"/>
        <v>8360</v>
      </c>
      <c r="K1595" s="17">
        <f t="shared" si="249"/>
        <v>440</v>
      </c>
      <c r="L1595" s="23">
        <f t="shared" si="255"/>
        <v>440</v>
      </c>
      <c r="M1595" s="23">
        <v>5</v>
      </c>
      <c r="N1595" s="18">
        <f t="shared" si="250"/>
        <v>15.873972602739727</v>
      </c>
      <c r="O1595" s="23">
        <v>4180</v>
      </c>
      <c r="P1595" s="18">
        <f t="shared" si="251"/>
        <v>16.873972602739727</v>
      </c>
      <c r="Q1595" s="18">
        <f t="shared" si="253"/>
        <v>0</v>
      </c>
      <c r="R1595" s="18">
        <f t="shared" si="252"/>
        <v>4180</v>
      </c>
      <c r="S1595" s="18">
        <f t="shared" si="254"/>
        <v>440</v>
      </c>
    </row>
    <row r="1596" spans="1:19" ht="15" customHeight="1" x14ac:dyDescent="0.2">
      <c r="A1596" s="14">
        <f t="shared" si="256"/>
        <v>1557</v>
      </c>
      <c r="B1596" s="21" t="s">
        <v>1377</v>
      </c>
      <c r="C1596" s="15" t="s">
        <v>3</v>
      </c>
      <c r="D1596" s="21" t="s">
        <v>1200</v>
      </c>
      <c r="E1596" s="21"/>
      <c r="F1596" s="69" t="s">
        <v>4</v>
      </c>
      <c r="G1596" s="9">
        <v>38129</v>
      </c>
      <c r="H1596" s="22">
        <v>12400</v>
      </c>
      <c r="I1596" s="17">
        <v>0</v>
      </c>
      <c r="J1596" s="17">
        <f t="shared" si="248"/>
        <v>11780</v>
      </c>
      <c r="K1596" s="17">
        <f t="shared" si="249"/>
        <v>620</v>
      </c>
      <c r="L1596" s="23">
        <f t="shared" si="255"/>
        <v>620</v>
      </c>
      <c r="M1596" s="23">
        <v>5</v>
      </c>
      <c r="N1596" s="18">
        <f t="shared" si="250"/>
        <v>15.873972602739727</v>
      </c>
      <c r="O1596" s="23">
        <v>5890</v>
      </c>
      <c r="P1596" s="18">
        <f t="shared" si="251"/>
        <v>16.873972602739727</v>
      </c>
      <c r="Q1596" s="18">
        <f t="shared" si="253"/>
        <v>0</v>
      </c>
      <c r="R1596" s="18">
        <f t="shared" si="252"/>
        <v>5890</v>
      </c>
      <c r="S1596" s="18">
        <f t="shared" si="254"/>
        <v>620</v>
      </c>
    </row>
    <row r="1597" spans="1:19" ht="15" customHeight="1" x14ac:dyDescent="0.2">
      <c r="A1597" s="14">
        <f t="shared" si="256"/>
        <v>1558</v>
      </c>
      <c r="B1597" s="21" t="s">
        <v>1378</v>
      </c>
      <c r="C1597" s="15" t="s">
        <v>3</v>
      </c>
      <c r="D1597" s="21" t="s">
        <v>1200</v>
      </c>
      <c r="E1597" s="21"/>
      <c r="F1597" s="69" t="s">
        <v>4</v>
      </c>
      <c r="G1597" s="9">
        <v>38107</v>
      </c>
      <c r="H1597" s="22">
        <v>2412</v>
      </c>
      <c r="I1597" s="17">
        <v>0</v>
      </c>
      <c r="J1597" s="17">
        <f t="shared" si="248"/>
        <v>2291.4</v>
      </c>
      <c r="K1597" s="17">
        <f t="shared" si="249"/>
        <v>120.59999999999991</v>
      </c>
      <c r="L1597" s="23">
        <f t="shared" si="255"/>
        <v>120.60000000000001</v>
      </c>
      <c r="M1597" s="23">
        <v>5</v>
      </c>
      <c r="N1597" s="18">
        <f t="shared" si="250"/>
        <v>15.934246575342465</v>
      </c>
      <c r="O1597" s="23">
        <v>1145.7</v>
      </c>
      <c r="P1597" s="18">
        <f t="shared" si="251"/>
        <v>16.934246575342467</v>
      </c>
      <c r="Q1597" s="18">
        <f t="shared" si="253"/>
        <v>-1.9895196601282839E-14</v>
      </c>
      <c r="R1597" s="18">
        <f t="shared" si="252"/>
        <v>1145.7</v>
      </c>
      <c r="S1597" s="18">
        <f t="shared" si="254"/>
        <v>120.60000000000001</v>
      </c>
    </row>
    <row r="1598" spans="1:19" ht="15" customHeight="1" x14ac:dyDescent="0.2">
      <c r="A1598" s="14">
        <f t="shared" si="256"/>
        <v>1559</v>
      </c>
      <c r="B1598" s="21" t="s">
        <v>1209</v>
      </c>
      <c r="C1598" s="15" t="s">
        <v>3</v>
      </c>
      <c r="D1598" s="21" t="s">
        <v>1200</v>
      </c>
      <c r="E1598" s="21"/>
      <c r="F1598" s="69" t="s">
        <v>4</v>
      </c>
      <c r="G1598" s="9">
        <v>38107</v>
      </c>
      <c r="H1598" s="22">
        <v>48880</v>
      </c>
      <c r="I1598" s="17">
        <v>0</v>
      </c>
      <c r="J1598" s="17">
        <f t="shared" si="248"/>
        <v>46436</v>
      </c>
      <c r="K1598" s="17">
        <f t="shared" si="249"/>
        <v>2444</v>
      </c>
      <c r="L1598" s="23">
        <f t="shared" si="255"/>
        <v>2444</v>
      </c>
      <c r="M1598" s="23">
        <v>3</v>
      </c>
      <c r="N1598" s="18">
        <f t="shared" si="250"/>
        <v>15.934246575342465</v>
      </c>
      <c r="O1598" s="23">
        <v>23218</v>
      </c>
      <c r="P1598" s="18">
        <f t="shared" si="251"/>
        <v>16.934246575342467</v>
      </c>
      <c r="Q1598" s="18">
        <f t="shared" si="253"/>
        <v>0</v>
      </c>
      <c r="R1598" s="18">
        <f t="shared" si="252"/>
        <v>23218</v>
      </c>
      <c r="S1598" s="18">
        <f t="shared" si="254"/>
        <v>2444</v>
      </c>
    </row>
    <row r="1599" spans="1:19" ht="15" customHeight="1" x14ac:dyDescent="0.2">
      <c r="A1599" s="14">
        <f t="shared" si="256"/>
        <v>1560</v>
      </c>
      <c r="B1599" s="21" t="s">
        <v>1379</v>
      </c>
      <c r="C1599" s="15" t="s">
        <v>3</v>
      </c>
      <c r="D1599" s="21" t="s">
        <v>1200</v>
      </c>
      <c r="E1599" s="21"/>
      <c r="F1599" s="69" t="s">
        <v>4</v>
      </c>
      <c r="G1599" s="9">
        <v>38104</v>
      </c>
      <c r="H1599" s="22">
        <v>13337</v>
      </c>
      <c r="I1599" s="17">
        <v>0</v>
      </c>
      <c r="J1599" s="17">
        <f t="shared" si="248"/>
        <v>12670.15</v>
      </c>
      <c r="K1599" s="17">
        <f t="shared" si="249"/>
        <v>666.85000000000036</v>
      </c>
      <c r="L1599" s="23">
        <f t="shared" si="255"/>
        <v>666.85</v>
      </c>
      <c r="M1599" s="23">
        <v>5</v>
      </c>
      <c r="N1599" s="18">
        <f t="shared" si="250"/>
        <v>15.942465753424658</v>
      </c>
      <c r="O1599" s="23">
        <v>6335.0749999999998</v>
      </c>
      <c r="P1599" s="18">
        <f t="shared" si="251"/>
        <v>16.942465753424656</v>
      </c>
      <c r="Q1599" s="18">
        <f t="shared" si="253"/>
        <v>6.8212102632969502E-14</v>
      </c>
      <c r="R1599" s="18">
        <f t="shared" si="252"/>
        <v>6335.0749999999998</v>
      </c>
      <c r="S1599" s="18">
        <f t="shared" si="254"/>
        <v>666.85</v>
      </c>
    </row>
    <row r="1600" spans="1:19" ht="15" customHeight="1" x14ac:dyDescent="0.2">
      <c r="A1600" s="14">
        <f t="shared" si="256"/>
        <v>1561</v>
      </c>
      <c r="B1600" s="21" t="s">
        <v>1380</v>
      </c>
      <c r="C1600" s="15" t="s">
        <v>3</v>
      </c>
      <c r="D1600" s="21" t="s">
        <v>1200</v>
      </c>
      <c r="E1600" s="21"/>
      <c r="F1600" s="69" t="s">
        <v>4</v>
      </c>
      <c r="G1600" s="9">
        <v>38077</v>
      </c>
      <c r="H1600" s="22">
        <v>11960</v>
      </c>
      <c r="I1600" s="17">
        <v>0</v>
      </c>
      <c r="J1600" s="17">
        <f t="shared" si="248"/>
        <v>11362</v>
      </c>
      <c r="K1600" s="17">
        <f t="shared" si="249"/>
        <v>598</v>
      </c>
      <c r="L1600" s="23">
        <f t="shared" si="255"/>
        <v>598</v>
      </c>
      <c r="M1600" s="23">
        <v>3</v>
      </c>
      <c r="N1600" s="18">
        <f t="shared" si="250"/>
        <v>16.016438356164382</v>
      </c>
      <c r="O1600" s="23">
        <v>5681</v>
      </c>
      <c r="P1600" s="18">
        <f t="shared" si="251"/>
        <v>17.016438356164382</v>
      </c>
      <c r="Q1600" s="18">
        <f t="shared" si="253"/>
        <v>0</v>
      </c>
      <c r="R1600" s="18">
        <f t="shared" si="252"/>
        <v>5681</v>
      </c>
      <c r="S1600" s="18">
        <f t="shared" si="254"/>
        <v>598</v>
      </c>
    </row>
    <row r="1601" spans="1:19" ht="15" customHeight="1" x14ac:dyDescent="0.2">
      <c r="A1601" s="14">
        <f t="shared" si="256"/>
        <v>1562</v>
      </c>
      <c r="B1601" s="21" t="s">
        <v>1381</v>
      </c>
      <c r="C1601" s="15" t="s">
        <v>3</v>
      </c>
      <c r="D1601" s="21" t="s">
        <v>1200</v>
      </c>
      <c r="E1601" s="21"/>
      <c r="F1601" s="69" t="s">
        <v>4</v>
      </c>
      <c r="G1601" s="9">
        <v>38018</v>
      </c>
      <c r="H1601" s="22">
        <v>4635</v>
      </c>
      <c r="I1601" s="17">
        <v>0</v>
      </c>
      <c r="J1601" s="17">
        <f t="shared" si="248"/>
        <v>4403.25</v>
      </c>
      <c r="K1601" s="17">
        <f t="shared" si="249"/>
        <v>231.75</v>
      </c>
      <c r="L1601" s="23">
        <f t="shared" si="255"/>
        <v>231.75</v>
      </c>
      <c r="M1601" s="23">
        <v>5</v>
      </c>
      <c r="N1601" s="18">
        <f t="shared" si="250"/>
        <v>16.17808219178082</v>
      </c>
      <c r="O1601" s="23">
        <v>2201.625</v>
      </c>
      <c r="P1601" s="18">
        <f t="shared" si="251"/>
        <v>17.17808219178082</v>
      </c>
      <c r="Q1601" s="18">
        <f t="shared" si="253"/>
        <v>0</v>
      </c>
      <c r="R1601" s="18">
        <f t="shared" si="252"/>
        <v>2201.625</v>
      </c>
      <c r="S1601" s="18">
        <f t="shared" si="254"/>
        <v>231.75</v>
      </c>
    </row>
    <row r="1602" spans="1:19" ht="15" customHeight="1" x14ac:dyDescent="0.2">
      <c r="A1602" s="14">
        <f t="shared" si="256"/>
        <v>1563</v>
      </c>
      <c r="B1602" s="21" t="s">
        <v>1382</v>
      </c>
      <c r="C1602" s="15" t="s">
        <v>3</v>
      </c>
      <c r="D1602" s="21" t="s">
        <v>1200</v>
      </c>
      <c r="E1602" s="21"/>
      <c r="F1602" s="69" t="s">
        <v>4</v>
      </c>
      <c r="G1602" s="9">
        <v>37987</v>
      </c>
      <c r="H1602" s="22">
        <v>10880.77</v>
      </c>
      <c r="I1602" s="17">
        <v>0</v>
      </c>
      <c r="J1602" s="17">
        <f t="shared" si="248"/>
        <v>10336.7315</v>
      </c>
      <c r="K1602" s="17">
        <f t="shared" si="249"/>
        <v>544.03850000000057</v>
      </c>
      <c r="L1602" s="23">
        <f t="shared" si="255"/>
        <v>544.0385</v>
      </c>
      <c r="M1602" s="23">
        <v>5</v>
      </c>
      <c r="N1602" s="18">
        <f t="shared" si="250"/>
        <v>16.263013698630136</v>
      </c>
      <c r="O1602" s="23">
        <v>5168.3657499999999</v>
      </c>
      <c r="P1602" s="18">
        <f t="shared" si="251"/>
        <v>17.263013698630136</v>
      </c>
      <c r="Q1602" s="18">
        <f t="shared" si="253"/>
        <v>1.1368683772161603E-13</v>
      </c>
      <c r="R1602" s="18">
        <f t="shared" si="252"/>
        <v>5168.3657499999999</v>
      </c>
      <c r="S1602" s="18">
        <f t="shared" si="254"/>
        <v>544.0385</v>
      </c>
    </row>
    <row r="1603" spans="1:19" ht="15" customHeight="1" x14ac:dyDescent="0.2">
      <c r="A1603" s="14">
        <f t="shared" si="256"/>
        <v>1564</v>
      </c>
      <c r="B1603" s="21" t="s">
        <v>1383</v>
      </c>
      <c r="C1603" s="15" t="s">
        <v>3</v>
      </c>
      <c r="D1603" s="21" t="s">
        <v>1200</v>
      </c>
      <c r="E1603" s="21"/>
      <c r="F1603" s="69" t="s">
        <v>4</v>
      </c>
      <c r="G1603" s="9">
        <v>37987</v>
      </c>
      <c r="H1603" s="22">
        <v>7200.24</v>
      </c>
      <c r="I1603" s="17">
        <v>0</v>
      </c>
      <c r="J1603" s="17">
        <f t="shared" si="248"/>
        <v>6840.2280000000001</v>
      </c>
      <c r="K1603" s="17">
        <f t="shared" si="249"/>
        <v>360.01199999999972</v>
      </c>
      <c r="L1603" s="23">
        <f t="shared" si="255"/>
        <v>360.012</v>
      </c>
      <c r="M1603" s="23">
        <v>5</v>
      </c>
      <c r="N1603" s="18">
        <f t="shared" si="250"/>
        <v>16.263013698630136</v>
      </c>
      <c r="O1603" s="23">
        <v>3420.114</v>
      </c>
      <c r="P1603" s="18">
        <f t="shared" si="251"/>
        <v>17.263013698630136</v>
      </c>
      <c r="Q1603" s="18">
        <f t="shared" si="253"/>
        <v>-5.6843418860808015E-14</v>
      </c>
      <c r="R1603" s="18">
        <f t="shared" si="252"/>
        <v>3420.114</v>
      </c>
      <c r="S1603" s="18">
        <f t="shared" si="254"/>
        <v>360.012</v>
      </c>
    </row>
    <row r="1604" spans="1:19" ht="15" customHeight="1" x14ac:dyDescent="0.2">
      <c r="A1604" s="14">
        <f t="shared" si="256"/>
        <v>1565</v>
      </c>
      <c r="B1604" s="21" t="s">
        <v>1384</v>
      </c>
      <c r="C1604" s="15" t="s">
        <v>3</v>
      </c>
      <c r="D1604" s="21" t="s">
        <v>1200</v>
      </c>
      <c r="E1604" s="21"/>
      <c r="F1604" s="69" t="s">
        <v>4</v>
      </c>
      <c r="G1604" s="9">
        <v>37987</v>
      </c>
      <c r="H1604" s="22">
        <v>690</v>
      </c>
      <c r="I1604" s="17">
        <v>0</v>
      </c>
      <c r="J1604" s="17">
        <f t="shared" si="248"/>
        <v>655.5</v>
      </c>
      <c r="K1604" s="17">
        <f t="shared" si="249"/>
        <v>34.5</v>
      </c>
      <c r="L1604" s="23">
        <f t="shared" si="255"/>
        <v>34.5</v>
      </c>
      <c r="M1604" s="23">
        <v>5</v>
      </c>
      <c r="N1604" s="18">
        <f t="shared" si="250"/>
        <v>16.263013698630136</v>
      </c>
      <c r="O1604" s="23">
        <v>327.75</v>
      </c>
      <c r="P1604" s="18">
        <f t="shared" si="251"/>
        <v>17.263013698630136</v>
      </c>
      <c r="Q1604" s="18">
        <f t="shared" si="253"/>
        <v>0</v>
      </c>
      <c r="R1604" s="18">
        <f t="shared" si="252"/>
        <v>327.75</v>
      </c>
      <c r="S1604" s="18">
        <f t="shared" si="254"/>
        <v>34.5</v>
      </c>
    </row>
    <row r="1605" spans="1:19" ht="15" customHeight="1" x14ac:dyDescent="0.2">
      <c r="A1605" s="14">
        <f t="shared" si="256"/>
        <v>1566</v>
      </c>
      <c r="B1605" s="21" t="s">
        <v>1385</v>
      </c>
      <c r="C1605" s="15" t="s">
        <v>3</v>
      </c>
      <c r="D1605" s="21" t="s">
        <v>1200</v>
      </c>
      <c r="E1605" s="21"/>
      <c r="F1605" s="69" t="s">
        <v>4</v>
      </c>
      <c r="G1605" s="9">
        <v>37987</v>
      </c>
      <c r="H1605" s="22">
        <v>2680</v>
      </c>
      <c r="I1605" s="17">
        <v>0</v>
      </c>
      <c r="J1605" s="17">
        <f t="shared" si="248"/>
        <v>2546</v>
      </c>
      <c r="K1605" s="17">
        <f t="shared" si="249"/>
        <v>134</v>
      </c>
      <c r="L1605" s="23">
        <f t="shared" si="255"/>
        <v>134</v>
      </c>
      <c r="M1605" s="23">
        <v>5</v>
      </c>
      <c r="N1605" s="18">
        <f t="shared" si="250"/>
        <v>16.263013698630136</v>
      </c>
      <c r="O1605" s="23">
        <v>1273</v>
      </c>
      <c r="P1605" s="18">
        <f t="shared" si="251"/>
        <v>17.263013698630136</v>
      </c>
      <c r="Q1605" s="18">
        <f t="shared" si="253"/>
        <v>0</v>
      </c>
      <c r="R1605" s="18">
        <f t="shared" si="252"/>
        <v>1273</v>
      </c>
      <c r="S1605" s="18">
        <f t="shared" si="254"/>
        <v>134</v>
      </c>
    </row>
    <row r="1606" spans="1:19" ht="15" customHeight="1" x14ac:dyDescent="0.2">
      <c r="A1606" s="14">
        <f t="shared" si="256"/>
        <v>1567</v>
      </c>
      <c r="B1606" s="21" t="s">
        <v>1386</v>
      </c>
      <c r="C1606" s="15" t="s">
        <v>3</v>
      </c>
      <c r="D1606" s="21" t="s">
        <v>1200</v>
      </c>
      <c r="E1606" s="21"/>
      <c r="F1606" s="69" t="s">
        <v>4</v>
      </c>
      <c r="G1606" s="9">
        <v>37987</v>
      </c>
      <c r="H1606" s="22">
        <v>3960</v>
      </c>
      <c r="I1606" s="17">
        <v>0</v>
      </c>
      <c r="J1606" s="17">
        <f t="shared" si="248"/>
        <v>3762</v>
      </c>
      <c r="K1606" s="17">
        <f t="shared" si="249"/>
        <v>198</v>
      </c>
      <c r="L1606" s="23">
        <f t="shared" si="255"/>
        <v>198</v>
      </c>
      <c r="M1606" s="23">
        <v>5</v>
      </c>
      <c r="N1606" s="18">
        <f t="shared" si="250"/>
        <v>16.263013698630136</v>
      </c>
      <c r="O1606" s="23">
        <v>1881</v>
      </c>
      <c r="P1606" s="18">
        <f t="shared" si="251"/>
        <v>17.263013698630136</v>
      </c>
      <c r="Q1606" s="18">
        <f t="shared" si="253"/>
        <v>0</v>
      </c>
      <c r="R1606" s="18">
        <f t="shared" si="252"/>
        <v>1881</v>
      </c>
      <c r="S1606" s="18">
        <f t="shared" si="254"/>
        <v>198</v>
      </c>
    </row>
    <row r="1607" spans="1:19" ht="15" customHeight="1" x14ac:dyDescent="0.2">
      <c r="A1607" s="14">
        <f t="shared" si="256"/>
        <v>1568</v>
      </c>
      <c r="B1607" s="21" t="s">
        <v>1387</v>
      </c>
      <c r="C1607" s="15" t="s">
        <v>3</v>
      </c>
      <c r="D1607" s="21" t="s">
        <v>1200</v>
      </c>
      <c r="E1607" s="21"/>
      <c r="F1607" s="69" t="s">
        <v>4</v>
      </c>
      <c r="G1607" s="9">
        <v>37987</v>
      </c>
      <c r="H1607" s="22">
        <v>1645</v>
      </c>
      <c r="I1607" s="17">
        <v>0</v>
      </c>
      <c r="J1607" s="17">
        <f t="shared" si="248"/>
        <v>1562.75</v>
      </c>
      <c r="K1607" s="17">
        <f t="shared" si="249"/>
        <v>82.25</v>
      </c>
      <c r="L1607" s="23">
        <f t="shared" si="255"/>
        <v>82.25</v>
      </c>
      <c r="M1607" s="23">
        <v>5</v>
      </c>
      <c r="N1607" s="18">
        <f t="shared" si="250"/>
        <v>16.263013698630136</v>
      </c>
      <c r="O1607" s="23">
        <v>781.375</v>
      </c>
      <c r="P1607" s="18">
        <f t="shared" si="251"/>
        <v>17.263013698630136</v>
      </c>
      <c r="Q1607" s="18">
        <f t="shared" si="253"/>
        <v>0</v>
      </c>
      <c r="R1607" s="18">
        <f t="shared" si="252"/>
        <v>781.375</v>
      </c>
      <c r="S1607" s="18">
        <f t="shared" si="254"/>
        <v>82.25</v>
      </c>
    </row>
    <row r="1608" spans="1:19" ht="15" customHeight="1" x14ac:dyDescent="0.2">
      <c r="A1608" s="14">
        <f t="shared" si="256"/>
        <v>1569</v>
      </c>
      <c r="B1608" s="21" t="s">
        <v>1388</v>
      </c>
      <c r="C1608" s="15" t="s">
        <v>3</v>
      </c>
      <c r="D1608" s="21" t="s">
        <v>1200</v>
      </c>
      <c r="E1608" s="21"/>
      <c r="F1608" s="69" t="s">
        <v>4</v>
      </c>
      <c r="G1608" s="9">
        <v>37986</v>
      </c>
      <c r="H1608" s="22">
        <v>128500</v>
      </c>
      <c r="I1608" s="17">
        <v>0</v>
      </c>
      <c r="J1608" s="17">
        <f t="shared" ref="J1608:J1671" si="257">H1608-L1608</f>
        <v>122075</v>
      </c>
      <c r="K1608" s="17">
        <f t="shared" si="249"/>
        <v>6425</v>
      </c>
      <c r="L1608" s="23">
        <f t="shared" si="255"/>
        <v>6425</v>
      </c>
      <c r="M1608" s="23">
        <v>3</v>
      </c>
      <c r="N1608" s="18">
        <f t="shared" si="250"/>
        <v>16.265753424657536</v>
      </c>
      <c r="O1608" s="23">
        <v>61037.5</v>
      </c>
      <c r="P1608" s="18">
        <f t="shared" si="251"/>
        <v>17.265753424657536</v>
      </c>
      <c r="Q1608" s="18">
        <f t="shared" si="253"/>
        <v>0</v>
      </c>
      <c r="R1608" s="18">
        <f t="shared" si="252"/>
        <v>61037.5</v>
      </c>
      <c r="S1608" s="18">
        <f t="shared" si="254"/>
        <v>6425</v>
      </c>
    </row>
    <row r="1609" spans="1:19" ht="15" customHeight="1" x14ac:dyDescent="0.2">
      <c r="A1609" s="14">
        <f t="shared" si="256"/>
        <v>1570</v>
      </c>
      <c r="B1609" s="21" t="s">
        <v>1389</v>
      </c>
      <c r="C1609" s="15" t="s">
        <v>3</v>
      </c>
      <c r="D1609" s="21" t="s">
        <v>1200</v>
      </c>
      <c r="E1609" s="21"/>
      <c r="F1609" s="69" t="s">
        <v>4</v>
      </c>
      <c r="G1609" s="9">
        <v>37985</v>
      </c>
      <c r="H1609" s="22">
        <v>10000</v>
      </c>
      <c r="I1609" s="17">
        <v>0</v>
      </c>
      <c r="J1609" s="17">
        <f t="shared" si="257"/>
        <v>9500</v>
      </c>
      <c r="K1609" s="17">
        <f t="shared" si="249"/>
        <v>500</v>
      </c>
      <c r="L1609" s="23">
        <f t="shared" si="255"/>
        <v>500</v>
      </c>
      <c r="M1609" s="23">
        <v>3</v>
      </c>
      <c r="N1609" s="18">
        <f t="shared" si="250"/>
        <v>16.268493150684932</v>
      </c>
      <c r="O1609" s="23">
        <v>4750</v>
      </c>
      <c r="P1609" s="18">
        <f t="shared" si="251"/>
        <v>17.268493150684932</v>
      </c>
      <c r="Q1609" s="18">
        <f t="shared" si="253"/>
        <v>0</v>
      </c>
      <c r="R1609" s="18">
        <f t="shared" si="252"/>
        <v>4750</v>
      </c>
      <c r="S1609" s="18">
        <f t="shared" si="254"/>
        <v>500</v>
      </c>
    </row>
    <row r="1610" spans="1:19" ht="15" customHeight="1" x14ac:dyDescent="0.2">
      <c r="A1610" s="14">
        <f t="shared" si="256"/>
        <v>1571</v>
      </c>
      <c r="B1610" s="21" t="s">
        <v>1390</v>
      </c>
      <c r="C1610" s="15" t="s">
        <v>3</v>
      </c>
      <c r="D1610" s="21" t="s">
        <v>1200</v>
      </c>
      <c r="E1610" s="21"/>
      <c r="F1610" s="69" t="s">
        <v>4</v>
      </c>
      <c r="G1610" s="9">
        <v>37956</v>
      </c>
      <c r="H1610" s="22">
        <v>986</v>
      </c>
      <c r="I1610" s="17">
        <v>0</v>
      </c>
      <c r="J1610" s="17">
        <f t="shared" si="257"/>
        <v>936.7</v>
      </c>
      <c r="K1610" s="17">
        <f t="shared" si="249"/>
        <v>49.299999999999955</v>
      </c>
      <c r="L1610" s="23">
        <f t="shared" si="255"/>
        <v>49.300000000000004</v>
      </c>
      <c r="M1610" s="23">
        <v>10</v>
      </c>
      <c r="N1610" s="18">
        <f t="shared" si="250"/>
        <v>16.347945205479451</v>
      </c>
      <c r="O1610" s="23">
        <v>468.35</v>
      </c>
      <c r="P1610" s="18">
        <f t="shared" si="251"/>
        <v>17.347945205479451</v>
      </c>
      <c r="Q1610" s="18">
        <f t="shared" si="253"/>
        <v>-4.9737991503207018E-15</v>
      </c>
      <c r="R1610" s="18">
        <f t="shared" si="252"/>
        <v>468.35</v>
      </c>
      <c r="S1610" s="18">
        <f t="shared" si="254"/>
        <v>49.300000000000004</v>
      </c>
    </row>
    <row r="1611" spans="1:19" ht="15" customHeight="1" x14ac:dyDescent="0.2">
      <c r="A1611" s="14">
        <f t="shared" si="256"/>
        <v>1572</v>
      </c>
      <c r="B1611" s="21" t="s">
        <v>1391</v>
      </c>
      <c r="C1611" s="15" t="s">
        <v>3</v>
      </c>
      <c r="D1611" s="21" t="s">
        <v>1200</v>
      </c>
      <c r="E1611" s="21"/>
      <c r="F1611" s="69" t="s">
        <v>4</v>
      </c>
      <c r="G1611" s="9">
        <v>37955</v>
      </c>
      <c r="H1611" s="22">
        <v>93600</v>
      </c>
      <c r="I1611" s="17">
        <v>0</v>
      </c>
      <c r="J1611" s="17">
        <f t="shared" si="257"/>
        <v>88920</v>
      </c>
      <c r="K1611" s="17">
        <f t="shared" si="249"/>
        <v>4680</v>
      </c>
      <c r="L1611" s="23">
        <f t="shared" si="255"/>
        <v>4680</v>
      </c>
      <c r="M1611" s="23">
        <v>3</v>
      </c>
      <c r="N1611" s="18">
        <f t="shared" si="250"/>
        <v>16.350684931506848</v>
      </c>
      <c r="O1611" s="23">
        <v>44460</v>
      </c>
      <c r="P1611" s="18">
        <f t="shared" si="251"/>
        <v>17.350684931506848</v>
      </c>
      <c r="Q1611" s="18">
        <f t="shared" si="253"/>
        <v>0</v>
      </c>
      <c r="R1611" s="18">
        <f t="shared" si="252"/>
        <v>44460</v>
      </c>
      <c r="S1611" s="18">
        <f t="shared" si="254"/>
        <v>4680</v>
      </c>
    </row>
    <row r="1612" spans="1:19" ht="15" customHeight="1" x14ac:dyDescent="0.2">
      <c r="A1612" s="14">
        <f t="shared" si="256"/>
        <v>1573</v>
      </c>
      <c r="B1612" s="21" t="s">
        <v>1392</v>
      </c>
      <c r="C1612" s="15" t="s">
        <v>3</v>
      </c>
      <c r="D1612" s="21" t="s">
        <v>1200</v>
      </c>
      <c r="E1612" s="21"/>
      <c r="F1612" s="69" t="s">
        <v>4</v>
      </c>
      <c r="G1612" s="9">
        <v>37863</v>
      </c>
      <c r="H1612" s="22">
        <v>98000</v>
      </c>
      <c r="I1612" s="17">
        <v>0</v>
      </c>
      <c r="J1612" s="17">
        <f t="shared" si="257"/>
        <v>93100</v>
      </c>
      <c r="K1612" s="17">
        <f t="shared" si="249"/>
        <v>4900</v>
      </c>
      <c r="L1612" s="23">
        <f t="shared" si="255"/>
        <v>4900</v>
      </c>
      <c r="M1612" s="23">
        <v>3</v>
      </c>
      <c r="N1612" s="18">
        <f t="shared" si="250"/>
        <v>16.602739726027398</v>
      </c>
      <c r="O1612" s="23">
        <v>46550</v>
      </c>
      <c r="P1612" s="18">
        <f t="shared" si="251"/>
        <v>17.602739726027398</v>
      </c>
      <c r="Q1612" s="18">
        <f t="shared" si="253"/>
        <v>0</v>
      </c>
      <c r="R1612" s="18">
        <f t="shared" si="252"/>
        <v>46550</v>
      </c>
      <c r="S1612" s="18">
        <f t="shared" si="254"/>
        <v>4900</v>
      </c>
    </row>
    <row r="1613" spans="1:19" ht="15" customHeight="1" x14ac:dyDescent="0.2">
      <c r="A1613" s="14">
        <f t="shared" si="256"/>
        <v>1574</v>
      </c>
      <c r="B1613" s="21" t="s">
        <v>1357</v>
      </c>
      <c r="C1613" s="15" t="s">
        <v>3</v>
      </c>
      <c r="D1613" s="21" t="s">
        <v>1200</v>
      </c>
      <c r="E1613" s="21"/>
      <c r="F1613" s="69" t="s">
        <v>4</v>
      </c>
      <c r="G1613" s="9">
        <v>37773</v>
      </c>
      <c r="H1613" s="22">
        <v>18580</v>
      </c>
      <c r="I1613" s="17">
        <v>0</v>
      </c>
      <c r="J1613" s="17">
        <f t="shared" si="257"/>
        <v>17651</v>
      </c>
      <c r="K1613" s="17">
        <f t="shared" si="249"/>
        <v>929</v>
      </c>
      <c r="L1613" s="23">
        <f t="shared" si="255"/>
        <v>929</v>
      </c>
      <c r="M1613" s="23">
        <v>5</v>
      </c>
      <c r="N1613" s="18">
        <f t="shared" si="250"/>
        <v>16.849315068493151</v>
      </c>
      <c r="O1613" s="23">
        <v>8825.5</v>
      </c>
      <c r="P1613" s="18">
        <f t="shared" si="251"/>
        <v>17.849315068493151</v>
      </c>
      <c r="Q1613" s="18">
        <f t="shared" si="253"/>
        <v>0</v>
      </c>
      <c r="R1613" s="18">
        <f t="shared" si="252"/>
        <v>8825.5</v>
      </c>
      <c r="S1613" s="18">
        <f t="shared" si="254"/>
        <v>929</v>
      </c>
    </row>
    <row r="1614" spans="1:19" ht="15" customHeight="1" x14ac:dyDescent="0.2">
      <c r="A1614" s="14">
        <f t="shared" si="256"/>
        <v>1575</v>
      </c>
      <c r="B1614" s="21" t="s">
        <v>1393</v>
      </c>
      <c r="C1614" s="15" t="s">
        <v>3</v>
      </c>
      <c r="D1614" s="21" t="s">
        <v>1200</v>
      </c>
      <c r="E1614" s="21"/>
      <c r="F1614" s="69" t="s">
        <v>4</v>
      </c>
      <c r="G1614" s="9">
        <v>37753</v>
      </c>
      <c r="H1614" s="22">
        <v>13700</v>
      </c>
      <c r="I1614" s="17">
        <v>0</v>
      </c>
      <c r="J1614" s="17">
        <f t="shared" si="257"/>
        <v>13015</v>
      </c>
      <c r="K1614" s="17">
        <f t="shared" si="249"/>
        <v>685</v>
      </c>
      <c r="L1614" s="23">
        <f t="shared" si="255"/>
        <v>685</v>
      </c>
      <c r="M1614" s="23">
        <v>5</v>
      </c>
      <c r="N1614" s="18">
        <f t="shared" si="250"/>
        <v>16.904109589041095</v>
      </c>
      <c r="O1614" s="23">
        <v>6507.5</v>
      </c>
      <c r="P1614" s="18">
        <f t="shared" si="251"/>
        <v>17.904109589041095</v>
      </c>
      <c r="Q1614" s="18">
        <f t="shared" si="253"/>
        <v>0</v>
      </c>
      <c r="R1614" s="18">
        <f t="shared" si="252"/>
        <v>6507.5</v>
      </c>
      <c r="S1614" s="18">
        <f t="shared" si="254"/>
        <v>685</v>
      </c>
    </row>
    <row r="1615" spans="1:19" ht="15" customHeight="1" x14ac:dyDescent="0.2">
      <c r="A1615" s="14">
        <f t="shared" si="256"/>
        <v>1576</v>
      </c>
      <c r="B1615" s="21" t="s">
        <v>1394</v>
      </c>
      <c r="C1615" s="15" t="s">
        <v>3</v>
      </c>
      <c r="D1615" s="21" t="s">
        <v>1200</v>
      </c>
      <c r="E1615" s="21"/>
      <c r="F1615" s="69" t="s">
        <v>4</v>
      </c>
      <c r="G1615" s="9">
        <v>37737</v>
      </c>
      <c r="H1615" s="22">
        <v>28990</v>
      </c>
      <c r="I1615" s="17">
        <v>0</v>
      </c>
      <c r="J1615" s="17">
        <f t="shared" si="257"/>
        <v>27540.5</v>
      </c>
      <c r="K1615" s="17">
        <f t="shared" si="249"/>
        <v>1449.5</v>
      </c>
      <c r="L1615" s="23">
        <f t="shared" si="255"/>
        <v>1449.5</v>
      </c>
      <c r="M1615" s="23">
        <v>5</v>
      </c>
      <c r="N1615" s="18">
        <f t="shared" si="250"/>
        <v>16.947945205479453</v>
      </c>
      <c r="O1615" s="23">
        <v>13770.25</v>
      </c>
      <c r="P1615" s="18">
        <f t="shared" si="251"/>
        <v>17.947945205479453</v>
      </c>
      <c r="Q1615" s="18">
        <f t="shared" si="253"/>
        <v>0</v>
      </c>
      <c r="R1615" s="18">
        <f t="shared" si="252"/>
        <v>13770.25</v>
      </c>
      <c r="S1615" s="18">
        <f t="shared" si="254"/>
        <v>1449.5</v>
      </c>
    </row>
    <row r="1616" spans="1:19" ht="15" customHeight="1" x14ac:dyDescent="0.2">
      <c r="A1616" s="14">
        <f t="shared" si="256"/>
        <v>1577</v>
      </c>
      <c r="B1616" s="21" t="s">
        <v>1346</v>
      </c>
      <c r="C1616" s="15" t="s">
        <v>3</v>
      </c>
      <c r="D1616" s="21" t="s">
        <v>1200</v>
      </c>
      <c r="E1616" s="21"/>
      <c r="F1616" s="69" t="s">
        <v>4</v>
      </c>
      <c r="G1616" s="9">
        <v>37734</v>
      </c>
      <c r="H1616" s="22">
        <v>37249</v>
      </c>
      <c r="I1616" s="17">
        <v>0</v>
      </c>
      <c r="J1616" s="17">
        <f t="shared" si="257"/>
        <v>35386.550000000003</v>
      </c>
      <c r="K1616" s="17">
        <f t="shared" si="249"/>
        <v>1862.4499999999971</v>
      </c>
      <c r="L1616" s="23">
        <f t="shared" si="255"/>
        <v>1862.45</v>
      </c>
      <c r="M1616" s="23">
        <v>5</v>
      </c>
      <c r="N1616" s="18">
        <f t="shared" si="250"/>
        <v>16.956164383561642</v>
      </c>
      <c r="O1616" s="23">
        <v>17693.275000000001</v>
      </c>
      <c r="P1616" s="18">
        <f t="shared" si="251"/>
        <v>17.956164383561642</v>
      </c>
      <c r="Q1616" s="18">
        <f t="shared" si="253"/>
        <v>-5.9117155615240337E-13</v>
      </c>
      <c r="R1616" s="18">
        <f t="shared" si="252"/>
        <v>17693.275000000001</v>
      </c>
      <c r="S1616" s="18">
        <f t="shared" si="254"/>
        <v>1862.45</v>
      </c>
    </row>
    <row r="1617" spans="1:19" ht="15" customHeight="1" x14ac:dyDescent="0.2">
      <c r="A1617" s="14">
        <f t="shared" si="256"/>
        <v>1578</v>
      </c>
      <c r="B1617" s="21" t="s">
        <v>1357</v>
      </c>
      <c r="C1617" s="15" t="s">
        <v>3</v>
      </c>
      <c r="D1617" s="21" t="s">
        <v>1200</v>
      </c>
      <c r="E1617" s="21"/>
      <c r="F1617" s="69" t="s">
        <v>4</v>
      </c>
      <c r="G1617" s="9">
        <v>37718</v>
      </c>
      <c r="H1617" s="22">
        <v>25700</v>
      </c>
      <c r="I1617" s="17">
        <v>0</v>
      </c>
      <c r="J1617" s="17">
        <f t="shared" si="257"/>
        <v>24415</v>
      </c>
      <c r="K1617" s="17">
        <f t="shared" si="249"/>
        <v>1285</v>
      </c>
      <c r="L1617" s="23">
        <f t="shared" si="255"/>
        <v>1285</v>
      </c>
      <c r="M1617" s="23">
        <v>5</v>
      </c>
      <c r="N1617" s="18">
        <f t="shared" si="250"/>
        <v>17</v>
      </c>
      <c r="O1617" s="23">
        <v>12207.5</v>
      </c>
      <c r="P1617" s="18">
        <f t="shared" si="251"/>
        <v>18</v>
      </c>
      <c r="Q1617" s="18">
        <f t="shared" si="253"/>
        <v>0</v>
      </c>
      <c r="R1617" s="18">
        <f t="shared" si="252"/>
        <v>12207.5</v>
      </c>
      <c r="S1617" s="18">
        <f t="shared" si="254"/>
        <v>1285</v>
      </c>
    </row>
    <row r="1618" spans="1:19" ht="15" customHeight="1" x14ac:dyDescent="0.2">
      <c r="A1618" s="14">
        <f t="shared" si="256"/>
        <v>1579</v>
      </c>
      <c r="B1618" s="21" t="s">
        <v>1395</v>
      </c>
      <c r="C1618" s="15" t="s">
        <v>3</v>
      </c>
      <c r="D1618" s="21" t="s">
        <v>1200</v>
      </c>
      <c r="E1618" s="21"/>
      <c r="F1618" s="69" t="s">
        <v>4</v>
      </c>
      <c r="G1618" s="9">
        <v>37622</v>
      </c>
      <c r="H1618" s="22">
        <v>925</v>
      </c>
      <c r="I1618" s="17">
        <v>0</v>
      </c>
      <c r="J1618" s="17">
        <f t="shared" si="257"/>
        <v>878.75</v>
      </c>
      <c r="K1618" s="17">
        <f t="shared" si="249"/>
        <v>46.25</v>
      </c>
      <c r="L1618" s="23">
        <f t="shared" si="255"/>
        <v>46.25</v>
      </c>
      <c r="M1618" s="23">
        <v>5</v>
      </c>
      <c r="N1618" s="18">
        <f t="shared" si="250"/>
        <v>17.263013698630136</v>
      </c>
      <c r="O1618" s="23">
        <v>439.375</v>
      </c>
      <c r="P1618" s="18">
        <f t="shared" si="251"/>
        <v>18.263013698630136</v>
      </c>
      <c r="Q1618" s="18">
        <f t="shared" si="253"/>
        <v>0</v>
      </c>
      <c r="R1618" s="18">
        <f t="shared" si="252"/>
        <v>439.375</v>
      </c>
      <c r="S1618" s="18">
        <f t="shared" si="254"/>
        <v>46.25</v>
      </c>
    </row>
    <row r="1619" spans="1:19" ht="15" customHeight="1" x14ac:dyDescent="0.2">
      <c r="A1619" s="14">
        <f t="shared" si="256"/>
        <v>1580</v>
      </c>
      <c r="B1619" s="21" t="s">
        <v>1396</v>
      </c>
      <c r="C1619" s="15" t="s">
        <v>3</v>
      </c>
      <c r="D1619" s="21" t="s">
        <v>1200</v>
      </c>
      <c r="E1619" s="21"/>
      <c r="F1619" s="69" t="s">
        <v>4</v>
      </c>
      <c r="G1619" s="9">
        <v>37622</v>
      </c>
      <c r="H1619" s="22">
        <v>13282</v>
      </c>
      <c r="I1619" s="17">
        <v>0</v>
      </c>
      <c r="J1619" s="17">
        <f t="shared" si="257"/>
        <v>12617.9</v>
      </c>
      <c r="K1619" s="17">
        <f t="shared" si="249"/>
        <v>664.10000000000036</v>
      </c>
      <c r="L1619" s="23">
        <f t="shared" si="255"/>
        <v>664.1</v>
      </c>
      <c r="M1619" s="23">
        <v>5</v>
      </c>
      <c r="N1619" s="18">
        <f t="shared" si="250"/>
        <v>17.263013698630136</v>
      </c>
      <c r="O1619" s="23">
        <v>6308.95</v>
      </c>
      <c r="P1619" s="18">
        <f t="shared" si="251"/>
        <v>18.263013698630136</v>
      </c>
      <c r="Q1619" s="18">
        <f t="shared" si="253"/>
        <v>6.8212102632969628E-14</v>
      </c>
      <c r="R1619" s="18">
        <f t="shared" si="252"/>
        <v>6308.95</v>
      </c>
      <c r="S1619" s="18">
        <f t="shared" si="254"/>
        <v>664.1</v>
      </c>
    </row>
    <row r="1620" spans="1:19" ht="15" customHeight="1" x14ac:dyDescent="0.2">
      <c r="A1620" s="14">
        <f t="shared" si="256"/>
        <v>1581</v>
      </c>
      <c r="B1620" s="21" t="s">
        <v>1397</v>
      </c>
      <c r="C1620" s="15" t="s">
        <v>3</v>
      </c>
      <c r="D1620" s="21" t="s">
        <v>1200</v>
      </c>
      <c r="E1620" s="21"/>
      <c r="F1620" s="69" t="s">
        <v>4</v>
      </c>
      <c r="G1620" s="9">
        <v>37622</v>
      </c>
      <c r="H1620" s="22">
        <v>3490</v>
      </c>
      <c r="I1620" s="17">
        <v>0</v>
      </c>
      <c r="J1620" s="17">
        <f t="shared" si="257"/>
        <v>3315.5</v>
      </c>
      <c r="K1620" s="17">
        <f t="shared" si="249"/>
        <v>174.5</v>
      </c>
      <c r="L1620" s="23">
        <f t="shared" si="255"/>
        <v>174.5</v>
      </c>
      <c r="M1620" s="23">
        <v>5</v>
      </c>
      <c r="N1620" s="18">
        <f t="shared" si="250"/>
        <v>17.263013698630136</v>
      </c>
      <c r="O1620" s="23">
        <v>1657.75</v>
      </c>
      <c r="P1620" s="18">
        <f t="shared" si="251"/>
        <v>18.263013698630136</v>
      </c>
      <c r="Q1620" s="18">
        <f t="shared" si="253"/>
        <v>0</v>
      </c>
      <c r="R1620" s="18">
        <f t="shared" si="252"/>
        <v>1657.75</v>
      </c>
      <c r="S1620" s="18">
        <f t="shared" si="254"/>
        <v>174.5</v>
      </c>
    </row>
    <row r="1621" spans="1:19" ht="15" customHeight="1" x14ac:dyDescent="0.2">
      <c r="A1621" s="14">
        <f t="shared" si="256"/>
        <v>1582</v>
      </c>
      <c r="B1621" s="21" t="s">
        <v>1398</v>
      </c>
      <c r="C1621" s="15" t="s">
        <v>3</v>
      </c>
      <c r="D1621" s="21" t="s">
        <v>1200</v>
      </c>
      <c r="E1621" s="21"/>
      <c r="F1621" s="69" t="s">
        <v>4</v>
      </c>
      <c r="G1621" s="9">
        <v>37622</v>
      </c>
      <c r="H1621" s="22">
        <v>21357</v>
      </c>
      <c r="I1621" s="17">
        <v>0</v>
      </c>
      <c r="J1621" s="17">
        <f t="shared" si="257"/>
        <v>20289.150000000001</v>
      </c>
      <c r="K1621" s="17">
        <f t="shared" si="249"/>
        <v>1067.8499999999985</v>
      </c>
      <c r="L1621" s="23">
        <f t="shared" si="255"/>
        <v>1067.8500000000001</v>
      </c>
      <c r="M1621" s="23">
        <v>5</v>
      </c>
      <c r="N1621" s="18">
        <f t="shared" si="250"/>
        <v>17.263013698630136</v>
      </c>
      <c r="O1621" s="23">
        <v>10144.575000000001</v>
      </c>
      <c r="P1621" s="18">
        <f t="shared" si="251"/>
        <v>18.263013698630136</v>
      </c>
      <c r="Q1621" s="18">
        <f t="shared" si="253"/>
        <v>-3.1832314562052491E-13</v>
      </c>
      <c r="R1621" s="18">
        <f t="shared" si="252"/>
        <v>10144.575000000001</v>
      </c>
      <c r="S1621" s="18">
        <f t="shared" si="254"/>
        <v>1067.8500000000001</v>
      </c>
    </row>
    <row r="1622" spans="1:19" ht="15" customHeight="1" x14ac:dyDescent="0.2">
      <c r="A1622" s="14">
        <f t="shared" si="256"/>
        <v>1583</v>
      </c>
      <c r="B1622" s="21" t="s">
        <v>1399</v>
      </c>
      <c r="C1622" s="15" t="s">
        <v>3</v>
      </c>
      <c r="D1622" s="21" t="s">
        <v>1200</v>
      </c>
      <c r="E1622" s="21"/>
      <c r="F1622" s="69" t="s">
        <v>4</v>
      </c>
      <c r="G1622" s="9">
        <v>37622</v>
      </c>
      <c r="H1622" s="22">
        <v>6873</v>
      </c>
      <c r="I1622" s="17">
        <v>0</v>
      </c>
      <c r="J1622" s="17">
        <f t="shared" si="257"/>
        <v>6529.35</v>
      </c>
      <c r="K1622" s="17">
        <f t="shared" si="249"/>
        <v>343.64999999999964</v>
      </c>
      <c r="L1622" s="23">
        <f t="shared" si="255"/>
        <v>343.65000000000003</v>
      </c>
      <c r="M1622" s="23">
        <v>5</v>
      </c>
      <c r="N1622" s="18">
        <f t="shared" si="250"/>
        <v>17.263013698630136</v>
      </c>
      <c r="O1622" s="23">
        <v>3264.6750000000002</v>
      </c>
      <c r="P1622" s="18">
        <f t="shared" si="251"/>
        <v>18.263013698630136</v>
      </c>
      <c r="Q1622" s="18">
        <f t="shared" si="253"/>
        <v>-7.9580786405131228E-14</v>
      </c>
      <c r="R1622" s="18">
        <f t="shared" si="252"/>
        <v>3264.6750000000002</v>
      </c>
      <c r="S1622" s="18">
        <f t="shared" si="254"/>
        <v>343.65000000000003</v>
      </c>
    </row>
    <row r="1623" spans="1:19" ht="15" customHeight="1" x14ac:dyDescent="0.2">
      <c r="A1623" s="14">
        <f t="shared" si="256"/>
        <v>1584</v>
      </c>
      <c r="B1623" s="21" t="s">
        <v>1400</v>
      </c>
      <c r="C1623" s="15" t="s">
        <v>3</v>
      </c>
      <c r="D1623" s="21" t="s">
        <v>1200</v>
      </c>
      <c r="E1623" s="21"/>
      <c r="F1623" s="69" t="s">
        <v>4</v>
      </c>
      <c r="G1623" s="9">
        <v>37622</v>
      </c>
      <c r="H1623" s="22">
        <v>13895</v>
      </c>
      <c r="I1623" s="17">
        <v>0</v>
      </c>
      <c r="J1623" s="17">
        <f t="shared" si="257"/>
        <v>13200.25</v>
      </c>
      <c r="K1623" s="17">
        <f t="shared" si="249"/>
        <v>694.75</v>
      </c>
      <c r="L1623" s="23">
        <f t="shared" si="255"/>
        <v>694.75</v>
      </c>
      <c r="M1623" s="23">
        <v>5</v>
      </c>
      <c r="N1623" s="18">
        <f t="shared" si="250"/>
        <v>17.263013698630136</v>
      </c>
      <c r="O1623" s="23">
        <v>6600.125</v>
      </c>
      <c r="P1623" s="18">
        <f t="shared" si="251"/>
        <v>18.263013698630136</v>
      </c>
      <c r="Q1623" s="18">
        <f t="shared" si="253"/>
        <v>0</v>
      </c>
      <c r="R1623" s="18">
        <f t="shared" si="252"/>
        <v>6600.125</v>
      </c>
      <c r="S1623" s="18">
        <f t="shared" si="254"/>
        <v>694.75</v>
      </c>
    </row>
    <row r="1624" spans="1:19" ht="15" customHeight="1" x14ac:dyDescent="0.2">
      <c r="A1624" s="14">
        <f t="shared" si="256"/>
        <v>1585</v>
      </c>
      <c r="B1624" s="21" t="s">
        <v>1401</v>
      </c>
      <c r="C1624" s="15" t="s">
        <v>3</v>
      </c>
      <c r="D1624" s="21" t="s">
        <v>1200</v>
      </c>
      <c r="E1624" s="21"/>
      <c r="F1624" s="69" t="s">
        <v>4</v>
      </c>
      <c r="G1624" s="9">
        <v>37622</v>
      </c>
      <c r="H1624" s="22">
        <v>7027</v>
      </c>
      <c r="I1624" s="17">
        <v>0</v>
      </c>
      <c r="J1624" s="17">
        <f t="shared" si="257"/>
        <v>6675.65</v>
      </c>
      <c r="K1624" s="17">
        <f t="shared" si="249"/>
        <v>351.35000000000036</v>
      </c>
      <c r="L1624" s="23">
        <f t="shared" si="255"/>
        <v>351.35</v>
      </c>
      <c r="M1624" s="23">
        <v>5</v>
      </c>
      <c r="N1624" s="18">
        <f t="shared" si="250"/>
        <v>17.263013698630136</v>
      </c>
      <c r="O1624" s="23">
        <v>3337.8249999999998</v>
      </c>
      <c r="P1624" s="18">
        <f t="shared" si="251"/>
        <v>18.263013698630136</v>
      </c>
      <c r="Q1624" s="18">
        <f t="shared" si="253"/>
        <v>6.8212102632969628E-14</v>
      </c>
      <c r="R1624" s="18">
        <f t="shared" si="252"/>
        <v>3337.8249999999998</v>
      </c>
      <c r="S1624" s="18">
        <f t="shared" si="254"/>
        <v>351.35</v>
      </c>
    </row>
    <row r="1625" spans="1:19" ht="15" customHeight="1" x14ac:dyDescent="0.2">
      <c r="A1625" s="14">
        <f t="shared" si="256"/>
        <v>1586</v>
      </c>
      <c r="B1625" s="21" t="s">
        <v>1366</v>
      </c>
      <c r="C1625" s="15" t="s">
        <v>3</v>
      </c>
      <c r="D1625" s="21" t="s">
        <v>1200</v>
      </c>
      <c r="E1625" s="21"/>
      <c r="F1625" s="69" t="s">
        <v>4</v>
      </c>
      <c r="G1625" s="9">
        <v>37622</v>
      </c>
      <c r="H1625" s="22">
        <v>18918</v>
      </c>
      <c r="I1625" s="17">
        <v>0</v>
      </c>
      <c r="J1625" s="17">
        <f t="shared" si="257"/>
        <v>17972.099999999999</v>
      </c>
      <c r="K1625" s="17">
        <f t="shared" si="249"/>
        <v>945.90000000000146</v>
      </c>
      <c r="L1625" s="23">
        <f t="shared" si="255"/>
        <v>945.90000000000009</v>
      </c>
      <c r="M1625" s="23">
        <v>5</v>
      </c>
      <c r="N1625" s="18">
        <f t="shared" si="250"/>
        <v>17.263013698630136</v>
      </c>
      <c r="O1625" s="23">
        <v>8986.0499999999993</v>
      </c>
      <c r="P1625" s="18">
        <f t="shared" si="251"/>
        <v>18.263013698630136</v>
      </c>
      <c r="Q1625" s="18">
        <f t="shared" si="253"/>
        <v>2.7284841053187851E-13</v>
      </c>
      <c r="R1625" s="18">
        <f t="shared" si="252"/>
        <v>8986.0499999999993</v>
      </c>
      <c r="S1625" s="18">
        <f t="shared" si="254"/>
        <v>945.90000000000009</v>
      </c>
    </row>
    <row r="1626" spans="1:19" ht="15" customHeight="1" x14ac:dyDescent="0.2">
      <c r="A1626" s="14">
        <f t="shared" si="256"/>
        <v>1587</v>
      </c>
      <c r="B1626" s="21" t="s">
        <v>1402</v>
      </c>
      <c r="C1626" s="15" t="s">
        <v>3</v>
      </c>
      <c r="D1626" s="21" t="s">
        <v>1200</v>
      </c>
      <c r="E1626" s="21"/>
      <c r="F1626" s="69" t="s">
        <v>4</v>
      </c>
      <c r="G1626" s="9">
        <v>37605</v>
      </c>
      <c r="H1626" s="22">
        <v>15750</v>
      </c>
      <c r="I1626" s="17">
        <v>0</v>
      </c>
      <c r="J1626" s="17">
        <f t="shared" si="257"/>
        <v>14962.5</v>
      </c>
      <c r="K1626" s="17">
        <f t="shared" si="249"/>
        <v>787.5</v>
      </c>
      <c r="L1626" s="23">
        <f t="shared" si="255"/>
        <v>787.5</v>
      </c>
      <c r="M1626" s="23">
        <v>3</v>
      </c>
      <c r="N1626" s="18">
        <f t="shared" si="250"/>
        <v>17.30958904109589</v>
      </c>
      <c r="O1626" s="23">
        <v>7481.25</v>
      </c>
      <c r="P1626" s="18">
        <f t="shared" si="251"/>
        <v>18.30958904109589</v>
      </c>
      <c r="Q1626" s="18">
        <f t="shared" si="253"/>
        <v>0</v>
      </c>
      <c r="R1626" s="18">
        <f t="shared" si="252"/>
        <v>7481.25</v>
      </c>
      <c r="S1626" s="18">
        <f t="shared" si="254"/>
        <v>787.5</v>
      </c>
    </row>
    <row r="1627" spans="1:19" ht="15" customHeight="1" x14ac:dyDescent="0.2">
      <c r="A1627" s="14">
        <f t="shared" si="256"/>
        <v>1588</v>
      </c>
      <c r="B1627" s="21" t="s">
        <v>1403</v>
      </c>
      <c r="C1627" s="15" t="s">
        <v>3</v>
      </c>
      <c r="D1627" s="21" t="s">
        <v>1200</v>
      </c>
      <c r="E1627" s="21"/>
      <c r="F1627" s="69" t="s">
        <v>4</v>
      </c>
      <c r="G1627" s="9">
        <v>37589</v>
      </c>
      <c r="H1627" s="22">
        <v>176297.41</v>
      </c>
      <c r="I1627" s="17">
        <v>0</v>
      </c>
      <c r="J1627" s="17">
        <f t="shared" si="257"/>
        <v>167482.53950000001</v>
      </c>
      <c r="K1627" s="17">
        <f t="shared" si="249"/>
        <v>8814.87049999999</v>
      </c>
      <c r="L1627" s="23">
        <f t="shared" si="255"/>
        <v>8814.8705000000009</v>
      </c>
      <c r="M1627" s="23">
        <v>3</v>
      </c>
      <c r="N1627" s="18">
        <f t="shared" si="250"/>
        <v>17.353424657534248</v>
      </c>
      <c r="O1627" s="23">
        <v>83741.269750000007</v>
      </c>
      <c r="P1627" s="18">
        <f t="shared" si="251"/>
        <v>18.353424657534248</v>
      </c>
      <c r="Q1627" s="18">
        <f t="shared" si="253"/>
        <v>-3.637978807091713E-12</v>
      </c>
      <c r="R1627" s="18">
        <f t="shared" si="252"/>
        <v>83741.269750000007</v>
      </c>
      <c r="S1627" s="18">
        <f t="shared" si="254"/>
        <v>8814.8705000000009</v>
      </c>
    </row>
    <row r="1628" spans="1:19" ht="15" customHeight="1" x14ac:dyDescent="0.2">
      <c r="A1628" s="14">
        <f t="shared" si="256"/>
        <v>1589</v>
      </c>
      <c r="B1628" s="21" t="s">
        <v>1404</v>
      </c>
      <c r="C1628" s="15" t="s">
        <v>3</v>
      </c>
      <c r="D1628" s="21" t="s">
        <v>1200</v>
      </c>
      <c r="E1628" s="21"/>
      <c r="F1628" s="69" t="s">
        <v>4</v>
      </c>
      <c r="G1628" s="9">
        <v>37582</v>
      </c>
      <c r="H1628" s="22">
        <v>14615</v>
      </c>
      <c r="I1628" s="17">
        <v>0</v>
      </c>
      <c r="J1628" s="17">
        <f t="shared" si="257"/>
        <v>13884.25</v>
      </c>
      <c r="K1628" s="17">
        <f t="shared" si="249"/>
        <v>730.75</v>
      </c>
      <c r="L1628" s="23">
        <f t="shared" si="255"/>
        <v>730.75</v>
      </c>
      <c r="M1628" s="23">
        <v>3</v>
      </c>
      <c r="N1628" s="18">
        <f t="shared" si="250"/>
        <v>17.372602739726027</v>
      </c>
      <c r="O1628" s="23">
        <v>6942.125</v>
      </c>
      <c r="P1628" s="18">
        <f t="shared" si="251"/>
        <v>18.372602739726027</v>
      </c>
      <c r="Q1628" s="18">
        <f t="shared" si="253"/>
        <v>0</v>
      </c>
      <c r="R1628" s="18">
        <f t="shared" si="252"/>
        <v>6942.125</v>
      </c>
      <c r="S1628" s="18">
        <f t="shared" si="254"/>
        <v>730.75</v>
      </c>
    </row>
    <row r="1629" spans="1:19" ht="15" customHeight="1" x14ac:dyDescent="0.2">
      <c r="A1629" s="14">
        <f t="shared" si="256"/>
        <v>1590</v>
      </c>
      <c r="B1629" s="21" t="s">
        <v>1405</v>
      </c>
      <c r="C1629" s="15" t="s">
        <v>3</v>
      </c>
      <c r="D1629" s="21" t="s">
        <v>1200</v>
      </c>
      <c r="E1629" s="21"/>
      <c r="F1629" s="69" t="s">
        <v>4</v>
      </c>
      <c r="G1629" s="9">
        <v>37582</v>
      </c>
      <c r="H1629" s="22">
        <v>35500</v>
      </c>
      <c r="I1629" s="17">
        <v>0</v>
      </c>
      <c r="J1629" s="17">
        <f t="shared" si="257"/>
        <v>33725</v>
      </c>
      <c r="K1629" s="17">
        <f t="shared" si="249"/>
        <v>1775</v>
      </c>
      <c r="L1629" s="23">
        <f t="shared" si="255"/>
        <v>1775</v>
      </c>
      <c r="M1629" s="23">
        <v>3</v>
      </c>
      <c r="N1629" s="18">
        <f t="shared" si="250"/>
        <v>17.372602739726027</v>
      </c>
      <c r="O1629" s="23">
        <v>16862.5</v>
      </c>
      <c r="P1629" s="18">
        <f t="shared" si="251"/>
        <v>18.372602739726027</v>
      </c>
      <c r="Q1629" s="18">
        <f t="shared" si="253"/>
        <v>0</v>
      </c>
      <c r="R1629" s="18">
        <f t="shared" si="252"/>
        <v>16862.5</v>
      </c>
      <c r="S1629" s="18">
        <f t="shared" si="254"/>
        <v>1775</v>
      </c>
    </row>
    <row r="1630" spans="1:19" ht="15" customHeight="1" x14ac:dyDescent="0.2">
      <c r="A1630" s="14">
        <f t="shared" si="256"/>
        <v>1591</v>
      </c>
      <c r="B1630" s="21" t="s">
        <v>1406</v>
      </c>
      <c r="C1630" s="15" t="s">
        <v>3</v>
      </c>
      <c r="D1630" s="21" t="s">
        <v>1200</v>
      </c>
      <c r="E1630" s="21"/>
      <c r="F1630" s="69" t="s">
        <v>4</v>
      </c>
      <c r="G1630" s="9">
        <v>37574</v>
      </c>
      <c r="H1630" s="22">
        <v>6490</v>
      </c>
      <c r="I1630" s="17">
        <v>0</v>
      </c>
      <c r="J1630" s="17">
        <f t="shared" si="257"/>
        <v>6165.5</v>
      </c>
      <c r="K1630" s="17">
        <f t="shared" si="249"/>
        <v>324.5</v>
      </c>
      <c r="L1630" s="23">
        <f t="shared" si="255"/>
        <v>324.5</v>
      </c>
      <c r="M1630" s="23">
        <v>5</v>
      </c>
      <c r="N1630" s="18">
        <f t="shared" si="250"/>
        <v>17.394520547945206</v>
      </c>
      <c r="O1630" s="23">
        <v>3082.75</v>
      </c>
      <c r="P1630" s="18">
        <f t="shared" si="251"/>
        <v>18.394520547945206</v>
      </c>
      <c r="Q1630" s="18">
        <f t="shared" si="253"/>
        <v>0</v>
      </c>
      <c r="R1630" s="18">
        <f t="shared" si="252"/>
        <v>3082.75</v>
      </c>
      <c r="S1630" s="18">
        <f t="shared" si="254"/>
        <v>324.5</v>
      </c>
    </row>
    <row r="1631" spans="1:19" ht="15" customHeight="1" x14ac:dyDescent="0.2">
      <c r="A1631" s="14">
        <f t="shared" si="256"/>
        <v>1592</v>
      </c>
      <c r="B1631" s="21" t="s">
        <v>1407</v>
      </c>
      <c r="C1631" s="15" t="s">
        <v>3</v>
      </c>
      <c r="D1631" s="21" t="s">
        <v>1200</v>
      </c>
      <c r="E1631" s="21"/>
      <c r="F1631" s="69" t="s">
        <v>4</v>
      </c>
      <c r="G1631" s="9">
        <v>37437</v>
      </c>
      <c r="H1631" s="22">
        <v>6900</v>
      </c>
      <c r="I1631" s="17">
        <v>0</v>
      </c>
      <c r="J1631" s="17">
        <f t="shared" si="257"/>
        <v>6555</v>
      </c>
      <c r="K1631" s="17">
        <f t="shared" si="249"/>
        <v>345</v>
      </c>
      <c r="L1631" s="23">
        <f t="shared" si="255"/>
        <v>345</v>
      </c>
      <c r="M1631" s="23">
        <v>5</v>
      </c>
      <c r="N1631" s="18">
        <f t="shared" si="250"/>
        <v>17.769863013698629</v>
      </c>
      <c r="O1631" s="23">
        <v>3277.5</v>
      </c>
      <c r="P1631" s="18">
        <f t="shared" si="251"/>
        <v>18.769863013698629</v>
      </c>
      <c r="Q1631" s="18">
        <f t="shared" si="253"/>
        <v>0</v>
      </c>
      <c r="R1631" s="18">
        <f t="shared" si="252"/>
        <v>3277.5</v>
      </c>
      <c r="S1631" s="18">
        <f t="shared" si="254"/>
        <v>345</v>
      </c>
    </row>
    <row r="1632" spans="1:19" ht="15" customHeight="1" x14ac:dyDescent="0.2">
      <c r="A1632" s="14">
        <f t="shared" si="256"/>
        <v>1593</v>
      </c>
      <c r="B1632" s="21" t="s">
        <v>1357</v>
      </c>
      <c r="C1632" s="15" t="s">
        <v>3</v>
      </c>
      <c r="D1632" s="21" t="s">
        <v>1200</v>
      </c>
      <c r="E1632" s="21"/>
      <c r="F1632" s="69" t="s">
        <v>4</v>
      </c>
      <c r="G1632" s="9">
        <v>37437</v>
      </c>
      <c r="H1632" s="22">
        <v>18000</v>
      </c>
      <c r="I1632" s="17">
        <v>0</v>
      </c>
      <c r="J1632" s="17">
        <f t="shared" si="257"/>
        <v>17100</v>
      </c>
      <c r="K1632" s="17">
        <f t="shared" si="249"/>
        <v>900</v>
      </c>
      <c r="L1632" s="23">
        <f t="shared" si="255"/>
        <v>900</v>
      </c>
      <c r="M1632" s="23">
        <v>5</v>
      </c>
      <c r="N1632" s="18">
        <f t="shared" si="250"/>
        <v>17.769863013698629</v>
      </c>
      <c r="O1632" s="23">
        <v>8550</v>
      </c>
      <c r="P1632" s="18">
        <f t="shared" si="251"/>
        <v>18.769863013698629</v>
      </c>
      <c r="Q1632" s="18">
        <f t="shared" si="253"/>
        <v>0</v>
      </c>
      <c r="R1632" s="18">
        <f t="shared" si="252"/>
        <v>8550</v>
      </c>
      <c r="S1632" s="18">
        <f t="shared" si="254"/>
        <v>900</v>
      </c>
    </row>
    <row r="1633" spans="1:19" ht="15" customHeight="1" x14ac:dyDescent="0.2">
      <c r="A1633" s="14">
        <f t="shared" si="256"/>
        <v>1594</v>
      </c>
      <c r="B1633" s="21" t="s">
        <v>1346</v>
      </c>
      <c r="C1633" s="15" t="s">
        <v>3</v>
      </c>
      <c r="D1633" s="21" t="s">
        <v>1200</v>
      </c>
      <c r="E1633" s="21"/>
      <c r="F1633" s="69" t="s">
        <v>4</v>
      </c>
      <c r="G1633" s="9">
        <v>37407</v>
      </c>
      <c r="H1633" s="22">
        <v>36000</v>
      </c>
      <c r="I1633" s="17">
        <v>0</v>
      </c>
      <c r="J1633" s="17">
        <f t="shared" si="257"/>
        <v>34200</v>
      </c>
      <c r="K1633" s="17">
        <f t="shared" si="249"/>
        <v>1800</v>
      </c>
      <c r="L1633" s="23">
        <f t="shared" si="255"/>
        <v>1800</v>
      </c>
      <c r="M1633" s="23">
        <v>5</v>
      </c>
      <c r="N1633" s="18">
        <f t="shared" si="250"/>
        <v>17.852054794520548</v>
      </c>
      <c r="O1633" s="23">
        <v>17100</v>
      </c>
      <c r="P1633" s="18">
        <f t="shared" si="251"/>
        <v>18.852054794520548</v>
      </c>
      <c r="Q1633" s="18">
        <f t="shared" si="253"/>
        <v>0</v>
      </c>
      <c r="R1633" s="18">
        <f t="shared" si="252"/>
        <v>17100</v>
      </c>
      <c r="S1633" s="18">
        <f t="shared" si="254"/>
        <v>1800</v>
      </c>
    </row>
    <row r="1634" spans="1:19" ht="15" customHeight="1" x14ac:dyDescent="0.2">
      <c r="A1634" s="14">
        <f t="shared" si="256"/>
        <v>1595</v>
      </c>
      <c r="B1634" s="21" t="s">
        <v>1408</v>
      </c>
      <c r="C1634" s="15" t="s">
        <v>3</v>
      </c>
      <c r="D1634" s="21" t="s">
        <v>1200</v>
      </c>
      <c r="E1634" s="21"/>
      <c r="F1634" s="69" t="s">
        <v>4</v>
      </c>
      <c r="G1634" s="9">
        <v>37407</v>
      </c>
      <c r="H1634" s="22">
        <v>134350</v>
      </c>
      <c r="I1634" s="17">
        <v>0</v>
      </c>
      <c r="J1634" s="17">
        <f t="shared" si="257"/>
        <v>127632.5</v>
      </c>
      <c r="K1634" s="17">
        <f t="shared" si="249"/>
        <v>6717.5</v>
      </c>
      <c r="L1634" s="23">
        <f t="shared" si="255"/>
        <v>6717.5</v>
      </c>
      <c r="M1634" s="23">
        <v>5</v>
      </c>
      <c r="N1634" s="18">
        <f t="shared" si="250"/>
        <v>17.852054794520548</v>
      </c>
      <c r="O1634" s="23">
        <v>63816.25</v>
      </c>
      <c r="P1634" s="18">
        <f t="shared" si="251"/>
        <v>18.852054794520548</v>
      </c>
      <c r="Q1634" s="18">
        <f t="shared" si="253"/>
        <v>0</v>
      </c>
      <c r="R1634" s="18">
        <f t="shared" si="252"/>
        <v>63816.25</v>
      </c>
      <c r="S1634" s="18">
        <f t="shared" si="254"/>
        <v>6717.5</v>
      </c>
    </row>
    <row r="1635" spans="1:19" ht="15" customHeight="1" x14ac:dyDescent="0.2">
      <c r="A1635" s="14">
        <f t="shared" si="256"/>
        <v>1596</v>
      </c>
      <c r="B1635" s="21" t="s">
        <v>1409</v>
      </c>
      <c r="C1635" s="15" t="s">
        <v>3</v>
      </c>
      <c r="D1635" s="21" t="s">
        <v>1200</v>
      </c>
      <c r="E1635" s="21"/>
      <c r="F1635" s="69" t="s">
        <v>4</v>
      </c>
      <c r="G1635" s="9">
        <v>37257</v>
      </c>
      <c r="H1635" s="22">
        <v>18793</v>
      </c>
      <c r="I1635" s="17">
        <v>0</v>
      </c>
      <c r="J1635" s="17">
        <f t="shared" si="257"/>
        <v>17853.349999999999</v>
      </c>
      <c r="K1635" s="17">
        <f t="shared" si="249"/>
        <v>939.65000000000146</v>
      </c>
      <c r="L1635" s="23">
        <f t="shared" si="255"/>
        <v>939.65000000000009</v>
      </c>
      <c r="M1635" s="23">
        <v>5</v>
      </c>
      <c r="N1635" s="18">
        <f t="shared" si="250"/>
        <v>18.263013698630136</v>
      </c>
      <c r="O1635" s="23">
        <v>8926.6749999999993</v>
      </c>
      <c r="P1635" s="18">
        <f t="shared" si="251"/>
        <v>19.263013698630136</v>
      </c>
      <c r="Q1635" s="18">
        <f t="shared" si="253"/>
        <v>2.7284841053187851E-13</v>
      </c>
      <c r="R1635" s="18">
        <f t="shared" si="252"/>
        <v>8926.6749999999993</v>
      </c>
      <c r="S1635" s="18">
        <f t="shared" si="254"/>
        <v>939.65000000000009</v>
      </c>
    </row>
    <row r="1636" spans="1:19" ht="15" customHeight="1" x14ac:dyDescent="0.2">
      <c r="A1636" s="14">
        <f t="shared" si="256"/>
        <v>1597</v>
      </c>
      <c r="B1636" s="21" t="s">
        <v>1410</v>
      </c>
      <c r="C1636" s="15" t="s">
        <v>3</v>
      </c>
      <c r="D1636" s="21" t="s">
        <v>1200</v>
      </c>
      <c r="E1636" s="21"/>
      <c r="F1636" s="69" t="s">
        <v>4</v>
      </c>
      <c r="G1636" s="9">
        <v>37257</v>
      </c>
      <c r="H1636" s="22">
        <v>7168</v>
      </c>
      <c r="I1636" s="17">
        <v>0</v>
      </c>
      <c r="J1636" s="17">
        <f t="shared" si="257"/>
        <v>6809.6</v>
      </c>
      <c r="K1636" s="17">
        <f t="shared" si="249"/>
        <v>358.39999999999964</v>
      </c>
      <c r="L1636" s="23">
        <f t="shared" si="255"/>
        <v>358.40000000000003</v>
      </c>
      <c r="M1636" s="23">
        <v>5</v>
      </c>
      <c r="N1636" s="18">
        <f t="shared" si="250"/>
        <v>18.263013698630136</v>
      </c>
      <c r="O1636" s="23">
        <v>3404.8</v>
      </c>
      <c r="P1636" s="18">
        <f t="shared" si="251"/>
        <v>19.263013698630136</v>
      </c>
      <c r="Q1636" s="18">
        <f t="shared" si="253"/>
        <v>-7.9580786405131228E-14</v>
      </c>
      <c r="R1636" s="18">
        <f t="shared" si="252"/>
        <v>3404.8</v>
      </c>
      <c r="S1636" s="18">
        <f t="shared" si="254"/>
        <v>358.40000000000003</v>
      </c>
    </row>
    <row r="1637" spans="1:19" ht="15" customHeight="1" x14ac:dyDescent="0.2">
      <c r="A1637" s="14">
        <f t="shared" si="256"/>
        <v>1598</v>
      </c>
      <c r="B1637" s="21" t="s">
        <v>1411</v>
      </c>
      <c r="C1637" s="15" t="s">
        <v>3</v>
      </c>
      <c r="D1637" s="21" t="s">
        <v>1200</v>
      </c>
      <c r="E1637" s="21"/>
      <c r="F1637" s="69" t="s">
        <v>4</v>
      </c>
      <c r="G1637" s="9">
        <v>37257</v>
      </c>
      <c r="H1637" s="22">
        <v>600</v>
      </c>
      <c r="I1637" s="17">
        <v>0</v>
      </c>
      <c r="J1637" s="17">
        <f t="shared" si="257"/>
        <v>570</v>
      </c>
      <c r="K1637" s="17">
        <f t="shared" si="249"/>
        <v>30</v>
      </c>
      <c r="L1637" s="23">
        <f t="shared" si="255"/>
        <v>30</v>
      </c>
      <c r="M1637" s="23">
        <v>5</v>
      </c>
      <c r="N1637" s="18">
        <f t="shared" si="250"/>
        <v>18.263013698630136</v>
      </c>
      <c r="O1637" s="23">
        <v>285</v>
      </c>
      <c r="P1637" s="18">
        <f t="shared" si="251"/>
        <v>19.263013698630136</v>
      </c>
      <c r="Q1637" s="18">
        <f t="shared" si="253"/>
        <v>0</v>
      </c>
      <c r="R1637" s="18">
        <f t="shared" si="252"/>
        <v>285</v>
      </c>
      <c r="S1637" s="18">
        <f t="shared" si="254"/>
        <v>30</v>
      </c>
    </row>
    <row r="1638" spans="1:19" ht="15" customHeight="1" x14ac:dyDescent="0.2">
      <c r="A1638" s="14">
        <f t="shared" si="256"/>
        <v>1599</v>
      </c>
      <c r="B1638" s="21" t="s">
        <v>1412</v>
      </c>
      <c r="C1638" s="15" t="s">
        <v>3</v>
      </c>
      <c r="D1638" s="21" t="s">
        <v>1200</v>
      </c>
      <c r="E1638" s="21"/>
      <c r="F1638" s="69" t="s">
        <v>4</v>
      </c>
      <c r="G1638" s="9">
        <v>37257</v>
      </c>
      <c r="H1638" s="22">
        <v>1085</v>
      </c>
      <c r="I1638" s="17">
        <v>0</v>
      </c>
      <c r="J1638" s="17">
        <f t="shared" si="257"/>
        <v>1030.75</v>
      </c>
      <c r="K1638" s="17">
        <f t="shared" ref="K1638:K1701" si="258">H1638+I1638-J1638</f>
        <v>54.25</v>
      </c>
      <c r="L1638" s="23">
        <f t="shared" si="255"/>
        <v>54.25</v>
      </c>
      <c r="M1638" s="23">
        <v>5</v>
      </c>
      <c r="N1638" s="18">
        <f t="shared" ref="N1638:N1701" si="259">IF(($N$35-G1638+1)/365&gt;0,($N$35-G1638+1)/365,0)</f>
        <v>18.263013698630136</v>
      </c>
      <c r="O1638" s="23">
        <v>515.375</v>
      </c>
      <c r="P1638" s="18">
        <f t="shared" ref="P1638:P1701" si="260">($P$35-G1638+1)/365</f>
        <v>19.263013698630136</v>
      </c>
      <c r="Q1638" s="18">
        <f t="shared" si="253"/>
        <v>0</v>
      </c>
      <c r="R1638" s="18">
        <f t="shared" ref="R1638:R1701" si="261">Q1638+O1638</f>
        <v>515.375</v>
      </c>
      <c r="S1638" s="18">
        <f t="shared" si="254"/>
        <v>54.25</v>
      </c>
    </row>
    <row r="1639" spans="1:19" ht="15" customHeight="1" x14ac:dyDescent="0.2">
      <c r="A1639" s="14">
        <f t="shared" si="256"/>
        <v>1600</v>
      </c>
      <c r="B1639" s="21" t="s">
        <v>1413</v>
      </c>
      <c r="C1639" s="15" t="s">
        <v>3</v>
      </c>
      <c r="D1639" s="21" t="s">
        <v>1200</v>
      </c>
      <c r="E1639" s="21"/>
      <c r="F1639" s="69" t="s">
        <v>4</v>
      </c>
      <c r="G1639" s="9">
        <v>37257</v>
      </c>
      <c r="H1639" s="22">
        <v>804</v>
      </c>
      <c r="I1639" s="17">
        <v>0</v>
      </c>
      <c r="J1639" s="17">
        <f t="shared" si="257"/>
        <v>763.8</v>
      </c>
      <c r="K1639" s="17">
        <f t="shared" si="258"/>
        <v>40.200000000000045</v>
      </c>
      <c r="L1639" s="23">
        <f t="shared" si="255"/>
        <v>40.200000000000003</v>
      </c>
      <c r="M1639" s="23">
        <v>5</v>
      </c>
      <c r="N1639" s="18">
        <f t="shared" si="259"/>
        <v>18.263013698630136</v>
      </c>
      <c r="O1639" s="23">
        <v>381.9</v>
      </c>
      <c r="P1639" s="18">
        <f t="shared" si="260"/>
        <v>19.263013698630136</v>
      </c>
      <c r="Q1639" s="18">
        <f t="shared" si="253"/>
        <v>8.5265128291212035E-15</v>
      </c>
      <c r="R1639" s="18">
        <f t="shared" si="261"/>
        <v>381.9</v>
      </c>
      <c r="S1639" s="18">
        <f t="shared" si="254"/>
        <v>40.200000000000003</v>
      </c>
    </row>
    <row r="1640" spans="1:19" ht="15" customHeight="1" x14ac:dyDescent="0.2">
      <c r="A1640" s="14">
        <f t="shared" si="256"/>
        <v>1601</v>
      </c>
      <c r="B1640" s="21" t="s">
        <v>1414</v>
      </c>
      <c r="C1640" s="15" t="s">
        <v>3</v>
      </c>
      <c r="D1640" s="21" t="s">
        <v>1200</v>
      </c>
      <c r="E1640" s="21"/>
      <c r="F1640" s="69" t="s">
        <v>4</v>
      </c>
      <c r="G1640" s="9">
        <v>37257</v>
      </c>
      <c r="H1640" s="22">
        <v>3150</v>
      </c>
      <c r="I1640" s="17">
        <v>0</v>
      </c>
      <c r="J1640" s="17">
        <f t="shared" si="257"/>
        <v>2992.5</v>
      </c>
      <c r="K1640" s="17">
        <f t="shared" si="258"/>
        <v>157.5</v>
      </c>
      <c r="L1640" s="23">
        <f t="shared" si="255"/>
        <v>157.5</v>
      </c>
      <c r="M1640" s="23">
        <v>5</v>
      </c>
      <c r="N1640" s="18">
        <f t="shared" si="259"/>
        <v>18.263013698630136</v>
      </c>
      <c r="O1640" s="23">
        <v>1496.25</v>
      </c>
      <c r="P1640" s="18">
        <f t="shared" si="260"/>
        <v>19.263013698630136</v>
      </c>
      <c r="Q1640" s="18">
        <f t="shared" ref="Q1640:Q1703" si="262">(P1640-N1640)/M1640*(K1640-L1640)</f>
        <v>0</v>
      </c>
      <c r="R1640" s="18">
        <f t="shared" si="261"/>
        <v>1496.25</v>
      </c>
      <c r="S1640" s="18">
        <f t="shared" ref="S1640:S1703" si="263">+IF(N1640&gt;P1640,0,L1640)</f>
        <v>157.5</v>
      </c>
    </row>
    <row r="1641" spans="1:19" ht="15" customHeight="1" x14ac:dyDescent="0.2">
      <c r="A1641" s="14">
        <f t="shared" si="256"/>
        <v>1602</v>
      </c>
      <c r="B1641" s="21" t="s">
        <v>1415</v>
      </c>
      <c r="C1641" s="15" t="s">
        <v>3</v>
      </c>
      <c r="D1641" s="21" t="s">
        <v>1200</v>
      </c>
      <c r="E1641" s="21"/>
      <c r="F1641" s="69" t="s">
        <v>4</v>
      </c>
      <c r="G1641" s="9">
        <v>37257</v>
      </c>
      <c r="H1641" s="22">
        <v>19800</v>
      </c>
      <c r="I1641" s="17">
        <v>0</v>
      </c>
      <c r="J1641" s="17">
        <f t="shared" si="257"/>
        <v>18810</v>
      </c>
      <c r="K1641" s="17">
        <f t="shared" si="258"/>
        <v>990</v>
      </c>
      <c r="L1641" s="23">
        <f t="shared" si="255"/>
        <v>990</v>
      </c>
      <c r="M1641" s="23">
        <v>5</v>
      </c>
      <c r="N1641" s="18">
        <f t="shared" si="259"/>
        <v>18.263013698630136</v>
      </c>
      <c r="O1641" s="23">
        <v>9405</v>
      </c>
      <c r="P1641" s="18">
        <f t="shared" si="260"/>
        <v>19.263013698630136</v>
      </c>
      <c r="Q1641" s="18">
        <f t="shared" si="262"/>
        <v>0</v>
      </c>
      <c r="R1641" s="18">
        <f t="shared" si="261"/>
        <v>9405</v>
      </c>
      <c r="S1641" s="18">
        <f t="shared" si="263"/>
        <v>990</v>
      </c>
    </row>
    <row r="1642" spans="1:19" ht="15" customHeight="1" x14ac:dyDescent="0.2">
      <c r="A1642" s="14">
        <f t="shared" si="256"/>
        <v>1603</v>
      </c>
      <c r="B1642" s="21" t="s">
        <v>1209</v>
      </c>
      <c r="C1642" s="15" t="s">
        <v>3</v>
      </c>
      <c r="D1642" s="21" t="s">
        <v>1200</v>
      </c>
      <c r="E1642" s="21"/>
      <c r="F1642" s="69" t="s">
        <v>4</v>
      </c>
      <c r="G1642" s="9">
        <v>37210</v>
      </c>
      <c r="H1642" s="22">
        <v>22325</v>
      </c>
      <c r="I1642" s="17">
        <v>0</v>
      </c>
      <c r="J1642" s="17">
        <f t="shared" si="257"/>
        <v>21208.75</v>
      </c>
      <c r="K1642" s="17">
        <f t="shared" si="258"/>
        <v>1116.25</v>
      </c>
      <c r="L1642" s="23">
        <f t="shared" ref="L1642:L1705" si="264">H1642*0.05</f>
        <v>1116.25</v>
      </c>
      <c r="M1642" s="23">
        <v>3</v>
      </c>
      <c r="N1642" s="18">
        <f t="shared" si="259"/>
        <v>18.391780821917809</v>
      </c>
      <c r="O1642" s="23">
        <v>10604.375</v>
      </c>
      <c r="P1642" s="18">
        <f t="shared" si="260"/>
        <v>19.391780821917809</v>
      </c>
      <c r="Q1642" s="18">
        <f t="shared" si="262"/>
        <v>0</v>
      </c>
      <c r="R1642" s="18">
        <f t="shared" si="261"/>
        <v>10604.375</v>
      </c>
      <c r="S1642" s="18">
        <f t="shared" si="263"/>
        <v>1116.25</v>
      </c>
    </row>
    <row r="1643" spans="1:19" ht="15" customHeight="1" x14ac:dyDescent="0.2">
      <c r="A1643" s="14">
        <f t="shared" ref="A1643:A1706" si="265">+A1642+1</f>
        <v>1604</v>
      </c>
      <c r="B1643" s="21" t="s">
        <v>1243</v>
      </c>
      <c r="C1643" s="15" t="s">
        <v>3</v>
      </c>
      <c r="D1643" s="21" t="s">
        <v>1200</v>
      </c>
      <c r="E1643" s="21"/>
      <c r="F1643" s="69" t="s">
        <v>4</v>
      </c>
      <c r="G1643" s="9">
        <v>37210</v>
      </c>
      <c r="H1643" s="22">
        <v>249900</v>
      </c>
      <c r="I1643" s="17">
        <v>0</v>
      </c>
      <c r="J1643" s="17">
        <f t="shared" si="257"/>
        <v>237405</v>
      </c>
      <c r="K1643" s="17">
        <f t="shared" si="258"/>
        <v>12495</v>
      </c>
      <c r="L1643" s="23">
        <f t="shared" si="264"/>
        <v>12495</v>
      </c>
      <c r="M1643" s="23">
        <v>3</v>
      </c>
      <c r="N1643" s="18">
        <f t="shared" si="259"/>
        <v>18.391780821917809</v>
      </c>
      <c r="O1643" s="23">
        <v>118702.5</v>
      </c>
      <c r="P1643" s="18">
        <f t="shared" si="260"/>
        <v>19.391780821917809</v>
      </c>
      <c r="Q1643" s="18">
        <f t="shared" si="262"/>
        <v>0</v>
      </c>
      <c r="R1643" s="18">
        <f t="shared" si="261"/>
        <v>118702.5</v>
      </c>
      <c r="S1643" s="18">
        <f t="shared" si="263"/>
        <v>12495</v>
      </c>
    </row>
    <row r="1644" spans="1:19" ht="15" customHeight="1" x14ac:dyDescent="0.2">
      <c r="A1644" s="14">
        <f t="shared" si="265"/>
        <v>1605</v>
      </c>
      <c r="B1644" s="21" t="s">
        <v>1416</v>
      </c>
      <c r="C1644" s="15" t="s">
        <v>3</v>
      </c>
      <c r="D1644" s="21" t="s">
        <v>1200</v>
      </c>
      <c r="E1644" s="21"/>
      <c r="F1644" s="69" t="s">
        <v>4</v>
      </c>
      <c r="G1644" s="9">
        <v>37016</v>
      </c>
      <c r="H1644" s="22">
        <v>10400</v>
      </c>
      <c r="I1644" s="17">
        <v>0</v>
      </c>
      <c r="J1644" s="17">
        <f t="shared" si="257"/>
        <v>9880</v>
      </c>
      <c r="K1644" s="17">
        <f t="shared" si="258"/>
        <v>520</v>
      </c>
      <c r="L1644" s="23">
        <f t="shared" si="264"/>
        <v>520</v>
      </c>
      <c r="M1644" s="23">
        <v>5</v>
      </c>
      <c r="N1644" s="18">
        <f t="shared" si="259"/>
        <v>18.923287671232877</v>
      </c>
      <c r="O1644" s="23">
        <v>4940</v>
      </c>
      <c r="P1644" s="18">
        <f t="shared" si="260"/>
        <v>19.923287671232877</v>
      </c>
      <c r="Q1644" s="18">
        <f t="shared" si="262"/>
        <v>0</v>
      </c>
      <c r="R1644" s="18">
        <f t="shared" si="261"/>
        <v>4940</v>
      </c>
      <c r="S1644" s="18">
        <f t="shared" si="263"/>
        <v>520</v>
      </c>
    </row>
    <row r="1645" spans="1:19" ht="15" customHeight="1" x14ac:dyDescent="0.2">
      <c r="A1645" s="14">
        <f t="shared" si="265"/>
        <v>1606</v>
      </c>
      <c r="B1645" s="21" t="s">
        <v>1417</v>
      </c>
      <c r="C1645" s="15" t="s">
        <v>3</v>
      </c>
      <c r="D1645" s="21" t="s">
        <v>1200</v>
      </c>
      <c r="E1645" s="21"/>
      <c r="F1645" s="69" t="s">
        <v>4</v>
      </c>
      <c r="G1645" s="9">
        <v>36991</v>
      </c>
      <c r="H1645" s="22">
        <v>47785</v>
      </c>
      <c r="I1645" s="17">
        <v>0</v>
      </c>
      <c r="J1645" s="17">
        <f t="shared" si="257"/>
        <v>45395.75</v>
      </c>
      <c r="K1645" s="17">
        <f t="shared" si="258"/>
        <v>2389.25</v>
      </c>
      <c r="L1645" s="23">
        <f t="shared" si="264"/>
        <v>2389.25</v>
      </c>
      <c r="M1645" s="23">
        <v>5</v>
      </c>
      <c r="N1645" s="18">
        <f t="shared" si="259"/>
        <v>18.991780821917807</v>
      </c>
      <c r="O1645" s="23">
        <v>22697.875</v>
      </c>
      <c r="P1645" s="18">
        <f t="shared" si="260"/>
        <v>19.991780821917807</v>
      </c>
      <c r="Q1645" s="18">
        <f t="shared" si="262"/>
        <v>0</v>
      </c>
      <c r="R1645" s="18">
        <f t="shared" si="261"/>
        <v>22697.875</v>
      </c>
      <c r="S1645" s="18">
        <f t="shared" si="263"/>
        <v>2389.25</v>
      </c>
    </row>
    <row r="1646" spans="1:19" ht="15" customHeight="1" x14ac:dyDescent="0.2">
      <c r="A1646" s="14">
        <f t="shared" si="265"/>
        <v>1607</v>
      </c>
      <c r="B1646" s="21" t="s">
        <v>1418</v>
      </c>
      <c r="C1646" s="15" t="s">
        <v>3</v>
      </c>
      <c r="D1646" s="21" t="s">
        <v>1200</v>
      </c>
      <c r="E1646" s="21"/>
      <c r="F1646" s="69" t="s">
        <v>4</v>
      </c>
      <c r="G1646" s="9">
        <v>36981</v>
      </c>
      <c r="H1646" s="22">
        <v>340</v>
      </c>
      <c r="I1646" s="17">
        <v>0</v>
      </c>
      <c r="J1646" s="17">
        <f t="shared" si="257"/>
        <v>323</v>
      </c>
      <c r="K1646" s="17">
        <f t="shared" si="258"/>
        <v>17</v>
      </c>
      <c r="L1646" s="23">
        <f t="shared" si="264"/>
        <v>17</v>
      </c>
      <c r="M1646" s="23">
        <v>5</v>
      </c>
      <c r="N1646" s="18">
        <f t="shared" si="259"/>
        <v>19.019178082191782</v>
      </c>
      <c r="O1646" s="23">
        <v>161.5</v>
      </c>
      <c r="P1646" s="18">
        <f t="shared" si="260"/>
        <v>20.019178082191782</v>
      </c>
      <c r="Q1646" s="18">
        <f t="shared" si="262"/>
        <v>0</v>
      </c>
      <c r="R1646" s="18">
        <f t="shared" si="261"/>
        <v>161.5</v>
      </c>
      <c r="S1646" s="18">
        <f t="shared" si="263"/>
        <v>17</v>
      </c>
    </row>
    <row r="1647" spans="1:19" ht="15" customHeight="1" x14ac:dyDescent="0.2">
      <c r="A1647" s="14">
        <f t="shared" si="265"/>
        <v>1608</v>
      </c>
      <c r="B1647" s="21" t="s">
        <v>1419</v>
      </c>
      <c r="C1647" s="15" t="s">
        <v>3</v>
      </c>
      <c r="D1647" s="21" t="s">
        <v>1200</v>
      </c>
      <c r="E1647" s="21"/>
      <c r="F1647" s="69" t="s">
        <v>4</v>
      </c>
      <c r="G1647" s="9">
        <v>36892</v>
      </c>
      <c r="H1647" s="22">
        <v>7495</v>
      </c>
      <c r="I1647" s="17">
        <v>0</v>
      </c>
      <c r="J1647" s="17">
        <f t="shared" si="257"/>
        <v>7120.25</v>
      </c>
      <c r="K1647" s="17">
        <f t="shared" si="258"/>
        <v>374.75</v>
      </c>
      <c r="L1647" s="23">
        <f t="shared" si="264"/>
        <v>374.75</v>
      </c>
      <c r="M1647" s="23">
        <v>5</v>
      </c>
      <c r="N1647" s="18">
        <f t="shared" si="259"/>
        <v>19.263013698630136</v>
      </c>
      <c r="O1647" s="23">
        <v>3560.125</v>
      </c>
      <c r="P1647" s="18">
        <f t="shared" si="260"/>
        <v>20.263013698630136</v>
      </c>
      <c r="Q1647" s="18">
        <f t="shared" si="262"/>
        <v>0</v>
      </c>
      <c r="R1647" s="18">
        <f t="shared" si="261"/>
        <v>3560.125</v>
      </c>
      <c r="S1647" s="18">
        <f t="shared" si="263"/>
        <v>374.75</v>
      </c>
    </row>
    <row r="1648" spans="1:19" ht="15" customHeight="1" x14ac:dyDescent="0.2">
      <c r="A1648" s="14">
        <f t="shared" si="265"/>
        <v>1609</v>
      </c>
      <c r="B1648" s="21" t="s">
        <v>1420</v>
      </c>
      <c r="C1648" s="15" t="s">
        <v>3</v>
      </c>
      <c r="D1648" s="21" t="s">
        <v>1200</v>
      </c>
      <c r="E1648" s="21"/>
      <c r="F1648" s="69" t="s">
        <v>4</v>
      </c>
      <c r="G1648" s="9">
        <v>36892</v>
      </c>
      <c r="H1648" s="22">
        <v>4300</v>
      </c>
      <c r="I1648" s="17">
        <v>0</v>
      </c>
      <c r="J1648" s="17">
        <f t="shared" si="257"/>
        <v>4085</v>
      </c>
      <c r="K1648" s="17">
        <f t="shared" si="258"/>
        <v>215</v>
      </c>
      <c r="L1648" s="23">
        <f t="shared" si="264"/>
        <v>215</v>
      </c>
      <c r="M1648" s="23">
        <v>5</v>
      </c>
      <c r="N1648" s="18">
        <f t="shared" si="259"/>
        <v>19.263013698630136</v>
      </c>
      <c r="O1648" s="23">
        <v>2042.5</v>
      </c>
      <c r="P1648" s="18">
        <f t="shared" si="260"/>
        <v>20.263013698630136</v>
      </c>
      <c r="Q1648" s="18">
        <f t="shared" si="262"/>
        <v>0</v>
      </c>
      <c r="R1648" s="18">
        <f t="shared" si="261"/>
        <v>2042.5</v>
      </c>
      <c r="S1648" s="18">
        <f t="shared" si="263"/>
        <v>215</v>
      </c>
    </row>
    <row r="1649" spans="1:19" ht="15" customHeight="1" x14ac:dyDescent="0.2">
      <c r="A1649" s="14">
        <f t="shared" si="265"/>
        <v>1610</v>
      </c>
      <c r="B1649" s="21" t="s">
        <v>1376</v>
      </c>
      <c r="C1649" s="15" t="s">
        <v>3</v>
      </c>
      <c r="D1649" s="21" t="s">
        <v>1200</v>
      </c>
      <c r="E1649" s="21"/>
      <c r="F1649" s="69" t="s">
        <v>4</v>
      </c>
      <c r="G1649" s="9">
        <v>36892</v>
      </c>
      <c r="H1649" s="22">
        <v>8024</v>
      </c>
      <c r="I1649" s="17">
        <v>0</v>
      </c>
      <c r="J1649" s="17">
        <f t="shared" si="257"/>
        <v>7622.8</v>
      </c>
      <c r="K1649" s="17">
        <f t="shared" si="258"/>
        <v>401.19999999999982</v>
      </c>
      <c r="L1649" s="23">
        <f t="shared" si="264"/>
        <v>401.20000000000005</v>
      </c>
      <c r="M1649" s="23">
        <v>5</v>
      </c>
      <c r="N1649" s="18">
        <f t="shared" si="259"/>
        <v>19.263013698630136</v>
      </c>
      <c r="O1649" s="23">
        <v>3811.4</v>
      </c>
      <c r="P1649" s="18">
        <f t="shared" si="260"/>
        <v>20.263013698630136</v>
      </c>
      <c r="Q1649" s="18">
        <f t="shared" si="262"/>
        <v>-4.5474735088646414E-14</v>
      </c>
      <c r="R1649" s="18">
        <f t="shared" si="261"/>
        <v>3811.4</v>
      </c>
      <c r="S1649" s="18">
        <f t="shared" si="263"/>
        <v>401.20000000000005</v>
      </c>
    </row>
    <row r="1650" spans="1:19" ht="15" customHeight="1" x14ac:dyDescent="0.2">
      <c r="A1650" s="14">
        <f t="shared" si="265"/>
        <v>1611</v>
      </c>
      <c r="B1650" s="21" t="s">
        <v>1421</v>
      </c>
      <c r="C1650" s="15" t="s">
        <v>3</v>
      </c>
      <c r="D1650" s="21" t="s">
        <v>1200</v>
      </c>
      <c r="E1650" s="21"/>
      <c r="F1650" s="69" t="s">
        <v>4</v>
      </c>
      <c r="G1650" s="9">
        <v>36870</v>
      </c>
      <c r="H1650" s="22">
        <v>291362</v>
      </c>
      <c r="I1650" s="17">
        <v>0</v>
      </c>
      <c r="J1650" s="17">
        <f>H1650-L1650-101072</f>
        <v>175721.90000000002</v>
      </c>
      <c r="K1650" s="17">
        <f t="shared" si="258"/>
        <v>115640.09999999998</v>
      </c>
      <c r="L1650" s="23">
        <f t="shared" si="264"/>
        <v>14568.1</v>
      </c>
      <c r="M1650" s="23">
        <v>5</v>
      </c>
      <c r="N1650" s="18">
        <f t="shared" si="259"/>
        <v>19.323287671232876</v>
      </c>
      <c r="O1650" s="23">
        <v>87860.950000000012</v>
      </c>
      <c r="P1650" s="18">
        <f t="shared" si="260"/>
        <v>20.323287671232876</v>
      </c>
      <c r="Q1650" s="18">
        <f t="shared" si="262"/>
        <v>20214.399999999994</v>
      </c>
      <c r="R1650" s="18">
        <f t="shared" si="261"/>
        <v>108075.35</v>
      </c>
      <c r="S1650" s="18">
        <f t="shared" si="263"/>
        <v>14568.1</v>
      </c>
    </row>
    <row r="1651" spans="1:19" ht="15" customHeight="1" x14ac:dyDescent="0.2">
      <c r="A1651" s="14">
        <f t="shared" si="265"/>
        <v>1612</v>
      </c>
      <c r="B1651" s="21" t="s">
        <v>1416</v>
      </c>
      <c r="C1651" s="15" t="s">
        <v>3</v>
      </c>
      <c r="D1651" s="21" t="s">
        <v>1200</v>
      </c>
      <c r="E1651" s="21"/>
      <c r="F1651" s="69" t="s">
        <v>4</v>
      </c>
      <c r="G1651" s="9">
        <v>36697</v>
      </c>
      <c r="H1651" s="22">
        <v>14400</v>
      </c>
      <c r="I1651" s="17">
        <v>0</v>
      </c>
      <c r="J1651" s="17">
        <f t="shared" si="257"/>
        <v>13680</v>
      </c>
      <c r="K1651" s="17">
        <f t="shared" si="258"/>
        <v>720</v>
      </c>
      <c r="L1651" s="23">
        <f t="shared" si="264"/>
        <v>720</v>
      </c>
      <c r="M1651" s="23">
        <v>5</v>
      </c>
      <c r="N1651" s="18">
        <f t="shared" si="259"/>
        <v>19.797260273972604</v>
      </c>
      <c r="O1651" s="23">
        <v>6840</v>
      </c>
      <c r="P1651" s="18">
        <f t="shared" si="260"/>
        <v>20.797260273972604</v>
      </c>
      <c r="Q1651" s="18">
        <f t="shared" si="262"/>
        <v>0</v>
      </c>
      <c r="R1651" s="18">
        <f t="shared" si="261"/>
        <v>6840</v>
      </c>
      <c r="S1651" s="18">
        <f t="shared" si="263"/>
        <v>720</v>
      </c>
    </row>
    <row r="1652" spans="1:19" ht="15" customHeight="1" x14ac:dyDescent="0.2">
      <c r="A1652" s="14">
        <f t="shared" si="265"/>
        <v>1613</v>
      </c>
      <c r="B1652" s="21" t="s">
        <v>1357</v>
      </c>
      <c r="C1652" s="15" t="s">
        <v>3</v>
      </c>
      <c r="D1652" s="21" t="s">
        <v>1200</v>
      </c>
      <c r="E1652" s="21"/>
      <c r="F1652" s="69" t="s">
        <v>4</v>
      </c>
      <c r="G1652" s="9">
        <v>36697</v>
      </c>
      <c r="H1652" s="22">
        <v>24500</v>
      </c>
      <c r="I1652" s="17">
        <v>0</v>
      </c>
      <c r="J1652" s="17">
        <f t="shared" si="257"/>
        <v>23275</v>
      </c>
      <c r="K1652" s="17">
        <f t="shared" si="258"/>
        <v>1225</v>
      </c>
      <c r="L1652" s="23">
        <f t="shared" si="264"/>
        <v>1225</v>
      </c>
      <c r="M1652" s="23">
        <v>5</v>
      </c>
      <c r="N1652" s="18">
        <f t="shared" si="259"/>
        <v>19.797260273972604</v>
      </c>
      <c r="O1652" s="23">
        <v>11637.5</v>
      </c>
      <c r="P1652" s="18">
        <f t="shared" si="260"/>
        <v>20.797260273972604</v>
      </c>
      <c r="Q1652" s="18">
        <f t="shared" si="262"/>
        <v>0</v>
      </c>
      <c r="R1652" s="18">
        <f t="shared" si="261"/>
        <v>11637.5</v>
      </c>
      <c r="S1652" s="18">
        <f t="shared" si="263"/>
        <v>1225</v>
      </c>
    </row>
    <row r="1653" spans="1:19" ht="15" customHeight="1" x14ac:dyDescent="0.2">
      <c r="A1653" s="14">
        <f t="shared" si="265"/>
        <v>1614</v>
      </c>
      <c r="B1653" s="21" t="s">
        <v>1422</v>
      </c>
      <c r="C1653" s="15" t="s">
        <v>3</v>
      </c>
      <c r="D1653" s="21" t="s">
        <v>1200</v>
      </c>
      <c r="E1653" s="21"/>
      <c r="F1653" s="69" t="s">
        <v>4</v>
      </c>
      <c r="G1653" s="9">
        <v>36616</v>
      </c>
      <c r="H1653" s="22">
        <v>212</v>
      </c>
      <c r="I1653" s="17">
        <v>0</v>
      </c>
      <c r="J1653" s="17">
        <f t="shared" si="257"/>
        <v>201.4</v>
      </c>
      <c r="K1653" s="17">
        <f t="shared" si="258"/>
        <v>10.599999999999994</v>
      </c>
      <c r="L1653" s="23">
        <f t="shared" si="264"/>
        <v>10.600000000000001</v>
      </c>
      <c r="M1653" s="23">
        <v>5</v>
      </c>
      <c r="N1653" s="18">
        <f t="shared" si="259"/>
        <v>20.019178082191782</v>
      </c>
      <c r="O1653" s="23">
        <v>100.7</v>
      </c>
      <c r="P1653" s="18">
        <f t="shared" si="260"/>
        <v>21.019178082191782</v>
      </c>
      <c r="Q1653" s="18">
        <f t="shared" si="262"/>
        <v>-1.4210854715202005E-15</v>
      </c>
      <c r="R1653" s="18">
        <f t="shared" si="261"/>
        <v>100.7</v>
      </c>
      <c r="S1653" s="18">
        <f t="shared" si="263"/>
        <v>10.600000000000001</v>
      </c>
    </row>
    <row r="1654" spans="1:19" ht="15" customHeight="1" x14ac:dyDescent="0.2">
      <c r="A1654" s="14">
        <f t="shared" si="265"/>
        <v>1615</v>
      </c>
      <c r="B1654" s="21" t="s">
        <v>1423</v>
      </c>
      <c r="C1654" s="15" t="s">
        <v>3</v>
      </c>
      <c r="D1654" s="21" t="s">
        <v>1200</v>
      </c>
      <c r="E1654" s="21"/>
      <c r="F1654" s="69" t="s">
        <v>4</v>
      </c>
      <c r="G1654" s="9">
        <v>36616</v>
      </c>
      <c r="H1654" s="22">
        <v>2879</v>
      </c>
      <c r="I1654" s="17">
        <v>0</v>
      </c>
      <c r="J1654" s="17">
        <f t="shared" si="257"/>
        <v>2735.05</v>
      </c>
      <c r="K1654" s="17">
        <f t="shared" si="258"/>
        <v>143.94999999999982</v>
      </c>
      <c r="L1654" s="23">
        <f t="shared" si="264"/>
        <v>143.95000000000002</v>
      </c>
      <c r="M1654" s="23">
        <v>5</v>
      </c>
      <c r="N1654" s="18">
        <f t="shared" si="259"/>
        <v>20.019178082191782</v>
      </c>
      <c r="O1654" s="23">
        <v>1367.5250000000001</v>
      </c>
      <c r="P1654" s="18">
        <f t="shared" si="260"/>
        <v>21.019178082191782</v>
      </c>
      <c r="Q1654" s="18">
        <f t="shared" si="262"/>
        <v>-3.9790393202565614E-14</v>
      </c>
      <c r="R1654" s="18">
        <f t="shared" si="261"/>
        <v>1367.5250000000001</v>
      </c>
      <c r="S1654" s="18">
        <f t="shared" si="263"/>
        <v>143.95000000000002</v>
      </c>
    </row>
    <row r="1655" spans="1:19" ht="15" customHeight="1" x14ac:dyDescent="0.2">
      <c r="A1655" s="14">
        <f t="shared" si="265"/>
        <v>1616</v>
      </c>
      <c r="B1655" s="21" t="s">
        <v>1424</v>
      </c>
      <c r="C1655" s="15" t="s">
        <v>3</v>
      </c>
      <c r="D1655" s="21" t="s">
        <v>1200</v>
      </c>
      <c r="E1655" s="21"/>
      <c r="F1655" s="69" t="s">
        <v>4</v>
      </c>
      <c r="G1655" s="9">
        <v>36571</v>
      </c>
      <c r="H1655" s="22">
        <v>128125</v>
      </c>
      <c r="I1655" s="17">
        <v>0</v>
      </c>
      <c r="J1655" s="17">
        <f t="shared" si="257"/>
        <v>121718.75</v>
      </c>
      <c r="K1655" s="17">
        <f t="shared" si="258"/>
        <v>6406.25</v>
      </c>
      <c r="L1655" s="23">
        <f t="shared" si="264"/>
        <v>6406.25</v>
      </c>
      <c r="M1655" s="23">
        <v>5</v>
      </c>
      <c r="N1655" s="18">
        <f t="shared" si="259"/>
        <v>20.142465753424659</v>
      </c>
      <c r="O1655" s="23">
        <v>60859.375</v>
      </c>
      <c r="P1655" s="18">
        <f t="shared" si="260"/>
        <v>21.142465753424659</v>
      </c>
      <c r="Q1655" s="18">
        <f t="shared" si="262"/>
        <v>0</v>
      </c>
      <c r="R1655" s="18">
        <f t="shared" si="261"/>
        <v>60859.375</v>
      </c>
      <c r="S1655" s="18">
        <f t="shared" si="263"/>
        <v>6406.25</v>
      </c>
    </row>
    <row r="1656" spans="1:19" ht="15" customHeight="1" x14ac:dyDescent="0.2">
      <c r="A1656" s="14">
        <f t="shared" si="265"/>
        <v>1617</v>
      </c>
      <c r="B1656" s="21" t="s">
        <v>1425</v>
      </c>
      <c r="C1656" s="15" t="s">
        <v>3</v>
      </c>
      <c r="D1656" s="21" t="s">
        <v>1200</v>
      </c>
      <c r="E1656" s="21"/>
      <c r="F1656" s="69" t="s">
        <v>4</v>
      </c>
      <c r="G1656" s="9">
        <v>36526</v>
      </c>
      <c r="H1656" s="22">
        <v>31867</v>
      </c>
      <c r="I1656" s="17">
        <v>0</v>
      </c>
      <c r="J1656" s="17">
        <f t="shared" si="257"/>
        <v>30273.65</v>
      </c>
      <c r="K1656" s="17">
        <f t="shared" si="258"/>
        <v>1593.3499999999985</v>
      </c>
      <c r="L1656" s="23">
        <f t="shared" si="264"/>
        <v>1593.3500000000001</v>
      </c>
      <c r="M1656" s="23">
        <v>5</v>
      </c>
      <c r="N1656" s="18">
        <f t="shared" si="259"/>
        <v>20.265753424657536</v>
      </c>
      <c r="O1656" s="23">
        <v>15136.825000000001</v>
      </c>
      <c r="P1656" s="18">
        <f t="shared" si="260"/>
        <v>21.265753424657536</v>
      </c>
      <c r="Q1656" s="18">
        <f t="shared" si="262"/>
        <v>-3.1832314562052491E-13</v>
      </c>
      <c r="R1656" s="18">
        <f t="shared" si="261"/>
        <v>15136.825000000001</v>
      </c>
      <c r="S1656" s="18">
        <f t="shared" si="263"/>
        <v>1593.3500000000001</v>
      </c>
    </row>
    <row r="1657" spans="1:19" ht="15" customHeight="1" x14ac:dyDescent="0.2">
      <c r="A1657" s="14">
        <f t="shared" si="265"/>
        <v>1618</v>
      </c>
      <c r="B1657" s="21" t="s">
        <v>1426</v>
      </c>
      <c r="C1657" s="15" t="s">
        <v>3</v>
      </c>
      <c r="D1657" s="21" t="s">
        <v>1200</v>
      </c>
      <c r="E1657" s="21"/>
      <c r="F1657" s="69" t="s">
        <v>4</v>
      </c>
      <c r="G1657" s="9">
        <v>36526</v>
      </c>
      <c r="H1657" s="22">
        <v>3230</v>
      </c>
      <c r="I1657" s="17">
        <v>0</v>
      </c>
      <c r="J1657" s="17">
        <f t="shared" si="257"/>
        <v>3068.5</v>
      </c>
      <c r="K1657" s="17">
        <f t="shared" si="258"/>
        <v>161.5</v>
      </c>
      <c r="L1657" s="23">
        <f t="shared" si="264"/>
        <v>161.5</v>
      </c>
      <c r="M1657" s="23">
        <v>5</v>
      </c>
      <c r="N1657" s="18">
        <f t="shared" si="259"/>
        <v>20.265753424657536</v>
      </c>
      <c r="O1657" s="23">
        <v>1534.25</v>
      </c>
      <c r="P1657" s="18">
        <f t="shared" si="260"/>
        <v>21.265753424657536</v>
      </c>
      <c r="Q1657" s="18">
        <f t="shared" si="262"/>
        <v>0</v>
      </c>
      <c r="R1657" s="18">
        <f t="shared" si="261"/>
        <v>1534.25</v>
      </c>
      <c r="S1657" s="18">
        <f t="shared" si="263"/>
        <v>161.5</v>
      </c>
    </row>
    <row r="1658" spans="1:19" ht="15" customHeight="1" x14ac:dyDescent="0.2">
      <c r="A1658" s="14">
        <f t="shared" si="265"/>
        <v>1619</v>
      </c>
      <c r="B1658" s="21" t="s">
        <v>1427</v>
      </c>
      <c r="C1658" s="15" t="s">
        <v>3</v>
      </c>
      <c r="D1658" s="21" t="s">
        <v>1200</v>
      </c>
      <c r="E1658" s="21"/>
      <c r="F1658" s="69" t="s">
        <v>4</v>
      </c>
      <c r="G1658" s="9">
        <v>36526</v>
      </c>
      <c r="H1658" s="22">
        <v>15105</v>
      </c>
      <c r="I1658" s="17">
        <v>0</v>
      </c>
      <c r="J1658" s="17">
        <f t="shared" si="257"/>
        <v>14349.75</v>
      </c>
      <c r="K1658" s="17">
        <f t="shared" si="258"/>
        <v>755.25</v>
      </c>
      <c r="L1658" s="23">
        <f t="shared" si="264"/>
        <v>755.25</v>
      </c>
      <c r="M1658" s="23">
        <v>5</v>
      </c>
      <c r="N1658" s="18">
        <f t="shared" si="259"/>
        <v>20.265753424657536</v>
      </c>
      <c r="O1658" s="23">
        <v>7174.875</v>
      </c>
      <c r="P1658" s="18">
        <f t="shared" si="260"/>
        <v>21.265753424657536</v>
      </c>
      <c r="Q1658" s="18">
        <f t="shared" si="262"/>
        <v>0</v>
      </c>
      <c r="R1658" s="18">
        <f t="shared" si="261"/>
        <v>7174.875</v>
      </c>
      <c r="S1658" s="18">
        <f t="shared" si="263"/>
        <v>755.25</v>
      </c>
    </row>
    <row r="1659" spans="1:19" ht="15" customHeight="1" x14ac:dyDescent="0.2">
      <c r="A1659" s="14">
        <f t="shared" si="265"/>
        <v>1620</v>
      </c>
      <c r="B1659" s="21" t="s">
        <v>1428</v>
      </c>
      <c r="C1659" s="15" t="s">
        <v>3</v>
      </c>
      <c r="D1659" s="21" t="s">
        <v>1200</v>
      </c>
      <c r="E1659" s="21"/>
      <c r="F1659" s="69" t="s">
        <v>4</v>
      </c>
      <c r="G1659" s="9">
        <v>36526</v>
      </c>
      <c r="H1659" s="22">
        <v>2355</v>
      </c>
      <c r="I1659" s="17">
        <v>0</v>
      </c>
      <c r="J1659" s="17">
        <f t="shared" si="257"/>
        <v>2237.25</v>
      </c>
      <c r="K1659" s="17">
        <f t="shared" si="258"/>
        <v>117.75</v>
      </c>
      <c r="L1659" s="23">
        <f t="shared" si="264"/>
        <v>117.75</v>
      </c>
      <c r="M1659" s="23">
        <v>5</v>
      </c>
      <c r="N1659" s="18">
        <f t="shared" si="259"/>
        <v>20.265753424657536</v>
      </c>
      <c r="O1659" s="23">
        <v>1118.625</v>
      </c>
      <c r="P1659" s="18">
        <f t="shared" si="260"/>
        <v>21.265753424657536</v>
      </c>
      <c r="Q1659" s="18">
        <f t="shared" si="262"/>
        <v>0</v>
      </c>
      <c r="R1659" s="18">
        <f t="shared" si="261"/>
        <v>1118.625</v>
      </c>
      <c r="S1659" s="18">
        <f t="shared" si="263"/>
        <v>117.75</v>
      </c>
    </row>
    <row r="1660" spans="1:19" ht="15" customHeight="1" x14ac:dyDescent="0.2">
      <c r="A1660" s="14">
        <f t="shared" si="265"/>
        <v>1621</v>
      </c>
      <c r="B1660" s="21" t="s">
        <v>1429</v>
      </c>
      <c r="C1660" s="15" t="s">
        <v>3</v>
      </c>
      <c r="D1660" s="21" t="s">
        <v>1200</v>
      </c>
      <c r="E1660" s="21"/>
      <c r="F1660" s="69" t="s">
        <v>4</v>
      </c>
      <c r="G1660" s="9">
        <v>36526</v>
      </c>
      <c r="H1660" s="22">
        <v>28974</v>
      </c>
      <c r="I1660" s="17">
        <v>0</v>
      </c>
      <c r="J1660" s="17">
        <f t="shared" si="257"/>
        <v>27525.3</v>
      </c>
      <c r="K1660" s="17">
        <f t="shared" si="258"/>
        <v>1448.7000000000007</v>
      </c>
      <c r="L1660" s="23">
        <f t="shared" si="264"/>
        <v>1448.7</v>
      </c>
      <c r="M1660" s="23">
        <v>5</v>
      </c>
      <c r="N1660" s="18">
        <f t="shared" si="259"/>
        <v>20.265753424657536</v>
      </c>
      <c r="O1660" s="23">
        <v>13762.65</v>
      </c>
      <c r="P1660" s="18">
        <f t="shared" si="260"/>
        <v>21.265753424657536</v>
      </c>
      <c r="Q1660" s="18">
        <f t="shared" si="262"/>
        <v>1.3642420526593926E-13</v>
      </c>
      <c r="R1660" s="18">
        <f t="shared" si="261"/>
        <v>13762.65</v>
      </c>
      <c r="S1660" s="18">
        <f t="shared" si="263"/>
        <v>1448.7</v>
      </c>
    </row>
    <row r="1661" spans="1:19" ht="15" customHeight="1" x14ac:dyDescent="0.2">
      <c r="A1661" s="14">
        <f t="shared" si="265"/>
        <v>1622</v>
      </c>
      <c r="B1661" s="21" t="s">
        <v>1430</v>
      </c>
      <c r="C1661" s="15" t="s">
        <v>3</v>
      </c>
      <c r="D1661" s="21" t="s">
        <v>1200</v>
      </c>
      <c r="E1661" s="21"/>
      <c r="F1661" s="69" t="s">
        <v>4</v>
      </c>
      <c r="G1661" s="9">
        <v>36526</v>
      </c>
      <c r="H1661" s="22">
        <v>4420</v>
      </c>
      <c r="I1661" s="17">
        <v>0</v>
      </c>
      <c r="J1661" s="17">
        <f t="shared" si="257"/>
        <v>4199</v>
      </c>
      <c r="K1661" s="17">
        <f t="shared" si="258"/>
        <v>221</v>
      </c>
      <c r="L1661" s="23">
        <f t="shared" si="264"/>
        <v>221</v>
      </c>
      <c r="M1661" s="23">
        <v>5</v>
      </c>
      <c r="N1661" s="18">
        <f t="shared" si="259"/>
        <v>20.265753424657536</v>
      </c>
      <c r="O1661" s="23">
        <v>2099.5</v>
      </c>
      <c r="P1661" s="18">
        <f t="shared" si="260"/>
        <v>21.265753424657536</v>
      </c>
      <c r="Q1661" s="18">
        <f t="shared" si="262"/>
        <v>0</v>
      </c>
      <c r="R1661" s="18">
        <f t="shared" si="261"/>
        <v>2099.5</v>
      </c>
      <c r="S1661" s="18">
        <f t="shared" si="263"/>
        <v>221</v>
      </c>
    </row>
    <row r="1662" spans="1:19" ht="15" customHeight="1" x14ac:dyDescent="0.2">
      <c r="A1662" s="14">
        <f t="shared" si="265"/>
        <v>1623</v>
      </c>
      <c r="B1662" s="21" t="s">
        <v>1431</v>
      </c>
      <c r="C1662" s="15" t="s">
        <v>3</v>
      </c>
      <c r="D1662" s="21" t="s">
        <v>1200</v>
      </c>
      <c r="E1662" s="21"/>
      <c r="F1662" s="69" t="s">
        <v>4</v>
      </c>
      <c r="G1662" s="9">
        <v>36526</v>
      </c>
      <c r="H1662" s="22">
        <v>2560</v>
      </c>
      <c r="I1662" s="17">
        <v>0</v>
      </c>
      <c r="J1662" s="17">
        <f t="shared" si="257"/>
        <v>2432</v>
      </c>
      <c r="K1662" s="17">
        <f t="shared" si="258"/>
        <v>128</v>
      </c>
      <c r="L1662" s="23">
        <f t="shared" si="264"/>
        <v>128</v>
      </c>
      <c r="M1662" s="23">
        <v>5</v>
      </c>
      <c r="N1662" s="18">
        <f t="shared" si="259"/>
        <v>20.265753424657536</v>
      </c>
      <c r="O1662" s="23">
        <v>1216</v>
      </c>
      <c r="P1662" s="18">
        <f t="shared" si="260"/>
        <v>21.265753424657536</v>
      </c>
      <c r="Q1662" s="18">
        <f t="shared" si="262"/>
        <v>0</v>
      </c>
      <c r="R1662" s="18">
        <f t="shared" si="261"/>
        <v>1216</v>
      </c>
      <c r="S1662" s="18">
        <f t="shared" si="263"/>
        <v>128</v>
      </c>
    </row>
    <row r="1663" spans="1:19" ht="15" customHeight="1" x14ac:dyDescent="0.2">
      <c r="A1663" s="14">
        <f t="shared" si="265"/>
        <v>1624</v>
      </c>
      <c r="B1663" s="21" t="s">
        <v>1432</v>
      </c>
      <c r="C1663" s="15" t="s">
        <v>3</v>
      </c>
      <c r="D1663" s="21" t="s">
        <v>1200</v>
      </c>
      <c r="E1663" s="21"/>
      <c r="F1663" s="69" t="s">
        <v>4</v>
      </c>
      <c r="G1663" s="9">
        <v>36526</v>
      </c>
      <c r="H1663" s="22">
        <v>4225</v>
      </c>
      <c r="I1663" s="17">
        <v>0</v>
      </c>
      <c r="J1663" s="17">
        <f t="shared" si="257"/>
        <v>4013.75</v>
      </c>
      <c r="K1663" s="17">
        <f t="shared" si="258"/>
        <v>211.25</v>
      </c>
      <c r="L1663" s="23">
        <f t="shared" si="264"/>
        <v>211.25</v>
      </c>
      <c r="M1663" s="23">
        <v>5</v>
      </c>
      <c r="N1663" s="18">
        <f t="shared" si="259"/>
        <v>20.265753424657536</v>
      </c>
      <c r="O1663" s="23">
        <v>2006.875</v>
      </c>
      <c r="P1663" s="18">
        <f t="shared" si="260"/>
        <v>21.265753424657536</v>
      </c>
      <c r="Q1663" s="18">
        <f t="shared" si="262"/>
        <v>0</v>
      </c>
      <c r="R1663" s="18">
        <f t="shared" si="261"/>
        <v>2006.875</v>
      </c>
      <c r="S1663" s="18">
        <f t="shared" si="263"/>
        <v>211.25</v>
      </c>
    </row>
    <row r="1664" spans="1:19" ht="15" customHeight="1" x14ac:dyDescent="0.2">
      <c r="A1664" s="14">
        <f t="shared" si="265"/>
        <v>1625</v>
      </c>
      <c r="B1664" s="21" t="s">
        <v>1433</v>
      </c>
      <c r="C1664" s="15" t="s">
        <v>3</v>
      </c>
      <c r="D1664" s="21" t="s">
        <v>1200</v>
      </c>
      <c r="E1664" s="21"/>
      <c r="F1664" s="69" t="s">
        <v>4</v>
      </c>
      <c r="G1664" s="9">
        <v>36526</v>
      </c>
      <c r="H1664" s="22">
        <v>63048</v>
      </c>
      <c r="I1664" s="17">
        <v>0</v>
      </c>
      <c r="J1664" s="17">
        <f t="shared" si="257"/>
        <v>59895.6</v>
      </c>
      <c r="K1664" s="17">
        <f t="shared" si="258"/>
        <v>3152.4000000000015</v>
      </c>
      <c r="L1664" s="23">
        <f t="shared" si="264"/>
        <v>3152.4</v>
      </c>
      <c r="M1664" s="23">
        <v>5</v>
      </c>
      <c r="N1664" s="18">
        <f t="shared" si="259"/>
        <v>20.265753424657536</v>
      </c>
      <c r="O1664" s="23">
        <v>29947.8</v>
      </c>
      <c r="P1664" s="18">
        <f t="shared" si="260"/>
        <v>21.265753424657536</v>
      </c>
      <c r="Q1664" s="18">
        <f t="shared" si="262"/>
        <v>2.7284841053187851E-13</v>
      </c>
      <c r="R1664" s="18">
        <f t="shared" si="261"/>
        <v>29947.8</v>
      </c>
      <c r="S1664" s="18">
        <f t="shared" si="263"/>
        <v>3152.4</v>
      </c>
    </row>
    <row r="1665" spans="1:19" ht="15" customHeight="1" x14ac:dyDescent="0.2">
      <c r="A1665" s="14">
        <f t="shared" si="265"/>
        <v>1626</v>
      </c>
      <c r="B1665" s="21" t="s">
        <v>1434</v>
      </c>
      <c r="C1665" s="15" t="s">
        <v>3</v>
      </c>
      <c r="D1665" s="21" t="s">
        <v>1200</v>
      </c>
      <c r="E1665" s="21"/>
      <c r="F1665" s="69" t="s">
        <v>4</v>
      </c>
      <c r="G1665" s="9">
        <v>36525</v>
      </c>
      <c r="H1665" s="22">
        <v>5430</v>
      </c>
      <c r="I1665" s="17">
        <v>0</v>
      </c>
      <c r="J1665" s="17">
        <f t="shared" si="257"/>
        <v>5158.5</v>
      </c>
      <c r="K1665" s="17">
        <f t="shared" si="258"/>
        <v>271.5</v>
      </c>
      <c r="L1665" s="23">
        <f t="shared" si="264"/>
        <v>271.5</v>
      </c>
      <c r="M1665" s="23">
        <v>5</v>
      </c>
      <c r="N1665" s="18">
        <f t="shared" si="259"/>
        <v>20.268493150684932</v>
      </c>
      <c r="O1665" s="23">
        <v>2579.25</v>
      </c>
      <c r="P1665" s="18">
        <f t="shared" si="260"/>
        <v>21.268493150684932</v>
      </c>
      <c r="Q1665" s="18">
        <f t="shared" si="262"/>
        <v>0</v>
      </c>
      <c r="R1665" s="18">
        <f t="shared" si="261"/>
        <v>2579.25</v>
      </c>
      <c r="S1665" s="18">
        <f t="shared" si="263"/>
        <v>271.5</v>
      </c>
    </row>
    <row r="1666" spans="1:19" ht="15" customHeight="1" x14ac:dyDescent="0.2">
      <c r="A1666" s="14">
        <f t="shared" si="265"/>
        <v>1627</v>
      </c>
      <c r="B1666" s="21" t="s">
        <v>1435</v>
      </c>
      <c r="C1666" s="15" t="s">
        <v>3</v>
      </c>
      <c r="D1666" s="21" t="s">
        <v>1200</v>
      </c>
      <c r="E1666" s="21"/>
      <c r="F1666" s="69" t="s">
        <v>4</v>
      </c>
      <c r="G1666" s="9">
        <v>36525</v>
      </c>
      <c r="H1666" s="22">
        <v>5690</v>
      </c>
      <c r="I1666" s="17">
        <v>0</v>
      </c>
      <c r="J1666" s="17">
        <f t="shared" si="257"/>
        <v>5405.5</v>
      </c>
      <c r="K1666" s="17">
        <f t="shared" si="258"/>
        <v>284.5</v>
      </c>
      <c r="L1666" s="23">
        <f t="shared" si="264"/>
        <v>284.5</v>
      </c>
      <c r="M1666" s="23">
        <v>5</v>
      </c>
      <c r="N1666" s="18">
        <f t="shared" si="259"/>
        <v>20.268493150684932</v>
      </c>
      <c r="O1666" s="23">
        <v>2702.75</v>
      </c>
      <c r="P1666" s="18">
        <f t="shared" si="260"/>
        <v>21.268493150684932</v>
      </c>
      <c r="Q1666" s="18">
        <f t="shared" si="262"/>
        <v>0</v>
      </c>
      <c r="R1666" s="18">
        <f t="shared" si="261"/>
        <v>2702.75</v>
      </c>
      <c r="S1666" s="18">
        <f t="shared" si="263"/>
        <v>284.5</v>
      </c>
    </row>
    <row r="1667" spans="1:19" ht="15" customHeight="1" x14ac:dyDescent="0.2">
      <c r="A1667" s="14">
        <f t="shared" si="265"/>
        <v>1628</v>
      </c>
      <c r="B1667" s="21" t="s">
        <v>1421</v>
      </c>
      <c r="C1667" s="15" t="s">
        <v>3</v>
      </c>
      <c r="D1667" s="21" t="s">
        <v>1200</v>
      </c>
      <c r="E1667" s="21"/>
      <c r="F1667" s="69" t="s">
        <v>4</v>
      </c>
      <c r="G1667" s="9">
        <v>36525</v>
      </c>
      <c r="H1667" s="22">
        <v>325426</v>
      </c>
      <c r="I1667" s="17">
        <v>0</v>
      </c>
      <c r="J1667" s="17">
        <f t="shared" si="257"/>
        <v>309154.7</v>
      </c>
      <c r="K1667" s="17">
        <f t="shared" si="258"/>
        <v>16271.299999999988</v>
      </c>
      <c r="L1667" s="23">
        <f t="shared" si="264"/>
        <v>16271.300000000001</v>
      </c>
      <c r="M1667" s="23">
        <v>5</v>
      </c>
      <c r="N1667" s="18">
        <f t="shared" si="259"/>
        <v>20.268493150684932</v>
      </c>
      <c r="O1667" s="23">
        <v>154577.35</v>
      </c>
      <c r="P1667" s="18">
        <f t="shared" si="260"/>
        <v>21.268493150684932</v>
      </c>
      <c r="Q1667" s="18">
        <f t="shared" si="262"/>
        <v>-2.5465851649641993E-12</v>
      </c>
      <c r="R1667" s="18">
        <f t="shared" si="261"/>
        <v>154577.35</v>
      </c>
      <c r="S1667" s="18">
        <f t="shared" si="263"/>
        <v>16271.300000000001</v>
      </c>
    </row>
    <row r="1668" spans="1:19" ht="15" customHeight="1" x14ac:dyDescent="0.2">
      <c r="A1668" s="14">
        <f t="shared" si="265"/>
        <v>1629</v>
      </c>
      <c r="B1668" s="21" t="s">
        <v>1436</v>
      </c>
      <c r="C1668" s="15" t="s">
        <v>3</v>
      </c>
      <c r="D1668" s="21" t="s">
        <v>1200</v>
      </c>
      <c r="E1668" s="21"/>
      <c r="F1668" s="69" t="s">
        <v>4</v>
      </c>
      <c r="G1668" s="9">
        <v>36403</v>
      </c>
      <c r="H1668" s="22">
        <v>49670</v>
      </c>
      <c r="I1668" s="17">
        <v>0</v>
      </c>
      <c r="J1668" s="17">
        <f t="shared" si="257"/>
        <v>47186.5</v>
      </c>
      <c r="K1668" s="17">
        <f t="shared" si="258"/>
        <v>2483.5</v>
      </c>
      <c r="L1668" s="23">
        <f t="shared" si="264"/>
        <v>2483.5</v>
      </c>
      <c r="M1668" s="23">
        <v>5</v>
      </c>
      <c r="N1668" s="18">
        <f t="shared" si="259"/>
        <v>20.602739726027398</v>
      </c>
      <c r="O1668" s="23">
        <v>23593.25</v>
      </c>
      <c r="P1668" s="18">
        <f t="shared" si="260"/>
        <v>21.602739726027398</v>
      </c>
      <c r="Q1668" s="18">
        <f t="shared" si="262"/>
        <v>0</v>
      </c>
      <c r="R1668" s="18">
        <f t="shared" si="261"/>
        <v>23593.25</v>
      </c>
      <c r="S1668" s="18">
        <f t="shared" si="263"/>
        <v>2483.5</v>
      </c>
    </row>
    <row r="1669" spans="1:19" ht="15" customHeight="1" x14ac:dyDescent="0.2">
      <c r="A1669" s="14">
        <f t="shared" si="265"/>
        <v>1630</v>
      </c>
      <c r="B1669" s="21" t="s">
        <v>1437</v>
      </c>
      <c r="C1669" s="15" t="s">
        <v>3</v>
      </c>
      <c r="D1669" s="21" t="s">
        <v>1200</v>
      </c>
      <c r="E1669" s="21"/>
      <c r="F1669" s="69" t="s">
        <v>4</v>
      </c>
      <c r="G1669" s="9">
        <v>36341</v>
      </c>
      <c r="H1669" s="22">
        <v>8590</v>
      </c>
      <c r="I1669" s="17">
        <v>0</v>
      </c>
      <c r="J1669" s="17">
        <f t="shared" si="257"/>
        <v>8160.5</v>
      </c>
      <c r="K1669" s="17">
        <f t="shared" si="258"/>
        <v>429.5</v>
      </c>
      <c r="L1669" s="23">
        <f t="shared" si="264"/>
        <v>429.5</v>
      </c>
      <c r="M1669" s="23">
        <v>5</v>
      </c>
      <c r="N1669" s="18">
        <f t="shared" si="259"/>
        <v>20.772602739726029</v>
      </c>
      <c r="O1669" s="23">
        <v>4080.25</v>
      </c>
      <c r="P1669" s="18">
        <f t="shared" si="260"/>
        <v>21.772602739726029</v>
      </c>
      <c r="Q1669" s="18">
        <f t="shared" si="262"/>
        <v>0</v>
      </c>
      <c r="R1669" s="18">
        <f t="shared" si="261"/>
        <v>4080.25</v>
      </c>
      <c r="S1669" s="18">
        <f t="shared" si="263"/>
        <v>429.5</v>
      </c>
    </row>
    <row r="1670" spans="1:19" ht="15" customHeight="1" x14ac:dyDescent="0.2">
      <c r="A1670" s="14">
        <f t="shared" si="265"/>
        <v>1631</v>
      </c>
      <c r="B1670" s="21" t="s">
        <v>1438</v>
      </c>
      <c r="C1670" s="15" t="s">
        <v>3</v>
      </c>
      <c r="D1670" s="21" t="s">
        <v>1200</v>
      </c>
      <c r="E1670" s="21"/>
      <c r="F1670" s="69" t="s">
        <v>4</v>
      </c>
      <c r="G1670" s="9">
        <v>36161</v>
      </c>
      <c r="H1670" s="22">
        <v>71357</v>
      </c>
      <c r="I1670" s="17">
        <v>0</v>
      </c>
      <c r="J1670" s="17">
        <f t="shared" si="257"/>
        <v>67789.149999999994</v>
      </c>
      <c r="K1670" s="17">
        <f t="shared" si="258"/>
        <v>3567.8500000000058</v>
      </c>
      <c r="L1670" s="23">
        <f t="shared" si="264"/>
        <v>3567.8500000000004</v>
      </c>
      <c r="M1670" s="23">
        <v>5</v>
      </c>
      <c r="N1670" s="18">
        <f t="shared" si="259"/>
        <v>21.265753424657536</v>
      </c>
      <c r="O1670" s="23">
        <v>33894.574999999997</v>
      </c>
      <c r="P1670" s="18">
        <f t="shared" si="260"/>
        <v>22.265753424657536</v>
      </c>
      <c r="Q1670" s="18">
        <f t="shared" si="262"/>
        <v>1.091393642127514E-12</v>
      </c>
      <c r="R1670" s="18">
        <f t="shared" si="261"/>
        <v>33894.574999999997</v>
      </c>
      <c r="S1670" s="18">
        <f t="shared" si="263"/>
        <v>3567.8500000000004</v>
      </c>
    </row>
    <row r="1671" spans="1:19" ht="15" customHeight="1" x14ac:dyDescent="0.2">
      <c r="A1671" s="14">
        <f t="shared" si="265"/>
        <v>1632</v>
      </c>
      <c r="B1671" s="21" t="s">
        <v>1439</v>
      </c>
      <c r="C1671" s="15" t="s">
        <v>3</v>
      </c>
      <c r="D1671" s="21" t="s">
        <v>1200</v>
      </c>
      <c r="E1671" s="21"/>
      <c r="F1671" s="69" t="s">
        <v>4</v>
      </c>
      <c r="G1671" s="9">
        <v>36161</v>
      </c>
      <c r="H1671" s="22">
        <v>7844</v>
      </c>
      <c r="I1671" s="17">
        <v>0</v>
      </c>
      <c r="J1671" s="17">
        <f t="shared" si="257"/>
        <v>7451.8</v>
      </c>
      <c r="K1671" s="17">
        <f t="shared" si="258"/>
        <v>392.19999999999982</v>
      </c>
      <c r="L1671" s="23">
        <f t="shared" si="264"/>
        <v>392.20000000000005</v>
      </c>
      <c r="M1671" s="23">
        <v>5</v>
      </c>
      <c r="N1671" s="18">
        <f t="shared" si="259"/>
        <v>21.265753424657536</v>
      </c>
      <c r="O1671" s="23">
        <v>3725.9</v>
      </c>
      <c r="P1671" s="18">
        <f t="shared" si="260"/>
        <v>22.265753424657536</v>
      </c>
      <c r="Q1671" s="18">
        <f t="shared" si="262"/>
        <v>-4.5474735088646414E-14</v>
      </c>
      <c r="R1671" s="18">
        <f t="shared" si="261"/>
        <v>3725.9</v>
      </c>
      <c r="S1671" s="18">
        <f t="shared" si="263"/>
        <v>392.20000000000005</v>
      </c>
    </row>
    <row r="1672" spans="1:19" ht="15" customHeight="1" x14ac:dyDescent="0.2">
      <c r="A1672" s="14">
        <f t="shared" si="265"/>
        <v>1633</v>
      </c>
      <c r="B1672" s="21" t="s">
        <v>1440</v>
      </c>
      <c r="C1672" s="15" t="s">
        <v>3</v>
      </c>
      <c r="D1672" s="21" t="s">
        <v>1200</v>
      </c>
      <c r="E1672" s="21"/>
      <c r="F1672" s="69" t="s">
        <v>4</v>
      </c>
      <c r="G1672" s="9">
        <v>36161</v>
      </c>
      <c r="H1672" s="22">
        <v>10821</v>
      </c>
      <c r="I1672" s="17">
        <v>0</v>
      </c>
      <c r="J1672" s="17">
        <f t="shared" ref="J1672:J1735" si="266">H1672-L1672</f>
        <v>10279.950000000001</v>
      </c>
      <c r="K1672" s="17">
        <f t="shared" si="258"/>
        <v>541.04999999999927</v>
      </c>
      <c r="L1672" s="23">
        <f t="shared" si="264"/>
        <v>541.05000000000007</v>
      </c>
      <c r="M1672" s="23">
        <v>10</v>
      </c>
      <c r="N1672" s="18">
        <f t="shared" si="259"/>
        <v>21.265753424657536</v>
      </c>
      <c r="O1672" s="23">
        <v>5139.9750000000004</v>
      </c>
      <c r="P1672" s="18">
        <f t="shared" si="260"/>
        <v>22.265753424657536</v>
      </c>
      <c r="Q1672" s="18">
        <f t="shared" si="262"/>
        <v>-7.9580786405131228E-14</v>
      </c>
      <c r="R1672" s="18">
        <f t="shared" si="261"/>
        <v>5139.9750000000004</v>
      </c>
      <c r="S1672" s="18">
        <f t="shared" si="263"/>
        <v>541.05000000000007</v>
      </c>
    </row>
    <row r="1673" spans="1:19" ht="15" customHeight="1" x14ac:dyDescent="0.2">
      <c r="A1673" s="14">
        <f t="shared" si="265"/>
        <v>1634</v>
      </c>
      <c r="B1673" s="21" t="s">
        <v>1440</v>
      </c>
      <c r="C1673" s="15" t="s">
        <v>3</v>
      </c>
      <c r="D1673" s="21" t="s">
        <v>1200</v>
      </c>
      <c r="E1673" s="21"/>
      <c r="F1673" s="69" t="s">
        <v>4</v>
      </c>
      <c r="G1673" s="9">
        <v>36161</v>
      </c>
      <c r="H1673" s="22">
        <v>1040</v>
      </c>
      <c r="I1673" s="17">
        <v>0</v>
      </c>
      <c r="J1673" s="17">
        <f t="shared" si="266"/>
        <v>988</v>
      </c>
      <c r="K1673" s="17">
        <f t="shared" si="258"/>
        <v>52</v>
      </c>
      <c r="L1673" s="23">
        <f t="shared" si="264"/>
        <v>52</v>
      </c>
      <c r="M1673" s="23">
        <v>10</v>
      </c>
      <c r="N1673" s="18">
        <f t="shared" si="259"/>
        <v>21.265753424657536</v>
      </c>
      <c r="O1673" s="23">
        <v>494</v>
      </c>
      <c r="P1673" s="18">
        <f t="shared" si="260"/>
        <v>22.265753424657536</v>
      </c>
      <c r="Q1673" s="18">
        <f t="shared" si="262"/>
        <v>0</v>
      </c>
      <c r="R1673" s="18">
        <f t="shared" si="261"/>
        <v>494</v>
      </c>
      <c r="S1673" s="18">
        <f t="shared" si="263"/>
        <v>52</v>
      </c>
    </row>
    <row r="1674" spans="1:19" ht="15" customHeight="1" x14ac:dyDescent="0.2">
      <c r="A1674" s="14">
        <f t="shared" si="265"/>
        <v>1635</v>
      </c>
      <c r="B1674" s="21" t="s">
        <v>1441</v>
      </c>
      <c r="C1674" s="15" t="s">
        <v>3</v>
      </c>
      <c r="D1674" s="21" t="s">
        <v>1200</v>
      </c>
      <c r="E1674" s="21"/>
      <c r="F1674" s="69" t="s">
        <v>4</v>
      </c>
      <c r="G1674" s="9">
        <v>36053</v>
      </c>
      <c r="H1674" s="22">
        <v>8675</v>
      </c>
      <c r="I1674" s="17">
        <v>0</v>
      </c>
      <c r="J1674" s="17">
        <f t="shared" si="266"/>
        <v>8241.25</v>
      </c>
      <c r="K1674" s="17">
        <f t="shared" si="258"/>
        <v>433.75</v>
      </c>
      <c r="L1674" s="23">
        <f t="shared" si="264"/>
        <v>433.75</v>
      </c>
      <c r="M1674" s="23">
        <v>5</v>
      </c>
      <c r="N1674" s="18">
        <f t="shared" si="259"/>
        <v>21.561643835616437</v>
      </c>
      <c r="O1674" s="23">
        <v>4120.625</v>
      </c>
      <c r="P1674" s="18">
        <f t="shared" si="260"/>
        <v>22.561643835616437</v>
      </c>
      <c r="Q1674" s="18">
        <f t="shared" si="262"/>
        <v>0</v>
      </c>
      <c r="R1674" s="18">
        <f t="shared" si="261"/>
        <v>4120.625</v>
      </c>
      <c r="S1674" s="18">
        <f t="shared" si="263"/>
        <v>433.75</v>
      </c>
    </row>
    <row r="1675" spans="1:19" ht="15" customHeight="1" x14ac:dyDescent="0.2">
      <c r="A1675" s="14">
        <f t="shared" si="265"/>
        <v>1636</v>
      </c>
      <c r="B1675" s="21" t="s">
        <v>1357</v>
      </c>
      <c r="C1675" s="15" t="s">
        <v>3</v>
      </c>
      <c r="D1675" s="21" t="s">
        <v>1200</v>
      </c>
      <c r="E1675" s="21"/>
      <c r="F1675" s="69" t="s">
        <v>4</v>
      </c>
      <c r="G1675" s="9">
        <v>36043</v>
      </c>
      <c r="H1675" s="22">
        <v>34572</v>
      </c>
      <c r="I1675" s="17">
        <v>0</v>
      </c>
      <c r="J1675" s="17">
        <f t="shared" si="266"/>
        <v>32843.4</v>
      </c>
      <c r="K1675" s="17">
        <f t="shared" si="258"/>
        <v>1728.5999999999985</v>
      </c>
      <c r="L1675" s="23">
        <f t="shared" si="264"/>
        <v>1728.6000000000001</v>
      </c>
      <c r="M1675" s="23">
        <v>5</v>
      </c>
      <c r="N1675" s="18">
        <f t="shared" si="259"/>
        <v>21.589041095890412</v>
      </c>
      <c r="O1675" s="23">
        <v>16421.7</v>
      </c>
      <c r="P1675" s="18">
        <f t="shared" si="260"/>
        <v>22.589041095890412</v>
      </c>
      <c r="Q1675" s="18">
        <f t="shared" si="262"/>
        <v>-3.1832314562052491E-13</v>
      </c>
      <c r="R1675" s="18">
        <f t="shared" si="261"/>
        <v>16421.7</v>
      </c>
      <c r="S1675" s="18">
        <f t="shared" si="263"/>
        <v>1728.6000000000001</v>
      </c>
    </row>
    <row r="1676" spans="1:19" ht="15" customHeight="1" x14ac:dyDescent="0.2">
      <c r="A1676" s="14">
        <f t="shared" si="265"/>
        <v>1637</v>
      </c>
      <c r="B1676" s="21" t="s">
        <v>1442</v>
      </c>
      <c r="C1676" s="15" t="s">
        <v>3</v>
      </c>
      <c r="D1676" s="21" t="s">
        <v>1200</v>
      </c>
      <c r="E1676" s="21"/>
      <c r="F1676" s="69" t="s">
        <v>4</v>
      </c>
      <c r="G1676" s="9">
        <v>36040</v>
      </c>
      <c r="H1676" s="22">
        <v>29475</v>
      </c>
      <c r="I1676" s="17">
        <v>0</v>
      </c>
      <c r="J1676" s="17">
        <f t="shared" si="266"/>
        <v>28001.25</v>
      </c>
      <c r="K1676" s="17">
        <f t="shared" si="258"/>
        <v>1473.75</v>
      </c>
      <c r="L1676" s="23">
        <f t="shared" si="264"/>
        <v>1473.75</v>
      </c>
      <c r="M1676" s="23">
        <v>5</v>
      </c>
      <c r="N1676" s="18">
        <f t="shared" si="259"/>
        <v>21.597260273972601</v>
      </c>
      <c r="O1676" s="23">
        <v>14000.625</v>
      </c>
      <c r="P1676" s="18">
        <f t="shared" si="260"/>
        <v>22.597260273972601</v>
      </c>
      <c r="Q1676" s="18">
        <f t="shared" si="262"/>
        <v>0</v>
      </c>
      <c r="R1676" s="18">
        <f t="shared" si="261"/>
        <v>14000.625</v>
      </c>
      <c r="S1676" s="18">
        <f t="shared" si="263"/>
        <v>1473.75</v>
      </c>
    </row>
    <row r="1677" spans="1:19" ht="15" customHeight="1" x14ac:dyDescent="0.2">
      <c r="A1677" s="14">
        <f t="shared" si="265"/>
        <v>1638</v>
      </c>
      <c r="B1677" s="21" t="s">
        <v>1443</v>
      </c>
      <c r="C1677" s="15" t="s">
        <v>3</v>
      </c>
      <c r="D1677" s="21" t="s">
        <v>1200</v>
      </c>
      <c r="E1677" s="21"/>
      <c r="F1677" s="69" t="s">
        <v>4</v>
      </c>
      <c r="G1677" s="9">
        <v>35939</v>
      </c>
      <c r="H1677" s="22">
        <v>108570</v>
      </c>
      <c r="I1677" s="17">
        <v>0</v>
      </c>
      <c r="J1677" s="17">
        <f t="shared" si="266"/>
        <v>103141.5</v>
      </c>
      <c r="K1677" s="17">
        <f t="shared" si="258"/>
        <v>5428.5</v>
      </c>
      <c r="L1677" s="23">
        <f t="shared" si="264"/>
        <v>5428.5</v>
      </c>
      <c r="M1677" s="23">
        <v>5</v>
      </c>
      <c r="N1677" s="18">
        <f t="shared" si="259"/>
        <v>21.873972602739727</v>
      </c>
      <c r="O1677" s="23">
        <v>51570.75</v>
      </c>
      <c r="P1677" s="18">
        <f t="shared" si="260"/>
        <v>22.873972602739727</v>
      </c>
      <c r="Q1677" s="18">
        <f t="shared" si="262"/>
        <v>0</v>
      </c>
      <c r="R1677" s="18">
        <f t="shared" si="261"/>
        <v>51570.75</v>
      </c>
      <c r="S1677" s="18">
        <f t="shared" si="263"/>
        <v>5428.5</v>
      </c>
    </row>
    <row r="1678" spans="1:19" ht="15" customHeight="1" x14ac:dyDescent="0.2">
      <c r="A1678" s="14">
        <f t="shared" si="265"/>
        <v>1639</v>
      </c>
      <c r="B1678" s="21" t="s">
        <v>1444</v>
      </c>
      <c r="C1678" s="15" t="s">
        <v>3</v>
      </c>
      <c r="D1678" s="21" t="s">
        <v>1200</v>
      </c>
      <c r="E1678" s="21"/>
      <c r="F1678" s="69" t="s">
        <v>4</v>
      </c>
      <c r="G1678" s="9">
        <v>35930</v>
      </c>
      <c r="H1678" s="22">
        <v>44205</v>
      </c>
      <c r="I1678" s="17">
        <v>0</v>
      </c>
      <c r="J1678" s="17">
        <f t="shared" si="266"/>
        <v>41994.75</v>
      </c>
      <c r="K1678" s="17">
        <f t="shared" si="258"/>
        <v>2210.25</v>
      </c>
      <c r="L1678" s="23">
        <f t="shared" si="264"/>
        <v>2210.25</v>
      </c>
      <c r="M1678" s="23">
        <v>5</v>
      </c>
      <c r="N1678" s="18">
        <f t="shared" si="259"/>
        <v>21.898630136986302</v>
      </c>
      <c r="O1678" s="23">
        <v>20997.375</v>
      </c>
      <c r="P1678" s="18">
        <f t="shared" si="260"/>
        <v>22.898630136986302</v>
      </c>
      <c r="Q1678" s="18">
        <f t="shared" si="262"/>
        <v>0</v>
      </c>
      <c r="R1678" s="18">
        <f t="shared" si="261"/>
        <v>20997.375</v>
      </c>
      <c r="S1678" s="18">
        <f t="shared" si="263"/>
        <v>2210.25</v>
      </c>
    </row>
    <row r="1679" spans="1:19" ht="15" customHeight="1" x14ac:dyDescent="0.2">
      <c r="A1679" s="14">
        <f t="shared" si="265"/>
        <v>1640</v>
      </c>
      <c r="B1679" s="21" t="s">
        <v>1445</v>
      </c>
      <c r="C1679" s="15" t="s">
        <v>3</v>
      </c>
      <c r="D1679" s="21" t="s">
        <v>1200</v>
      </c>
      <c r="E1679" s="21"/>
      <c r="F1679" s="69" t="s">
        <v>4</v>
      </c>
      <c r="G1679" s="9">
        <v>35885</v>
      </c>
      <c r="H1679" s="22">
        <v>11630</v>
      </c>
      <c r="I1679" s="17">
        <v>0</v>
      </c>
      <c r="J1679" s="17">
        <f t="shared" si="266"/>
        <v>11048.5</v>
      </c>
      <c r="K1679" s="17">
        <f t="shared" si="258"/>
        <v>581.5</v>
      </c>
      <c r="L1679" s="23">
        <f t="shared" si="264"/>
        <v>581.5</v>
      </c>
      <c r="M1679" s="23">
        <v>5</v>
      </c>
      <c r="N1679" s="18">
        <f t="shared" si="259"/>
        <v>22.021917808219179</v>
      </c>
      <c r="O1679" s="23">
        <v>5524.25</v>
      </c>
      <c r="P1679" s="18">
        <f t="shared" si="260"/>
        <v>23.021917808219179</v>
      </c>
      <c r="Q1679" s="18">
        <f t="shared" si="262"/>
        <v>0</v>
      </c>
      <c r="R1679" s="18">
        <f t="shared" si="261"/>
        <v>5524.25</v>
      </c>
      <c r="S1679" s="18">
        <f t="shared" si="263"/>
        <v>581.5</v>
      </c>
    </row>
    <row r="1680" spans="1:19" ht="15" customHeight="1" x14ac:dyDescent="0.2">
      <c r="A1680" s="14">
        <f t="shared" si="265"/>
        <v>1641</v>
      </c>
      <c r="B1680" s="21" t="s">
        <v>1346</v>
      </c>
      <c r="C1680" s="15" t="s">
        <v>3</v>
      </c>
      <c r="D1680" s="21" t="s">
        <v>1200</v>
      </c>
      <c r="E1680" s="21"/>
      <c r="F1680" s="69" t="s">
        <v>4</v>
      </c>
      <c r="G1680" s="9">
        <v>35885</v>
      </c>
      <c r="H1680" s="22">
        <v>50900</v>
      </c>
      <c r="I1680" s="17">
        <v>0</v>
      </c>
      <c r="J1680" s="17">
        <f t="shared" si="266"/>
        <v>48355</v>
      </c>
      <c r="K1680" s="17">
        <f t="shared" si="258"/>
        <v>2545</v>
      </c>
      <c r="L1680" s="23">
        <f t="shared" si="264"/>
        <v>2545</v>
      </c>
      <c r="M1680" s="23">
        <v>5</v>
      </c>
      <c r="N1680" s="18">
        <f t="shared" si="259"/>
        <v>22.021917808219179</v>
      </c>
      <c r="O1680" s="23">
        <v>24177.5</v>
      </c>
      <c r="P1680" s="18">
        <f t="shared" si="260"/>
        <v>23.021917808219179</v>
      </c>
      <c r="Q1680" s="18">
        <f t="shared" si="262"/>
        <v>0</v>
      </c>
      <c r="R1680" s="18">
        <f t="shared" si="261"/>
        <v>24177.5</v>
      </c>
      <c r="S1680" s="18">
        <f t="shared" si="263"/>
        <v>2545</v>
      </c>
    </row>
    <row r="1681" spans="1:19" ht="15" customHeight="1" x14ac:dyDescent="0.2">
      <c r="A1681" s="14">
        <f t="shared" si="265"/>
        <v>1642</v>
      </c>
      <c r="B1681" s="21" t="s">
        <v>1446</v>
      </c>
      <c r="C1681" s="15" t="s">
        <v>3</v>
      </c>
      <c r="D1681" s="21" t="s">
        <v>1200</v>
      </c>
      <c r="E1681" s="21"/>
      <c r="F1681" s="69" t="s">
        <v>4</v>
      </c>
      <c r="G1681" s="9">
        <v>35796</v>
      </c>
      <c r="H1681" s="22">
        <v>31822</v>
      </c>
      <c r="I1681" s="17">
        <v>0</v>
      </c>
      <c r="J1681" s="17">
        <f t="shared" si="266"/>
        <v>30230.9</v>
      </c>
      <c r="K1681" s="17">
        <f t="shared" si="258"/>
        <v>1591.0999999999985</v>
      </c>
      <c r="L1681" s="23">
        <f t="shared" si="264"/>
        <v>1591.1000000000001</v>
      </c>
      <c r="M1681" s="23">
        <v>5</v>
      </c>
      <c r="N1681" s="18">
        <f t="shared" si="259"/>
        <v>22.265753424657536</v>
      </c>
      <c r="O1681" s="23">
        <v>15115.45</v>
      </c>
      <c r="P1681" s="18">
        <f t="shared" si="260"/>
        <v>23.265753424657536</v>
      </c>
      <c r="Q1681" s="18">
        <f t="shared" si="262"/>
        <v>-3.1832314562052491E-13</v>
      </c>
      <c r="R1681" s="18">
        <f t="shared" si="261"/>
        <v>15115.45</v>
      </c>
      <c r="S1681" s="18">
        <f t="shared" si="263"/>
        <v>1591.1000000000001</v>
      </c>
    </row>
    <row r="1682" spans="1:19" ht="15" customHeight="1" x14ac:dyDescent="0.2">
      <c r="A1682" s="14">
        <f t="shared" si="265"/>
        <v>1643</v>
      </c>
      <c r="B1682" s="21" t="s">
        <v>1447</v>
      </c>
      <c r="C1682" s="15" t="s">
        <v>3</v>
      </c>
      <c r="D1682" s="21" t="s">
        <v>1200</v>
      </c>
      <c r="E1682" s="21"/>
      <c r="F1682" s="69" t="s">
        <v>4</v>
      </c>
      <c r="G1682" s="9">
        <v>35796</v>
      </c>
      <c r="H1682" s="22">
        <v>7715</v>
      </c>
      <c r="I1682" s="17">
        <v>0</v>
      </c>
      <c r="J1682" s="17">
        <f t="shared" si="266"/>
        <v>7329.25</v>
      </c>
      <c r="K1682" s="17">
        <f t="shared" si="258"/>
        <v>385.75</v>
      </c>
      <c r="L1682" s="23">
        <f t="shared" si="264"/>
        <v>385.75</v>
      </c>
      <c r="M1682" s="23">
        <v>5</v>
      </c>
      <c r="N1682" s="18">
        <f t="shared" si="259"/>
        <v>22.265753424657536</v>
      </c>
      <c r="O1682" s="23">
        <v>3664.625</v>
      </c>
      <c r="P1682" s="18">
        <f t="shared" si="260"/>
        <v>23.265753424657536</v>
      </c>
      <c r="Q1682" s="18">
        <f t="shared" si="262"/>
        <v>0</v>
      </c>
      <c r="R1682" s="18">
        <f t="shared" si="261"/>
        <v>3664.625</v>
      </c>
      <c r="S1682" s="18">
        <f t="shared" si="263"/>
        <v>385.75</v>
      </c>
    </row>
    <row r="1683" spans="1:19" ht="15" customHeight="1" x14ac:dyDescent="0.2">
      <c r="A1683" s="14">
        <f t="shared" si="265"/>
        <v>1644</v>
      </c>
      <c r="B1683" s="21" t="s">
        <v>1448</v>
      </c>
      <c r="C1683" s="15" t="s">
        <v>3</v>
      </c>
      <c r="D1683" s="21" t="s">
        <v>1200</v>
      </c>
      <c r="E1683" s="21"/>
      <c r="F1683" s="69" t="s">
        <v>4</v>
      </c>
      <c r="G1683" s="9">
        <v>35796</v>
      </c>
      <c r="H1683" s="22">
        <v>6689</v>
      </c>
      <c r="I1683" s="17">
        <v>0</v>
      </c>
      <c r="J1683" s="17">
        <f t="shared" si="266"/>
        <v>6354.55</v>
      </c>
      <c r="K1683" s="17">
        <f t="shared" si="258"/>
        <v>334.44999999999982</v>
      </c>
      <c r="L1683" s="23">
        <f t="shared" si="264"/>
        <v>334.45000000000005</v>
      </c>
      <c r="M1683" s="23">
        <v>5</v>
      </c>
      <c r="N1683" s="18">
        <f t="shared" si="259"/>
        <v>22.265753424657536</v>
      </c>
      <c r="O1683" s="23">
        <v>3177.2750000000001</v>
      </c>
      <c r="P1683" s="18">
        <f t="shared" si="260"/>
        <v>23.265753424657536</v>
      </c>
      <c r="Q1683" s="18">
        <f t="shared" si="262"/>
        <v>-4.5474735088646414E-14</v>
      </c>
      <c r="R1683" s="18">
        <f t="shared" si="261"/>
        <v>3177.2750000000001</v>
      </c>
      <c r="S1683" s="18">
        <f t="shared" si="263"/>
        <v>334.45000000000005</v>
      </c>
    </row>
    <row r="1684" spans="1:19" ht="15" customHeight="1" x14ac:dyDescent="0.2">
      <c r="A1684" s="14">
        <f t="shared" si="265"/>
        <v>1645</v>
      </c>
      <c r="B1684" s="21" t="s">
        <v>1449</v>
      </c>
      <c r="C1684" s="15" t="s">
        <v>3</v>
      </c>
      <c r="D1684" s="21" t="s">
        <v>1200</v>
      </c>
      <c r="E1684" s="21"/>
      <c r="F1684" s="69" t="s">
        <v>4</v>
      </c>
      <c r="G1684" s="9">
        <v>35796</v>
      </c>
      <c r="H1684" s="22">
        <v>13510</v>
      </c>
      <c r="I1684" s="17">
        <v>0</v>
      </c>
      <c r="J1684" s="17">
        <f t="shared" si="266"/>
        <v>12834.5</v>
      </c>
      <c r="K1684" s="17">
        <f t="shared" si="258"/>
        <v>675.5</v>
      </c>
      <c r="L1684" s="23">
        <f t="shared" si="264"/>
        <v>675.5</v>
      </c>
      <c r="M1684" s="23">
        <v>5</v>
      </c>
      <c r="N1684" s="18">
        <f t="shared" si="259"/>
        <v>22.265753424657536</v>
      </c>
      <c r="O1684" s="23">
        <v>6417.25</v>
      </c>
      <c r="P1684" s="18">
        <f t="shared" si="260"/>
        <v>23.265753424657536</v>
      </c>
      <c r="Q1684" s="18">
        <f t="shared" si="262"/>
        <v>0</v>
      </c>
      <c r="R1684" s="18">
        <f t="shared" si="261"/>
        <v>6417.25</v>
      </c>
      <c r="S1684" s="18">
        <f t="shared" si="263"/>
        <v>675.5</v>
      </c>
    </row>
    <row r="1685" spans="1:19" ht="15" customHeight="1" x14ac:dyDescent="0.2">
      <c r="A1685" s="14">
        <f t="shared" si="265"/>
        <v>1646</v>
      </c>
      <c r="B1685" s="21" t="s">
        <v>1450</v>
      </c>
      <c r="C1685" s="15" t="s">
        <v>3</v>
      </c>
      <c r="D1685" s="21" t="s">
        <v>1200</v>
      </c>
      <c r="E1685" s="21"/>
      <c r="F1685" s="69" t="s">
        <v>4</v>
      </c>
      <c r="G1685" s="9">
        <v>35796</v>
      </c>
      <c r="H1685" s="22">
        <v>4480</v>
      </c>
      <c r="I1685" s="17">
        <v>0</v>
      </c>
      <c r="J1685" s="17">
        <f t="shared" si="266"/>
        <v>4256</v>
      </c>
      <c r="K1685" s="17">
        <f t="shared" si="258"/>
        <v>224</v>
      </c>
      <c r="L1685" s="23">
        <f t="shared" si="264"/>
        <v>224</v>
      </c>
      <c r="M1685" s="23">
        <v>5</v>
      </c>
      <c r="N1685" s="18">
        <f t="shared" si="259"/>
        <v>22.265753424657536</v>
      </c>
      <c r="O1685" s="23">
        <v>2128</v>
      </c>
      <c r="P1685" s="18">
        <f t="shared" si="260"/>
        <v>23.265753424657536</v>
      </c>
      <c r="Q1685" s="18">
        <f t="shared" si="262"/>
        <v>0</v>
      </c>
      <c r="R1685" s="18">
        <f t="shared" si="261"/>
        <v>2128</v>
      </c>
      <c r="S1685" s="18">
        <f t="shared" si="263"/>
        <v>224</v>
      </c>
    </row>
    <row r="1686" spans="1:19" ht="15" customHeight="1" x14ac:dyDescent="0.2">
      <c r="A1686" s="14">
        <f t="shared" si="265"/>
        <v>1647</v>
      </c>
      <c r="B1686" s="21" t="s">
        <v>1451</v>
      </c>
      <c r="C1686" s="15" t="s">
        <v>3</v>
      </c>
      <c r="D1686" s="21" t="s">
        <v>1200</v>
      </c>
      <c r="E1686" s="21"/>
      <c r="F1686" s="69" t="s">
        <v>4</v>
      </c>
      <c r="G1686" s="9">
        <v>35796</v>
      </c>
      <c r="H1686" s="22">
        <v>13968</v>
      </c>
      <c r="I1686" s="17">
        <v>0</v>
      </c>
      <c r="J1686" s="17">
        <f t="shared" si="266"/>
        <v>13269.6</v>
      </c>
      <c r="K1686" s="17">
        <f t="shared" si="258"/>
        <v>698.39999999999964</v>
      </c>
      <c r="L1686" s="23">
        <f t="shared" si="264"/>
        <v>698.40000000000009</v>
      </c>
      <c r="M1686" s="23">
        <v>5</v>
      </c>
      <c r="N1686" s="18">
        <f t="shared" si="259"/>
        <v>22.265753424657536</v>
      </c>
      <c r="O1686" s="23">
        <v>6634.8</v>
      </c>
      <c r="P1686" s="18">
        <f t="shared" si="260"/>
        <v>23.265753424657536</v>
      </c>
      <c r="Q1686" s="18">
        <f t="shared" si="262"/>
        <v>-9.0949470177292829E-14</v>
      </c>
      <c r="R1686" s="18">
        <f t="shared" si="261"/>
        <v>6634.8</v>
      </c>
      <c r="S1686" s="18">
        <f t="shared" si="263"/>
        <v>698.40000000000009</v>
      </c>
    </row>
    <row r="1687" spans="1:19" ht="15" customHeight="1" x14ac:dyDescent="0.2">
      <c r="A1687" s="14">
        <f t="shared" si="265"/>
        <v>1648</v>
      </c>
      <c r="B1687" s="21" t="s">
        <v>1452</v>
      </c>
      <c r="C1687" s="15" t="s">
        <v>3</v>
      </c>
      <c r="D1687" s="21" t="s">
        <v>1200</v>
      </c>
      <c r="E1687" s="21"/>
      <c r="F1687" s="69" t="s">
        <v>4</v>
      </c>
      <c r="G1687" s="9">
        <v>35796</v>
      </c>
      <c r="H1687" s="22">
        <v>1844</v>
      </c>
      <c r="I1687" s="17">
        <v>0</v>
      </c>
      <c r="J1687" s="17">
        <f t="shared" si="266"/>
        <v>1751.8</v>
      </c>
      <c r="K1687" s="17">
        <f t="shared" si="258"/>
        <v>92.200000000000045</v>
      </c>
      <c r="L1687" s="23">
        <f t="shared" si="264"/>
        <v>92.2</v>
      </c>
      <c r="M1687" s="23">
        <v>5</v>
      </c>
      <c r="N1687" s="18">
        <f t="shared" si="259"/>
        <v>22.265753424657536</v>
      </c>
      <c r="O1687" s="23">
        <v>875.9</v>
      </c>
      <c r="P1687" s="18">
        <f t="shared" si="260"/>
        <v>23.265753424657536</v>
      </c>
      <c r="Q1687" s="18">
        <f t="shared" si="262"/>
        <v>8.5265128291212035E-15</v>
      </c>
      <c r="R1687" s="18">
        <f t="shared" si="261"/>
        <v>875.9</v>
      </c>
      <c r="S1687" s="18">
        <f t="shared" si="263"/>
        <v>92.2</v>
      </c>
    </row>
    <row r="1688" spans="1:19" ht="15" customHeight="1" x14ac:dyDescent="0.2">
      <c r="A1688" s="14">
        <f t="shared" si="265"/>
        <v>1649</v>
      </c>
      <c r="B1688" s="21" t="s">
        <v>1445</v>
      </c>
      <c r="C1688" s="15" t="s">
        <v>3</v>
      </c>
      <c r="D1688" s="21" t="s">
        <v>1200</v>
      </c>
      <c r="E1688" s="21"/>
      <c r="F1688" s="69" t="s">
        <v>4</v>
      </c>
      <c r="G1688" s="9">
        <v>35796</v>
      </c>
      <c r="H1688" s="22">
        <v>3775</v>
      </c>
      <c r="I1688" s="17">
        <v>0</v>
      </c>
      <c r="J1688" s="17">
        <f t="shared" si="266"/>
        <v>3586.25</v>
      </c>
      <c r="K1688" s="17">
        <f t="shared" si="258"/>
        <v>188.75</v>
      </c>
      <c r="L1688" s="23">
        <f t="shared" si="264"/>
        <v>188.75</v>
      </c>
      <c r="M1688" s="23">
        <v>5</v>
      </c>
      <c r="N1688" s="18">
        <f t="shared" si="259"/>
        <v>22.265753424657536</v>
      </c>
      <c r="O1688" s="23">
        <v>1793.125</v>
      </c>
      <c r="P1688" s="18">
        <f t="shared" si="260"/>
        <v>23.265753424657536</v>
      </c>
      <c r="Q1688" s="18">
        <f t="shared" si="262"/>
        <v>0</v>
      </c>
      <c r="R1688" s="18">
        <f t="shared" si="261"/>
        <v>1793.125</v>
      </c>
      <c r="S1688" s="18">
        <f t="shared" si="263"/>
        <v>188.75</v>
      </c>
    </row>
    <row r="1689" spans="1:19" ht="15" customHeight="1" x14ac:dyDescent="0.2">
      <c r="A1689" s="14">
        <f t="shared" si="265"/>
        <v>1650</v>
      </c>
      <c r="B1689" s="21" t="s">
        <v>1453</v>
      </c>
      <c r="C1689" s="15" t="s">
        <v>3</v>
      </c>
      <c r="D1689" s="21" t="s">
        <v>1200</v>
      </c>
      <c r="E1689" s="21"/>
      <c r="F1689" s="69" t="s">
        <v>4</v>
      </c>
      <c r="G1689" s="9">
        <v>35796</v>
      </c>
      <c r="H1689" s="22">
        <v>3800</v>
      </c>
      <c r="I1689" s="17">
        <v>0</v>
      </c>
      <c r="J1689" s="17">
        <f t="shared" si="266"/>
        <v>3610</v>
      </c>
      <c r="K1689" s="17">
        <f t="shared" si="258"/>
        <v>190</v>
      </c>
      <c r="L1689" s="23">
        <f t="shared" si="264"/>
        <v>190</v>
      </c>
      <c r="M1689" s="23">
        <v>5</v>
      </c>
      <c r="N1689" s="18">
        <f t="shared" si="259"/>
        <v>22.265753424657536</v>
      </c>
      <c r="O1689" s="23">
        <v>1805</v>
      </c>
      <c r="P1689" s="18">
        <f t="shared" si="260"/>
        <v>23.265753424657536</v>
      </c>
      <c r="Q1689" s="18">
        <f t="shared" si="262"/>
        <v>0</v>
      </c>
      <c r="R1689" s="18">
        <f t="shared" si="261"/>
        <v>1805</v>
      </c>
      <c r="S1689" s="18">
        <f t="shared" si="263"/>
        <v>190</v>
      </c>
    </row>
    <row r="1690" spans="1:19" ht="15" customHeight="1" x14ac:dyDescent="0.2">
      <c r="A1690" s="14">
        <f t="shared" si="265"/>
        <v>1651</v>
      </c>
      <c r="B1690" s="21" t="s">
        <v>1416</v>
      </c>
      <c r="C1690" s="15" t="s">
        <v>3</v>
      </c>
      <c r="D1690" s="21" t="s">
        <v>1200</v>
      </c>
      <c r="E1690" s="21"/>
      <c r="F1690" s="69" t="s">
        <v>4</v>
      </c>
      <c r="G1690" s="9">
        <v>35764</v>
      </c>
      <c r="H1690" s="22">
        <v>14235</v>
      </c>
      <c r="I1690" s="17">
        <v>0</v>
      </c>
      <c r="J1690" s="17">
        <f t="shared" si="266"/>
        <v>13523.25</v>
      </c>
      <c r="K1690" s="17">
        <f t="shared" si="258"/>
        <v>711.75</v>
      </c>
      <c r="L1690" s="23">
        <f t="shared" si="264"/>
        <v>711.75</v>
      </c>
      <c r="M1690" s="23">
        <v>5</v>
      </c>
      <c r="N1690" s="18">
        <f t="shared" si="259"/>
        <v>22.353424657534248</v>
      </c>
      <c r="O1690" s="23">
        <v>6761.625</v>
      </c>
      <c r="P1690" s="18">
        <f t="shared" si="260"/>
        <v>23.353424657534248</v>
      </c>
      <c r="Q1690" s="18">
        <f t="shared" si="262"/>
        <v>0</v>
      </c>
      <c r="R1690" s="18">
        <f t="shared" si="261"/>
        <v>6761.625</v>
      </c>
      <c r="S1690" s="18">
        <f t="shared" si="263"/>
        <v>711.75</v>
      </c>
    </row>
    <row r="1691" spans="1:19" ht="15" customHeight="1" x14ac:dyDescent="0.2">
      <c r="A1691" s="14">
        <f t="shared" si="265"/>
        <v>1652</v>
      </c>
      <c r="B1691" s="21" t="s">
        <v>1454</v>
      </c>
      <c r="C1691" s="15" t="s">
        <v>3</v>
      </c>
      <c r="D1691" s="21" t="s">
        <v>1200</v>
      </c>
      <c r="E1691" s="21"/>
      <c r="F1691" s="69" t="s">
        <v>4</v>
      </c>
      <c r="G1691" s="9">
        <v>35431</v>
      </c>
      <c r="H1691" s="22">
        <v>10373</v>
      </c>
      <c r="I1691" s="17">
        <v>0</v>
      </c>
      <c r="J1691" s="17">
        <f t="shared" si="266"/>
        <v>9854.35</v>
      </c>
      <c r="K1691" s="17">
        <f t="shared" si="258"/>
        <v>518.64999999999964</v>
      </c>
      <c r="L1691" s="23">
        <f t="shared" si="264"/>
        <v>518.65</v>
      </c>
      <c r="M1691" s="23">
        <v>5</v>
      </c>
      <c r="N1691" s="18">
        <f t="shared" si="259"/>
        <v>23.265753424657536</v>
      </c>
      <c r="O1691" s="23">
        <v>4927.1750000000002</v>
      </c>
      <c r="P1691" s="18">
        <f t="shared" si="260"/>
        <v>24.265753424657536</v>
      </c>
      <c r="Q1691" s="18">
        <f t="shared" si="262"/>
        <v>-6.8212102632969628E-14</v>
      </c>
      <c r="R1691" s="18">
        <f t="shared" si="261"/>
        <v>4927.1750000000002</v>
      </c>
      <c r="S1691" s="18">
        <f t="shared" si="263"/>
        <v>518.65</v>
      </c>
    </row>
    <row r="1692" spans="1:19" ht="15" customHeight="1" x14ac:dyDescent="0.2">
      <c r="A1692" s="14">
        <f t="shared" si="265"/>
        <v>1653</v>
      </c>
      <c r="B1692" s="21" t="s">
        <v>1455</v>
      </c>
      <c r="C1692" s="15" t="s">
        <v>3</v>
      </c>
      <c r="D1692" s="21" t="s">
        <v>1200</v>
      </c>
      <c r="E1692" s="21"/>
      <c r="F1692" s="69" t="s">
        <v>4</v>
      </c>
      <c r="G1692" s="9">
        <v>35431</v>
      </c>
      <c r="H1692" s="22">
        <v>3780</v>
      </c>
      <c r="I1692" s="17">
        <v>0</v>
      </c>
      <c r="J1692" s="17">
        <f t="shared" si="266"/>
        <v>3591</v>
      </c>
      <c r="K1692" s="17">
        <f t="shared" si="258"/>
        <v>189</v>
      </c>
      <c r="L1692" s="23">
        <f t="shared" si="264"/>
        <v>189</v>
      </c>
      <c r="M1692" s="23">
        <v>5</v>
      </c>
      <c r="N1692" s="18">
        <f t="shared" si="259"/>
        <v>23.265753424657536</v>
      </c>
      <c r="O1692" s="23">
        <v>1795.5</v>
      </c>
      <c r="P1692" s="18">
        <f t="shared" si="260"/>
        <v>24.265753424657536</v>
      </c>
      <c r="Q1692" s="18">
        <f t="shared" si="262"/>
        <v>0</v>
      </c>
      <c r="R1692" s="18">
        <f t="shared" si="261"/>
        <v>1795.5</v>
      </c>
      <c r="S1692" s="18">
        <f t="shared" si="263"/>
        <v>189</v>
      </c>
    </row>
    <row r="1693" spans="1:19" ht="15" customHeight="1" x14ac:dyDescent="0.2">
      <c r="A1693" s="14">
        <f t="shared" si="265"/>
        <v>1654</v>
      </c>
      <c r="B1693" s="21" t="s">
        <v>1456</v>
      </c>
      <c r="C1693" s="15" t="s">
        <v>3</v>
      </c>
      <c r="D1693" s="21" t="s">
        <v>1200</v>
      </c>
      <c r="E1693" s="21"/>
      <c r="F1693" s="69" t="s">
        <v>4</v>
      </c>
      <c r="G1693" s="9">
        <v>35431</v>
      </c>
      <c r="H1693" s="22">
        <v>41819</v>
      </c>
      <c r="I1693" s="17">
        <v>0</v>
      </c>
      <c r="J1693" s="17">
        <f t="shared" si="266"/>
        <v>39728.050000000003</v>
      </c>
      <c r="K1693" s="17">
        <f t="shared" si="258"/>
        <v>2090.9499999999971</v>
      </c>
      <c r="L1693" s="23">
        <f t="shared" si="264"/>
        <v>2090.9500000000003</v>
      </c>
      <c r="M1693" s="23">
        <v>5</v>
      </c>
      <c r="N1693" s="18">
        <f t="shared" si="259"/>
        <v>23.265753424657536</v>
      </c>
      <c r="O1693" s="23">
        <v>19864.025000000001</v>
      </c>
      <c r="P1693" s="18">
        <f t="shared" si="260"/>
        <v>24.265753424657536</v>
      </c>
      <c r="Q1693" s="18">
        <f t="shared" si="262"/>
        <v>-6.3664629124104983E-13</v>
      </c>
      <c r="R1693" s="18">
        <f t="shared" si="261"/>
        <v>19864.025000000001</v>
      </c>
      <c r="S1693" s="18">
        <f t="shared" si="263"/>
        <v>2090.9500000000003</v>
      </c>
    </row>
    <row r="1694" spans="1:19" ht="15" customHeight="1" x14ac:dyDescent="0.2">
      <c r="A1694" s="14">
        <f t="shared" si="265"/>
        <v>1655</v>
      </c>
      <c r="B1694" s="21" t="s">
        <v>1457</v>
      </c>
      <c r="C1694" s="15" t="s">
        <v>3</v>
      </c>
      <c r="D1694" s="21" t="s">
        <v>1200</v>
      </c>
      <c r="E1694" s="21"/>
      <c r="F1694" s="69" t="s">
        <v>4</v>
      </c>
      <c r="G1694" s="9">
        <v>35431</v>
      </c>
      <c r="H1694" s="22">
        <v>5074</v>
      </c>
      <c r="I1694" s="17">
        <v>0</v>
      </c>
      <c r="J1694" s="17">
        <f t="shared" si="266"/>
        <v>4820.3</v>
      </c>
      <c r="K1694" s="17">
        <f t="shared" si="258"/>
        <v>253.69999999999982</v>
      </c>
      <c r="L1694" s="23">
        <f t="shared" si="264"/>
        <v>253.70000000000002</v>
      </c>
      <c r="M1694" s="23">
        <v>5</v>
      </c>
      <c r="N1694" s="18">
        <f t="shared" si="259"/>
        <v>23.265753424657536</v>
      </c>
      <c r="O1694" s="23">
        <v>2410.15</v>
      </c>
      <c r="P1694" s="18">
        <f t="shared" si="260"/>
        <v>24.265753424657536</v>
      </c>
      <c r="Q1694" s="18">
        <f t="shared" si="262"/>
        <v>-3.9790393202565614E-14</v>
      </c>
      <c r="R1694" s="18">
        <f t="shared" si="261"/>
        <v>2410.15</v>
      </c>
      <c r="S1694" s="18">
        <f t="shared" si="263"/>
        <v>253.70000000000002</v>
      </c>
    </row>
    <row r="1695" spans="1:19" ht="15" customHeight="1" x14ac:dyDescent="0.2">
      <c r="A1695" s="14">
        <f t="shared" si="265"/>
        <v>1656</v>
      </c>
      <c r="B1695" s="21" t="s">
        <v>1458</v>
      </c>
      <c r="C1695" s="15" t="s">
        <v>3</v>
      </c>
      <c r="D1695" s="21" t="s">
        <v>1200</v>
      </c>
      <c r="E1695" s="21"/>
      <c r="F1695" s="69" t="s">
        <v>4</v>
      </c>
      <c r="G1695" s="9">
        <v>35431</v>
      </c>
      <c r="H1695" s="22">
        <v>25686</v>
      </c>
      <c r="I1695" s="17">
        <v>0</v>
      </c>
      <c r="J1695" s="17">
        <f t="shared" si="266"/>
        <v>24401.7</v>
      </c>
      <c r="K1695" s="17">
        <f t="shared" si="258"/>
        <v>1284.2999999999993</v>
      </c>
      <c r="L1695" s="23">
        <f t="shared" si="264"/>
        <v>1284.3000000000002</v>
      </c>
      <c r="M1695" s="23">
        <v>5</v>
      </c>
      <c r="N1695" s="18">
        <f t="shared" si="259"/>
        <v>23.265753424657536</v>
      </c>
      <c r="O1695" s="23">
        <v>12200.85</v>
      </c>
      <c r="P1695" s="18">
        <f t="shared" si="260"/>
        <v>24.265753424657536</v>
      </c>
      <c r="Q1695" s="18">
        <f t="shared" si="262"/>
        <v>-1.8189894035458566E-13</v>
      </c>
      <c r="R1695" s="18">
        <f t="shared" si="261"/>
        <v>12200.85</v>
      </c>
      <c r="S1695" s="18">
        <f t="shared" si="263"/>
        <v>1284.3000000000002</v>
      </c>
    </row>
    <row r="1696" spans="1:19" ht="15" customHeight="1" x14ac:dyDescent="0.2">
      <c r="A1696" s="14">
        <f t="shared" si="265"/>
        <v>1657</v>
      </c>
      <c r="B1696" s="21" t="s">
        <v>1459</v>
      </c>
      <c r="C1696" s="15" t="s">
        <v>3</v>
      </c>
      <c r="D1696" s="21" t="s">
        <v>1200</v>
      </c>
      <c r="E1696" s="21"/>
      <c r="F1696" s="69" t="s">
        <v>4</v>
      </c>
      <c r="G1696" s="9">
        <v>35353</v>
      </c>
      <c r="H1696" s="22">
        <v>5290</v>
      </c>
      <c r="I1696" s="17">
        <v>0</v>
      </c>
      <c r="J1696" s="17">
        <f t="shared" si="266"/>
        <v>5025.5</v>
      </c>
      <c r="K1696" s="17">
        <f t="shared" si="258"/>
        <v>264.5</v>
      </c>
      <c r="L1696" s="23">
        <f t="shared" si="264"/>
        <v>264.5</v>
      </c>
      <c r="M1696" s="23">
        <v>5</v>
      </c>
      <c r="N1696" s="18">
        <f t="shared" si="259"/>
        <v>23.479452054794521</v>
      </c>
      <c r="O1696" s="23">
        <v>2512.75</v>
      </c>
      <c r="P1696" s="18">
        <f t="shared" si="260"/>
        <v>24.479452054794521</v>
      </c>
      <c r="Q1696" s="18">
        <f t="shared" si="262"/>
        <v>0</v>
      </c>
      <c r="R1696" s="18">
        <f t="shared" si="261"/>
        <v>2512.75</v>
      </c>
      <c r="S1696" s="18">
        <f t="shared" si="263"/>
        <v>264.5</v>
      </c>
    </row>
    <row r="1697" spans="1:19" ht="15" customHeight="1" x14ac:dyDescent="0.2">
      <c r="A1697" s="14">
        <f t="shared" si="265"/>
        <v>1658</v>
      </c>
      <c r="B1697" s="21" t="s">
        <v>1460</v>
      </c>
      <c r="C1697" s="15" t="s">
        <v>3</v>
      </c>
      <c r="D1697" s="21" t="s">
        <v>1200</v>
      </c>
      <c r="E1697" s="21"/>
      <c r="F1697" s="69" t="s">
        <v>4</v>
      </c>
      <c r="G1697" s="9">
        <v>35246</v>
      </c>
      <c r="H1697" s="22">
        <v>49825</v>
      </c>
      <c r="I1697" s="17">
        <v>0</v>
      </c>
      <c r="J1697" s="17">
        <f t="shared" si="266"/>
        <v>47333.75</v>
      </c>
      <c r="K1697" s="17">
        <f t="shared" si="258"/>
        <v>2491.25</v>
      </c>
      <c r="L1697" s="23">
        <f t="shared" si="264"/>
        <v>2491.25</v>
      </c>
      <c r="M1697" s="23">
        <v>5</v>
      </c>
      <c r="N1697" s="18">
        <f t="shared" si="259"/>
        <v>23.772602739726029</v>
      </c>
      <c r="O1697" s="23">
        <v>23666.875</v>
      </c>
      <c r="P1697" s="18">
        <f t="shared" si="260"/>
        <v>24.772602739726029</v>
      </c>
      <c r="Q1697" s="18">
        <f t="shared" si="262"/>
        <v>0</v>
      </c>
      <c r="R1697" s="18">
        <f t="shared" si="261"/>
        <v>23666.875</v>
      </c>
      <c r="S1697" s="18">
        <f t="shared" si="263"/>
        <v>2491.25</v>
      </c>
    </row>
    <row r="1698" spans="1:19" ht="15" customHeight="1" x14ac:dyDescent="0.2">
      <c r="A1698" s="14">
        <f t="shared" si="265"/>
        <v>1659</v>
      </c>
      <c r="B1698" s="21" t="s">
        <v>1357</v>
      </c>
      <c r="C1698" s="15" t="s">
        <v>3</v>
      </c>
      <c r="D1698" s="21" t="s">
        <v>1200</v>
      </c>
      <c r="E1698" s="21"/>
      <c r="F1698" s="69" t="s">
        <v>4</v>
      </c>
      <c r="G1698" s="9">
        <v>35245</v>
      </c>
      <c r="H1698" s="22">
        <v>26417</v>
      </c>
      <c r="I1698" s="17">
        <v>0</v>
      </c>
      <c r="J1698" s="17">
        <f t="shared" si="266"/>
        <v>25096.15</v>
      </c>
      <c r="K1698" s="17">
        <f t="shared" si="258"/>
        <v>1320.8499999999985</v>
      </c>
      <c r="L1698" s="23">
        <f t="shared" si="264"/>
        <v>1320.8500000000001</v>
      </c>
      <c r="M1698" s="23">
        <v>5</v>
      </c>
      <c r="N1698" s="18">
        <f t="shared" si="259"/>
        <v>23.775342465753425</v>
      </c>
      <c r="O1698" s="23">
        <v>12548.075000000001</v>
      </c>
      <c r="P1698" s="18">
        <f t="shared" si="260"/>
        <v>24.775342465753425</v>
      </c>
      <c r="Q1698" s="18">
        <f t="shared" si="262"/>
        <v>-3.1832314562052491E-13</v>
      </c>
      <c r="R1698" s="18">
        <f t="shared" si="261"/>
        <v>12548.075000000001</v>
      </c>
      <c r="S1698" s="18">
        <f t="shared" si="263"/>
        <v>1320.8500000000001</v>
      </c>
    </row>
    <row r="1699" spans="1:19" ht="15" customHeight="1" x14ac:dyDescent="0.2">
      <c r="A1699" s="14">
        <f t="shared" si="265"/>
        <v>1660</v>
      </c>
      <c r="B1699" s="21" t="s">
        <v>1461</v>
      </c>
      <c r="C1699" s="15" t="s">
        <v>3</v>
      </c>
      <c r="D1699" s="21" t="s">
        <v>1200</v>
      </c>
      <c r="E1699" s="21"/>
      <c r="F1699" s="69" t="s">
        <v>4</v>
      </c>
      <c r="G1699" s="9">
        <v>35186</v>
      </c>
      <c r="H1699" s="22">
        <v>9300</v>
      </c>
      <c r="I1699" s="17">
        <v>0</v>
      </c>
      <c r="J1699" s="17">
        <f t="shared" si="266"/>
        <v>8835</v>
      </c>
      <c r="K1699" s="17">
        <f t="shared" si="258"/>
        <v>465</v>
      </c>
      <c r="L1699" s="23">
        <f t="shared" si="264"/>
        <v>465</v>
      </c>
      <c r="M1699" s="23">
        <v>5</v>
      </c>
      <c r="N1699" s="18">
        <f t="shared" si="259"/>
        <v>23.936986301369863</v>
      </c>
      <c r="O1699" s="23">
        <v>4417.5</v>
      </c>
      <c r="P1699" s="18">
        <f t="shared" si="260"/>
        <v>24.936986301369863</v>
      </c>
      <c r="Q1699" s="18">
        <f t="shared" si="262"/>
        <v>0</v>
      </c>
      <c r="R1699" s="18">
        <f t="shared" si="261"/>
        <v>4417.5</v>
      </c>
      <c r="S1699" s="18">
        <f t="shared" si="263"/>
        <v>465</v>
      </c>
    </row>
    <row r="1700" spans="1:19" ht="15" customHeight="1" x14ac:dyDescent="0.2">
      <c r="A1700" s="14">
        <f t="shared" si="265"/>
        <v>1661</v>
      </c>
      <c r="B1700" s="21" t="s">
        <v>1462</v>
      </c>
      <c r="C1700" s="15" t="s">
        <v>3</v>
      </c>
      <c r="D1700" s="21" t="s">
        <v>1200</v>
      </c>
      <c r="E1700" s="21"/>
      <c r="F1700" s="69" t="s">
        <v>4</v>
      </c>
      <c r="G1700" s="9">
        <v>35155</v>
      </c>
      <c r="H1700" s="22">
        <v>35005</v>
      </c>
      <c r="I1700" s="17">
        <v>0</v>
      </c>
      <c r="J1700" s="17">
        <f t="shared" si="266"/>
        <v>33254.75</v>
      </c>
      <c r="K1700" s="17">
        <f t="shared" si="258"/>
        <v>1750.25</v>
      </c>
      <c r="L1700" s="23">
        <f t="shared" si="264"/>
        <v>1750.25</v>
      </c>
      <c r="M1700" s="23">
        <v>5</v>
      </c>
      <c r="N1700" s="18">
        <f t="shared" si="259"/>
        <v>24.021917808219179</v>
      </c>
      <c r="O1700" s="23">
        <v>16627.375</v>
      </c>
      <c r="P1700" s="18">
        <f t="shared" si="260"/>
        <v>25.021917808219179</v>
      </c>
      <c r="Q1700" s="18">
        <f t="shared" si="262"/>
        <v>0</v>
      </c>
      <c r="R1700" s="18">
        <f t="shared" si="261"/>
        <v>16627.375</v>
      </c>
      <c r="S1700" s="18">
        <f t="shared" si="263"/>
        <v>1750.25</v>
      </c>
    </row>
    <row r="1701" spans="1:19" ht="15" customHeight="1" x14ac:dyDescent="0.2">
      <c r="A1701" s="14">
        <f t="shared" si="265"/>
        <v>1662</v>
      </c>
      <c r="B1701" s="21" t="s">
        <v>1463</v>
      </c>
      <c r="C1701" s="15" t="s">
        <v>3</v>
      </c>
      <c r="D1701" s="21" t="s">
        <v>1200</v>
      </c>
      <c r="E1701" s="21"/>
      <c r="F1701" s="69" t="s">
        <v>4</v>
      </c>
      <c r="G1701" s="9">
        <v>35065</v>
      </c>
      <c r="H1701" s="22">
        <v>30150</v>
      </c>
      <c r="I1701" s="17">
        <v>0</v>
      </c>
      <c r="J1701" s="17">
        <f t="shared" si="266"/>
        <v>28642.5</v>
      </c>
      <c r="K1701" s="17">
        <f t="shared" si="258"/>
        <v>1507.5</v>
      </c>
      <c r="L1701" s="23">
        <f t="shared" si="264"/>
        <v>1507.5</v>
      </c>
      <c r="M1701" s="23">
        <v>5</v>
      </c>
      <c r="N1701" s="18">
        <f t="shared" si="259"/>
        <v>24.268493150684932</v>
      </c>
      <c r="O1701" s="23">
        <v>14321.25</v>
      </c>
      <c r="P1701" s="18">
        <f t="shared" si="260"/>
        <v>25.268493150684932</v>
      </c>
      <c r="Q1701" s="18">
        <f t="shared" si="262"/>
        <v>0</v>
      </c>
      <c r="R1701" s="18">
        <f t="shared" si="261"/>
        <v>14321.25</v>
      </c>
      <c r="S1701" s="18">
        <f t="shared" si="263"/>
        <v>1507.5</v>
      </c>
    </row>
    <row r="1702" spans="1:19" ht="15" customHeight="1" x14ac:dyDescent="0.2">
      <c r="A1702" s="14">
        <f t="shared" si="265"/>
        <v>1663</v>
      </c>
      <c r="B1702" s="21" t="s">
        <v>1464</v>
      </c>
      <c r="C1702" s="15" t="s">
        <v>3</v>
      </c>
      <c r="D1702" s="21" t="s">
        <v>1200</v>
      </c>
      <c r="E1702" s="21"/>
      <c r="F1702" s="69" t="s">
        <v>4</v>
      </c>
      <c r="G1702" s="9">
        <v>35065</v>
      </c>
      <c r="H1702" s="22">
        <v>3563</v>
      </c>
      <c r="I1702" s="17">
        <v>0</v>
      </c>
      <c r="J1702" s="17">
        <f t="shared" si="266"/>
        <v>3384.85</v>
      </c>
      <c r="K1702" s="17">
        <f t="shared" ref="K1702:K1765" si="267">H1702+I1702-J1702</f>
        <v>178.15000000000009</v>
      </c>
      <c r="L1702" s="23">
        <f t="shared" si="264"/>
        <v>178.15</v>
      </c>
      <c r="M1702" s="23">
        <v>5</v>
      </c>
      <c r="N1702" s="18">
        <f t="shared" ref="N1702:N1765" si="268">IF(($N$35-G1702+1)/365&gt;0,($N$35-G1702+1)/365,0)</f>
        <v>24.268493150684932</v>
      </c>
      <c r="O1702" s="23">
        <v>1692.425</v>
      </c>
      <c r="P1702" s="18">
        <f t="shared" ref="P1702:P1765" si="269">($P$35-G1702+1)/365</f>
        <v>25.268493150684932</v>
      </c>
      <c r="Q1702" s="18">
        <f t="shared" si="262"/>
        <v>1.7053025658242407E-14</v>
      </c>
      <c r="R1702" s="18">
        <f t="shared" ref="R1702:R1765" si="270">Q1702+O1702</f>
        <v>1692.425</v>
      </c>
      <c r="S1702" s="18">
        <f t="shared" si="263"/>
        <v>178.15</v>
      </c>
    </row>
    <row r="1703" spans="1:19" ht="15" customHeight="1" x14ac:dyDescent="0.2">
      <c r="A1703" s="14">
        <f t="shared" si="265"/>
        <v>1664</v>
      </c>
      <c r="B1703" s="21" t="s">
        <v>1465</v>
      </c>
      <c r="C1703" s="15" t="s">
        <v>3</v>
      </c>
      <c r="D1703" s="21" t="s">
        <v>1200</v>
      </c>
      <c r="E1703" s="21"/>
      <c r="F1703" s="69" t="s">
        <v>4</v>
      </c>
      <c r="G1703" s="9">
        <v>35065</v>
      </c>
      <c r="H1703" s="22">
        <v>1350</v>
      </c>
      <c r="I1703" s="17">
        <v>0</v>
      </c>
      <c r="J1703" s="17">
        <f t="shared" si="266"/>
        <v>1282.5</v>
      </c>
      <c r="K1703" s="17">
        <f t="shared" si="267"/>
        <v>67.5</v>
      </c>
      <c r="L1703" s="23">
        <f t="shared" si="264"/>
        <v>67.5</v>
      </c>
      <c r="M1703" s="23">
        <v>5</v>
      </c>
      <c r="N1703" s="18">
        <f t="shared" si="268"/>
        <v>24.268493150684932</v>
      </c>
      <c r="O1703" s="23">
        <v>641.25</v>
      </c>
      <c r="P1703" s="18">
        <f t="shared" si="269"/>
        <v>25.268493150684932</v>
      </c>
      <c r="Q1703" s="18">
        <f t="shared" si="262"/>
        <v>0</v>
      </c>
      <c r="R1703" s="18">
        <f t="shared" si="270"/>
        <v>641.25</v>
      </c>
      <c r="S1703" s="18">
        <f t="shared" si="263"/>
        <v>67.5</v>
      </c>
    </row>
    <row r="1704" spans="1:19" ht="15" customHeight="1" x14ac:dyDescent="0.2">
      <c r="A1704" s="14">
        <f t="shared" si="265"/>
        <v>1665</v>
      </c>
      <c r="B1704" s="21" t="s">
        <v>1466</v>
      </c>
      <c r="C1704" s="15" t="s">
        <v>3</v>
      </c>
      <c r="D1704" s="21" t="s">
        <v>1200</v>
      </c>
      <c r="E1704" s="21"/>
      <c r="F1704" s="69" t="s">
        <v>4</v>
      </c>
      <c r="G1704" s="9">
        <v>35065</v>
      </c>
      <c r="H1704" s="22">
        <v>17751</v>
      </c>
      <c r="I1704" s="17">
        <v>0</v>
      </c>
      <c r="J1704" s="17">
        <f t="shared" si="266"/>
        <v>16863.45</v>
      </c>
      <c r="K1704" s="17">
        <f t="shared" si="267"/>
        <v>887.54999999999927</v>
      </c>
      <c r="L1704" s="23">
        <f t="shared" si="264"/>
        <v>887.55000000000007</v>
      </c>
      <c r="M1704" s="23">
        <v>5</v>
      </c>
      <c r="N1704" s="18">
        <f t="shared" si="268"/>
        <v>24.268493150684932</v>
      </c>
      <c r="O1704" s="23">
        <v>8431.7250000000004</v>
      </c>
      <c r="P1704" s="18">
        <f t="shared" si="269"/>
        <v>25.268493150684932</v>
      </c>
      <c r="Q1704" s="18">
        <f t="shared" ref="Q1704:Q1767" si="271">(P1704-N1704)/M1704*(K1704-L1704)</f>
        <v>-1.5916157281026246E-13</v>
      </c>
      <c r="R1704" s="18">
        <f t="shared" si="270"/>
        <v>8431.7250000000004</v>
      </c>
      <c r="S1704" s="18">
        <f t="shared" ref="S1704:S1712" si="272">+IF(N1704&gt;P1704,0,L1704)</f>
        <v>887.55000000000007</v>
      </c>
    </row>
    <row r="1705" spans="1:19" ht="15" customHeight="1" x14ac:dyDescent="0.2">
      <c r="A1705" s="14">
        <f t="shared" si="265"/>
        <v>1666</v>
      </c>
      <c r="B1705" s="21" t="s">
        <v>1467</v>
      </c>
      <c r="C1705" s="15" t="s">
        <v>3</v>
      </c>
      <c r="D1705" s="21" t="s">
        <v>1200</v>
      </c>
      <c r="E1705" s="21"/>
      <c r="F1705" s="69" t="s">
        <v>4</v>
      </c>
      <c r="G1705" s="9">
        <v>35065</v>
      </c>
      <c r="H1705" s="22">
        <v>1550</v>
      </c>
      <c r="I1705" s="17">
        <v>0</v>
      </c>
      <c r="J1705" s="17">
        <f t="shared" si="266"/>
        <v>1472.5</v>
      </c>
      <c r="K1705" s="17">
        <f t="shared" si="267"/>
        <v>77.5</v>
      </c>
      <c r="L1705" s="23">
        <f t="shared" si="264"/>
        <v>77.5</v>
      </c>
      <c r="M1705" s="23">
        <v>5</v>
      </c>
      <c r="N1705" s="18">
        <f t="shared" si="268"/>
        <v>24.268493150684932</v>
      </c>
      <c r="O1705" s="23">
        <v>736.25</v>
      </c>
      <c r="P1705" s="18">
        <f t="shared" si="269"/>
        <v>25.268493150684932</v>
      </c>
      <c r="Q1705" s="18">
        <f t="shared" si="271"/>
        <v>0</v>
      </c>
      <c r="R1705" s="18">
        <f t="shared" si="270"/>
        <v>736.25</v>
      </c>
      <c r="S1705" s="18">
        <f t="shared" si="272"/>
        <v>77.5</v>
      </c>
    </row>
    <row r="1706" spans="1:19" ht="15" customHeight="1" x14ac:dyDescent="0.2">
      <c r="A1706" s="14">
        <f t="shared" si="265"/>
        <v>1667</v>
      </c>
      <c r="B1706" s="21" t="s">
        <v>1468</v>
      </c>
      <c r="C1706" s="15" t="s">
        <v>3</v>
      </c>
      <c r="D1706" s="21" t="s">
        <v>1200</v>
      </c>
      <c r="E1706" s="21"/>
      <c r="F1706" s="69" t="s">
        <v>4</v>
      </c>
      <c r="G1706" s="9">
        <v>35065</v>
      </c>
      <c r="H1706" s="22">
        <v>6861</v>
      </c>
      <c r="I1706" s="17">
        <v>0</v>
      </c>
      <c r="J1706" s="17">
        <f t="shared" si="266"/>
        <v>6517.95</v>
      </c>
      <c r="K1706" s="17">
        <f t="shared" si="267"/>
        <v>343.05000000000018</v>
      </c>
      <c r="L1706" s="23">
        <f t="shared" ref="L1706:L1769" si="273">H1706*0.05</f>
        <v>343.05</v>
      </c>
      <c r="M1706" s="23">
        <v>5</v>
      </c>
      <c r="N1706" s="18">
        <f t="shared" si="268"/>
        <v>24.268493150684932</v>
      </c>
      <c r="O1706" s="23">
        <v>3258.9749999999999</v>
      </c>
      <c r="P1706" s="18">
        <f t="shared" si="269"/>
        <v>25.268493150684932</v>
      </c>
      <c r="Q1706" s="18">
        <f t="shared" si="271"/>
        <v>3.4106051316484814E-14</v>
      </c>
      <c r="R1706" s="18">
        <f t="shared" si="270"/>
        <v>3258.9749999999999</v>
      </c>
      <c r="S1706" s="18">
        <f t="shared" si="272"/>
        <v>343.05</v>
      </c>
    </row>
    <row r="1707" spans="1:19" ht="15" customHeight="1" x14ac:dyDescent="0.2">
      <c r="A1707" s="14">
        <f t="shared" ref="A1707:A1770" si="274">+A1706+1</f>
        <v>1668</v>
      </c>
      <c r="B1707" s="21" t="s">
        <v>1469</v>
      </c>
      <c r="C1707" s="15" t="s">
        <v>3</v>
      </c>
      <c r="D1707" s="21" t="s">
        <v>1200</v>
      </c>
      <c r="E1707" s="21"/>
      <c r="F1707" s="69" t="s">
        <v>4</v>
      </c>
      <c r="G1707" s="9">
        <v>35065</v>
      </c>
      <c r="H1707" s="22">
        <v>1580</v>
      </c>
      <c r="I1707" s="17">
        <v>0</v>
      </c>
      <c r="J1707" s="17">
        <f t="shared" si="266"/>
        <v>1501</v>
      </c>
      <c r="K1707" s="17">
        <f t="shared" si="267"/>
        <v>79</v>
      </c>
      <c r="L1707" s="23">
        <f t="shared" si="273"/>
        <v>79</v>
      </c>
      <c r="M1707" s="23">
        <v>5</v>
      </c>
      <c r="N1707" s="18">
        <f t="shared" si="268"/>
        <v>24.268493150684932</v>
      </c>
      <c r="O1707" s="23">
        <v>750.5</v>
      </c>
      <c r="P1707" s="18">
        <f t="shared" si="269"/>
        <v>25.268493150684932</v>
      </c>
      <c r="Q1707" s="18">
        <f t="shared" si="271"/>
        <v>0</v>
      </c>
      <c r="R1707" s="18">
        <f t="shared" si="270"/>
        <v>750.5</v>
      </c>
      <c r="S1707" s="18">
        <f t="shared" si="272"/>
        <v>79</v>
      </c>
    </row>
    <row r="1708" spans="1:19" ht="15" customHeight="1" x14ac:dyDescent="0.2">
      <c r="A1708" s="14">
        <f t="shared" si="274"/>
        <v>1669</v>
      </c>
      <c r="B1708" s="21" t="s">
        <v>1470</v>
      </c>
      <c r="C1708" s="15" t="s">
        <v>3</v>
      </c>
      <c r="D1708" s="21" t="s">
        <v>1200</v>
      </c>
      <c r="E1708" s="21"/>
      <c r="F1708" s="69" t="s">
        <v>4</v>
      </c>
      <c r="G1708" s="9">
        <v>35065</v>
      </c>
      <c r="H1708" s="22">
        <v>4198</v>
      </c>
      <c r="I1708" s="17">
        <v>0</v>
      </c>
      <c r="J1708" s="17">
        <f t="shared" si="266"/>
        <v>3988.1</v>
      </c>
      <c r="K1708" s="17">
        <f t="shared" si="267"/>
        <v>209.90000000000009</v>
      </c>
      <c r="L1708" s="23">
        <f t="shared" si="273"/>
        <v>209.9</v>
      </c>
      <c r="M1708" s="23">
        <v>5</v>
      </c>
      <c r="N1708" s="18">
        <f t="shared" si="268"/>
        <v>24.268493150684932</v>
      </c>
      <c r="O1708" s="23">
        <v>1994.05</v>
      </c>
      <c r="P1708" s="18">
        <f t="shared" si="269"/>
        <v>25.268493150684932</v>
      </c>
      <c r="Q1708" s="18">
        <f t="shared" si="271"/>
        <v>1.7053025658242407E-14</v>
      </c>
      <c r="R1708" s="18">
        <f t="shared" si="270"/>
        <v>1994.05</v>
      </c>
      <c r="S1708" s="18">
        <f t="shared" si="272"/>
        <v>209.9</v>
      </c>
    </row>
    <row r="1709" spans="1:19" ht="15" customHeight="1" x14ac:dyDescent="0.2">
      <c r="A1709" s="14">
        <f t="shared" si="274"/>
        <v>1670</v>
      </c>
      <c r="B1709" s="21" t="s">
        <v>1471</v>
      </c>
      <c r="C1709" s="15" t="s">
        <v>3</v>
      </c>
      <c r="D1709" s="21" t="s">
        <v>1200</v>
      </c>
      <c r="E1709" s="21"/>
      <c r="F1709" s="69" t="s">
        <v>4</v>
      </c>
      <c r="G1709" s="9">
        <v>35065</v>
      </c>
      <c r="H1709" s="22">
        <v>228</v>
      </c>
      <c r="I1709" s="17">
        <v>0</v>
      </c>
      <c r="J1709" s="17">
        <f t="shared" si="266"/>
        <v>216.6</v>
      </c>
      <c r="K1709" s="17">
        <f t="shared" si="267"/>
        <v>11.400000000000006</v>
      </c>
      <c r="L1709" s="23">
        <f t="shared" si="273"/>
        <v>11.4</v>
      </c>
      <c r="M1709" s="23">
        <v>5</v>
      </c>
      <c r="N1709" s="18">
        <f t="shared" si="268"/>
        <v>24.268493150684932</v>
      </c>
      <c r="O1709" s="23">
        <v>108.3</v>
      </c>
      <c r="P1709" s="18">
        <f t="shared" si="269"/>
        <v>25.268493150684932</v>
      </c>
      <c r="Q1709" s="18">
        <f t="shared" si="271"/>
        <v>1.0658141036401504E-15</v>
      </c>
      <c r="R1709" s="18">
        <f t="shared" si="270"/>
        <v>108.3</v>
      </c>
      <c r="S1709" s="18">
        <f t="shared" si="272"/>
        <v>11.4</v>
      </c>
    </row>
    <row r="1710" spans="1:19" ht="15" customHeight="1" x14ac:dyDescent="0.2">
      <c r="A1710" s="14">
        <f t="shared" si="274"/>
        <v>1671</v>
      </c>
      <c r="B1710" s="21" t="s">
        <v>1472</v>
      </c>
      <c r="C1710" s="15" t="s">
        <v>3</v>
      </c>
      <c r="D1710" s="21" t="s">
        <v>1200</v>
      </c>
      <c r="E1710" s="21"/>
      <c r="F1710" s="69" t="s">
        <v>4</v>
      </c>
      <c r="G1710" s="9">
        <v>35065</v>
      </c>
      <c r="H1710" s="22">
        <v>1025</v>
      </c>
      <c r="I1710" s="17">
        <v>0</v>
      </c>
      <c r="J1710" s="17">
        <f t="shared" si="266"/>
        <v>973.75</v>
      </c>
      <c r="K1710" s="17">
        <f t="shared" si="267"/>
        <v>51.25</v>
      </c>
      <c r="L1710" s="23">
        <f t="shared" si="273"/>
        <v>51.25</v>
      </c>
      <c r="M1710" s="23">
        <v>5</v>
      </c>
      <c r="N1710" s="18">
        <f t="shared" si="268"/>
        <v>24.268493150684932</v>
      </c>
      <c r="O1710" s="23">
        <v>486.875</v>
      </c>
      <c r="P1710" s="18">
        <f t="shared" si="269"/>
        <v>25.268493150684932</v>
      </c>
      <c r="Q1710" s="18">
        <f t="shared" si="271"/>
        <v>0</v>
      </c>
      <c r="R1710" s="18">
        <f t="shared" si="270"/>
        <v>486.875</v>
      </c>
      <c r="S1710" s="18">
        <f t="shared" si="272"/>
        <v>51.25</v>
      </c>
    </row>
    <row r="1711" spans="1:19" ht="15" customHeight="1" x14ac:dyDescent="0.2">
      <c r="A1711" s="14">
        <f t="shared" si="274"/>
        <v>1672</v>
      </c>
      <c r="B1711" s="21" t="s">
        <v>1473</v>
      </c>
      <c r="C1711" s="15" t="s">
        <v>3</v>
      </c>
      <c r="D1711" s="21" t="s">
        <v>1200</v>
      </c>
      <c r="E1711" s="21"/>
      <c r="F1711" s="69" t="s">
        <v>4</v>
      </c>
      <c r="G1711" s="9">
        <v>35065</v>
      </c>
      <c r="H1711" s="22">
        <v>1118</v>
      </c>
      <c r="I1711" s="17">
        <v>0</v>
      </c>
      <c r="J1711" s="17">
        <f t="shared" si="266"/>
        <v>1062.0999999999999</v>
      </c>
      <c r="K1711" s="17">
        <f t="shared" si="267"/>
        <v>55.900000000000091</v>
      </c>
      <c r="L1711" s="23">
        <f t="shared" si="273"/>
        <v>55.900000000000006</v>
      </c>
      <c r="M1711" s="23">
        <v>5</v>
      </c>
      <c r="N1711" s="18">
        <f t="shared" si="268"/>
        <v>24.268493150684932</v>
      </c>
      <c r="O1711" s="23">
        <v>531.04999999999995</v>
      </c>
      <c r="P1711" s="18">
        <f t="shared" si="269"/>
        <v>25.268493150684932</v>
      </c>
      <c r="Q1711" s="18">
        <f t="shared" si="271"/>
        <v>1.7053025658242407E-14</v>
      </c>
      <c r="R1711" s="18">
        <f t="shared" si="270"/>
        <v>531.04999999999995</v>
      </c>
      <c r="S1711" s="18">
        <f t="shared" si="272"/>
        <v>55.900000000000006</v>
      </c>
    </row>
    <row r="1712" spans="1:19" ht="15" customHeight="1" x14ac:dyDescent="0.2">
      <c r="A1712" s="14">
        <f t="shared" si="274"/>
        <v>1673</v>
      </c>
      <c r="B1712" s="21" t="s">
        <v>1474</v>
      </c>
      <c r="C1712" s="15" t="s">
        <v>3</v>
      </c>
      <c r="D1712" s="21" t="s">
        <v>1200</v>
      </c>
      <c r="E1712" s="21"/>
      <c r="F1712" s="69" t="s">
        <v>4</v>
      </c>
      <c r="G1712" s="9">
        <v>35065</v>
      </c>
      <c r="H1712" s="22">
        <v>6000</v>
      </c>
      <c r="I1712" s="17">
        <v>0</v>
      </c>
      <c r="J1712" s="17">
        <f t="shared" si="266"/>
        <v>5700</v>
      </c>
      <c r="K1712" s="17">
        <f t="shared" si="267"/>
        <v>300</v>
      </c>
      <c r="L1712" s="23">
        <f t="shared" si="273"/>
        <v>300</v>
      </c>
      <c r="M1712" s="23">
        <v>5</v>
      </c>
      <c r="N1712" s="18">
        <f t="shared" si="268"/>
        <v>24.268493150684932</v>
      </c>
      <c r="O1712" s="23">
        <v>2850</v>
      </c>
      <c r="P1712" s="18">
        <f t="shared" si="269"/>
        <v>25.268493150684932</v>
      </c>
      <c r="Q1712" s="18">
        <f t="shared" si="271"/>
        <v>0</v>
      </c>
      <c r="R1712" s="18">
        <f t="shared" si="270"/>
        <v>2850</v>
      </c>
      <c r="S1712" s="18">
        <f t="shared" si="272"/>
        <v>300</v>
      </c>
    </row>
    <row r="1713" spans="1:19" ht="15" customHeight="1" x14ac:dyDescent="0.2">
      <c r="A1713" s="14">
        <f t="shared" si="274"/>
        <v>1674</v>
      </c>
      <c r="B1713" s="21" t="s">
        <v>1475</v>
      </c>
      <c r="C1713" s="15" t="s">
        <v>3</v>
      </c>
      <c r="D1713" s="21" t="s">
        <v>1200</v>
      </c>
      <c r="E1713" s="21"/>
      <c r="F1713" s="69" t="s">
        <v>4</v>
      </c>
      <c r="G1713" s="9">
        <v>35065</v>
      </c>
      <c r="H1713" s="22">
        <v>750</v>
      </c>
      <c r="I1713" s="17">
        <v>0</v>
      </c>
      <c r="J1713" s="17">
        <f t="shared" si="266"/>
        <v>712.5</v>
      </c>
      <c r="K1713" s="17">
        <f t="shared" si="267"/>
        <v>37.5</v>
      </c>
      <c r="L1713" s="23">
        <f t="shared" si="273"/>
        <v>37.5</v>
      </c>
      <c r="M1713" s="23">
        <v>5</v>
      </c>
      <c r="N1713" s="18">
        <f t="shared" si="268"/>
        <v>24.268493150684932</v>
      </c>
      <c r="O1713" s="23">
        <v>356.25</v>
      </c>
      <c r="P1713" s="18">
        <f t="shared" si="269"/>
        <v>25.268493150684932</v>
      </c>
      <c r="Q1713" s="18">
        <f t="shared" si="271"/>
        <v>0</v>
      </c>
      <c r="R1713" s="18">
        <f t="shared" si="270"/>
        <v>356.25</v>
      </c>
      <c r="S1713" s="18">
        <f>H1713-R1713</f>
        <v>393.75</v>
      </c>
    </row>
    <row r="1714" spans="1:19" ht="15" customHeight="1" x14ac:dyDescent="0.2">
      <c r="A1714" s="14">
        <f t="shared" si="274"/>
        <v>1675</v>
      </c>
      <c r="B1714" s="21" t="s">
        <v>1476</v>
      </c>
      <c r="C1714" s="15" t="s">
        <v>3</v>
      </c>
      <c r="D1714" s="21" t="s">
        <v>1200</v>
      </c>
      <c r="E1714" s="21"/>
      <c r="F1714" s="69" t="s">
        <v>4</v>
      </c>
      <c r="G1714" s="9">
        <v>35065</v>
      </c>
      <c r="H1714" s="22">
        <v>1200</v>
      </c>
      <c r="I1714" s="17">
        <v>0</v>
      </c>
      <c r="J1714" s="17">
        <f t="shared" si="266"/>
        <v>1140</v>
      </c>
      <c r="K1714" s="17">
        <f t="shared" si="267"/>
        <v>60</v>
      </c>
      <c r="L1714" s="23">
        <f t="shared" si="273"/>
        <v>60</v>
      </c>
      <c r="M1714" s="23">
        <v>5</v>
      </c>
      <c r="N1714" s="18">
        <f t="shared" si="268"/>
        <v>24.268493150684932</v>
      </c>
      <c r="O1714" s="23">
        <v>570</v>
      </c>
      <c r="P1714" s="18">
        <f t="shared" si="269"/>
        <v>25.268493150684932</v>
      </c>
      <c r="Q1714" s="18">
        <f t="shared" si="271"/>
        <v>0</v>
      </c>
      <c r="R1714" s="18">
        <f t="shared" si="270"/>
        <v>570</v>
      </c>
      <c r="S1714" s="18">
        <f t="shared" ref="S1714:S1777" si="275">+IF(N1714&gt;P1714,0,L1714)</f>
        <v>60</v>
      </c>
    </row>
    <row r="1715" spans="1:19" ht="15" customHeight="1" x14ac:dyDescent="0.2">
      <c r="A1715" s="14">
        <f t="shared" si="274"/>
        <v>1676</v>
      </c>
      <c r="B1715" s="21" t="s">
        <v>1477</v>
      </c>
      <c r="C1715" s="15" t="s">
        <v>3</v>
      </c>
      <c r="D1715" s="21" t="s">
        <v>1200</v>
      </c>
      <c r="E1715" s="21"/>
      <c r="F1715" s="69" t="s">
        <v>4</v>
      </c>
      <c r="G1715" s="9">
        <v>35065</v>
      </c>
      <c r="H1715" s="22">
        <v>1350</v>
      </c>
      <c r="I1715" s="17">
        <v>0</v>
      </c>
      <c r="J1715" s="17">
        <f t="shared" si="266"/>
        <v>1282.5</v>
      </c>
      <c r="K1715" s="17">
        <f t="shared" si="267"/>
        <v>67.5</v>
      </c>
      <c r="L1715" s="23">
        <f t="shared" si="273"/>
        <v>67.5</v>
      </c>
      <c r="M1715" s="23">
        <v>5</v>
      </c>
      <c r="N1715" s="18">
        <f t="shared" si="268"/>
        <v>24.268493150684932</v>
      </c>
      <c r="O1715" s="23">
        <v>641.25</v>
      </c>
      <c r="P1715" s="18">
        <f t="shared" si="269"/>
        <v>25.268493150684932</v>
      </c>
      <c r="Q1715" s="18">
        <f t="shared" si="271"/>
        <v>0</v>
      </c>
      <c r="R1715" s="18">
        <f t="shared" si="270"/>
        <v>641.25</v>
      </c>
      <c r="S1715" s="18">
        <f t="shared" si="275"/>
        <v>67.5</v>
      </c>
    </row>
    <row r="1716" spans="1:19" ht="15" customHeight="1" x14ac:dyDescent="0.2">
      <c r="A1716" s="14">
        <f t="shared" si="274"/>
        <v>1677</v>
      </c>
      <c r="B1716" s="21" t="s">
        <v>1458</v>
      </c>
      <c r="C1716" s="15" t="s">
        <v>3</v>
      </c>
      <c r="D1716" s="21" t="s">
        <v>1200</v>
      </c>
      <c r="E1716" s="21"/>
      <c r="F1716" s="69" t="s">
        <v>4</v>
      </c>
      <c r="G1716" s="9">
        <v>35065</v>
      </c>
      <c r="H1716" s="22">
        <v>24690</v>
      </c>
      <c r="I1716" s="17">
        <v>0</v>
      </c>
      <c r="J1716" s="17">
        <f t="shared" si="266"/>
        <v>23455.5</v>
      </c>
      <c r="K1716" s="17">
        <f t="shared" si="267"/>
        <v>1234.5</v>
      </c>
      <c r="L1716" s="23">
        <f t="shared" si="273"/>
        <v>1234.5</v>
      </c>
      <c r="M1716" s="23">
        <v>5</v>
      </c>
      <c r="N1716" s="18">
        <f t="shared" si="268"/>
        <v>24.268493150684932</v>
      </c>
      <c r="O1716" s="23">
        <v>11727.75</v>
      </c>
      <c r="P1716" s="18">
        <f t="shared" si="269"/>
        <v>25.268493150684932</v>
      </c>
      <c r="Q1716" s="18">
        <f t="shared" si="271"/>
        <v>0</v>
      </c>
      <c r="R1716" s="18">
        <f t="shared" si="270"/>
        <v>11727.75</v>
      </c>
      <c r="S1716" s="18">
        <f t="shared" si="275"/>
        <v>1234.5</v>
      </c>
    </row>
    <row r="1717" spans="1:19" ht="15" customHeight="1" x14ac:dyDescent="0.2">
      <c r="A1717" s="14">
        <f t="shared" si="274"/>
        <v>1678</v>
      </c>
      <c r="B1717" s="21" t="s">
        <v>1478</v>
      </c>
      <c r="C1717" s="15" t="s">
        <v>3</v>
      </c>
      <c r="D1717" s="21" t="s">
        <v>1200</v>
      </c>
      <c r="E1717" s="21"/>
      <c r="F1717" s="69" t="s">
        <v>4</v>
      </c>
      <c r="G1717" s="9">
        <v>34991</v>
      </c>
      <c r="H1717" s="22">
        <v>5400</v>
      </c>
      <c r="I1717" s="17">
        <v>0</v>
      </c>
      <c r="J1717" s="17">
        <f t="shared" si="266"/>
        <v>5130</v>
      </c>
      <c r="K1717" s="17">
        <f t="shared" si="267"/>
        <v>270</v>
      </c>
      <c r="L1717" s="23">
        <f t="shared" si="273"/>
        <v>270</v>
      </c>
      <c r="M1717" s="23">
        <v>5</v>
      </c>
      <c r="N1717" s="18">
        <f t="shared" si="268"/>
        <v>24.471232876712328</v>
      </c>
      <c r="O1717" s="23">
        <v>2565</v>
      </c>
      <c r="P1717" s="18">
        <f t="shared" si="269"/>
        <v>25.471232876712328</v>
      </c>
      <c r="Q1717" s="18">
        <f t="shared" si="271"/>
        <v>0</v>
      </c>
      <c r="R1717" s="18">
        <f t="shared" si="270"/>
        <v>2565</v>
      </c>
      <c r="S1717" s="18">
        <f t="shared" si="275"/>
        <v>270</v>
      </c>
    </row>
    <row r="1718" spans="1:19" ht="15" customHeight="1" x14ac:dyDescent="0.2">
      <c r="A1718" s="14">
        <f t="shared" si="274"/>
        <v>1679</v>
      </c>
      <c r="B1718" s="21" t="s">
        <v>1479</v>
      </c>
      <c r="C1718" s="15" t="s">
        <v>3</v>
      </c>
      <c r="D1718" s="21" t="s">
        <v>1200</v>
      </c>
      <c r="E1718" s="21"/>
      <c r="F1718" s="69" t="s">
        <v>4</v>
      </c>
      <c r="G1718" s="9">
        <v>34958</v>
      </c>
      <c r="H1718" s="22">
        <v>13175</v>
      </c>
      <c r="I1718" s="17">
        <v>0</v>
      </c>
      <c r="J1718" s="17">
        <f t="shared" si="266"/>
        <v>12516.25</v>
      </c>
      <c r="K1718" s="17">
        <f t="shared" si="267"/>
        <v>658.75</v>
      </c>
      <c r="L1718" s="23">
        <f t="shared" si="273"/>
        <v>658.75</v>
      </c>
      <c r="M1718" s="23">
        <v>5</v>
      </c>
      <c r="N1718" s="18">
        <f t="shared" si="268"/>
        <v>24.561643835616437</v>
      </c>
      <c r="O1718" s="23">
        <v>6258.125</v>
      </c>
      <c r="P1718" s="18">
        <f t="shared" si="269"/>
        <v>25.561643835616437</v>
      </c>
      <c r="Q1718" s="18">
        <f t="shared" si="271"/>
        <v>0</v>
      </c>
      <c r="R1718" s="18">
        <f t="shared" si="270"/>
        <v>6258.125</v>
      </c>
      <c r="S1718" s="18">
        <f t="shared" si="275"/>
        <v>658.75</v>
      </c>
    </row>
    <row r="1719" spans="1:19" ht="15" customHeight="1" x14ac:dyDescent="0.2">
      <c r="A1719" s="14">
        <f t="shared" si="274"/>
        <v>1680</v>
      </c>
      <c r="B1719" s="21" t="s">
        <v>1480</v>
      </c>
      <c r="C1719" s="15" t="s">
        <v>3</v>
      </c>
      <c r="D1719" s="21" t="s">
        <v>1200</v>
      </c>
      <c r="E1719" s="21"/>
      <c r="F1719" s="69" t="s">
        <v>4</v>
      </c>
      <c r="G1719" s="9">
        <v>34865</v>
      </c>
      <c r="H1719" s="22">
        <v>16500</v>
      </c>
      <c r="I1719" s="17">
        <v>0</v>
      </c>
      <c r="J1719" s="17">
        <f t="shared" si="266"/>
        <v>15675</v>
      </c>
      <c r="K1719" s="17">
        <f t="shared" si="267"/>
        <v>825</v>
      </c>
      <c r="L1719" s="23">
        <f t="shared" si="273"/>
        <v>825</v>
      </c>
      <c r="M1719" s="23">
        <v>5</v>
      </c>
      <c r="N1719" s="18">
        <f t="shared" si="268"/>
        <v>24.816438356164383</v>
      </c>
      <c r="O1719" s="23">
        <v>7837.5</v>
      </c>
      <c r="P1719" s="18">
        <f t="shared" si="269"/>
        <v>25.816438356164383</v>
      </c>
      <c r="Q1719" s="18">
        <f t="shared" si="271"/>
        <v>0</v>
      </c>
      <c r="R1719" s="18">
        <f t="shared" si="270"/>
        <v>7837.5</v>
      </c>
      <c r="S1719" s="18">
        <f t="shared" si="275"/>
        <v>825</v>
      </c>
    </row>
    <row r="1720" spans="1:19" ht="15" customHeight="1" x14ac:dyDescent="0.2">
      <c r="A1720" s="14">
        <f t="shared" si="274"/>
        <v>1681</v>
      </c>
      <c r="B1720" s="21" t="s">
        <v>1481</v>
      </c>
      <c r="C1720" s="15" t="s">
        <v>3</v>
      </c>
      <c r="D1720" s="21" t="s">
        <v>1200</v>
      </c>
      <c r="E1720" s="21"/>
      <c r="F1720" s="69" t="s">
        <v>4</v>
      </c>
      <c r="G1720" s="9">
        <v>34773</v>
      </c>
      <c r="H1720" s="22">
        <v>95200</v>
      </c>
      <c r="I1720" s="17">
        <v>0</v>
      </c>
      <c r="J1720" s="17">
        <f t="shared" si="266"/>
        <v>90440</v>
      </c>
      <c r="K1720" s="17">
        <f t="shared" si="267"/>
        <v>4760</v>
      </c>
      <c r="L1720" s="23">
        <f t="shared" si="273"/>
        <v>4760</v>
      </c>
      <c r="M1720" s="23">
        <v>5</v>
      </c>
      <c r="N1720" s="18">
        <f t="shared" si="268"/>
        <v>25.068493150684933</v>
      </c>
      <c r="O1720" s="23">
        <v>45220</v>
      </c>
      <c r="P1720" s="18">
        <f t="shared" si="269"/>
        <v>26.068493150684933</v>
      </c>
      <c r="Q1720" s="18">
        <f t="shared" si="271"/>
        <v>0</v>
      </c>
      <c r="R1720" s="18">
        <f t="shared" si="270"/>
        <v>45220</v>
      </c>
      <c r="S1720" s="18">
        <f t="shared" si="275"/>
        <v>4760</v>
      </c>
    </row>
    <row r="1721" spans="1:19" ht="15" customHeight="1" x14ac:dyDescent="0.2">
      <c r="A1721" s="14">
        <f t="shared" si="274"/>
        <v>1682</v>
      </c>
      <c r="B1721" s="21" t="s">
        <v>1482</v>
      </c>
      <c r="C1721" s="15" t="s">
        <v>3</v>
      </c>
      <c r="D1721" s="21" t="s">
        <v>1200</v>
      </c>
      <c r="E1721" s="21"/>
      <c r="F1721" s="69" t="s">
        <v>4</v>
      </c>
      <c r="G1721" s="9">
        <v>34700</v>
      </c>
      <c r="H1721" s="22">
        <v>4351</v>
      </c>
      <c r="I1721" s="17">
        <v>0</v>
      </c>
      <c r="J1721" s="17">
        <f t="shared" si="266"/>
        <v>4133.45</v>
      </c>
      <c r="K1721" s="17">
        <f t="shared" si="267"/>
        <v>217.55000000000018</v>
      </c>
      <c r="L1721" s="23">
        <f t="shared" si="273"/>
        <v>217.55</v>
      </c>
      <c r="M1721" s="23">
        <v>5</v>
      </c>
      <c r="N1721" s="18">
        <f t="shared" si="268"/>
        <v>25.268493150684932</v>
      </c>
      <c r="O1721" s="23">
        <v>2066.7249999999999</v>
      </c>
      <c r="P1721" s="18">
        <f t="shared" si="269"/>
        <v>26.268493150684932</v>
      </c>
      <c r="Q1721" s="18">
        <f t="shared" si="271"/>
        <v>3.4106051316484814E-14</v>
      </c>
      <c r="R1721" s="18">
        <f t="shared" si="270"/>
        <v>2066.7249999999999</v>
      </c>
      <c r="S1721" s="18">
        <f t="shared" si="275"/>
        <v>217.55</v>
      </c>
    </row>
    <row r="1722" spans="1:19" ht="15" customHeight="1" x14ac:dyDescent="0.2">
      <c r="A1722" s="14">
        <f t="shared" si="274"/>
        <v>1683</v>
      </c>
      <c r="B1722" s="21" t="s">
        <v>1483</v>
      </c>
      <c r="C1722" s="15" t="s">
        <v>3</v>
      </c>
      <c r="D1722" s="21" t="s">
        <v>1200</v>
      </c>
      <c r="E1722" s="21"/>
      <c r="F1722" s="69" t="s">
        <v>4</v>
      </c>
      <c r="G1722" s="9">
        <v>34700</v>
      </c>
      <c r="H1722" s="22">
        <v>683</v>
      </c>
      <c r="I1722" s="17">
        <v>0</v>
      </c>
      <c r="J1722" s="17">
        <f t="shared" si="266"/>
        <v>648.85</v>
      </c>
      <c r="K1722" s="17">
        <f t="shared" si="267"/>
        <v>34.149999999999977</v>
      </c>
      <c r="L1722" s="23">
        <f t="shared" si="273"/>
        <v>34.15</v>
      </c>
      <c r="M1722" s="23">
        <v>5</v>
      </c>
      <c r="N1722" s="18">
        <f t="shared" si="268"/>
        <v>25.268493150684932</v>
      </c>
      <c r="O1722" s="23">
        <v>324.42500000000001</v>
      </c>
      <c r="P1722" s="18">
        <f t="shared" si="269"/>
        <v>26.268493150684932</v>
      </c>
      <c r="Q1722" s="18">
        <f t="shared" si="271"/>
        <v>-4.2632564145606017E-15</v>
      </c>
      <c r="R1722" s="18">
        <f t="shared" si="270"/>
        <v>324.42500000000001</v>
      </c>
      <c r="S1722" s="18">
        <f t="shared" si="275"/>
        <v>34.15</v>
      </c>
    </row>
    <row r="1723" spans="1:19" ht="15" customHeight="1" x14ac:dyDescent="0.2">
      <c r="A1723" s="14">
        <f t="shared" si="274"/>
        <v>1684</v>
      </c>
      <c r="B1723" s="21" t="s">
        <v>1484</v>
      </c>
      <c r="C1723" s="15" t="s">
        <v>3</v>
      </c>
      <c r="D1723" s="21" t="s">
        <v>1200</v>
      </c>
      <c r="E1723" s="21"/>
      <c r="F1723" s="69" t="s">
        <v>4</v>
      </c>
      <c r="G1723" s="9">
        <v>34700</v>
      </c>
      <c r="H1723" s="22">
        <v>2169</v>
      </c>
      <c r="I1723" s="17">
        <v>0</v>
      </c>
      <c r="J1723" s="17">
        <f t="shared" si="266"/>
        <v>2060.5500000000002</v>
      </c>
      <c r="K1723" s="17">
        <f t="shared" si="267"/>
        <v>108.44999999999982</v>
      </c>
      <c r="L1723" s="23">
        <f t="shared" si="273"/>
        <v>108.45</v>
      </c>
      <c r="M1723" s="23">
        <v>5</v>
      </c>
      <c r="N1723" s="18">
        <f t="shared" si="268"/>
        <v>25.268493150684932</v>
      </c>
      <c r="O1723" s="23">
        <v>1030.2750000000001</v>
      </c>
      <c r="P1723" s="18">
        <f t="shared" si="269"/>
        <v>26.268493150684932</v>
      </c>
      <c r="Q1723" s="18">
        <f t="shared" si="271"/>
        <v>-3.6948222259525211E-14</v>
      </c>
      <c r="R1723" s="18">
        <f t="shared" si="270"/>
        <v>1030.2750000000001</v>
      </c>
      <c r="S1723" s="18">
        <f t="shared" si="275"/>
        <v>108.45</v>
      </c>
    </row>
    <row r="1724" spans="1:19" ht="15" customHeight="1" x14ac:dyDescent="0.2">
      <c r="A1724" s="14">
        <f t="shared" si="274"/>
        <v>1685</v>
      </c>
      <c r="B1724" s="21" t="s">
        <v>1485</v>
      </c>
      <c r="C1724" s="15" t="s">
        <v>3</v>
      </c>
      <c r="D1724" s="21" t="s">
        <v>1200</v>
      </c>
      <c r="E1724" s="21"/>
      <c r="F1724" s="69" t="s">
        <v>4</v>
      </c>
      <c r="G1724" s="9">
        <v>34700</v>
      </c>
      <c r="H1724" s="22">
        <v>2574</v>
      </c>
      <c r="I1724" s="17">
        <v>0</v>
      </c>
      <c r="J1724" s="17">
        <f t="shared" si="266"/>
        <v>2445.3000000000002</v>
      </c>
      <c r="K1724" s="17">
        <f t="shared" si="267"/>
        <v>128.69999999999982</v>
      </c>
      <c r="L1724" s="23">
        <f t="shared" si="273"/>
        <v>128.70000000000002</v>
      </c>
      <c r="M1724" s="23">
        <v>5</v>
      </c>
      <c r="N1724" s="18">
        <f t="shared" si="268"/>
        <v>25.268493150684932</v>
      </c>
      <c r="O1724" s="23">
        <v>1222.6500000000001</v>
      </c>
      <c r="P1724" s="18">
        <f t="shared" si="269"/>
        <v>26.268493150684932</v>
      </c>
      <c r="Q1724" s="18">
        <f t="shared" si="271"/>
        <v>-3.9790393202565614E-14</v>
      </c>
      <c r="R1724" s="18">
        <f t="shared" si="270"/>
        <v>1222.6500000000001</v>
      </c>
      <c r="S1724" s="18">
        <f t="shared" si="275"/>
        <v>128.70000000000002</v>
      </c>
    </row>
    <row r="1725" spans="1:19" ht="15" customHeight="1" x14ac:dyDescent="0.2">
      <c r="A1725" s="14">
        <f t="shared" si="274"/>
        <v>1686</v>
      </c>
      <c r="B1725" s="21" t="s">
        <v>1486</v>
      </c>
      <c r="C1725" s="15" t="s">
        <v>3</v>
      </c>
      <c r="D1725" s="21" t="s">
        <v>1200</v>
      </c>
      <c r="E1725" s="21"/>
      <c r="F1725" s="69" t="s">
        <v>4</v>
      </c>
      <c r="G1725" s="9">
        <v>34700</v>
      </c>
      <c r="H1725" s="22">
        <v>10125</v>
      </c>
      <c r="I1725" s="17">
        <v>0</v>
      </c>
      <c r="J1725" s="17">
        <f t="shared" si="266"/>
        <v>9618.75</v>
      </c>
      <c r="K1725" s="17">
        <f t="shared" si="267"/>
        <v>506.25</v>
      </c>
      <c r="L1725" s="23">
        <f t="shared" si="273"/>
        <v>506.25</v>
      </c>
      <c r="M1725" s="23">
        <v>5</v>
      </c>
      <c r="N1725" s="18">
        <f t="shared" si="268"/>
        <v>25.268493150684932</v>
      </c>
      <c r="O1725" s="23">
        <v>4809.375</v>
      </c>
      <c r="P1725" s="18">
        <f t="shared" si="269"/>
        <v>26.268493150684932</v>
      </c>
      <c r="Q1725" s="18">
        <f t="shared" si="271"/>
        <v>0</v>
      </c>
      <c r="R1725" s="18">
        <f t="shared" si="270"/>
        <v>4809.375</v>
      </c>
      <c r="S1725" s="18">
        <f t="shared" si="275"/>
        <v>506.25</v>
      </c>
    </row>
    <row r="1726" spans="1:19" ht="15" customHeight="1" x14ac:dyDescent="0.2">
      <c r="A1726" s="14">
        <f t="shared" si="274"/>
        <v>1687</v>
      </c>
      <c r="B1726" s="21" t="s">
        <v>1487</v>
      </c>
      <c r="C1726" s="15" t="s">
        <v>3</v>
      </c>
      <c r="D1726" s="21" t="s">
        <v>1200</v>
      </c>
      <c r="E1726" s="21"/>
      <c r="F1726" s="69" t="s">
        <v>4</v>
      </c>
      <c r="G1726" s="9">
        <v>34424</v>
      </c>
      <c r="H1726" s="22">
        <v>1303</v>
      </c>
      <c r="I1726" s="17">
        <v>0</v>
      </c>
      <c r="J1726" s="17">
        <f t="shared" si="266"/>
        <v>1237.8499999999999</v>
      </c>
      <c r="K1726" s="17">
        <f t="shared" si="267"/>
        <v>65.150000000000091</v>
      </c>
      <c r="L1726" s="23">
        <f t="shared" si="273"/>
        <v>65.150000000000006</v>
      </c>
      <c r="M1726" s="23">
        <v>5</v>
      </c>
      <c r="N1726" s="18">
        <f t="shared" si="268"/>
        <v>26.024657534246575</v>
      </c>
      <c r="O1726" s="23">
        <v>618.92499999999995</v>
      </c>
      <c r="P1726" s="18">
        <f t="shared" si="269"/>
        <v>27.024657534246575</v>
      </c>
      <c r="Q1726" s="18">
        <f t="shared" si="271"/>
        <v>1.7053025658242407E-14</v>
      </c>
      <c r="R1726" s="18">
        <f t="shared" si="270"/>
        <v>618.92499999999995</v>
      </c>
      <c r="S1726" s="18">
        <f t="shared" si="275"/>
        <v>65.150000000000006</v>
      </c>
    </row>
    <row r="1727" spans="1:19" ht="15" customHeight="1" x14ac:dyDescent="0.2">
      <c r="A1727" s="14">
        <f t="shared" si="274"/>
        <v>1688</v>
      </c>
      <c r="B1727" s="21" t="s">
        <v>1488</v>
      </c>
      <c r="C1727" s="15" t="s">
        <v>3</v>
      </c>
      <c r="D1727" s="21" t="s">
        <v>1200</v>
      </c>
      <c r="E1727" s="21"/>
      <c r="F1727" s="69" t="s">
        <v>4</v>
      </c>
      <c r="G1727" s="9">
        <v>34408</v>
      </c>
      <c r="H1727" s="22">
        <v>3087</v>
      </c>
      <c r="I1727" s="17">
        <v>0</v>
      </c>
      <c r="J1727" s="17">
        <f t="shared" si="266"/>
        <v>2932.65</v>
      </c>
      <c r="K1727" s="17">
        <f t="shared" si="267"/>
        <v>154.34999999999991</v>
      </c>
      <c r="L1727" s="23">
        <f t="shared" si="273"/>
        <v>154.35000000000002</v>
      </c>
      <c r="M1727" s="23">
        <v>5</v>
      </c>
      <c r="N1727" s="18">
        <f t="shared" si="268"/>
        <v>26.068493150684933</v>
      </c>
      <c r="O1727" s="23">
        <v>1466.325</v>
      </c>
      <c r="P1727" s="18">
        <f t="shared" si="269"/>
        <v>27.068493150684933</v>
      </c>
      <c r="Q1727" s="18">
        <f t="shared" si="271"/>
        <v>-2.2737367544323207E-14</v>
      </c>
      <c r="R1727" s="18">
        <f t="shared" si="270"/>
        <v>1466.325</v>
      </c>
      <c r="S1727" s="18">
        <f t="shared" si="275"/>
        <v>154.35000000000002</v>
      </c>
    </row>
    <row r="1728" spans="1:19" ht="15" customHeight="1" x14ac:dyDescent="0.2">
      <c r="A1728" s="14">
        <f t="shared" si="274"/>
        <v>1689</v>
      </c>
      <c r="B1728" s="21" t="s">
        <v>1489</v>
      </c>
      <c r="C1728" s="15" t="s">
        <v>3</v>
      </c>
      <c r="D1728" s="21" t="s">
        <v>1200</v>
      </c>
      <c r="E1728" s="21"/>
      <c r="F1728" s="69" t="s">
        <v>4</v>
      </c>
      <c r="G1728" s="9">
        <v>34325</v>
      </c>
      <c r="H1728" s="22">
        <v>29360</v>
      </c>
      <c r="I1728" s="17">
        <v>0</v>
      </c>
      <c r="J1728" s="17">
        <f t="shared" si="266"/>
        <v>27892</v>
      </c>
      <c r="K1728" s="17">
        <f t="shared" si="267"/>
        <v>1468</v>
      </c>
      <c r="L1728" s="23">
        <f t="shared" si="273"/>
        <v>1468</v>
      </c>
      <c r="M1728" s="23">
        <v>5</v>
      </c>
      <c r="N1728" s="18">
        <f t="shared" si="268"/>
        <v>26.295890410958904</v>
      </c>
      <c r="O1728" s="23">
        <v>13946</v>
      </c>
      <c r="P1728" s="18">
        <f t="shared" si="269"/>
        <v>27.295890410958904</v>
      </c>
      <c r="Q1728" s="18">
        <f t="shared" si="271"/>
        <v>0</v>
      </c>
      <c r="R1728" s="18">
        <f t="shared" si="270"/>
        <v>13946</v>
      </c>
      <c r="S1728" s="18">
        <f t="shared" si="275"/>
        <v>1468</v>
      </c>
    </row>
    <row r="1729" spans="1:19" ht="15" customHeight="1" x14ac:dyDescent="0.2">
      <c r="A1729" s="14">
        <f t="shared" si="274"/>
        <v>1690</v>
      </c>
      <c r="B1729" s="21" t="s">
        <v>1490</v>
      </c>
      <c r="C1729" s="15" t="s">
        <v>3</v>
      </c>
      <c r="D1729" s="21" t="s">
        <v>1200</v>
      </c>
      <c r="E1729" s="21"/>
      <c r="F1729" s="69" t="s">
        <v>4</v>
      </c>
      <c r="G1729" s="9">
        <v>34318</v>
      </c>
      <c r="H1729" s="22">
        <v>5292</v>
      </c>
      <c r="I1729" s="17">
        <v>0</v>
      </c>
      <c r="J1729" s="17">
        <f t="shared" si="266"/>
        <v>5027.3999999999996</v>
      </c>
      <c r="K1729" s="17">
        <f t="shared" si="267"/>
        <v>264.60000000000036</v>
      </c>
      <c r="L1729" s="23">
        <f t="shared" si="273"/>
        <v>264.60000000000002</v>
      </c>
      <c r="M1729" s="23">
        <v>5</v>
      </c>
      <c r="N1729" s="18">
        <f t="shared" si="268"/>
        <v>26.315068493150687</v>
      </c>
      <c r="O1729" s="23">
        <v>2513.6999999999998</v>
      </c>
      <c r="P1729" s="18">
        <f t="shared" si="269"/>
        <v>27.315068493150687</v>
      </c>
      <c r="Q1729" s="18">
        <f t="shared" si="271"/>
        <v>6.8212102632969628E-14</v>
      </c>
      <c r="R1729" s="18">
        <f t="shared" si="270"/>
        <v>2513.6999999999998</v>
      </c>
      <c r="S1729" s="18">
        <f t="shared" si="275"/>
        <v>264.60000000000002</v>
      </c>
    </row>
    <row r="1730" spans="1:19" ht="15" customHeight="1" x14ac:dyDescent="0.2">
      <c r="A1730" s="14">
        <f t="shared" si="274"/>
        <v>1691</v>
      </c>
      <c r="B1730" s="21" t="s">
        <v>1485</v>
      </c>
      <c r="C1730" s="15" t="s">
        <v>3</v>
      </c>
      <c r="D1730" s="21" t="s">
        <v>1200</v>
      </c>
      <c r="E1730" s="21"/>
      <c r="F1730" s="69" t="s">
        <v>4</v>
      </c>
      <c r="G1730" s="9">
        <v>34316</v>
      </c>
      <c r="H1730" s="22">
        <v>3600</v>
      </c>
      <c r="I1730" s="17">
        <v>0</v>
      </c>
      <c r="J1730" s="17">
        <f t="shared" si="266"/>
        <v>3420</v>
      </c>
      <c r="K1730" s="17">
        <f t="shared" si="267"/>
        <v>180</v>
      </c>
      <c r="L1730" s="23">
        <f t="shared" si="273"/>
        <v>180</v>
      </c>
      <c r="M1730" s="23">
        <v>5</v>
      </c>
      <c r="N1730" s="18">
        <f t="shared" si="268"/>
        <v>26.32054794520548</v>
      </c>
      <c r="O1730" s="23">
        <v>1710</v>
      </c>
      <c r="P1730" s="18">
        <f t="shared" si="269"/>
        <v>27.32054794520548</v>
      </c>
      <c r="Q1730" s="18">
        <f t="shared" si="271"/>
        <v>0</v>
      </c>
      <c r="R1730" s="18">
        <f t="shared" si="270"/>
        <v>1710</v>
      </c>
      <c r="S1730" s="18">
        <f t="shared" si="275"/>
        <v>180</v>
      </c>
    </row>
    <row r="1731" spans="1:19" ht="15" customHeight="1" x14ac:dyDescent="0.2">
      <c r="A1731" s="14">
        <f t="shared" si="274"/>
        <v>1692</v>
      </c>
      <c r="B1731" s="21" t="s">
        <v>1491</v>
      </c>
      <c r="C1731" s="15" t="s">
        <v>3</v>
      </c>
      <c r="D1731" s="21" t="s">
        <v>1200</v>
      </c>
      <c r="E1731" s="21"/>
      <c r="F1731" s="69" t="s">
        <v>4</v>
      </c>
      <c r="G1731" s="9">
        <v>34293</v>
      </c>
      <c r="H1731" s="22">
        <v>20810</v>
      </c>
      <c r="I1731" s="17">
        <v>0</v>
      </c>
      <c r="J1731" s="17">
        <f t="shared" si="266"/>
        <v>19769.5</v>
      </c>
      <c r="K1731" s="17">
        <f t="shared" si="267"/>
        <v>1040.5</v>
      </c>
      <c r="L1731" s="23">
        <f t="shared" si="273"/>
        <v>1040.5</v>
      </c>
      <c r="M1731" s="23">
        <v>5</v>
      </c>
      <c r="N1731" s="18">
        <f t="shared" si="268"/>
        <v>26.383561643835616</v>
      </c>
      <c r="O1731" s="23">
        <v>9884.75</v>
      </c>
      <c r="P1731" s="18">
        <f t="shared" si="269"/>
        <v>27.383561643835616</v>
      </c>
      <c r="Q1731" s="18">
        <f t="shared" si="271"/>
        <v>0</v>
      </c>
      <c r="R1731" s="18">
        <f t="shared" si="270"/>
        <v>9884.75</v>
      </c>
      <c r="S1731" s="18">
        <f t="shared" si="275"/>
        <v>1040.5</v>
      </c>
    </row>
    <row r="1732" spans="1:19" ht="15" customHeight="1" x14ac:dyDescent="0.2">
      <c r="A1732" s="14">
        <f t="shared" si="274"/>
        <v>1693</v>
      </c>
      <c r="B1732" s="21" t="s">
        <v>1492</v>
      </c>
      <c r="C1732" s="15" t="s">
        <v>3</v>
      </c>
      <c r="D1732" s="21" t="s">
        <v>1200</v>
      </c>
      <c r="E1732" s="21"/>
      <c r="F1732" s="69" t="s">
        <v>4</v>
      </c>
      <c r="G1732" s="9">
        <v>34273</v>
      </c>
      <c r="H1732" s="22">
        <v>5912</v>
      </c>
      <c r="I1732" s="17">
        <v>0</v>
      </c>
      <c r="J1732" s="17">
        <f t="shared" si="266"/>
        <v>5616.4</v>
      </c>
      <c r="K1732" s="17">
        <f t="shared" si="267"/>
        <v>295.60000000000036</v>
      </c>
      <c r="L1732" s="23">
        <f t="shared" si="273"/>
        <v>295.60000000000002</v>
      </c>
      <c r="M1732" s="23">
        <v>5</v>
      </c>
      <c r="N1732" s="18">
        <f t="shared" si="268"/>
        <v>26.438356164383563</v>
      </c>
      <c r="O1732" s="23">
        <v>2808.2</v>
      </c>
      <c r="P1732" s="18">
        <f t="shared" si="269"/>
        <v>27.438356164383563</v>
      </c>
      <c r="Q1732" s="18">
        <f t="shared" si="271"/>
        <v>6.8212102632969628E-14</v>
      </c>
      <c r="R1732" s="18">
        <f t="shared" si="270"/>
        <v>2808.2</v>
      </c>
      <c r="S1732" s="18">
        <f t="shared" si="275"/>
        <v>295.60000000000002</v>
      </c>
    </row>
    <row r="1733" spans="1:19" ht="15" customHeight="1" x14ac:dyDescent="0.2">
      <c r="A1733" s="14">
        <f t="shared" si="274"/>
        <v>1694</v>
      </c>
      <c r="B1733" s="21" t="s">
        <v>1493</v>
      </c>
      <c r="C1733" s="15" t="s">
        <v>3</v>
      </c>
      <c r="D1733" s="21" t="s">
        <v>1200</v>
      </c>
      <c r="E1733" s="21"/>
      <c r="F1733" s="69" t="s">
        <v>4</v>
      </c>
      <c r="G1733" s="9">
        <v>34227</v>
      </c>
      <c r="H1733" s="22">
        <v>112657</v>
      </c>
      <c r="I1733" s="17">
        <v>0</v>
      </c>
      <c r="J1733" s="17">
        <f t="shared" si="266"/>
        <v>107024.15</v>
      </c>
      <c r="K1733" s="17">
        <f t="shared" si="267"/>
        <v>5632.8500000000058</v>
      </c>
      <c r="L1733" s="23">
        <f t="shared" si="273"/>
        <v>5632.85</v>
      </c>
      <c r="M1733" s="23">
        <v>5</v>
      </c>
      <c r="N1733" s="18">
        <f t="shared" si="268"/>
        <v>26.564383561643837</v>
      </c>
      <c r="O1733" s="23">
        <v>53512.074999999997</v>
      </c>
      <c r="P1733" s="18">
        <f t="shared" si="269"/>
        <v>27.564383561643837</v>
      </c>
      <c r="Q1733" s="18">
        <f t="shared" si="271"/>
        <v>1.091393642127514E-12</v>
      </c>
      <c r="R1733" s="18">
        <f t="shared" si="270"/>
        <v>53512.074999999997</v>
      </c>
      <c r="S1733" s="18">
        <f t="shared" si="275"/>
        <v>5632.85</v>
      </c>
    </row>
    <row r="1734" spans="1:19" ht="15" customHeight="1" x14ac:dyDescent="0.2">
      <c r="A1734" s="14">
        <f t="shared" si="274"/>
        <v>1695</v>
      </c>
      <c r="B1734" s="21" t="s">
        <v>1494</v>
      </c>
      <c r="C1734" s="15" t="s">
        <v>3</v>
      </c>
      <c r="D1734" s="21" t="s">
        <v>1200</v>
      </c>
      <c r="E1734" s="21"/>
      <c r="F1734" s="69" t="s">
        <v>4</v>
      </c>
      <c r="G1734" s="9">
        <v>34043</v>
      </c>
      <c r="H1734" s="22">
        <v>2151</v>
      </c>
      <c r="I1734" s="17">
        <v>0</v>
      </c>
      <c r="J1734" s="17">
        <f t="shared" si="266"/>
        <v>2043.45</v>
      </c>
      <c r="K1734" s="17">
        <f t="shared" si="267"/>
        <v>107.54999999999995</v>
      </c>
      <c r="L1734" s="23">
        <f t="shared" si="273"/>
        <v>107.55000000000001</v>
      </c>
      <c r="M1734" s="23">
        <v>5</v>
      </c>
      <c r="N1734" s="18">
        <f t="shared" si="268"/>
        <v>27.068493150684933</v>
      </c>
      <c r="O1734" s="23">
        <v>1021.725</v>
      </c>
      <c r="P1734" s="18">
        <f t="shared" si="269"/>
        <v>28.068493150684933</v>
      </c>
      <c r="Q1734" s="18">
        <f t="shared" si="271"/>
        <v>-1.1368683772161604E-14</v>
      </c>
      <c r="R1734" s="18">
        <f t="shared" si="270"/>
        <v>1021.725</v>
      </c>
      <c r="S1734" s="18">
        <f t="shared" si="275"/>
        <v>107.55000000000001</v>
      </c>
    </row>
    <row r="1735" spans="1:19" ht="15" customHeight="1" x14ac:dyDescent="0.2">
      <c r="A1735" s="14">
        <f t="shared" si="274"/>
        <v>1696</v>
      </c>
      <c r="B1735" s="21" t="s">
        <v>1495</v>
      </c>
      <c r="C1735" s="15" t="s">
        <v>3</v>
      </c>
      <c r="D1735" s="21" t="s">
        <v>1200</v>
      </c>
      <c r="E1735" s="21"/>
      <c r="F1735" s="69" t="s">
        <v>4</v>
      </c>
      <c r="G1735" s="9">
        <v>34043</v>
      </c>
      <c r="H1735" s="22">
        <v>6090</v>
      </c>
      <c r="I1735" s="17">
        <v>0</v>
      </c>
      <c r="J1735" s="17">
        <f t="shared" si="266"/>
        <v>5785.5</v>
      </c>
      <c r="K1735" s="17">
        <f t="shared" si="267"/>
        <v>304.5</v>
      </c>
      <c r="L1735" s="23">
        <f t="shared" si="273"/>
        <v>304.5</v>
      </c>
      <c r="M1735" s="23">
        <v>5</v>
      </c>
      <c r="N1735" s="18">
        <f t="shared" si="268"/>
        <v>27.068493150684933</v>
      </c>
      <c r="O1735" s="23">
        <v>2892.75</v>
      </c>
      <c r="P1735" s="18">
        <f t="shared" si="269"/>
        <v>28.068493150684933</v>
      </c>
      <c r="Q1735" s="18">
        <f t="shared" si="271"/>
        <v>0</v>
      </c>
      <c r="R1735" s="18">
        <f t="shared" si="270"/>
        <v>2892.75</v>
      </c>
      <c r="S1735" s="18">
        <f t="shared" si="275"/>
        <v>304.5</v>
      </c>
    </row>
    <row r="1736" spans="1:19" ht="15" customHeight="1" x14ac:dyDescent="0.2">
      <c r="A1736" s="14">
        <f t="shared" si="274"/>
        <v>1697</v>
      </c>
      <c r="B1736" s="21" t="s">
        <v>1496</v>
      </c>
      <c r="C1736" s="15" t="s">
        <v>3</v>
      </c>
      <c r="D1736" s="21" t="s">
        <v>1200</v>
      </c>
      <c r="E1736" s="21"/>
      <c r="F1736" s="69" t="s">
        <v>4</v>
      </c>
      <c r="G1736" s="9">
        <v>33969</v>
      </c>
      <c r="H1736" s="22">
        <v>4083</v>
      </c>
      <c r="I1736" s="17">
        <v>0</v>
      </c>
      <c r="J1736" s="17">
        <f t="shared" ref="J1736:J1799" si="276">H1736-L1736</f>
        <v>3878.85</v>
      </c>
      <c r="K1736" s="17">
        <f t="shared" si="267"/>
        <v>204.15000000000009</v>
      </c>
      <c r="L1736" s="23">
        <f t="shared" si="273"/>
        <v>204.15</v>
      </c>
      <c r="M1736" s="23">
        <v>5</v>
      </c>
      <c r="N1736" s="18">
        <f t="shared" si="268"/>
        <v>27.271232876712329</v>
      </c>
      <c r="O1736" s="23">
        <v>1939.425</v>
      </c>
      <c r="P1736" s="18">
        <f t="shared" si="269"/>
        <v>28.271232876712329</v>
      </c>
      <c r="Q1736" s="18">
        <f t="shared" si="271"/>
        <v>1.7053025658242407E-14</v>
      </c>
      <c r="R1736" s="18">
        <f t="shared" si="270"/>
        <v>1939.425</v>
      </c>
      <c r="S1736" s="18">
        <f t="shared" si="275"/>
        <v>204.15</v>
      </c>
    </row>
    <row r="1737" spans="1:19" ht="15" customHeight="1" x14ac:dyDescent="0.2">
      <c r="A1737" s="14">
        <f t="shared" si="274"/>
        <v>1698</v>
      </c>
      <c r="B1737" s="21" t="s">
        <v>1021</v>
      </c>
      <c r="C1737" s="15" t="s">
        <v>3</v>
      </c>
      <c r="D1737" s="21" t="s">
        <v>1200</v>
      </c>
      <c r="E1737" s="21"/>
      <c r="F1737" s="69" t="s">
        <v>4</v>
      </c>
      <c r="G1737" s="9">
        <v>33969</v>
      </c>
      <c r="H1737" s="22">
        <v>4782</v>
      </c>
      <c r="I1737" s="17">
        <v>0</v>
      </c>
      <c r="J1737" s="17">
        <f t="shared" si="276"/>
        <v>4542.8999999999996</v>
      </c>
      <c r="K1737" s="17">
        <f t="shared" si="267"/>
        <v>239.10000000000036</v>
      </c>
      <c r="L1737" s="23">
        <f t="shared" si="273"/>
        <v>239.10000000000002</v>
      </c>
      <c r="M1737" s="23">
        <v>5</v>
      </c>
      <c r="N1737" s="18">
        <f t="shared" si="268"/>
        <v>27.271232876712329</v>
      </c>
      <c r="O1737" s="23">
        <v>2271.4499999999998</v>
      </c>
      <c r="P1737" s="18">
        <f t="shared" si="269"/>
        <v>28.271232876712329</v>
      </c>
      <c r="Q1737" s="18">
        <f t="shared" si="271"/>
        <v>6.8212102632969628E-14</v>
      </c>
      <c r="R1737" s="18">
        <f t="shared" si="270"/>
        <v>2271.4499999999998</v>
      </c>
      <c r="S1737" s="18">
        <f t="shared" si="275"/>
        <v>239.10000000000002</v>
      </c>
    </row>
    <row r="1738" spans="1:19" ht="15" customHeight="1" x14ac:dyDescent="0.2">
      <c r="A1738" s="14">
        <f t="shared" si="274"/>
        <v>1699</v>
      </c>
      <c r="B1738" s="21" t="s">
        <v>1457</v>
      </c>
      <c r="C1738" s="15" t="s">
        <v>3</v>
      </c>
      <c r="D1738" s="21" t="s">
        <v>1200</v>
      </c>
      <c r="E1738" s="21"/>
      <c r="F1738" s="69" t="s">
        <v>4</v>
      </c>
      <c r="G1738" s="9">
        <v>33907</v>
      </c>
      <c r="H1738" s="22">
        <v>7598</v>
      </c>
      <c r="I1738" s="17">
        <v>0</v>
      </c>
      <c r="J1738" s="17">
        <f t="shared" si="276"/>
        <v>7218.1</v>
      </c>
      <c r="K1738" s="17">
        <f t="shared" si="267"/>
        <v>379.89999999999964</v>
      </c>
      <c r="L1738" s="23">
        <f t="shared" si="273"/>
        <v>379.90000000000003</v>
      </c>
      <c r="M1738" s="23">
        <v>5</v>
      </c>
      <c r="N1738" s="18">
        <f t="shared" si="268"/>
        <v>27.44109589041096</v>
      </c>
      <c r="O1738" s="23">
        <v>3609.05</v>
      </c>
      <c r="P1738" s="18">
        <f t="shared" si="269"/>
        <v>28.44109589041096</v>
      </c>
      <c r="Q1738" s="18">
        <f t="shared" si="271"/>
        <v>-7.9580786405131228E-14</v>
      </c>
      <c r="R1738" s="18">
        <f t="shared" si="270"/>
        <v>3609.05</v>
      </c>
      <c r="S1738" s="18">
        <f t="shared" si="275"/>
        <v>379.90000000000003</v>
      </c>
    </row>
    <row r="1739" spans="1:19" ht="15" customHeight="1" x14ac:dyDescent="0.2">
      <c r="A1739" s="14">
        <f t="shared" si="274"/>
        <v>1700</v>
      </c>
      <c r="B1739" s="21" t="s">
        <v>1497</v>
      </c>
      <c r="C1739" s="15" t="s">
        <v>3</v>
      </c>
      <c r="D1739" s="21" t="s">
        <v>1200</v>
      </c>
      <c r="E1739" s="21"/>
      <c r="F1739" s="69" t="s">
        <v>4</v>
      </c>
      <c r="G1739" s="9">
        <v>33877</v>
      </c>
      <c r="H1739" s="22">
        <v>10590</v>
      </c>
      <c r="I1739" s="17">
        <v>0</v>
      </c>
      <c r="J1739" s="17">
        <f t="shared" si="276"/>
        <v>10060.5</v>
      </c>
      <c r="K1739" s="17">
        <f t="shared" si="267"/>
        <v>529.5</v>
      </c>
      <c r="L1739" s="23">
        <f t="shared" si="273"/>
        <v>529.5</v>
      </c>
      <c r="M1739" s="23">
        <v>5</v>
      </c>
      <c r="N1739" s="18">
        <f t="shared" si="268"/>
        <v>27.523287671232875</v>
      </c>
      <c r="O1739" s="23">
        <v>5030.25</v>
      </c>
      <c r="P1739" s="18">
        <f t="shared" si="269"/>
        <v>28.523287671232875</v>
      </c>
      <c r="Q1739" s="18">
        <f t="shared" si="271"/>
        <v>0</v>
      </c>
      <c r="R1739" s="18">
        <f t="shared" si="270"/>
        <v>5030.25</v>
      </c>
      <c r="S1739" s="18">
        <f t="shared" si="275"/>
        <v>529.5</v>
      </c>
    </row>
    <row r="1740" spans="1:19" ht="15" customHeight="1" x14ac:dyDescent="0.2">
      <c r="A1740" s="14">
        <f t="shared" si="274"/>
        <v>1701</v>
      </c>
      <c r="B1740" s="21" t="s">
        <v>1498</v>
      </c>
      <c r="C1740" s="15" t="s">
        <v>3</v>
      </c>
      <c r="D1740" s="21" t="s">
        <v>1200</v>
      </c>
      <c r="E1740" s="21"/>
      <c r="F1740" s="69" t="s">
        <v>4</v>
      </c>
      <c r="G1740" s="9">
        <v>33770</v>
      </c>
      <c r="H1740" s="22">
        <v>1475</v>
      </c>
      <c r="I1740" s="17">
        <v>0</v>
      </c>
      <c r="J1740" s="17">
        <f t="shared" si="276"/>
        <v>1401.25</v>
      </c>
      <c r="K1740" s="17">
        <f t="shared" si="267"/>
        <v>73.75</v>
      </c>
      <c r="L1740" s="23">
        <f t="shared" si="273"/>
        <v>73.75</v>
      </c>
      <c r="M1740" s="23">
        <v>5</v>
      </c>
      <c r="N1740" s="18">
        <f t="shared" si="268"/>
        <v>27.816438356164383</v>
      </c>
      <c r="O1740" s="23">
        <v>700.625</v>
      </c>
      <c r="P1740" s="18">
        <f t="shared" si="269"/>
        <v>28.816438356164383</v>
      </c>
      <c r="Q1740" s="18">
        <f t="shared" si="271"/>
        <v>0</v>
      </c>
      <c r="R1740" s="18">
        <f t="shared" si="270"/>
        <v>700.625</v>
      </c>
      <c r="S1740" s="18">
        <f t="shared" si="275"/>
        <v>73.75</v>
      </c>
    </row>
    <row r="1741" spans="1:19" ht="15" customHeight="1" x14ac:dyDescent="0.2">
      <c r="A1741" s="14">
        <f t="shared" si="274"/>
        <v>1702</v>
      </c>
      <c r="B1741" s="21" t="s">
        <v>1499</v>
      </c>
      <c r="C1741" s="15" t="s">
        <v>3</v>
      </c>
      <c r="D1741" s="21" t="s">
        <v>1200</v>
      </c>
      <c r="E1741" s="21"/>
      <c r="F1741" s="69" t="s">
        <v>4</v>
      </c>
      <c r="G1741" s="9">
        <v>33770</v>
      </c>
      <c r="H1741" s="22">
        <v>875</v>
      </c>
      <c r="I1741" s="17">
        <v>0</v>
      </c>
      <c r="J1741" s="17">
        <f t="shared" si="276"/>
        <v>831.25</v>
      </c>
      <c r="K1741" s="17">
        <f t="shared" si="267"/>
        <v>43.75</v>
      </c>
      <c r="L1741" s="23">
        <f t="shared" si="273"/>
        <v>43.75</v>
      </c>
      <c r="M1741" s="23">
        <v>5</v>
      </c>
      <c r="N1741" s="18">
        <f t="shared" si="268"/>
        <v>27.816438356164383</v>
      </c>
      <c r="O1741" s="23">
        <v>415.625</v>
      </c>
      <c r="P1741" s="18">
        <f t="shared" si="269"/>
        <v>28.816438356164383</v>
      </c>
      <c r="Q1741" s="18">
        <f t="shared" si="271"/>
        <v>0</v>
      </c>
      <c r="R1741" s="18">
        <f t="shared" si="270"/>
        <v>415.625</v>
      </c>
      <c r="S1741" s="18">
        <f t="shared" si="275"/>
        <v>43.75</v>
      </c>
    </row>
    <row r="1742" spans="1:19" ht="15" customHeight="1" x14ac:dyDescent="0.2">
      <c r="A1742" s="14">
        <f t="shared" si="274"/>
        <v>1703</v>
      </c>
      <c r="B1742" s="21" t="s">
        <v>1500</v>
      </c>
      <c r="C1742" s="15" t="s">
        <v>3</v>
      </c>
      <c r="D1742" s="21" t="s">
        <v>1200</v>
      </c>
      <c r="E1742" s="21"/>
      <c r="F1742" s="69" t="s">
        <v>4</v>
      </c>
      <c r="G1742" s="9">
        <v>33755</v>
      </c>
      <c r="H1742" s="22">
        <v>973</v>
      </c>
      <c r="I1742" s="17">
        <v>0</v>
      </c>
      <c r="J1742" s="17">
        <f t="shared" si="276"/>
        <v>924.35</v>
      </c>
      <c r="K1742" s="17">
        <f t="shared" si="267"/>
        <v>48.649999999999977</v>
      </c>
      <c r="L1742" s="23">
        <f t="shared" si="273"/>
        <v>48.650000000000006</v>
      </c>
      <c r="M1742" s="23">
        <v>5</v>
      </c>
      <c r="N1742" s="18">
        <f t="shared" si="268"/>
        <v>27.857534246575341</v>
      </c>
      <c r="O1742" s="23">
        <v>462.17500000000001</v>
      </c>
      <c r="P1742" s="18">
        <f t="shared" si="269"/>
        <v>28.857534246575341</v>
      </c>
      <c r="Q1742" s="18">
        <f t="shared" si="271"/>
        <v>-5.6843418860808018E-15</v>
      </c>
      <c r="R1742" s="18">
        <f t="shared" si="270"/>
        <v>462.17500000000001</v>
      </c>
      <c r="S1742" s="18">
        <f t="shared" si="275"/>
        <v>48.650000000000006</v>
      </c>
    </row>
    <row r="1743" spans="1:19" ht="15" customHeight="1" x14ac:dyDescent="0.2">
      <c r="A1743" s="14">
        <f t="shared" si="274"/>
        <v>1704</v>
      </c>
      <c r="B1743" s="21" t="s">
        <v>1298</v>
      </c>
      <c r="C1743" s="15" t="s">
        <v>3</v>
      </c>
      <c r="D1743" s="21" t="s">
        <v>1200</v>
      </c>
      <c r="E1743" s="21"/>
      <c r="F1743" s="69" t="s">
        <v>4</v>
      </c>
      <c r="G1743" s="9">
        <v>33755</v>
      </c>
      <c r="H1743" s="22">
        <v>6567</v>
      </c>
      <c r="I1743" s="17">
        <v>0</v>
      </c>
      <c r="J1743" s="17">
        <f t="shared" si="276"/>
        <v>6238.65</v>
      </c>
      <c r="K1743" s="17">
        <f t="shared" si="267"/>
        <v>328.35000000000036</v>
      </c>
      <c r="L1743" s="23">
        <f t="shared" si="273"/>
        <v>328.35</v>
      </c>
      <c r="M1743" s="23">
        <v>5</v>
      </c>
      <c r="N1743" s="18">
        <f t="shared" si="268"/>
        <v>27.857534246575341</v>
      </c>
      <c r="O1743" s="23">
        <v>3119.3249999999998</v>
      </c>
      <c r="P1743" s="18">
        <f t="shared" si="269"/>
        <v>28.857534246575341</v>
      </c>
      <c r="Q1743" s="18">
        <f t="shared" si="271"/>
        <v>6.8212102632969628E-14</v>
      </c>
      <c r="R1743" s="18">
        <f t="shared" si="270"/>
        <v>3119.3249999999998</v>
      </c>
      <c r="S1743" s="18">
        <f t="shared" si="275"/>
        <v>328.35</v>
      </c>
    </row>
    <row r="1744" spans="1:19" ht="15" customHeight="1" x14ac:dyDescent="0.2">
      <c r="A1744" s="14">
        <f t="shared" si="274"/>
        <v>1705</v>
      </c>
      <c r="B1744" s="21" t="s">
        <v>1298</v>
      </c>
      <c r="C1744" s="15" t="s">
        <v>3</v>
      </c>
      <c r="D1744" s="21" t="s">
        <v>1200</v>
      </c>
      <c r="E1744" s="21"/>
      <c r="F1744" s="69" t="s">
        <v>4</v>
      </c>
      <c r="G1744" s="9">
        <v>33755</v>
      </c>
      <c r="H1744" s="22">
        <v>6000</v>
      </c>
      <c r="I1744" s="17">
        <v>0</v>
      </c>
      <c r="J1744" s="17">
        <f t="shared" si="276"/>
        <v>5700</v>
      </c>
      <c r="K1744" s="17">
        <f t="shared" si="267"/>
        <v>300</v>
      </c>
      <c r="L1744" s="23">
        <f t="shared" si="273"/>
        <v>300</v>
      </c>
      <c r="M1744" s="23">
        <v>5</v>
      </c>
      <c r="N1744" s="18">
        <f t="shared" si="268"/>
        <v>27.857534246575341</v>
      </c>
      <c r="O1744" s="23">
        <v>2850</v>
      </c>
      <c r="P1744" s="18">
        <f t="shared" si="269"/>
        <v>28.857534246575341</v>
      </c>
      <c r="Q1744" s="18">
        <f t="shared" si="271"/>
        <v>0</v>
      </c>
      <c r="R1744" s="18">
        <f t="shared" si="270"/>
        <v>2850</v>
      </c>
      <c r="S1744" s="18">
        <f t="shared" si="275"/>
        <v>300</v>
      </c>
    </row>
    <row r="1745" spans="1:19" ht="15" customHeight="1" x14ac:dyDescent="0.2">
      <c r="A1745" s="14">
        <f t="shared" si="274"/>
        <v>1706</v>
      </c>
      <c r="B1745" s="21" t="s">
        <v>1501</v>
      </c>
      <c r="C1745" s="15" t="s">
        <v>3</v>
      </c>
      <c r="D1745" s="21" t="s">
        <v>1200</v>
      </c>
      <c r="E1745" s="21"/>
      <c r="F1745" s="69" t="s">
        <v>4</v>
      </c>
      <c r="G1745" s="9">
        <v>33694</v>
      </c>
      <c r="H1745" s="22">
        <v>4826</v>
      </c>
      <c r="I1745" s="17">
        <v>0</v>
      </c>
      <c r="J1745" s="17">
        <f t="shared" si="276"/>
        <v>4584.7</v>
      </c>
      <c r="K1745" s="17">
        <f t="shared" si="267"/>
        <v>241.30000000000018</v>
      </c>
      <c r="L1745" s="23">
        <f t="shared" si="273"/>
        <v>241.3</v>
      </c>
      <c r="M1745" s="23">
        <v>5</v>
      </c>
      <c r="N1745" s="18">
        <f t="shared" si="268"/>
        <v>28.024657534246575</v>
      </c>
      <c r="O1745" s="23">
        <v>2292.35</v>
      </c>
      <c r="P1745" s="18">
        <f t="shared" si="269"/>
        <v>29.024657534246575</v>
      </c>
      <c r="Q1745" s="18">
        <f t="shared" si="271"/>
        <v>3.4106051316484814E-14</v>
      </c>
      <c r="R1745" s="18">
        <f t="shared" si="270"/>
        <v>2292.35</v>
      </c>
      <c r="S1745" s="18">
        <f t="shared" si="275"/>
        <v>241.3</v>
      </c>
    </row>
    <row r="1746" spans="1:19" ht="15" customHeight="1" x14ac:dyDescent="0.2">
      <c r="A1746" s="14">
        <f t="shared" si="274"/>
        <v>1707</v>
      </c>
      <c r="B1746" s="21" t="s">
        <v>1502</v>
      </c>
      <c r="C1746" s="15" t="s">
        <v>3</v>
      </c>
      <c r="D1746" s="21" t="s">
        <v>1200</v>
      </c>
      <c r="E1746" s="21"/>
      <c r="F1746" s="69" t="s">
        <v>4</v>
      </c>
      <c r="G1746" s="9">
        <v>33691</v>
      </c>
      <c r="H1746" s="22">
        <v>2115</v>
      </c>
      <c r="I1746" s="17">
        <v>0</v>
      </c>
      <c r="J1746" s="17">
        <f t="shared" si="276"/>
        <v>2009.25</v>
      </c>
      <c r="K1746" s="17">
        <f t="shared" si="267"/>
        <v>105.75</v>
      </c>
      <c r="L1746" s="23">
        <f t="shared" si="273"/>
        <v>105.75</v>
      </c>
      <c r="M1746" s="23">
        <v>5</v>
      </c>
      <c r="N1746" s="18">
        <f t="shared" si="268"/>
        <v>28.032876712328768</v>
      </c>
      <c r="O1746" s="23">
        <v>1004.625</v>
      </c>
      <c r="P1746" s="18">
        <f t="shared" si="269"/>
        <v>29.032876712328768</v>
      </c>
      <c r="Q1746" s="18">
        <f t="shared" si="271"/>
        <v>0</v>
      </c>
      <c r="R1746" s="18">
        <f t="shared" si="270"/>
        <v>1004.625</v>
      </c>
      <c r="S1746" s="18">
        <f t="shared" si="275"/>
        <v>105.75</v>
      </c>
    </row>
    <row r="1747" spans="1:19" ht="15" customHeight="1" x14ac:dyDescent="0.2">
      <c r="A1747" s="14">
        <f t="shared" si="274"/>
        <v>1708</v>
      </c>
      <c r="B1747" s="21" t="s">
        <v>1503</v>
      </c>
      <c r="C1747" s="15" t="s">
        <v>3</v>
      </c>
      <c r="D1747" s="21" t="s">
        <v>1200</v>
      </c>
      <c r="E1747" s="21"/>
      <c r="F1747" s="69" t="s">
        <v>4</v>
      </c>
      <c r="G1747" s="9">
        <v>33663</v>
      </c>
      <c r="H1747" s="22">
        <v>6760</v>
      </c>
      <c r="I1747" s="17">
        <v>0</v>
      </c>
      <c r="J1747" s="17">
        <f t="shared" si="276"/>
        <v>6422</v>
      </c>
      <c r="K1747" s="17">
        <f t="shared" si="267"/>
        <v>338</v>
      </c>
      <c r="L1747" s="23">
        <f t="shared" si="273"/>
        <v>338</v>
      </c>
      <c r="M1747" s="23">
        <v>5</v>
      </c>
      <c r="N1747" s="18">
        <f t="shared" si="268"/>
        <v>28.109589041095891</v>
      </c>
      <c r="O1747" s="23">
        <v>3211</v>
      </c>
      <c r="P1747" s="18">
        <f t="shared" si="269"/>
        <v>29.109589041095891</v>
      </c>
      <c r="Q1747" s="18">
        <f t="shared" si="271"/>
        <v>0</v>
      </c>
      <c r="R1747" s="18">
        <f t="shared" si="270"/>
        <v>3211</v>
      </c>
      <c r="S1747" s="18">
        <f t="shared" si="275"/>
        <v>338</v>
      </c>
    </row>
    <row r="1748" spans="1:19" ht="15" customHeight="1" x14ac:dyDescent="0.2">
      <c r="A1748" s="14">
        <f t="shared" si="274"/>
        <v>1709</v>
      </c>
      <c r="B1748" s="21" t="s">
        <v>1504</v>
      </c>
      <c r="C1748" s="15" t="s">
        <v>3</v>
      </c>
      <c r="D1748" s="21" t="s">
        <v>1200</v>
      </c>
      <c r="E1748" s="21"/>
      <c r="F1748" s="69" t="s">
        <v>4</v>
      </c>
      <c r="G1748" s="9">
        <v>33450</v>
      </c>
      <c r="H1748" s="22">
        <v>1621</v>
      </c>
      <c r="I1748" s="17">
        <v>0</v>
      </c>
      <c r="J1748" s="17">
        <f t="shared" si="276"/>
        <v>1539.95</v>
      </c>
      <c r="K1748" s="17">
        <f t="shared" si="267"/>
        <v>81.049999999999955</v>
      </c>
      <c r="L1748" s="23">
        <f t="shared" si="273"/>
        <v>81.050000000000011</v>
      </c>
      <c r="M1748" s="23">
        <v>5</v>
      </c>
      <c r="N1748" s="18">
        <f t="shared" si="268"/>
        <v>28.693150684931506</v>
      </c>
      <c r="O1748" s="23">
        <v>769.97500000000002</v>
      </c>
      <c r="P1748" s="18">
        <f t="shared" si="269"/>
        <v>29.693150684931506</v>
      </c>
      <c r="Q1748" s="18">
        <f t="shared" si="271"/>
        <v>-1.1368683772161604E-14</v>
      </c>
      <c r="R1748" s="18">
        <f t="shared" si="270"/>
        <v>769.97500000000002</v>
      </c>
      <c r="S1748" s="18">
        <f t="shared" si="275"/>
        <v>81.050000000000011</v>
      </c>
    </row>
    <row r="1749" spans="1:19" ht="15" customHeight="1" x14ac:dyDescent="0.2">
      <c r="A1749" s="14">
        <f t="shared" si="274"/>
        <v>1710</v>
      </c>
      <c r="B1749" s="21" t="s">
        <v>1479</v>
      </c>
      <c r="C1749" s="15" t="s">
        <v>3</v>
      </c>
      <c r="D1749" s="21" t="s">
        <v>1200</v>
      </c>
      <c r="E1749" s="21"/>
      <c r="F1749" s="69" t="s">
        <v>4</v>
      </c>
      <c r="G1749" s="9">
        <v>33347</v>
      </c>
      <c r="H1749" s="22">
        <v>7500</v>
      </c>
      <c r="I1749" s="17">
        <v>0</v>
      </c>
      <c r="J1749" s="17">
        <f t="shared" si="276"/>
        <v>7125</v>
      </c>
      <c r="K1749" s="17">
        <f t="shared" si="267"/>
        <v>375</v>
      </c>
      <c r="L1749" s="23">
        <f t="shared" si="273"/>
        <v>375</v>
      </c>
      <c r="M1749" s="23">
        <v>5</v>
      </c>
      <c r="N1749" s="18">
        <f t="shared" si="268"/>
        <v>28.975342465753425</v>
      </c>
      <c r="O1749" s="23">
        <v>3562.5</v>
      </c>
      <c r="P1749" s="18">
        <f t="shared" si="269"/>
        <v>29.975342465753425</v>
      </c>
      <c r="Q1749" s="18">
        <f t="shared" si="271"/>
        <v>0</v>
      </c>
      <c r="R1749" s="18">
        <f t="shared" si="270"/>
        <v>3562.5</v>
      </c>
      <c r="S1749" s="18">
        <f t="shared" si="275"/>
        <v>375</v>
      </c>
    </row>
    <row r="1750" spans="1:19" ht="15" customHeight="1" x14ac:dyDescent="0.2">
      <c r="A1750" s="14">
        <f t="shared" si="274"/>
        <v>1711</v>
      </c>
      <c r="B1750" s="21" t="s">
        <v>1505</v>
      </c>
      <c r="C1750" s="15" t="s">
        <v>3</v>
      </c>
      <c r="D1750" s="21" t="s">
        <v>1200</v>
      </c>
      <c r="E1750" s="21"/>
      <c r="F1750" s="69" t="s">
        <v>4</v>
      </c>
      <c r="G1750" s="9">
        <v>33328</v>
      </c>
      <c r="H1750" s="22">
        <v>9197</v>
      </c>
      <c r="I1750" s="17">
        <v>0</v>
      </c>
      <c r="J1750" s="17">
        <f t="shared" si="276"/>
        <v>8737.15</v>
      </c>
      <c r="K1750" s="17">
        <f t="shared" si="267"/>
        <v>459.85000000000036</v>
      </c>
      <c r="L1750" s="23">
        <f t="shared" si="273"/>
        <v>459.85</v>
      </c>
      <c r="M1750" s="23">
        <v>5</v>
      </c>
      <c r="N1750" s="18">
        <f t="shared" si="268"/>
        <v>29.027397260273972</v>
      </c>
      <c r="O1750" s="23">
        <v>4368.5749999999998</v>
      </c>
      <c r="P1750" s="18">
        <f t="shared" si="269"/>
        <v>30.027397260273972</v>
      </c>
      <c r="Q1750" s="18">
        <f t="shared" si="271"/>
        <v>6.8212102632969628E-14</v>
      </c>
      <c r="R1750" s="18">
        <f t="shared" si="270"/>
        <v>4368.5749999999998</v>
      </c>
      <c r="S1750" s="18">
        <f t="shared" si="275"/>
        <v>459.85</v>
      </c>
    </row>
    <row r="1751" spans="1:19" ht="15" customHeight="1" x14ac:dyDescent="0.2">
      <c r="A1751" s="14">
        <f t="shared" si="274"/>
        <v>1712</v>
      </c>
      <c r="B1751" s="21" t="s">
        <v>1506</v>
      </c>
      <c r="C1751" s="15" t="s">
        <v>3</v>
      </c>
      <c r="D1751" s="21" t="s">
        <v>1200</v>
      </c>
      <c r="E1751" s="21"/>
      <c r="F1751" s="69" t="s">
        <v>4</v>
      </c>
      <c r="G1751" s="9">
        <v>33312</v>
      </c>
      <c r="H1751" s="22">
        <v>3082</v>
      </c>
      <c r="I1751" s="17">
        <v>0</v>
      </c>
      <c r="J1751" s="17">
        <f t="shared" si="276"/>
        <v>2927.9</v>
      </c>
      <c r="K1751" s="17">
        <f t="shared" si="267"/>
        <v>154.09999999999991</v>
      </c>
      <c r="L1751" s="23">
        <f t="shared" si="273"/>
        <v>154.10000000000002</v>
      </c>
      <c r="M1751" s="23">
        <v>5</v>
      </c>
      <c r="N1751" s="18">
        <f t="shared" si="268"/>
        <v>29.07123287671233</v>
      </c>
      <c r="O1751" s="23">
        <v>1463.95</v>
      </c>
      <c r="P1751" s="18">
        <f t="shared" si="269"/>
        <v>30.07123287671233</v>
      </c>
      <c r="Q1751" s="18">
        <f t="shared" si="271"/>
        <v>-2.2737367544323207E-14</v>
      </c>
      <c r="R1751" s="18">
        <f t="shared" si="270"/>
        <v>1463.95</v>
      </c>
      <c r="S1751" s="18">
        <f t="shared" si="275"/>
        <v>154.10000000000002</v>
      </c>
    </row>
    <row r="1752" spans="1:19" ht="15" customHeight="1" x14ac:dyDescent="0.2">
      <c r="A1752" s="14">
        <f t="shared" si="274"/>
        <v>1713</v>
      </c>
      <c r="B1752" s="21" t="s">
        <v>1484</v>
      </c>
      <c r="C1752" s="15" t="s">
        <v>3</v>
      </c>
      <c r="D1752" s="21" t="s">
        <v>1200</v>
      </c>
      <c r="E1752" s="21"/>
      <c r="F1752" s="69" t="s">
        <v>4</v>
      </c>
      <c r="G1752" s="9">
        <v>33312</v>
      </c>
      <c r="H1752" s="22">
        <v>736</v>
      </c>
      <c r="I1752" s="17">
        <v>0</v>
      </c>
      <c r="J1752" s="17">
        <f t="shared" si="276"/>
        <v>699.2</v>
      </c>
      <c r="K1752" s="17">
        <f t="shared" si="267"/>
        <v>36.799999999999955</v>
      </c>
      <c r="L1752" s="23">
        <f t="shared" si="273"/>
        <v>36.800000000000004</v>
      </c>
      <c r="M1752" s="23">
        <v>5</v>
      </c>
      <c r="N1752" s="18">
        <f t="shared" si="268"/>
        <v>29.07123287671233</v>
      </c>
      <c r="O1752" s="23">
        <v>349.6</v>
      </c>
      <c r="P1752" s="18">
        <f t="shared" si="269"/>
        <v>30.07123287671233</v>
      </c>
      <c r="Q1752" s="18">
        <f t="shared" si="271"/>
        <v>-9.9475983006414035E-15</v>
      </c>
      <c r="R1752" s="18">
        <f t="shared" si="270"/>
        <v>349.6</v>
      </c>
      <c r="S1752" s="18">
        <f t="shared" si="275"/>
        <v>36.800000000000004</v>
      </c>
    </row>
    <row r="1753" spans="1:19" ht="15" customHeight="1" x14ac:dyDescent="0.2">
      <c r="A1753" s="14">
        <f t="shared" si="274"/>
        <v>1714</v>
      </c>
      <c r="B1753" s="21" t="s">
        <v>1507</v>
      </c>
      <c r="C1753" s="15" t="s">
        <v>3</v>
      </c>
      <c r="D1753" s="21" t="s">
        <v>1200</v>
      </c>
      <c r="E1753" s="21"/>
      <c r="F1753" s="69" t="s">
        <v>4</v>
      </c>
      <c r="G1753" s="9">
        <v>33312</v>
      </c>
      <c r="H1753" s="22">
        <v>5990</v>
      </c>
      <c r="I1753" s="17">
        <v>0</v>
      </c>
      <c r="J1753" s="17">
        <f t="shared" si="276"/>
        <v>5690.5</v>
      </c>
      <c r="K1753" s="17">
        <f t="shared" si="267"/>
        <v>299.5</v>
      </c>
      <c r="L1753" s="23">
        <f t="shared" si="273"/>
        <v>299.5</v>
      </c>
      <c r="M1753" s="23">
        <v>5</v>
      </c>
      <c r="N1753" s="18">
        <f t="shared" si="268"/>
        <v>29.07123287671233</v>
      </c>
      <c r="O1753" s="23">
        <v>2845.25</v>
      </c>
      <c r="P1753" s="18">
        <f t="shared" si="269"/>
        <v>30.07123287671233</v>
      </c>
      <c r="Q1753" s="18">
        <f t="shared" si="271"/>
        <v>0</v>
      </c>
      <c r="R1753" s="18">
        <f t="shared" si="270"/>
        <v>2845.25</v>
      </c>
      <c r="S1753" s="18">
        <f t="shared" si="275"/>
        <v>299.5</v>
      </c>
    </row>
    <row r="1754" spans="1:19" ht="15" customHeight="1" x14ac:dyDescent="0.2">
      <c r="A1754" s="14">
        <f t="shared" si="274"/>
        <v>1715</v>
      </c>
      <c r="B1754" s="21" t="s">
        <v>1508</v>
      </c>
      <c r="C1754" s="15" t="s">
        <v>3</v>
      </c>
      <c r="D1754" s="21" t="s">
        <v>1200</v>
      </c>
      <c r="E1754" s="21"/>
      <c r="F1754" s="69" t="s">
        <v>4</v>
      </c>
      <c r="G1754" s="9">
        <v>33297</v>
      </c>
      <c r="H1754" s="22">
        <v>566</v>
      </c>
      <c r="I1754" s="17">
        <v>0</v>
      </c>
      <c r="J1754" s="17">
        <f t="shared" si="276"/>
        <v>537.70000000000005</v>
      </c>
      <c r="K1754" s="17">
        <f t="shared" si="267"/>
        <v>28.299999999999955</v>
      </c>
      <c r="L1754" s="23">
        <f t="shared" si="273"/>
        <v>28.3</v>
      </c>
      <c r="M1754" s="23">
        <v>5</v>
      </c>
      <c r="N1754" s="18">
        <f t="shared" si="268"/>
        <v>29.112328767123287</v>
      </c>
      <c r="O1754" s="23">
        <v>268.85000000000002</v>
      </c>
      <c r="P1754" s="18">
        <f t="shared" si="269"/>
        <v>30.112328767123287</v>
      </c>
      <c r="Q1754" s="18">
        <f t="shared" si="271"/>
        <v>-9.2370555648813027E-15</v>
      </c>
      <c r="R1754" s="18">
        <f t="shared" si="270"/>
        <v>268.85000000000002</v>
      </c>
      <c r="S1754" s="18">
        <f t="shared" si="275"/>
        <v>28.3</v>
      </c>
    </row>
    <row r="1755" spans="1:19" ht="15" customHeight="1" x14ac:dyDescent="0.2">
      <c r="A1755" s="14">
        <f t="shared" si="274"/>
        <v>1716</v>
      </c>
      <c r="B1755" s="21" t="s">
        <v>1465</v>
      </c>
      <c r="C1755" s="15" t="s">
        <v>3</v>
      </c>
      <c r="D1755" s="21" t="s">
        <v>1200</v>
      </c>
      <c r="E1755" s="21"/>
      <c r="F1755" s="69" t="s">
        <v>4</v>
      </c>
      <c r="G1755" s="9">
        <v>33297</v>
      </c>
      <c r="H1755" s="22">
        <v>330</v>
      </c>
      <c r="I1755" s="17">
        <v>0</v>
      </c>
      <c r="J1755" s="17">
        <f t="shared" si="276"/>
        <v>313.5</v>
      </c>
      <c r="K1755" s="17">
        <f t="shared" si="267"/>
        <v>16.5</v>
      </c>
      <c r="L1755" s="23">
        <f t="shared" si="273"/>
        <v>16.5</v>
      </c>
      <c r="M1755" s="23">
        <v>5</v>
      </c>
      <c r="N1755" s="18">
        <f t="shared" si="268"/>
        <v>29.112328767123287</v>
      </c>
      <c r="O1755" s="23">
        <v>156.75</v>
      </c>
      <c r="P1755" s="18">
        <f t="shared" si="269"/>
        <v>30.112328767123287</v>
      </c>
      <c r="Q1755" s="18">
        <f t="shared" si="271"/>
        <v>0</v>
      </c>
      <c r="R1755" s="18">
        <f t="shared" si="270"/>
        <v>156.75</v>
      </c>
      <c r="S1755" s="18">
        <f t="shared" si="275"/>
        <v>16.5</v>
      </c>
    </row>
    <row r="1756" spans="1:19" ht="15" customHeight="1" x14ac:dyDescent="0.2">
      <c r="A1756" s="14">
        <f t="shared" si="274"/>
        <v>1717</v>
      </c>
      <c r="B1756" s="21" t="s">
        <v>1503</v>
      </c>
      <c r="C1756" s="15" t="s">
        <v>3</v>
      </c>
      <c r="D1756" s="21" t="s">
        <v>1200</v>
      </c>
      <c r="E1756" s="21"/>
      <c r="F1756" s="69" t="s">
        <v>4</v>
      </c>
      <c r="G1756" s="9">
        <v>33297</v>
      </c>
      <c r="H1756" s="22">
        <v>13334</v>
      </c>
      <c r="I1756" s="17">
        <v>0</v>
      </c>
      <c r="J1756" s="17">
        <f t="shared" si="276"/>
        <v>12667.3</v>
      </c>
      <c r="K1756" s="17">
        <f t="shared" si="267"/>
        <v>666.70000000000073</v>
      </c>
      <c r="L1756" s="23">
        <f t="shared" si="273"/>
        <v>666.7</v>
      </c>
      <c r="M1756" s="23">
        <v>5</v>
      </c>
      <c r="N1756" s="18">
        <f t="shared" si="268"/>
        <v>29.112328767123287</v>
      </c>
      <c r="O1756" s="23">
        <v>6333.65</v>
      </c>
      <c r="P1756" s="18">
        <f t="shared" si="269"/>
        <v>30.112328767123287</v>
      </c>
      <c r="Q1756" s="18">
        <f t="shared" si="271"/>
        <v>1.3642420526593926E-13</v>
      </c>
      <c r="R1756" s="18">
        <f t="shared" si="270"/>
        <v>6333.65</v>
      </c>
      <c r="S1756" s="18">
        <f t="shared" si="275"/>
        <v>666.7</v>
      </c>
    </row>
    <row r="1757" spans="1:19" ht="15" customHeight="1" x14ac:dyDescent="0.2">
      <c r="A1757" s="14">
        <f t="shared" si="274"/>
        <v>1718</v>
      </c>
      <c r="B1757" s="21" t="s">
        <v>1469</v>
      </c>
      <c r="C1757" s="15" t="s">
        <v>3</v>
      </c>
      <c r="D1757" s="21" t="s">
        <v>1200</v>
      </c>
      <c r="E1757" s="21"/>
      <c r="F1757" s="69" t="s">
        <v>4</v>
      </c>
      <c r="G1757" s="9">
        <v>33146</v>
      </c>
      <c r="H1757" s="22">
        <v>982</v>
      </c>
      <c r="I1757" s="17">
        <v>0</v>
      </c>
      <c r="J1757" s="17">
        <f t="shared" si="276"/>
        <v>932.9</v>
      </c>
      <c r="K1757" s="17">
        <f t="shared" si="267"/>
        <v>49.100000000000023</v>
      </c>
      <c r="L1757" s="23">
        <f t="shared" si="273"/>
        <v>49.1</v>
      </c>
      <c r="M1757" s="23">
        <v>5</v>
      </c>
      <c r="N1757" s="18">
        <f t="shared" si="268"/>
        <v>29.526027397260275</v>
      </c>
      <c r="O1757" s="23">
        <v>466.45</v>
      </c>
      <c r="P1757" s="18">
        <f t="shared" si="269"/>
        <v>30.526027397260275</v>
      </c>
      <c r="Q1757" s="18">
        <f t="shared" si="271"/>
        <v>4.2632564145606017E-15</v>
      </c>
      <c r="R1757" s="18">
        <f t="shared" si="270"/>
        <v>466.45</v>
      </c>
      <c r="S1757" s="18">
        <f t="shared" si="275"/>
        <v>49.1</v>
      </c>
    </row>
    <row r="1758" spans="1:19" ht="15" customHeight="1" x14ac:dyDescent="0.2">
      <c r="A1758" s="14">
        <f t="shared" si="274"/>
        <v>1719</v>
      </c>
      <c r="B1758" s="21" t="s">
        <v>1509</v>
      </c>
      <c r="C1758" s="15" t="s">
        <v>3</v>
      </c>
      <c r="D1758" s="21" t="s">
        <v>1200</v>
      </c>
      <c r="E1758" s="21"/>
      <c r="F1758" s="69" t="s">
        <v>4</v>
      </c>
      <c r="G1758" s="9">
        <v>32874</v>
      </c>
      <c r="H1758" s="22">
        <v>836</v>
      </c>
      <c r="I1758" s="17">
        <v>0</v>
      </c>
      <c r="J1758" s="17">
        <f t="shared" si="276"/>
        <v>794.2</v>
      </c>
      <c r="K1758" s="17">
        <f t="shared" si="267"/>
        <v>41.799999999999955</v>
      </c>
      <c r="L1758" s="23">
        <f t="shared" si="273"/>
        <v>41.800000000000004</v>
      </c>
      <c r="M1758" s="23">
        <v>5</v>
      </c>
      <c r="N1758" s="18">
        <f t="shared" si="268"/>
        <v>30.271232876712329</v>
      </c>
      <c r="O1758" s="23">
        <v>397.1</v>
      </c>
      <c r="P1758" s="18">
        <f t="shared" si="269"/>
        <v>31.271232876712329</v>
      </c>
      <c r="Q1758" s="18">
        <f t="shared" si="271"/>
        <v>-9.9475983006414035E-15</v>
      </c>
      <c r="R1758" s="18">
        <f t="shared" si="270"/>
        <v>397.1</v>
      </c>
      <c r="S1758" s="18">
        <f t="shared" si="275"/>
        <v>41.800000000000004</v>
      </c>
    </row>
    <row r="1759" spans="1:19" ht="15" customHeight="1" x14ac:dyDescent="0.2">
      <c r="A1759" s="14">
        <f t="shared" si="274"/>
        <v>1720</v>
      </c>
      <c r="B1759" s="21" t="s">
        <v>1510</v>
      </c>
      <c r="C1759" s="15" t="s">
        <v>3</v>
      </c>
      <c r="D1759" s="21" t="s">
        <v>1200</v>
      </c>
      <c r="E1759" s="21"/>
      <c r="F1759" s="69" t="s">
        <v>4</v>
      </c>
      <c r="G1759" s="9">
        <v>32874</v>
      </c>
      <c r="H1759" s="22">
        <v>7682</v>
      </c>
      <c r="I1759" s="17">
        <v>0</v>
      </c>
      <c r="J1759" s="17">
        <f t="shared" si="276"/>
        <v>7297.9</v>
      </c>
      <c r="K1759" s="17">
        <f t="shared" si="267"/>
        <v>384.10000000000036</v>
      </c>
      <c r="L1759" s="23">
        <f t="shared" si="273"/>
        <v>384.1</v>
      </c>
      <c r="M1759" s="23">
        <v>5</v>
      </c>
      <c r="N1759" s="18">
        <f t="shared" si="268"/>
        <v>30.271232876712329</v>
      </c>
      <c r="O1759" s="23">
        <v>3648.95</v>
      </c>
      <c r="P1759" s="18">
        <f t="shared" si="269"/>
        <v>31.271232876712329</v>
      </c>
      <c r="Q1759" s="18">
        <f t="shared" si="271"/>
        <v>6.8212102632969628E-14</v>
      </c>
      <c r="R1759" s="18">
        <f t="shared" si="270"/>
        <v>3648.95</v>
      </c>
      <c r="S1759" s="18">
        <f t="shared" si="275"/>
        <v>384.1</v>
      </c>
    </row>
    <row r="1760" spans="1:19" ht="15" customHeight="1" x14ac:dyDescent="0.2">
      <c r="A1760" s="14">
        <f t="shared" si="274"/>
        <v>1721</v>
      </c>
      <c r="B1760" s="21" t="s">
        <v>1511</v>
      </c>
      <c r="C1760" s="15" t="s">
        <v>3</v>
      </c>
      <c r="D1760" s="21" t="s">
        <v>1200</v>
      </c>
      <c r="E1760" s="21"/>
      <c r="F1760" s="69" t="s">
        <v>4</v>
      </c>
      <c r="G1760" s="9">
        <v>32874</v>
      </c>
      <c r="H1760" s="22">
        <v>2140</v>
      </c>
      <c r="I1760" s="17">
        <v>0</v>
      </c>
      <c r="J1760" s="17">
        <f t="shared" si="276"/>
        <v>2033</v>
      </c>
      <c r="K1760" s="17">
        <f t="shared" si="267"/>
        <v>107</v>
      </c>
      <c r="L1760" s="23">
        <f t="shared" si="273"/>
        <v>107</v>
      </c>
      <c r="M1760" s="23">
        <v>5</v>
      </c>
      <c r="N1760" s="18">
        <f t="shared" si="268"/>
        <v>30.271232876712329</v>
      </c>
      <c r="O1760" s="23">
        <v>1016.5</v>
      </c>
      <c r="P1760" s="18">
        <f t="shared" si="269"/>
        <v>31.271232876712329</v>
      </c>
      <c r="Q1760" s="18">
        <f t="shared" si="271"/>
        <v>0</v>
      </c>
      <c r="R1760" s="18">
        <f t="shared" si="270"/>
        <v>1016.5</v>
      </c>
      <c r="S1760" s="18">
        <f t="shared" si="275"/>
        <v>107</v>
      </c>
    </row>
    <row r="1761" spans="1:19" ht="15" customHeight="1" x14ac:dyDescent="0.2">
      <c r="A1761" s="14">
        <f t="shared" si="274"/>
        <v>1722</v>
      </c>
      <c r="B1761" s="21" t="s">
        <v>1484</v>
      </c>
      <c r="C1761" s="15" t="s">
        <v>3</v>
      </c>
      <c r="D1761" s="21" t="s">
        <v>1200</v>
      </c>
      <c r="E1761" s="21"/>
      <c r="F1761" s="69" t="s">
        <v>4</v>
      </c>
      <c r="G1761" s="9">
        <v>32874</v>
      </c>
      <c r="H1761" s="22">
        <v>958</v>
      </c>
      <c r="I1761" s="17">
        <v>0</v>
      </c>
      <c r="J1761" s="17">
        <f t="shared" si="276"/>
        <v>910.1</v>
      </c>
      <c r="K1761" s="17">
        <f t="shared" si="267"/>
        <v>47.899999999999977</v>
      </c>
      <c r="L1761" s="23">
        <f t="shared" si="273"/>
        <v>47.900000000000006</v>
      </c>
      <c r="M1761" s="23">
        <v>5</v>
      </c>
      <c r="N1761" s="18">
        <f t="shared" si="268"/>
        <v>30.271232876712329</v>
      </c>
      <c r="O1761" s="23">
        <v>455.05</v>
      </c>
      <c r="P1761" s="18">
        <f t="shared" si="269"/>
        <v>31.271232876712329</v>
      </c>
      <c r="Q1761" s="18">
        <f t="shared" si="271"/>
        <v>-5.6843418860808018E-15</v>
      </c>
      <c r="R1761" s="18">
        <f t="shared" si="270"/>
        <v>455.05</v>
      </c>
      <c r="S1761" s="18">
        <f t="shared" si="275"/>
        <v>47.900000000000006</v>
      </c>
    </row>
    <row r="1762" spans="1:19" ht="15" customHeight="1" x14ac:dyDescent="0.2">
      <c r="A1762" s="14">
        <f t="shared" si="274"/>
        <v>1723</v>
      </c>
      <c r="B1762" s="21" t="s">
        <v>1478</v>
      </c>
      <c r="C1762" s="15" t="s">
        <v>3</v>
      </c>
      <c r="D1762" s="21" t="s">
        <v>1200</v>
      </c>
      <c r="E1762" s="21"/>
      <c r="F1762" s="69" t="s">
        <v>4</v>
      </c>
      <c r="G1762" s="9">
        <v>32874</v>
      </c>
      <c r="H1762" s="22">
        <v>2550</v>
      </c>
      <c r="I1762" s="17">
        <v>0</v>
      </c>
      <c r="J1762" s="17">
        <f t="shared" si="276"/>
        <v>2422.5</v>
      </c>
      <c r="K1762" s="17">
        <f t="shared" si="267"/>
        <v>127.5</v>
      </c>
      <c r="L1762" s="23">
        <f t="shared" si="273"/>
        <v>127.5</v>
      </c>
      <c r="M1762" s="23">
        <v>5</v>
      </c>
      <c r="N1762" s="18">
        <f t="shared" si="268"/>
        <v>30.271232876712329</v>
      </c>
      <c r="O1762" s="23">
        <v>1211.25</v>
      </c>
      <c r="P1762" s="18">
        <f t="shared" si="269"/>
        <v>31.271232876712329</v>
      </c>
      <c r="Q1762" s="18">
        <f t="shared" si="271"/>
        <v>0</v>
      </c>
      <c r="R1762" s="18">
        <f t="shared" si="270"/>
        <v>1211.25</v>
      </c>
      <c r="S1762" s="18">
        <f t="shared" si="275"/>
        <v>127.5</v>
      </c>
    </row>
    <row r="1763" spans="1:19" ht="15" customHeight="1" x14ac:dyDescent="0.2">
      <c r="A1763" s="14">
        <f t="shared" si="274"/>
        <v>1724</v>
      </c>
      <c r="B1763" s="21" t="s">
        <v>1479</v>
      </c>
      <c r="C1763" s="15" t="s">
        <v>3</v>
      </c>
      <c r="D1763" s="21" t="s">
        <v>1200</v>
      </c>
      <c r="E1763" s="21"/>
      <c r="F1763" s="69" t="s">
        <v>4</v>
      </c>
      <c r="G1763" s="9">
        <v>32874</v>
      </c>
      <c r="H1763" s="22">
        <v>6200</v>
      </c>
      <c r="I1763" s="17">
        <v>0</v>
      </c>
      <c r="J1763" s="17">
        <f t="shared" si="276"/>
        <v>5890</v>
      </c>
      <c r="K1763" s="17">
        <f t="shared" si="267"/>
        <v>310</v>
      </c>
      <c r="L1763" s="23">
        <f t="shared" si="273"/>
        <v>310</v>
      </c>
      <c r="M1763" s="23">
        <v>5</v>
      </c>
      <c r="N1763" s="18">
        <f t="shared" si="268"/>
        <v>30.271232876712329</v>
      </c>
      <c r="O1763" s="23">
        <v>2945</v>
      </c>
      <c r="P1763" s="18">
        <f t="shared" si="269"/>
        <v>31.271232876712329</v>
      </c>
      <c r="Q1763" s="18">
        <f t="shared" si="271"/>
        <v>0</v>
      </c>
      <c r="R1763" s="18">
        <f t="shared" si="270"/>
        <v>2945</v>
      </c>
      <c r="S1763" s="18">
        <f t="shared" si="275"/>
        <v>310</v>
      </c>
    </row>
    <row r="1764" spans="1:19" ht="15" customHeight="1" x14ac:dyDescent="0.2">
      <c r="A1764" s="14">
        <f t="shared" si="274"/>
        <v>1725</v>
      </c>
      <c r="B1764" s="21" t="s">
        <v>1501</v>
      </c>
      <c r="C1764" s="15" t="s">
        <v>3</v>
      </c>
      <c r="D1764" s="21" t="s">
        <v>1200</v>
      </c>
      <c r="E1764" s="21"/>
      <c r="F1764" s="69" t="s">
        <v>4</v>
      </c>
      <c r="G1764" s="9">
        <v>32509</v>
      </c>
      <c r="H1764" s="22">
        <v>4541</v>
      </c>
      <c r="I1764" s="17">
        <v>0</v>
      </c>
      <c r="J1764" s="17">
        <f t="shared" si="276"/>
        <v>4313.95</v>
      </c>
      <c r="K1764" s="17">
        <f t="shared" si="267"/>
        <v>227.05000000000018</v>
      </c>
      <c r="L1764" s="23">
        <f t="shared" si="273"/>
        <v>227.05</v>
      </c>
      <c r="M1764" s="23">
        <v>5</v>
      </c>
      <c r="N1764" s="18">
        <f t="shared" si="268"/>
        <v>31.271232876712329</v>
      </c>
      <c r="O1764" s="23">
        <v>2156.9749999999999</v>
      </c>
      <c r="P1764" s="18">
        <f t="shared" si="269"/>
        <v>32.271232876712325</v>
      </c>
      <c r="Q1764" s="18">
        <f t="shared" si="271"/>
        <v>3.4106051316484688E-14</v>
      </c>
      <c r="R1764" s="18">
        <f t="shared" si="270"/>
        <v>2156.9749999999999</v>
      </c>
      <c r="S1764" s="18">
        <f t="shared" si="275"/>
        <v>227.05</v>
      </c>
    </row>
    <row r="1765" spans="1:19" ht="15" customHeight="1" x14ac:dyDescent="0.2">
      <c r="A1765" s="14">
        <f t="shared" si="274"/>
        <v>1726</v>
      </c>
      <c r="B1765" s="21" t="s">
        <v>1512</v>
      </c>
      <c r="C1765" s="15" t="s">
        <v>3</v>
      </c>
      <c r="D1765" s="21" t="s">
        <v>1200</v>
      </c>
      <c r="E1765" s="21"/>
      <c r="F1765" s="69" t="s">
        <v>4</v>
      </c>
      <c r="G1765" s="9">
        <v>32509</v>
      </c>
      <c r="H1765" s="22">
        <v>1475</v>
      </c>
      <c r="I1765" s="17">
        <v>0</v>
      </c>
      <c r="J1765" s="17">
        <f t="shared" si="276"/>
        <v>1401.25</v>
      </c>
      <c r="K1765" s="17">
        <f t="shared" si="267"/>
        <v>73.75</v>
      </c>
      <c r="L1765" s="23">
        <f t="shared" si="273"/>
        <v>73.75</v>
      </c>
      <c r="M1765" s="23">
        <v>5</v>
      </c>
      <c r="N1765" s="18">
        <f t="shared" si="268"/>
        <v>31.271232876712329</v>
      </c>
      <c r="O1765" s="23">
        <v>700.625</v>
      </c>
      <c r="P1765" s="18">
        <f t="shared" si="269"/>
        <v>32.271232876712325</v>
      </c>
      <c r="Q1765" s="18">
        <f t="shared" si="271"/>
        <v>0</v>
      </c>
      <c r="R1765" s="18">
        <f t="shared" si="270"/>
        <v>700.625</v>
      </c>
      <c r="S1765" s="18">
        <f t="shared" si="275"/>
        <v>73.75</v>
      </c>
    </row>
    <row r="1766" spans="1:19" ht="15" customHeight="1" x14ac:dyDescent="0.2">
      <c r="A1766" s="14">
        <f t="shared" si="274"/>
        <v>1727</v>
      </c>
      <c r="B1766" s="21" t="s">
        <v>1513</v>
      </c>
      <c r="C1766" s="15" t="s">
        <v>3</v>
      </c>
      <c r="D1766" s="21" t="s">
        <v>1200</v>
      </c>
      <c r="E1766" s="21"/>
      <c r="F1766" s="69" t="s">
        <v>4</v>
      </c>
      <c r="G1766" s="9">
        <v>32509</v>
      </c>
      <c r="H1766" s="22">
        <v>3310</v>
      </c>
      <c r="I1766" s="17">
        <v>0</v>
      </c>
      <c r="J1766" s="17">
        <f t="shared" si="276"/>
        <v>3144.5</v>
      </c>
      <c r="K1766" s="17">
        <f t="shared" ref="K1766:K1829" si="277">H1766+I1766-J1766</f>
        <v>165.5</v>
      </c>
      <c r="L1766" s="23">
        <f t="shared" si="273"/>
        <v>165.5</v>
      </c>
      <c r="M1766" s="23">
        <v>5</v>
      </c>
      <c r="N1766" s="18">
        <f t="shared" ref="N1766:N1829" si="278">IF(($N$35-G1766+1)/365&gt;0,($N$35-G1766+1)/365,0)</f>
        <v>31.271232876712329</v>
      </c>
      <c r="O1766" s="23">
        <v>1572.25</v>
      </c>
      <c r="P1766" s="18">
        <f t="shared" ref="P1766:P1829" si="279">($P$35-G1766+1)/365</f>
        <v>32.271232876712325</v>
      </c>
      <c r="Q1766" s="18">
        <f t="shared" si="271"/>
        <v>0</v>
      </c>
      <c r="R1766" s="18">
        <f t="shared" ref="R1766:R1829" si="280">Q1766+O1766</f>
        <v>1572.25</v>
      </c>
      <c r="S1766" s="18">
        <f t="shared" si="275"/>
        <v>165.5</v>
      </c>
    </row>
    <row r="1767" spans="1:19" ht="15" customHeight="1" x14ac:dyDescent="0.2">
      <c r="A1767" s="14">
        <f t="shared" si="274"/>
        <v>1728</v>
      </c>
      <c r="B1767" s="21" t="s">
        <v>1514</v>
      </c>
      <c r="C1767" s="15" t="s">
        <v>3</v>
      </c>
      <c r="D1767" s="21" t="s">
        <v>1200</v>
      </c>
      <c r="E1767" s="21"/>
      <c r="F1767" s="69" t="s">
        <v>4</v>
      </c>
      <c r="G1767" s="9">
        <v>32509</v>
      </c>
      <c r="H1767" s="22">
        <v>2200</v>
      </c>
      <c r="I1767" s="17">
        <v>0</v>
      </c>
      <c r="J1767" s="17">
        <f t="shared" si="276"/>
        <v>2090</v>
      </c>
      <c r="K1767" s="17">
        <f t="shared" si="277"/>
        <v>110</v>
      </c>
      <c r="L1767" s="23">
        <f t="shared" si="273"/>
        <v>110</v>
      </c>
      <c r="M1767" s="23">
        <v>5</v>
      </c>
      <c r="N1767" s="18">
        <f t="shared" si="278"/>
        <v>31.271232876712329</v>
      </c>
      <c r="O1767" s="23">
        <v>1045</v>
      </c>
      <c r="P1767" s="18">
        <f t="shared" si="279"/>
        <v>32.271232876712325</v>
      </c>
      <c r="Q1767" s="18">
        <f t="shared" si="271"/>
        <v>0</v>
      </c>
      <c r="R1767" s="18">
        <f t="shared" si="280"/>
        <v>1045</v>
      </c>
      <c r="S1767" s="18">
        <f t="shared" si="275"/>
        <v>110</v>
      </c>
    </row>
    <row r="1768" spans="1:19" ht="15" customHeight="1" x14ac:dyDescent="0.2">
      <c r="A1768" s="14">
        <f t="shared" si="274"/>
        <v>1729</v>
      </c>
      <c r="B1768" s="21" t="s">
        <v>1515</v>
      </c>
      <c r="C1768" s="15" t="s">
        <v>3</v>
      </c>
      <c r="D1768" s="21" t="s">
        <v>1200</v>
      </c>
      <c r="E1768" s="21"/>
      <c r="F1768" s="69" t="s">
        <v>4</v>
      </c>
      <c r="G1768" s="9">
        <v>32143</v>
      </c>
      <c r="H1768" s="22">
        <v>2750</v>
      </c>
      <c r="I1768" s="17">
        <v>0</v>
      </c>
      <c r="J1768" s="17">
        <f t="shared" si="276"/>
        <v>2612.5</v>
      </c>
      <c r="K1768" s="17">
        <f t="shared" si="277"/>
        <v>137.5</v>
      </c>
      <c r="L1768" s="23">
        <f t="shared" si="273"/>
        <v>137.5</v>
      </c>
      <c r="M1768" s="23">
        <v>5</v>
      </c>
      <c r="N1768" s="18">
        <f t="shared" si="278"/>
        <v>32.273972602739725</v>
      </c>
      <c r="O1768" s="23">
        <v>1306.25</v>
      </c>
      <c r="P1768" s="18">
        <f t="shared" si="279"/>
        <v>33.273972602739725</v>
      </c>
      <c r="Q1768" s="18">
        <f t="shared" ref="Q1768:Q1831" si="281">(P1768-N1768)/M1768*(K1768-L1768)</f>
        <v>0</v>
      </c>
      <c r="R1768" s="18">
        <f t="shared" si="280"/>
        <v>1306.25</v>
      </c>
      <c r="S1768" s="18">
        <f t="shared" si="275"/>
        <v>137.5</v>
      </c>
    </row>
    <row r="1769" spans="1:19" ht="15" customHeight="1" x14ac:dyDescent="0.2">
      <c r="A1769" s="14">
        <f t="shared" si="274"/>
        <v>1730</v>
      </c>
      <c r="B1769" s="21" t="s">
        <v>1516</v>
      </c>
      <c r="C1769" s="15" t="s">
        <v>3</v>
      </c>
      <c r="D1769" s="21" t="s">
        <v>1200</v>
      </c>
      <c r="E1769" s="21"/>
      <c r="F1769" s="69" t="s">
        <v>4</v>
      </c>
      <c r="G1769" s="9">
        <v>32143</v>
      </c>
      <c r="H1769" s="22">
        <v>5617</v>
      </c>
      <c r="I1769" s="17">
        <v>0</v>
      </c>
      <c r="J1769" s="17">
        <f t="shared" si="276"/>
        <v>5336.15</v>
      </c>
      <c r="K1769" s="17">
        <f t="shared" si="277"/>
        <v>280.85000000000036</v>
      </c>
      <c r="L1769" s="23">
        <f t="shared" si="273"/>
        <v>280.85000000000002</v>
      </c>
      <c r="M1769" s="23">
        <v>5</v>
      </c>
      <c r="N1769" s="18">
        <f t="shared" si="278"/>
        <v>32.273972602739725</v>
      </c>
      <c r="O1769" s="23">
        <v>2668.0749999999998</v>
      </c>
      <c r="P1769" s="18">
        <f t="shared" si="279"/>
        <v>33.273972602739725</v>
      </c>
      <c r="Q1769" s="18">
        <f t="shared" si="281"/>
        <v>6.8212102632969628E-14</v>
      </c>
      <c r="R1769" s="18">
        <f t="shared" si="280"/>
        <v>2668.0749999999998</v>
      </c>
      <c r="S1769" s="18">
        <f t="shared" si="275"/>
        <v>280.85000000000002</v>
      </c>
    </row>
    <row r="1770" spans="1:19" ht="15" customHeight="1" x14ac:dyDescent="0.2">
      <c r="A1770" s="14">
        <f t="shared" si="274"/>
        <v>1731</v>
      </c>
      <c r="B1770" s="21" t="s">
        <v>1517</v>
      </c>
      <c r="C1770" s="15" t="s">
        <v>3</v>
      </c>
      <c r="D1770" s="21" t="s">
        <v>1200</v>
      </c>
      <c r="E1770" s="21"/>
      <c r="F1770" s="69" t="s">
        <v>4</v>
      </c>
      <c r="G1770" s="9">
        <v>32143</v>
      </c>
      <c r="H1770" s="22">
        <v>447</v>
      </c>
      <c r="I1770" s="17">
        <v>0</v>
      </c>
      <c r="J1770" s="17">
        <f t="shared" si="276"/>
        <v>424.65</v>
      </c>
      <c r="K1770" s="17">
        <f t="shared" si="277"/>
        <v>22.350000000000023</v>
      </c>
      <c r="L1770" s="23">
        <f t="shared" ref="L1770:L1833" si="282">H1770*0.05</f>
        <v>22.35</v>
      </c>
      <c r="M1770" s="23">
        <v>10</v>
      </c>
      <c r="N1770" s="18">
        <f t="shared" si="278"/>
        <v>32.273972602739725</v>
      </c>
      <c r="O1770" s="23">
        <v>212.32499999999999</v>
      </c>
      <c r="P1770" s="18">
        <f t="shared" si="279"/>
        <v>33.273972602739725</v>
      </c>
      <c r="Q1770" s="18">
        <f t="shared" si="281"/>
        <v>2.1316282072803009E-15</v>
      </c>
      <c r="R1770" s="18">
        <f t="shared" si="280"/>
        <v>212.32499999999999</v>
      </c>
      <c r="S1770" s="18">
        <f t="shared" si="275"/>
        <v>22.35</v>
      </c>
    </row>
    <row r="1771" spans="1:19" ht="15" customHeight="1" x14ac:dyDescent="0.2">
      <c r="A1771" s="14">
        <f t="shared" ref="A1771:A1834" si="283">+A1770+1</f>
        <v>1732</v>
      </c>
      <c r="B1771" s="21" t="s">
        <v>1518</v>
      </c>
      <c r="C1771" s="15" t="s">
        <v>3</v>
      </c>
      <c r="D1771" s="21" t="s">
        <v>1200</v>
      </c>
      <c r="E1771" s="21"/>
      <c r="F1771" s="69" t="s">
        <v>4</v>
      </c>
      <c r="G1771" s="9">
        <v>32143</v>
      </c>
      <c r="H1771" s="22">
        <v>314</v>
      </c>
      <c r="I1771" s="17">
        <v>0</v>
      </c>
      <c r="J1771" s="17">
        <f t="shared" si="276"/>
        <v>298.3</v>
      </c>
      <c r="K1771" s="17">
        <f t="shared" si="277"/>
        <v>15.699999999999989</v>
      </c>
      <c r="L1771" s="23">
        <f t="shared" si="282"/>
        <v>15.700000000000001</v>
      </c>
      <c r="M1771" s="23">
        <v>5</v>
      </c>
      <c r="N1771" s="18">
        <f t="shared" si="278"/>
        <v>32.273972602739725</v>
      </c>
      <c r="O1771" s="23">
        <v>149.15</v>
      </c>
      <c r="P1771" s="18">
        <f t="shared" si="279"/>
        <v>33.273972602739725</v>
      </c>
      <c r="Q1771" s="18">
        <f t="shared" si="281"/>
        <v>-2.4868995751603509E-15</v>
      </c>
      <c r="R1771" s="18">
        <f t="shared" si="280"/>
        <v>149.15</v>
      </c>
      <c r="S1771" s="18">
        <f t="shared" si="275"/>
        <v>15.700000000000001</v>
      </c>
    </row>
    <row r="1772" spans="1:19" ht="15" customHeight="1" x14ac:dyDescent="0.2">
      <c r="A1772" s="14">
        <f t="shared" si="283"/>
        <v>1733</v>
      </c>
      <c r="B1772" s="21" t="s">
        <v>1519</v>
      </c>
      <c r="C1772" s="15" t="s">
        <v>3</v>
      </c>
      <c r="D1772" s="21" t="s">
        <v>1200</v>
      </c>
      <c r="E1772" s="21"/>
      <c r="F1772" s="69" t="s">
        <v>4</v>
      </c>
      <c r="G1772" s="9">
        <v>32143</v>
      </c>
      <c r="H1772" s="22">
        <v>603</v>
      </c>
      <c r="I1772" s="17">
        <v>0</v>
      </c>
      <c r="J1772" s="17">
        <f t="shared" si="276"/>
        <v>572.85</v>
      </c>
      <c r="K1772" s="17">
        <f t="shared" si="277"/>
        <v>30.149999999999977</v>
      </c>
      <c r="L1772" s="23">
        <f t="shared" si="282"/>
        <v>30.150000000000002</v>
      </c>
      <c r="M1772" s="23">
        <v>5</v>
      </c>
      <c r="N1772" s="18">
        <f t="shared" si="278"/>
        <v>32.273972602739725</v>
      </c>
      <c r="O1772" s="23">
        <v>286.42500000000001</v>
      </c>
      <c r="P1772" s="18">
        <f t="shared" si="279"/>
        <v>33.273972602739725</v>
      </c>
      <c r="Q1772" s="18">
        <f t="shared" si="281"/>
        <v>-4.9737991503207018E-15</v>
      </c>
      <c r="R1772" s="18">
        <f t="shared" si="280"/>
        <v>286.42500000000001</v>
      </c>
      <c r="S1772" s="18">
        <f t="shared" si="275"/>
        <v>30.150000000000002</v>
      </c>
    </row>
    <row r="1773" spans="1:19" ht="15" customHeight="1" x14ac:dyDescent="0.2">
      <c r="A1773" s="14">
        <f t="shared" si="283"/>
        <v>1734</v>
      </c>
      <c r="B1773" s="21" t="s">
        <v>1520</v>
      </c>
      <c r="C1773" s="15" t="s">
        <v>3</v>
      </c>
      <c r="D1773" s="21" t="s">
        <v>1200</v>
      </c>
      <c r="E1773" s="21"/>
      <c r="F1773" s="69" t="s">
        <v>4</v>
      </c>
      <c r="G1773" s="9">
        <v>32143</v>
      </c>
      <c r="H1773" s="22">
        <v>14455</v>
      </c>
      <c r="I1773" s="17">
        <v>0</v>
      </c>
      <c r="J1773" s="17">
        <f t="shared" si="276"/>
        <v>13732.25</v>
      </c>
      <c r="K1773" s="17">
        <f t="shared" si="277"/>
        <v>722.75</v>
      </c>
      <c r="L1773" s="23">
        <f t="shared" si="282"/>
        <v>722.75</v>
      </c>
      <c r="M1773" s="23">
        <v>5</v>
      </c>
      <c r="N1773" s="18">
        <f t="shared" si="278"/>
        <v>32.273972602739725</v>
      </c>
      <c r="O1773" s="23">
        <v>6866.125</v>
      </c>
      <c r="P1773" s="18">
        <f t="shared" si="279"/>
        <v>33.273972602739725</v>
      </c>
      <c r="Q1773" s="18">
        <f t="shared" si="281"/>
        <v>0</v>
      </c>
      <c r="R1773" s="18">
        <f t="shared" si="280"/>
        <v>6866.125</v>
      </c>
      <c r="S1773" s="18">
        <f t="shared" si="275"/>
        <v>722.75</v>
      </c>
    </row>
    <row r="1774" spans="1:19" ht="15" customHeight="1" x14ac:dyDescent="0.2">
      <c r="A1774" s="14">
        <f t="shared" si="283"/>
        <v>1735</v>
      </c>
      <c r="B1774" s="21" t="s">
        <v>1521</v>
      </c>
      <c r="C1774" s="15" t="s">
        <v>3</v>
      </c>
      <c r="D1774" s="21" t="s">
        <v>1200</v>
      </c>
      <c r="E1774" s="21"/>
      <c r="F1774" s="69" t="s">
        <v>4</v>
      </c>
      <c r="G1774" s="9">
        <v>31778</v>
      </c>
      <c r="H1774" s="22">
        <v>446</v>
      </c>
      <c r="I1774" s="17">
        <v>0</v>
      </c>
      <c r="J1774" s="17">
        <f t="shared" si="276"/>
        <v>423.7</v>
      </c>
      <c r="K1774" s="17">
        <f t="shared" si="277"/>
        <v>22.300000000000011</v>
      </c>
      <c r="L1774" s="23">
        <f t="shared" si="282"/>
        <v>22.3</v>
      </c>
      <c r="M1774" s="23">
        <v>5</v>
      </c>
      <c r="N1774" s="18">
        <f t="shared" si="278"/>
        <v>33.273972602739725</v>
      </c>
      <c r="O1774" s="23">
        <v>211.85</v>
      </c>
      <c r="P1774" s="18">
        <f t="shared" si="279"/>
        <v>34.273972602739725</v>
      </c>
      <c r="Q1774" s="18">
        <f t="shared" si="281"/>
        <v>2.1316282072803009E-15</v>
      </c>
      <c r="R1774" s="18">
        <f t="shared" si="280"/>
        <v>211.85</v>
      </c>
      <c r="S1774" s="18">
        <f t="shared" si="275"/>
        <v>22.3</v>
      </c>
    </row>
    <row r="1775" spans="1:19" ht="15" customHeight="1" x14ac:dyDescent="0.2">
      <c r="A1775" s="14">
        <f t="shared" si="283"/>
        <v>1736</v>
      </c>
      <c r="B1775" s="21" t="s">
        <v>1522</v>
      </c>
      <c r="C1775" s="15" t="s">
        <v>3</v>
      </c>
      <c r="D1775" s="21" t="s">
        <v>1200</v>
      </c>
      <c r="E1775" s="21"/>
      <c r="F1775" s="69" t="s">
        <v>4</v>
      </c>
      <c r="G1775" s="9">
        <v>31778</v>
      </c>
      <c r="H1775" s="22">
        <v>1050</v>
      </c>
      <c r="I1775" s="17">
        <v>0</v>
      </c>
      <c r="J1775" s="17">
        <f t="shared" si="276"/>
        <v>997.5</v>
      </c>
      <c r="K1775" s="17">
        <f t="shared" si="277"/>
        <v>52.5</v>
      </c>
      <c r="L1775" s="23">
        <f t="shared" si="282"/>
        <v>52.5</v>
      </c>
      <c r="M1775" s="23">
        <v>5</v>
      </c>
      <c r="N1775" s="18">
        <f t="shared" si="278"/>
        <v>33.273972602739725</v>
      </c>
      <c r="O1775" s="23">
        <v>498.75</v>
      </c>
      <c r="P1775" s="18">
        <f t="shared" si="279"/>
        <v>34.273972602739725</v>
      </c>
      <c r="Q1775" s="18">
        <f t="shared" si="281"/>
        <v>0</v>
      </c>
      <c r="R1775" s="18">
        <f t="shared" si="280"/>
        <v>498.75</v>
      </c>
      <c r="S1775" s="18">
        <f t="shared" si="275"/>
        <v>52.5</v>
      </c>
    </row>
    <row r="1776" spans="1:19" ht="15" customHeight="1" x14ac:dyDescent="0.2">
      <c r="A1776" s="14">
        <f t="shared" si="283"/>
        <v>1737</v>
      </c>
      <c r="B1776" s="21" t="s">
        <v>1523</v>
      </c>
      <c r="C1776" s="15" t="s">
        <v>3</v>
      </c>
      <c r="D1776" s="21" t="s">
        <v>1200</v>
      </c>
      <c r="E1776" s="21"/>
      <c r="F1776" s="69" t="s">
        <v>4</v>
      </c>
      <c r="G1776" s="9">
        <v>31778</v>
      </c>
      <c r="H1776" s="22">
        <v>700</v>
      </c>
      <c r="I1776" s="17">
        <v>0</v>
      </c>
      <c r="J1776" s="17">
        <f t="shared" si="276"/>
        <v>665</v>
      </c>
      <c r="K1776" s="17">
        <f t="shared" si="277"/>
        <v>35</v>
      </c>
      <c r="L1776" s="23">
        <f t="shared" si="282"/>
        <v>35</v>
      </c>
      <c r="M1776" s="23">
        <v>5</v>
      </c>
      <c r="N1776" s="18">
        <f t="shared" si="278"/>
        <v>33.273972602739725</v>
      </c>
      <c r="O1776" s="23">
        <v>332.5</v>
      </c>
      <c r="P1776" s="18">
        <f t="shared" si="279"/>
        <v>34.273972602739725</v>
      </c>
      <c r="Q1776" s="18">
        <f t="shared" si="281"/>
        <v>0</v>
      </c>
      <c r="R1776" s="18">
        <f t="shared" si="280"/>
        <v>332.5</v>
      </c>
      <c r="S1776" s="18">
        <f t="shared" si="275"/>
        <v>35</v>
      </c>
    </row>
    <row r="1777" spans="1:19" ht="15" customHeight="1" x14ac:dyDescent="0.2">
      <c r="A1777" s="14">
        <f t="shared" si="283"/>
        <v>1738</v>
      </c>
      <c r="B1777" s="21" t="s">
        <v>1524</v>
      </c>
      <c r="C1777" s="15" t="s">
        <v>3</v>
      </c>
      <c r="D1777" s="21" t="s">
        <v>1200</v>
      </c>
      <c r="E1777" s="21"/>
      <c r="F1777" s="69" t="s">
        <v>4</v>
      </c>
      <c r="G1777" s="9">
        <v>31413</v>
      </c>
      <c r="H1777" s="22">
        <v>2231</v>
      </c>
      <c r="I1777" s="17">
        <v>0</v>
      </c>
      <c r="J1777" s="17">
        <f t="shared" si="276"/>
        <v>2119.4499999999998</v>
      </c>
      <c r="K1777" s="17">
        <f t="shared" si="277"/>
        <v>111.55000000000018</v>
      </c>
      <c r="L1777" s="23">
        <f t="shared" si="282"/>
        <v>111.55000000000001</v>
      </c>
      <c r="M1777" s="23">
        <v>5</v>
      </c>
      <c r="N1777" s="18">
        <f t="shared" si="278"/>
        <v>34.273972602739725</v>
      </c>
      <c r="O1777" s="23">
        <v>1059.7249999999999</v>
      </c>
      <c r="P1777" s="18">
        <f t="shared" si="279"/>
        <v>35.273972602739725</v>
      </c>
      <c r="Q1777" s="18">
        <f t="shared" si="281"/>
        <v>3.4106051316484814E-14</v>
      </c>
      <c r="R1777" s="18">
        <f t="shared" si="280"/>
        <v>1059.7249999999999</v>
      </c>
      <c r="S1777" s="18">
        <f t="shared" si="275"/>
        <v>111.55000000000001</v>
      </c>
    </row>
    <row r="1778" spans="1:19" ht="15" customHeight="1" x14ac:dyDescent="0.2">
      <c r="A1778" s="14">
        <f t="shared" si="283"/>
        <v>1739</v>
      </c>
      <c r="B1778" s="21" t="s">
        <v>1525</v>
      </c>
      <c r="C1778" s="15" t="s">
        <v>3</v>
      </c>
      <c r="D1778" s="21" t="s">
        <v>1200</v>
      </c>
      <c r="E1778" s="21"/>
      <c r="F1778" s="69" t="s">
        <v>4</v>
      </c>
      <c r="G1778" s="9">
        <v>31413</v>
      </c>
      <c r="H1778" s="22">
        <v>2640</v>
      </c>
      <c r="I1778" s="17">
        <v>0</v>
      </c>
      <c r="J1778" s="17">
        <f t="shared" si="276"/>
        <v>2508</v>
      </c>
      <c r="K1778" s="17">
        <f t="shared" si="277"/>
        <v>132</v>
      </c>
      <c r="L1778" s="23">
        <f t="shared" si="282"/>
        <v>132</v>
      </c>
      <c r="M1778" s="23">
        <v>5</v>
      </c>
      <c r="N1778" s="18">
        <f t="shared" si="278"/>
        <v>34.273972602739725</v>
      </c>
      <c r="O1778" s="23">
        <v>1254</v>
      </c>
      <c r="P1778" s="18">
        <f t="shared" si="279"/>
        <v>35.273972602739725</v>
      </c>
      <c r="Q1778" s="18">
        <f t="shared" si="281"/>
        <v>0</v>
      </c>
      <c r="R1778" s="18">
        <f t="shared" si="280"/>
        <v>1254</v>
      </c>
      <c r="S1778" s="18">
        <f t="shared" ref="S1778:S1841" si="284">+IF(N1778&gt;P1778,0,L1778)</f>
        <v>132</v>
      </c>
    </row>
    <row r="1779" spans="1:19" ht="15" customHeight="1" x14ac:dyDescent="0.2">
      <c r="A1779" s="14">
        <f t="shared" si="283"/>
        <v>1740</v>
      </c>
      <c r="B1779" s="21" t="s">
        <v>1484</v>
      </c>
      <c r="C1779" s="15" t="s">
        <v>3</v>
      </c>
      <c r="D1779" s="21" t="s">
        <v>1200</v>
      </c>
      <c r="E1779" s="21"/>
      <c r="F1779" s="69" t="s">
        <v>4</v>
      </c>
      <c r="G1779" s="9">
        <v>31413</v>
      </c>
      <c r="H1779" s="22">
        <v>795</v>
      </c>
      <c r="I1779" s="17">
        <v>0</v>
      </c>
      <c r="J1779" s="17">
        <f t="shared" si="276"/>
        <v>755.25</v>
      </c>
      <c r="K1779" s="17">
        <f t="shared" si="277"/>
        <v>39.75</v>
      </c>
      <c r="L1779" s="23">
        <f t="shared" si="282"/>
        <v>39.75</v>
      </c>
      <c r="M1779" s="23">
        <v>5</v>
      </c>
      <c r="N1779" s="18">
        <f t="shared" si="278"/>
        <v>34.273972602739725</v>
      </c>
      <c r="O1779" s="23">
        <v>377.625</v>
      </c>
      <c r="P1779" s="18">
        <f t="shared" si="279"/>
        <v>35.273972602739725</v>
      </c>
      <c r="Q1779" s="18">
        <f t="shared" si="281"/>
        <v>0</v>
      </c>
      <c r="R1779" s="18">
        <f t="shared" si="280"/>
        <v>377.625</v>
      </c>
      <c r="S1779" s="18">
        <f t="shared" si="284"/>
        <v>39.75</v>
      </c>
    </row>
    <row r="1780" spans="1:19" ht="15" customHeight="1" x14ac:dyDescent="0.2">
      <c r="A1780" s="14">
        <f t="shared" si="283"/>
        <v>1741</v>
      </c>
      <c r="B1780" s="21" t="s">
        <v>1526</v>
      </c>
      <c r="C1780" s="15" t="s">
        <v>3</v>
      </c>
      <c r="D1780" s="21" t="s">
        <v>1200</v>
      </c>
      <c r="E1780" s="21"/>
      <c r="F1780" s="69" t="s">
        <v>4</v>
      </c>
      <c r="G1780" s="9">
        <v>31413</v>
      </c>
      <c r="H1780" s="22">
        <v>853</v>
      </c>
      <c r="I1780" s="17">
        <v>0</v>
      </c>
      <c r="J1780" s="17">
        <f t="shared" si="276"/>
        <v>810.35</v>
      </c>
      <c r="K1780" s="17">
        <f t="shared" si="277"/>
        <v>42.649999999999977</v>
      </c>
      <c r="L1780" s="23">
        <f t="shared" si="282"/>
        <v>42.650000000000006</v>
      </c>
      <c r="M1780" s="23">
        <v>10</v>
      </c>
      <c r="N1780" s="18">
        <f t="shared" si="278"/>
        <v>34.273972602739725</v>
      </c>
      <c r="O1780" s="23">
        <v>405.17500000000001</v>
      </c>
      <c r="P1780" s="18">
        <f t="shared" si="279"/>
        <v>35.273972602739725</v>
      </c>
      <c r="Q1780" s="18">
        <f t="shared" si="281"/>
        <v>-2.8421709430404009E-15</v>
      </c>
      <c r="R1780" s="18">
        <f t="shared" si="280"/>
        <v>405.17500000000001</v>
      </c>
      <c r="S1780" s="18">
        <f t="shared" si="284"/>
        <v>42.650000000000006</v>
      </c>
    </row>
    <row r="1781" spans="1:19" ht="15" customHeight="1" x14ac:dyDescent="0.2">
      <c r="A1781" s="14">
        <f t="shared" si="283"/>
        <v>1742</v>
      </c>
      <c r="B1781" s="21" t="s">
        <v>1495</v>
      </c>
      <c r="C1781" s="15" t="s">
        <v>3</v>
      </c>
      <c r="D1781" s="21" t="s">
        <v>1200</v>
      </c>
      <c r="E1781" s="21"/>
      <c r="F1781" s="69" t="s">
        <v>4</v>
      </c>
      <c r="G1781" s="9">
        <v>31048</v>
      </c>
      <c r="H1781" s="22">
        <v>3033</v>
      </c>
      <c r="I1781" s="17">
        <v>0</v>
      </c>
      <c r="J1781" s="17">
        <f t="shared" si="276"/>
        <v>2881.35</v>
      </c>
      <c r="K1781" s="17">
        <f t="shared" si="277"/>
        <v>151.65000000000009</v>
      </c>
      <c r="L1781" s="23">
        <f t="shared" si="282"/>
        <v>151.65</v>
      </c>
      <c r="M1781" s="23">
        <v>5</v>
      </c>
      <c r="N1781" s="18">
        <f t="shared" si="278"/>
        <v>35.273972602739725</v>
      </c>
      <c r="O1781" s="23">
        <v>1440.675</v>
      </c>
      <c r="P1781" s="18">
        <f t="shared" si="279"/>
        <v>36.273972602739725</v>
      </c>
      <c r="Q1781" s="18">
        <f t="shared" si="281"/>
        <v>1.7053025658242407E-14</v>
      </c>
      <c r="R1781" s="18">
        <f t="shared" si="280"/>
        <v>1440.675</v>
      </c>
      <c r="S1781" s="18">
        <f t="shared" si="284"/>
        <v>151.65</v>
      </c>
    </row>
    <row r="1782" spans="1:19" ht="15" customHeight="1" x14ac:dyDescent="0.2">
      <c r="A1782" s="14">
        <f t="shared" si="283"/>
        <v>1743</v>
      </c>
      <c r="B1782" s="21" t="s">
        <v>1527</v>
      </c>
      <c r="C1782" s="15" t="s">
        <v>3</v>
      </c>
      <c r="D1782" s="21" t="s">
        <v>1200</v>
      </c>
      <c r="E1782" s="21"/>
      <c r="F1782" s="69" t="s">
        <v>4</v>
      </c>
      <c r="G1782" s="9">
        <v>31048</v>
      </c>
      <c r="H1782" s="22">
        <v>955</v>
      </c>
      <c r="I1782" s="17">
        <v>0</v>
      </c>
      <c r="J1782" s="17">
        <f t="shared" si="276"/>
        <v>907.25</v>
      </c>
      <c r="K1782" s="17">
        <f t="shared" si="277"/>
        <v>47.75</v>
      </c>
      <c r="L1782" s="23">
        <f t="shared" si="282"/>
        <v>47.75</v>
      </c>
      <c r="M1782" s="23">
        <v>5</v>
      </c>
      <c r="N1782" s="18">
        <f t="shared" si="278"/>
        <v>35.273972602739725</v>
      </c>
      <c r="O1782" s="23">
        <v>453.625</v>
      </c>
      <c r="P1782" s="18">
        <f t="shared" si="279"/>
        <v>36.273972602739725</v>
      </c>
      <c r="Q1782" s="18">
        <f t="shared" si="281"/>
        <v>0</v>
      </c>
      <c r="R1782" s="18">
        <f t="shared" si="280"/>
        <v>453.625</v>
      </c>
      <c r="S1782" s="18">
        <f t="shared" si="284"/>
        <v>47.75</v>
      </c>
    </row>
    <row r="1783" spans="1:19" ht="15" customHeight="1" x14ac:dyDescent="0.2">
      <c r="A1783" s="14">
        <f t="shared" si="283"/>
        <v>1744</v>
      </c>
      <c r="B1783" s="21" t="s">
        <v>1528</v>
      </c>
      <c r="C1783" s="15" t="s">
        <v>3</v>
      </c>
      <c r="D1783" s="21" t="s">
        <v>1200</v>
      </c>
      <c r="E1783" s="21"/>
      <c r="F1783" s="69" t="s">
        <v>4</v>
      </c>
      <c r="G1783" s="9">
        <v>31048</v>
      </c>
      <c r="H1783" s="22">
        <v>3171</v>
      </c>
      <c r="I1783" s="17">
        <v>0</v>
      </c>
      <c r="J1783" s="17">
        <f t="shared" si="276"/>
        <v>3012.45</v>
      </c>
      <c r="K1783" s="17">
        <f t="shared" si="277"/>
        <v>158.55000000000018</v>
      </c>
      <c r="L1783" s="23">
        <f t="shared" si="282"/>
        <v>158.55000000000001</v>
      </c>
      <c r="M1783" s="23">
        <v>5</v>
      </c>
      <c r="N1783" s="18">
        <f t="shared" si="278"/>
        <v>35.273972602739725</v>
      </c>
      <c r="O1783" s="23">
        <v>1506.2249999999999</v>
      </c>
      <c r="P1783" s="18">
        <f t="shared" si="279"/>
        <v>36.273972602739725</v>
      </c>
      <c r="Q1783" s="18">
        <f t="shared" si="281"/>
        <v>3.4106051316484814E-14</v>
      </c>
      <c r="R1783" s="18">
        <f t="shared" si="280"/>
        <v>1506.2249999999999</v>
      </c>
      <c r="S1783" s="18">
        <f t="shared" si="284"/>
        <v>158.55000000000001</v>
      </c>
    </row>
    <row r="1784" spans="1:19" ht="15" customHeight="1" x14ac:dyDescent="0.2">
      <c r="A1784" s="14">
        <f t="shared" si="283"/>
        <v>1745</v>
      </c>
      <c r="B1784" s="21" t="s">
        <v>1529</v>
      </c>
      <c r="C1784" s="15" t="s">
        <v>3</v>
      </c>
      <c r="D1784" s="21" t="s">
        <v>1200</v>
      </c>
      <c r="E1784" s="21"/>
      <c r="F1784" s="69" t="s">
        <v>4</v>
      </c>
      <c r="G1784" s="9">
        <v>31048</v>
      </c>
      <c r="H1784" s="22">
        <v>590</v>
      </c>
      <c r="I1784" s="17">
        <v>0</v>
      </c>
      <c r="J1784" s="17">
        <f t="shared" si="276"/>
        <v>560.5</v>
      </c>
      <c r="K1784" s="17">
        <f t="shared" si="277"/>
        <v>29.5</v>
      </c>
      <c r="L1784" s="23">
        <f t="shared" si="282"/>
        <v>29.5</v>
      </c>
      <c r="M1784" s="23">
        <v>5</v>
      </c>
      <c r="N1784" s="18">
        <f t="shared" si="278"/>
        <v>35.273972602739725</v>
      </c>
      <c r="O1784" s="23">
        <v>280.25</v>
      </c>
      <c r="P1784" s="18">
        <f t="shared" si="279"/>
        <v>36.273972602739725</v>
      </c>
      <c r="Q1784" s="18">
        <f t="shared" si="281"/>
        <v>0</v>
      </c>
      <c r="R1784" s="18">
        <f t="shared" si="280"/>
        <v>280.25</v>
      </c>
      <c r="S1784" s="18">
        <f t="shared" si="284"/>
        <v>29.5</v>
      </c>
    </row>
    <row r="1785" spans="1:19" ht="15" customHeight="1" x14ac:dyDescent="0.2">
      <c r="A1785" s="14">
        <f t="shared" si="283"/>
        <v>1746</v>
      </c>
      <c r="B1785" s="21" t="s">
        <v>1521</v>
      </c>
      <c r="C1785" s="15" t="s">
        <v>3</v>
      </c>
      <c r="D1785" s="21" t="s">
        <v>1200</v>
      </c>
      <c r="E1785" s="21"/>
      <c r="F1785" s="69" t="s">
        <v>4</v>
      </c>
      <c r="G1785" s="9">
        <v>31048</v>
      </c>
      <c r="H1785" s="22">
        <v>446</v>
      </c>
      <c r="I1785" s="17">
        <v>0</v>
      </c>
      <c r="J1785" s="17">
        <f t="shared" si="276"/>
        <v>423.7</v>
      </c>
      <c r="K1785" s="17">
        <f t="shared" si="277"/>
        <v>22.300000000000011</v>
      </c>
      <c r="L1785" s="23">
        <f t="shared" si="282"/>
        <v>22.3</v>
      </c>
      <c r="M1785" s="23">
        <v>5</v>
      </c>
      <c r="N1785" s="18">
        <f t="shared" si="278"/>
        <v>35.273972602739725</v>
      </c>
      <c r="O1785" s="23">
        <v>211.85</v>
      </c>
      <c r="P1785" s="18">
        <f t="shared" si="279"/>
        <v>36.273972602739725</v>
      </c>
      <c r="Q1785" s="18">
        <f t="shared" si="281"/>
        <v>2.1316282072803009E-15</v>
      </c>
      <c r="R1785" s="18">
        <f t="shared" si="280"/>
        <v>211.85</v>
      </c>
      <c r="S1785" s="18">
        <f t="shared" si="284"/>
        <v>22.3</v>
      </c>
    </row>
    <row r="1786" spans="1:19" ht="15" customHeight="1" x14ac:dyDescent="0.2">
      <c r="A1786" s="14">
        <f t="shared" si="283"/>
        <v>1747</v>
      </c>
      <c r="B1786" s="21" t="s">
        <v>1526</v>
      </c>
      <c r="C1786" s="15" t="s">
        <v>3</v>
      </c>
      <c r="D1786" s="21" t="s">
        <v>1200</v>
      </c>
      <c r="E1786" s="21"/>
      <c r="F1786" s="69" t="s">
        <v>4</v>
      </c>
      <c r="G1786" s="9">
        <v>31048</v>
      </c>
      <c r="H1786" s="22">
        <v>306</v>
      </c>
      <c r="I1786" s="17">
        <v>0</v>
      </c>
      <c r="J1786" s="17">
        <f t="shared" si="276"/>
        <v>290.7</v>
      </c>
      <c r="K1786" s="17">
        <f t="shared" si="277"/>
        <v>15.300000000000011</v>
      </c>
      <c r="L1786" s="23">
        <f t="shared" si="282"/>
        <v>15.3</v>
      </c>
      <c r="M1786" s="23">
        <v>10</v>
      </c>
      <c r="N1786" s="18">
        <f t="shared" si="278"/>
        <v>35.273972602739725</v>
      </c>
      <c r="O1786" s="23">
        <v>145.35</v>
      </c>
      <c r="P1786" s="18">
        <f t="shared" si="279"/>
        <v>36.273972602739725</v>
      </c>
      <c r="Q1786" s="18">
        <f t="shared" si="281"/>
        <v>1.0658141036401504E-15</v>
      </c>
      <c r="R1786" s="18">
        <f t="shared" si="280"/>
        <v>145.35</v>
      </c>
      <c r="S1786" s="18">
        <f t="shared" si="284"/>
        <v>15.3</v>
      </c>
    </row>
    <row r="1787" spans="1:19" ht="15" customHeight="1" x14ac:dyDescent="0.2">
      <c r="A1787" s="14">
        <f t="shared" si="283"/>
        <v>1748</v>
      </c>
      <c r="B1787" s="21" t="s">
        <v>1437</v>
      </c>
      <c r="C1787" s="15" t="s">
        <v>3</v>
      </c>
      <c r="D1787" s="21" t="s">
        <v>1200</v>
      </c>
      <c r="E1787" s="21"/>
      <c r="F1787" s="69" t="s">
        <v>4</v>
      </c>
      <c r="G1787" s="9">
        <v>31048</v>
      </c>
      <c r="H1787" s="22">
        <v>10760</v>
      </c>
      <c r="I1787" s="17">
        <v>0</v>
      </c>
      <c r="J1787" s="17">
        <f t="shared" si="276"/>
        <v>10222</v>
      </c>
      <c r="K1787" s="17">
        <f t="shared" si="277"/>
        <v>538</v>
      </c>
      <c r="L1787" s="23">
        <f t="shared" si="282"/>
        <v>538</v>
      </c>
      <c r="M1787" s="23">
        <v>5</v>
      </c>
      <c r="N1787" s="18">
        <f t="shared" si="278"/>
        <v>35.273972602739725</v>
      </c>
      <c r="O1787" s="23">
        <v>5111</v>
      </c>
      <c r="P1787" s="18">
        <f t="shared" si="279"/>
        <v>36.273972602739725</v>
      </c>
      <c r="Q1787" s="18">
        <f t="shared" si="281"/>
        <v>0</v>
      </c>
      <c r="R1787" s="18">
        <f t="shared" si="280"/>
        <v>5111</v>
      </c>
      <c r="S1787" s="18">
        <f t="shared" si="284"/>
        <v>538</v>
      </c>
    </row>
    <row r="1788" spans="1:19" ht="15" customHeight="1" x14ac:dyDescent="0.2">
      <c r="A1788" s="14">
        <f t="shared" si="283"/>
        <v>1749</v>
      </c>
      <c r="B1788" s="21" t="s">
        <v>1530</v>
      </c>
      <c r="C1788" s="15" t="s">
        <v>3</v>
      </c>
      <c r="D1788" s="21" t="s">
        <v>1200</v>
      </c>
      <c r="E1788" s="21"/>
      <c r="F1788" s="69" t="s">
        <v>4</v>
      </c>
      <c r="G1788" s="9">
        <v>30682</v>
      </c>
      <c r="H1788" s="22">
        <v>5131</v>
      </c>
      <c r="I1788" s="17">
        <v>0</v>
      </c>
      <c r="J1788" s="17">
        <f t="shared" si="276"/>
        <v>4874.45</v>
      </c>
      <c r="K1788" s="17">
        <f t="shared" si="277"/>
        <v>256.55000000000018</v>
      </c>
      <c r="L1788" s="23">
        <f t="shared" si="282"/>
        <v>256.55</v>
      </c>
      <c r="M1788" s="23">
        <v>5</v>
      </c>
      <c r="N1788" s="18">
        <f t="shared" si="278"/>
        <v>36.276712328767125</v>
      </c>
      <c r="O1788" s="23">
        <v>2437.2249999999999</v>
      </c>
      <c r="P1788" s="18">
        <f t="shared" si="279"/>
        <v>37.276712328767125</v>
      </c>
      <c r="Q1788" s="18">
        <f t="shared" si="281"/>
        <v>3.4106051316484814E-14</v>
      </c>
      <c r="R1788" s="18">
        <f t="shared" si="280"/>
        <v>2437.2249999999999</v>
      </c>
      <c r="S1788" s="18">
        <f t="shared" si="284"/>
        <v>256.55</v>
      </c>
    </row>
    <row r="1789" spans="1:19" ht="15" customHeight="1" x14ac:dyDescent="0.2">
      <c r="A1789" s="14">
        <f t="shared" si="283"/>
        <v>1750</v>
      </c>
      <c r="B1789" s="21" t="s">
        <v>1531</v>
      </c>
      <c r="C1789" s="15" t="s">
        <v>3</v>
      </c>
      <c r="D1789" s="21" t="s">
        <v>1200</v>
      </c>
      <c r="E1789" s="21"/>
      <c r="F1789" s="69" t="s">
        <v>4</v>
      </c>
      <c r="G1789" s="9">
        <v>30682</v>
      </c>
      <c r="H1789" s="22">
        <v>177</v>
      </c>
      <c r="I1789" s="17">
        <v>0</v>
      </c>
      <c r="J1789" s="17">
        <f t="shared" si="276"/>
        <v>168.15</v>
      </c>
      <c r="K1789" s="17">
        <f t="shared" si="277"/>
        <v>8.8499999999999943</v>
      </c>
      <c r="L1789" s="23">
        <f t="shared" si="282"/>
        <v>8.85</v>
      </c>
      <c r="M1789" s="23">
        <v>5</v>
      </c>
      <c r="N1789" s="18">
        <f t="shared" si="278"/>
        <v>36.276712328767125</v>
      </c>
      <c r="O1789" s="23">
        <v>84.075000000000003</v>
      </c>
      <c r="P1789" s="18">
        <f t="shared" si="279"/>
        <v>37.276712328767125</v>
      </c>
      <c r="Q1789" s="18">
        <f t="shared" si="281"/>
        <v>-1.0658141036401504E-15</v>
      </c>
      <c r="R1789" s="18">
        <f t="shared" si="280"/>
        <v>84.075000000000003</v>
      </c>
      <c r="S1789" s="18">
        <f t="shared" si="284"/>
        <v>8.85</v>
      </c>
    </row>
    <row r="1790" spans="1:19" ht="15" customHeight="1" x14ac:dyDescent="0.2">
      <c r="A1790" s="14">
        <f t="shared" si="283"/>
        <v>1751</v>
      </c>
      <c r="B1790" s="21" t="s">
        <v>1532</v>
      </c>
      <c r="C1790" s="15" t="s">
        <v>3</v>
      </c>
      <c r="D1790" s="21" t="s">
        <v>1200</v>
      </c>
      <c r="E1790" s="21"/>
      <c r="F1790" s="69" t="s">
        <v>4</v>
      </c>
      <c r="G1790" s="9">
        <v>30682</v>
      </c>
      <c r="H1790" s="22">
        <v>1465</v>
      </c>
      <c r="I1790" s="17">
        <v>0</v>
      </c>
      <c r="J1790" s="17">
        <f t="shared" si="276"/>
        <v>1391.75</v>
      </c>
      <c r="K1790" s="17">
        <f t="shared" si="277"/>
        <v>73.25</v>
      </c>
      <c r="L1790" s="23">
        <f t="shared" si="282"/>
        <v>73.25</v>
      </c>
      <c r="M1790" s="23">
        <v>5</v>
      </c>
      <c r="N1790" s="18">
        <f t="shared" si="278"/>
        <v>36.276712328767125</v>
      </c>
      <c r="O1790" s="23">
        <v>695.875</v>
      </c>
      <c r="P1790" s="18">
        <f t="shared" si="279"/>
        <v>37.276712328767125</v>
      </c>
      <c r="Q1790" s="18">
        <f t="shared" si="281"/>
        <v>0</v>
      </c>
      <c r="R1790" s="18">
        <f t="shared" si="280"/>
        <v>695.875</v>
      </c>
      <c r="S1790" s="18">
        <f t="shared" si="284"/>
        <v>73.25</v>
      </c>
    </row>
    <row r="1791" spans="1:19" ht="15" customHeight="1" x14ac:dyDescent="0.2">
      <c r="A1791" s="14">
        <f t="shared" si="283"/>
        <v>1752</v>
      </c>
      <c r="B1791" s="21" t="s">
        <v>1526</v>
      </c>
      <c r="C1791" s="15" t="s">
        <v>3</v>
      </c>
      <c r="D1791" s="21" t="s">
        <v>1200</v>
      </c>
      <c r="E1791" s="21"/>
      <c r="F1791" s="69" t="s">
        <v>4</v>
      </c>
      <c r="G1791" s="9">
        <v>30682</v>
      </c>
      <c r="H1791" s="22">
        <v>2331</v>
      </c>
      <c r="I1791" s="17">
        <v>0</v>
      </c>
      <c r="J1791" s="17">
        <f t="shared" si="276"/>
        <v>2214.4499999999998</v>
      </c>
      <c r="K1791" s="17">
        <f t="shared" si="277"/>
        <v>116.55000000000018</v>
      </c>
      <c r="L1791" s="23">
        <f t="shared" si="282"/>
        <v>116.55000000000001</v>
      </c>
      <c r="M1791" s="23">
        <v>10</v>
      </c>
      <c r="N1791" s="18">
        <f t="shared" si="278"/>
        <v>36.276712328767125</v>
      </c>
      <c r="O1791" s="23">
        <v>1107.2249999999999</v>
      </c>
      <c r="P1791" s="18">
        <f t="shared" si="279"/>
        <v>37.276712328767125</v>
      </c>
      <c r="Q1791" s="18">
        <f t="shared" si="281"/>
        <v>1.7053025658242407E-14</v>
      </c>
      <c r="R1791" s="18">
        <f t="shared" si="280"/>
        <v>1107.2249999999999</v>
      </c>
      <c r="S1791" s="18">
        <f t="shared" si="284"/>
        <v>116.55000000000001</v>
      </c>
    </row>
    <row r="1792" spans="1:19" ht="15" customHeight="1" x14ac:dyDescent="0.2">
      <c r="A1792" s="14">
        <f t="shared" si="283"/>
        <v>1753</v>
      </c>
      <c r="B1792" s="21" t="s">
        <v>1469</v>
      </c>
      <c r="C1792" s="15" t="s">
        <v>3</v>
      </c>
      <c r="D1792" s="21" t="s">
        <v>1200</v>
      </c>
      <c r="E1792" s="21"/>
      <c r="F1792" s="69" t="s">
        <v>4</v>
      </c>
      <c r="G1792" s="9">
        <v>30317</v>
      </c>
      <c r="H1792" s="22">
        <v>868</v>
      </c>
      <c r="I1792" s="17">
        <v>0</v>
      </c>
      <c r="J1792" s="17">
        <f t="shared" si="276"/>
        <v>824.6</v>
      </c>
      <c r="K1792" s="17">
        <f t="shared" si="277"/>
        <v>43.399999999999977</v>
      </c>
      <c r="L1792" s="23">
        <f t="shared" si="282"/>
        <v>43.400000000000006</v>
      </c>
      <c r="M1792" s="23">
        <v>5</v>
      </c>
      <c r="N1792" s="18">
        <f t="shared" si="278"/>
        <v>37.276712328767125</v>
      </c>
      <c r="O1792" s="23">
        <v>412.3</v>
      </c>
      <c r="P1792" s="18">
        <f t="shared" si="279"/>
        <v>38.276712328767125</v>
      </c>
      <c r="Q1792" s="18">
        <f t="shared" si="281"/>
        <v>-5.6843418860808018E-15</v>
      </c>
      <c r="R1792" s="18">
        <f t="shared" si="280"/>
        <v>412.3</v>
      </c>
      <c r="S1792" s="18">
        <f t="shared" si="284"/>
        <v>43.400000000000006</v>
      </c>
    </row>
    <row r="1793" spans="1:19" ht="15" customHeight="1" x14ac:dyDescent="0.2">
      <c r="A1793" s="14">
        <f t="shared" si="283"/>
        <v>1754</v>
      </c>
      <c r="B1793" s="21" t="s">
        <v>1515</v>
      </c>
      <c r="C1793" s="15" t="s">
        <v>3</v>
      </c>
      <c r="D1793" s="21" t="s">
        <v>1200</v>
      </c>
      <c r="E1793" s="21"/>
      <c r="F1793" s="69" t="s">
        <v>4</v>
      </c>
      <c r="G1793" s="9">
        <v>30317</v>
      </c>
      <c r="H1793" s="22">
        <v>2115</v>
      </c>
      <c r="I1793" s="17">
        <v>0</v>
      </c>
      <c r="J1793" s="17">
        <f t="shared" si="276"/>
        <v>2009.25</v>
      </c>
      <c r="K1793" s="17">
        <f t="shared" si="277"/>
        <v>105.75</v>
      </c>
      <c r="L1793" s="23">
        <f t="shared" si="282"/>
        <v>105.75</v>
      </c>
      <c r="M1793" s="23">
        <v>5</v>
      </c>
      <c r="N1793" s="18">
        <f t="shared" si="278"/>
        <v>37.276712328767125</v>
      </c>
      <c r="O1793" s="23">
        <v>1004.625</v>
      </c>
      <c r="P1793" s="18">
        <f t="shared" si="279"/>
        <v>38.276712328767125</v>
      </c>
      <c r="Q1793" s="18">
        <f t="shared" si="281"/>
        <v>0</v>
      </c>
      <c r="R1793" s="18">
        <f t="shared" si="280"/>
        <v>1004.625</v>
      </c>
      <c r="S1793" s="18">
        <f t="shared" si="284"/>
        <v>105.75</v>
      </c>
    </row>
    <row r="1794" spans="1:19" ht="15" customHeight="1" x14ac:dyDescent="0.2">
      <c r="A1794" s="14">
        <f t="shared" si="283"/>
        <v>1755</v>
      </c>
      <c r="B1794" s="21" t="s">
        <v>1533</v>
      </c>
      <c r="C1794" s="15" t="s">
        <v>3</v>
      </c>
      <c r="D1794" s="21" t="s">
        <v>1200</v>
      </c>
      <c r="E1794" s="21"/>
      <c r="F1794" s="69" t="s">
        <v>4</v>
      </c>
      <c r="G1794" s="9">
        <v>30317</v>
      </c>
      <c r="H1794" s="22">
        <v>5471</v>
      </c>
      <c r="I1794" s="17">
        <v>0</v>
      </c>
      <c r="J1794" s="17">
        <f t="shared" si="276"/>
        <v>5197.45</v>
      </c>
      <c r="K1794" s="17">
        <f t="shared" si="277"/>
        <v>273.55000000000018</v>
      </c>
      <c r="L1794" s="23">
        <f t="shared" si="282"/>
        <v>273.55</v>
      </c>
      <c r="M1794" s="23">
        <v>5</v>
      </c>
      <c r="N1794" s="18">
        <f t="shared" si="278"/>
        <v>37.276712328767125</v>
      </c>
      <c r="O1794" s="23">
        <v>2598.7249999999999</v>
      </c>
      <c r="P1794" s="18">
        <f t="shared" si="279"/>
        <v>38.276712328767125</v>
      </c>
      <c r="Q1794" s="18">
        <f t="shared" si="281"/>
        <v>3.4106051316484814E-14</v>
      </c>
      <c r="R1794" s="18">
        <f t="shared" si="280"/>
        <v>2598.7249999999999</v>
      </c>
      <c r="S1794" s="18">
        <f t="shared" si="284"/>
        <v>273.55</v>
      </c>
    </row>
    <row r="1795" spans="1:19" ht="15" customHeight="1" x14ac:dyDescent="0.2">
      <c r="A1795" s="14">
        <f t="shared" si="283"/>
        <v>1756</v>
      </c>
      <c r="B1795" s="21" t="s">
        <v>1534</v>
      </c>
      <c r="C1795" s="15" t="s">
        <v>3</v>
      </c>
      <c r="D1795" s="21" t="s">
        <v>1200</v>
      </c>
      <c r="E1795" s="21"/>
      <c r="F1795" s="69" t="s">
        <v>4</v>
      </c>
      <c r="G1795" s="9">
        <v>30317</v>
      </c>
      <c r="H1795" s="22">
        <v>400</v>
      </c>
      <c r="I1795" s="17">
        <v>0</v>
      </c>
      <c r="J1795" s="17">
        <f t="shared" si="276"/>
        <v>380</v>
      </c>
      <c r="K1795" s="17">
        <f t="shared" si="277"/>
        <v>20</v>
      </c>
      <c r="L1795" s="23">
        <f t="shared" si="282"/>
        <v>20</v>
      </c>
      <c r="M1795" s="23">
        <v>5</v>
      </c>
      <c r="N1795" s="18">
        <f t="shared" si="278"/>
        <v>37.276712328767125</v>
      </c>
      <c r="O1795" s="23">
        <v>190</v>
      </c>
      <c r="P1795" s="18">
        <f t="shared" si="279"/>
        <v>38.276712328767125</v>
      </c>
      <c r="Q1795" s="18">
        <f t="shared" si="281"/>
        <v>0</v>
      </c>
      <c r="R1795" s="18">
        <f t="shared" si="280"/>
        <v>190</v>
      </c>
      <c r="S1795" s="18">
        <f t="shared" si="284"/>
        <v>20</v>
      </c>
    </row>
    <row r="1796" spans="1:19" ht="15" customHeight="1" x14ac:dyDescent="0.2">
      <c r="A1796" s="14">
        <f t="shared" si="283"/>
        <v>1757</v>
      </c>
      <c r="B1796" s="21" t="s">
        <v>1526</v>
      </c>
      <c r="C1796" s="15" t="s">
        <v>3</v>
      </c>
      <c r="D1796" s="21" t="s">
        <v>1200</v>
      </c>
      <c r="E1796" s="21"/>
      <c r="F1796" s="69" t="s">
        <v>4</v>
      </c>
      <c r="G1796" s="9">
        <v>30317</v>
      </c>
      <c r="H1796" s="22">
        <v>520</v>
      </c>
      <c r="I1796" s="17">
        <v>0</v>
      </c>
      <c r="J1796" s="17">
        <f t="shared" si="276"/>
        <v>494</v>
      </c>
      <c r="K1796" s="17">
        <f t="shared" si="277"/>
        <v>26</v>
      </c>
      <c r="L1796" s="23">
        <f t="shared" si="282"/>
        <v>26</v>
      </c>
      <c r="M1796" s="23">
        <v>10</v>
      </c>
      <c r="N1796" s="18">
        <f t="shared" si="278"/>
        <v>37.276712328767125</v>
      </c>
      <c r="O1796" s="23">
        <v>247</v>
      </c>
      <c r="P1796" s="18">
        <f t="shared" si="279"/>
        <v>38.276712328767125</v>
      </c>
      <c r="Q1796" s="18">
        <f t="shared" si="281"/>
        <v>0</v>
      </c>
      <c r="R1796" s="18">
        <f t="shared" si="280"/>
        <v>247</v>
      </c>
      <c r="S1796" s="18">
        <f t="shared" si="284"/>
        <v>26</v>
      </c>
    </row>
    <row r="1797" spans="1:19" ht="15" customHeight="1" x14ac:dyDescent="0.2">
      <c r="A1797" s="14">
        <f t="shared" si="283"/>
        <v>1758</v>
      </c>
      <c r="B1797" s="21" t="s">
        <v>1535</v>
      </c>
      <c r="C1797" s="15" t="s">
        <v>3</v>
      </c>
      <c r="D1797" s="21" t="s">
        <v>1200</v>
      </c>
      <c r="E1797" s="21"/>
      <c r="F1797" s="69" t="s">
        <v>4</v>
      </c>
      <c r="G1797" s="9">
        <v>29952</v>
      </c>
      <c r="H1797" s="22">
        <v>285</v>
      </c>
      <c r="I1797" s="17">
        <v>0</v>
      </c>
      <c r="J1797" s="17">
        <f t="shared" si="276"/>
        <v>270.75</v>
      </c>
      <c r="K1797" s="17">
        <f t="shared" si="277"/>
        <v>14.25</v>
      </c>
      <c r="L1797" s="23">
        <f t="shared" si="282"/>
        <v>14.25</v>
      </c>
      <c r="M1797" s="23">
        <v>5</v>
      </c>
      <c r="N1797" s="18">
        <f t="shared" si="278"/>
        <v>38.276712328767125</v>
      </c>
      <c r="O1797" s="23">
        <v>135.375</v>
      </c>
      <c r="P1797" s="18">
        <f t="shared" si="279"/>
        <v>39.276712328767125</v>
      </c>
      <c r="Q1797" s="18">
        <f t="shared" si="281"/>
        <v>0</v>
      </c>
      <c r="R1797" s="18">
        <f t="shared" si="280"/>
        <v>135.375</v>
      </c>
      <c r="S1797" s="18">
        <f t="shared" si="284"/>
        <v>14.25</v>
      </c>
    </row>
    <row r="1798" spans="1:19" ht="15" customHeight="1" x14ac:dyDescent="0.2">
      <c r="A1798" s="14">
        <f t="shared" si="283"/>
        <v>1759</v>
      </c>
      <c r="B1798" s="21" t="s">
        <v>1536</v>
      </c>
      <c r="C1798" s="15" t="s">
        <v>3</v>
      </c>
      <c r="D1798" s="21" t="s">
        <v>1200</v>
      </c>
      <c r="E1798" s="21"/>
      <c r="F1798" s="69" t="s">
        <v>4</v>
      </c>
      <c r="G1798" s="9">
        <v>29952</v>
      </c>
      <c r="H1798" s="22">
        <v>1441</v>
      </c>
      <c r="I1798" s="17">
        <v>0</v>
      </c>
      <c r="J1798" s="17">
        <f t="shared" si="276"/>
        <v>1368.95</v>
      </c>
      <c r="K1798" s="17">
        <f t="shared" si="277"/>
        <v>72.049999999999955</v>
      </c>
      <c r="L1798" s="23">
        <f t="shared" si="282"/>
        <v>72.05</v>
      </c>
      <c r="M1798" s="23">
        <v>5</v>
      </c>
      <c r="N1798" s="18">
        <f t="shared" si="278"/>
        <v>38.276712328767125</v>
      </c>
      <c r="O1798" s="23">
        <v>684.47500000000002</v>
      </c>
      <c r="P1798" s="18">
        <f t="shared" si="279"/>
        <v>39.276712328767125</v>
      </c>
      <c r="Q1798" s="18">
        <f t="shared" si="281"/>
        <v>-8.5265128291212035E-15</v>
      </c>
      <c r="R1798" s="18">
        <f t="shared" si="280"/>
        <v>684.47500000000002</v>
      </c>
      <c r="S1798" s="18">
        <f t="shared" si="284"/>
        <v>72.05</v>
      </c>
    </row>
    <row r="1799" spans="1:19" ht="15" customHeight="1" x14ac:dyDescent="0.2">
      <c r="A1799" s="14">
        <f t="shared" si="283"/>
        <v>1760</v>
      </c>
      <c r="B1799" s="21" t="s">
        <v>1537</v>
      </c>
      <c r="C1799" s="15" t="s">
        <v>3</v>
      </c>
      <c r="D1799" s="21" t="s">
        <v>1200</v>
      </c>
      <c r="E1799" s="21"/>
      <c r="F1799" s="69" t="s">
        <v>4</v>
      </c>
      <c r="G1799" s="9">
        <v>29952</v>
      </c>
      <c r="H1799" s="22">
        <v>4413</v>
      </c>
      <c r="I1799" s="17">
        <v>0</v>
      </c>
      <c r="J1799" s="17">
        <f t="shared" si="276"/>
        <v>4192.3500000000004</v>
      </c>
      <c r="K1799" s="17">
        <f t="shared" si="277"/>
        <v>220.64999999999964</v>
      </c>
      <c r="L1799" s="23">
        <f t="shared" si="282"/>
        <v>220.65</v>
      </c>
      <c r="M1799" s="23">
        <v>5</v>
      </c>
      <c r="N1799" s="18">
        <f t="shared" si="278"/>
        <v>38.276712328767125</v>
      </c>
      <c r="O1799" s="23">
        <v>2096.1750000000002</v>
      </c>
      <c r="P1799" s="18">
        <f t="shared" si="279"/>
        <v>39.276712328767125</v>
      </c>
      <c r="Q1799" s="18">
        <f t="shared" si="281"/>
        <v>-7.3896444519050422E-14</v>
      </c>
      <c r="R1799" s="18">
        <f t="shared" si="280"/>
        <v>2096.1750000000002</v>
      </c>
      <c r="S1799" s="18">
        <f t="shared" si="284"/>
        <v>220.65</v>
      </c>
    </row>
    <row r="1800" spans="1:19" ht="15" customHeight="1" x14ac:dyDescent="0.2">
      <c r="A1800" s="14">
        <f t="shared" si="283"/>
        <v>1761</v>
      </c>
      <c r="B1800" s="21" t="s">
        <v>1538</v>
      </c>
      <c r="C1800" s="15" t="s">
        <v>3</v>
      </c>
      <c r="D1800" s="21" t="s">
        <v>1200</v>
      </c>
      <c r="E1800" s="21"/>
      <c r="F1800" s="69" t="s">
        <v>4</v>
      </c>
      <c r="G1800" s="9">
        <v>29952</v>
      </c>
      <c r="H1800" s="22">
        <v>344</v>
      </c>
      <c r="I1800" s="17">
        <v>0</v>
      </c>
      <c r="J1800" s="17">
        <f t="shared" ref="J1800:J1863" si="285">H1800-L1800</f>
        <v>326.8</v>
      </c>
      <c r="K1800" s="17">
        <f t="shared" si="277"/>
        <v>17.199999999999989</v>
      </c>
      <c r="L1800" s="23">
        <f t="shared" si="282"/>
        <v>17.2</v>
      </c>
      <c r="M1800" s="23">
        <v>5</v>
      </c>
      <c r="N1800" s="18">
        <f t="shared" si="278"/>
        <v>38.276712328767125</v>
      </c>
      <c r="O1800" s="23">
        <v>163.4</v>
      </c>
      <c r="P1800" s="18">
        <f t="shared" si="279"/>
        <v>39.276712328767125</v>
      </c>
      <c r="Q1800" s="18">
        <f t="shared" si="281"/>
        <v>-2.1316282072803009E-15</v>
      </c>
      <c r="R1800" s="18">
        <f t="shared" si="280"/>
        <v>163.4</v>
      </c>
      <c r="S1800" s="18">
        <f t="shared" si="284"/>
        <v>17.2</v>
      </c>
    </row>
    <row r="1801" spans="1:19" ht="15" customHeight="1" x14ac:dyDescent="0.2">
      <c r="A1801" s="14">
        <f t="shared" si="283"/>
        <v>1762</v>
      </c>
      <c r="B1801" s="21" t="s">
        <v>1526</v>
      </c>
      <c r="C1801" s="15" t="s">
        <v>3</v>
      </c>
      <c r="D1801" s="21" t="s">
        <v>1200</v>
      </c>
      <c r="E1801" s="21"/>
      <c r="F1801" s="69" t="s">
        <v>4</v>
      </c>
      <c r="G1801" s="9">
        <v>29952</v>
      </c>
      <c r="H1801" s="22">
        <v>585</v>
      </c>
      <c r="I1801" s="17">
        <v>0</v>
      </c>
      <c r="J1801" s="17">
        <f t="shared" si="285"/>
        <v>555.75</v>
      </c>
      <c r="K1801" s="17">
        <f t="shared" si="277"/>
        <v>29.25</v>
      </c>
      <c r="L1801" s="23">
        <f t="shared" si="282"/>
        <v>29.25</v>
      </c>
      <c r="M1801" s="23">
        <v>10</v>
      </c>
      <c r="N1801" s="18">
        <f t="shared" si="278"/>
        <v>38.276712328767125</v>
      </c>
      <c r="O1801" s="23">
        <v>277.875</v>
      </c>
      <c r="P1801" s="18">
        <f t="shared" si="279"/>
        <v>39.276712328767125</v>
      </c>
      <c r="Q1801" s="18">
        <f t="shared" si="281"/>
        <v>0</v>
      </c>
      <c r="R1801" s="18">
        <f t="shared" si="280"/>
        <v>277.875</v>
      </c>
      <c r="S1801" s="18">
        <f t="shared" si="284"/>
        <v>29.25</v>
      </c>
    </row>
    <row r="1802" spans="1:19" ht="15" customHeight="1" x14ac:dyDescent="0.2">
      <c r="A1802" s="14">
        <f t="shared" si="283"/>
        <v>1763</v>
      </c>
      <c r="B1802" s="21" t="s">
        <v>1539</v>
      </c>
      <c r="C1802" s="15" t="s">
        <v>3</v>
      </c>
      <c r="D1802" s="21" t="s">
        <v>1200</v>
      </c>
      <c r="E1802" s="21"/>
      <c r="F1802" s="69" t="s">
        <v>4</v>
      </c>
      <c r="G1802" s="9">
        <v>29587</v>
      </c>
      <c r="H1802" s="22">
        <v>1215</v>
      </c>
      <c r="I1802" s="17">
        <v>0</v>
      </c>
      <c r="J1802" s="17">
        <f t="shared" si="285"/>
        <v>1154.25</v>
      </c>
      <c r="K1802" s="17">
        <f t="shared" si="277"/>
        <v>60.75</v>
      </c>
      <c r="L1802" s="23">
        <f t="shared" si="282"/>
        <v>60.75</v>
      </c>
      <c r="M1802" s="23">
        <v>5</v>
      </c>
      <c r="N1802" s="18">
        <f t="shared" si="278"/>
        <v>39.276712328767125</v>
      </c>
      <c r="O1802" s="23">
        <v>577.125</v>
      </c>
      <c r="P1802" s="18">
        <f t="shared" si="279"/>
        <v>40.276712328767125</v>
      </c>
      <c r="Q1802" s="18">
        <f t="shared" si="281"/>
        <v>0</v>
      </c>
      <c r="R1802" s="18">
        <f t="shared" si="280"/>
        <v>577.125</v>
      </c>
      <c r="S1802" s="18">
        <f t="shared" si="284"/>
        <v>60.75</v>
      </c>
    </row>
    <row r="1803" spans="1:19" ht="15" customHeight="1" x14ac:dyDescent="0.2">
      <c r="A1803" s="14">
        <f t="shared" si="283"/>
        <v>1764</v>
      </c>
      <c r="B1803" s="21" t="s">
        <v>1540</v>
      </c>
      <c r="C1803" s="15" t="s">
        <v>3</v>
      </c>
      <c r="D1803" s="21" t="s">
        <v>1200</v>
      </c>
      <c r="E1803" s="21"/>
      <c r="F1803" s="69" t="s">
        <v>4</v>
      </c>
      <c r="G1803" s="9">
        <v>29587</v>
      </c>
      <c r="H1803" s="22">
        <v>1876</v>
      </c>
      <c r="I1803" s="17">
        <v>0</v>
      </c>
      <c r="J1803" s="17">
        <f t="shared" si="285"/>
        <v>1782.2</v>
      </c>
      <c r="K1803" s="17">
        <f t="shared" si="277"/>
        <v>93.799999999999955</v>
      </c>
      <c r="L1803" s="23">
        <f t="shared" si="282"/>
        <v>93.800000000000011</v>
      </c>
      <c r="M1803" s="23">
        <v>5</v>
      </c>
      <c r="N1803" s="18">
        <f t="shared" si="278"/>
        <v>39.276712328767125</v>
      </c>
      <c r="O1803" s="23">
        <v>891.1</v>
      </c>
      <c r="P1803" s="18">
        <f t="shared" si="279"/>
        <v>40.276712328767125</v>
      </c>
      <c r="Q1803" s="18">
        <f t="shared" si="281"/>
        <v>-1.1368683772161604E-14</v>
      </c>
      <c r="R1803" s="18">
        <f t="shared" si="280"/>
        <v>891.1</v>
      </c>
      <c r="S1803" s="18">
        <f t="shared" si="284"/>
        <v>93.800000000000011</v>
      </c>
    </row>
    <row r="1804" spans="1:19" ht="15" customHeight="1" x14ac:dyDescent="0.2">
      <c r="A1804" s="14">
        <f t="shared" si="283"/>
        <v>1765</v>
      </c>
      <c r="B1804" s="21" t="s">
        <v>1541</v>
      </c>
      <c r="C1804" s="15" t="s">
        <v>3</v>
      </c>
      <c r="D1804" s="21" t="s">
        <v>1200</v>
      </c>
      <c r="E1804" s="21"/>
      <c r="F1804" s="69" t="s">
        <v>4</v>
      </c>
      <c r="G1804" s="9">
        <v>29587</v>
      </c>
      <c r="H1804" s="22">
        <v>320</v>
      </c>
      <c r="I1804" s="17">
        <v>0</v>
      </c>
      <c r="J1804" s="17">
        <f t="shared" si="285"/>
        <v>304</v>
      </c>
      <c r="K1804" s="17">
        <f t="shared" si="277"/>
        <v>16</v>
      </c>
      <c r="L1804" s="23">
        <f t="shared" si="282"/>
        <v>16</v>
      </c>
      <c r="M1804" s="23">
        <v>5</v>
      </c>
      <c r="N1804" s="18">
        <f t="shared" si="278"/>
        <v>39.276712328767125</v>
      </c>
      <c r="O1804" s="23">
        <v>152</v>
      </c>
      <c r="P1804" s="18">
        <f t="shared" si="279"/>
        <v>40.276712328767125</v>
      </c>
      <c r="Q1804" s="18">
        <f t="shared" si="281"/>
        <v>0</v>
      </c>
      <c r="R1804" s="18">
        <f t="shared" si="280"/>
        <v>152</v>
      </c>
      <c r="S1804" s="18">
        <f t="shared" si="284"/>
        <v>16</v>
      </c>
    </row>
    <row r="1805" spans="1:19" ht="15" customHeight="1" x14ac:dyDescent="0.2">
      <c r="A1805" s="14">
        <f t="shared" si="283"/>
        <v>1766</v>
      </c>
      <c r="B1805" s="21" t="s">
        <v>1521</v>
      </c>
      <c r="C1805" s="15" t="s">
        <v>3</v>
      </c>
      <c r="D1805" s="21" t="s">
        <v>1200</v>
      </c>
      <c r="E1805" s="21"/>
      <c r="F1805" s="69" t="s">
        <v>4</v>
      </c>
      <c r="G1805" s="9">
        <v>29587</v>
      </c>
      <c r="H1805" s="22">
        <v>422</v>
      </c>
      <c r="I1805" s="17">
        <v>0</v>
      </c>
      <c r="J1805" s="17">
        <f t="shared" si="285"/>
        <v>400.9</v>
      </c>
      <c r="K1805" s="17">
        <f t="shared" si="277"/>
        <v>21.100000000000023</v>
      </c>
      <c r="L1805" s="23">
        <f t="shared" si="282"/>
        <v>21.1</v>
      </c>
      <c r="M1805" s="23">
        <v>5</v>
      </c>
      <c r="N1805" s="18">
        <f t="shared" si="278"/>
        <v>39.276712328767125</v>
      </c>
      <c r="O1805" s="23">
        <v>200.45</v>
      </c>
      <c r="P1805" s="18">
        <f t="shared" si="279"/>
        <v>40.276712328767125</v>
      </c>
      <c r="Q1805" s="18">
        <f t="shared" si="281"/>
        <v>4.2632564145606017E-15</v>
      </c>
      <c r="R1805" s="18">
        <f t="shared" si="280"/>
        <v>200.45</v>
      </c>
      <c r="S1805" s="18">
        <f t="shared" si="284"/>
        <v>21.1</v>
      </c>
    </row>
    <row r="1806" spans="1:19" ht="15" customHeight="1" x14ac:dyDescent="0.2">
      <c r="A1806" s="14">
        <f t="shared" si="283"/>
        <v>1767</v>
      </c>
      <c r="B1806" s="21" t="s">
        <v>1542</v>
      </c>
      <c r="C1806" s="15" t="s">
        <v>3</v>
      </c>
      <c r="D1806" s="21" t="s">
        <v>1200</v>
      </c>
      <c r="E1806" s="21"/>
      <c r="F1806" s="69" t="s">
        <v>4</v>
      </c>
      <c r="G1806" s="9">
        <v>29221</v>
      </c>
      <c r="H1806" s="22">
        <v>400</v>
      </c>
      <c r="I1806" s="17">
        <v>0</v>
      </c>
      <c r="J1806" s="17">
        <f t="shared" si="285"/>
        <v>380</v>
      </c>
      <c r="K1806" s="17">
        <f t="shared" si="277"/>
        <v>20</v>
      </c>
      <c r="L1806" s="23">
        <f t="shared" si="282"/>
        <v>20</v>
      </c>
      <c r="M1806" s="23">
        <v>5</v>
      </c>
      <c r="N1806" s="18">
        <f t="shared" si="278"/>
        <v>40.279452054794518</v>
      </c>
      <c r="O1806" s="23">
        <v>190</v>
      </c>
      <c r="P1806" s="18">
        <f t="shared" si="279"/>
        <v>41.279452054794518</v>
      </c>
      <c r="Q1806" s="18">
        <f t="shared" si="281"/>
        <v>0</v>
      </c>
      <c r="R1806" s="18">
        <f t="shared" si="280"/>
        <v>190</v>
      </c>
      <c r="S1806" s="18">
        <f t="shared" si="284"/>
        <v>20</v>
      </c>
    </row>
    <row r="1807" spans="1:19" ht="15" customHeight="1" x14ac:dyDescent="0.2">
      <c r="A1807" s="14">
        <f t="shared" si="283"/>
        <v>1768</v>
      </c>
      <c r="B1807" s="21" t="s">
        <v>1543</v>
      </c>
      <c r="C1807" s="15" t="s">
        <v>3</v>
      </c>
      <c r="D1807" s="21" t="s">
        <v>1200</v>
      </c>
      <c r="E1807" s="21"/>
      <c r="F1807" s="69" t="s">
        <v>4</v>
      </c>
      <c r="G1807" s="9">
        <v>29221</v>
      </c>
      <c r="H1807" s="22">
        <v>812</v>
      </c>
      <c r="I1807" s="17">
        <v>0</v>
      </c>
      <c r="J1807" s="17">
        <f t="shared" si="285"/>
        <v>771.4</v>
      </c>
      <c r="K1807" s="17">
        <f t="shared" si="277"/>
        <v>40.600000000000023</v>
      </c>
      <c r="L1807" s="23">
        <f t="shared" si="282"/>
        <v>40.6</v>
      </c>
      <c r="M1807" s="23">
        <v>5</v>
      </c>
      <c r="N1807" s="18">
        <f t="shared" si="278"/>
        <v>40.279452054794518</v>
      </c>
      <c r="O1807" s="23">
        <v>385.7</v>
      </c>
      <c r="P1807" s="18">
        <f t="shared" si="279"/>
        <v>41.279452054794518</v>
      </c>
      <c r="Q1807" s="18">
        <f t="shared" si="281"/>
        <v>4.2632564145606017E-15</v>
      </c>
      <c r="R1807" s="18">
        <f t="shared" si="280"/>
        <v>385.7</v>
      </c>
      <c r="S1807" s="18">
        <f t="shared" si="284"/>
        <v>40.6</v>
      </c>
    </row>
    <row r="1808" spans="1:19" ht="15" customHeight="1" x14ac:dyDescent="0.2">
      <c r="A1808" s="14">
        <f t="shared" si="283"/>
        <v>1769</v>
      </c>
      <c r="B1808" s="21" t="s">
        <v>1544</v>
      </c>
      <c r="C1808" s="15" t="s">
        <v>3</v>
      </c>
      <c r="D1808" s="21" t="s">
        <v>1200</v>
      </c>
      <c r="E1808" s="21"/>
      <c r="F1808" s="69" t="s">
        <v>4</v>
      </c>
      <c r="G1808" s="9">
        <v>29221</v>
      </c>
      <c r="H1808" s="22">
        <v>402</v>
      </c>
      <c r="I1808" s="17">
        <v>0</v>
      </c>
      <c r="J1808" s="17">
        <f t="shared" si="285"/>
        <v>381.9</v>
      </c>
      <c r="K1808" s="17">
        <f t="shared" si="277"/>
        <v>20.100000000000023</v>
      </c>
      <c r="L1808" s="23">
        <f t="shared" si="282"/>
        <v>20.100000000000001</v>
      </c>
      <c r="M1808" s="23">
        <v>5</v>
      </c>
      <c r="N1808" s="18">
        <f t="shared" si="278"/>
        <v>40.279452054794518</v>
      </c>
      <c r="O1808" s="23">
        <v>190.95</v>
      </c>
      <c r="P1808" s="18">
        <f t="shared" si="279"/>
        <v>41.279452054794518</v>
      </c>
      <c r="Q1808" s="18">
        <f t="shared" si="281"/>
        <v>4.2632564145606017E-15</v>
      </c>
      <c r="R1808" s="18">
        <f t="shared" si="280"/>
        <v>190.95</v>
      </c>
      <c r="S1808" s="18">
        <f t="shared" si="284"/>
        <v>20.100000000000001</v>
      </c>
    </row>
    <row r="1809" spans="1:19" ht="15" customHeight="1" x14ac:dyDescent="0.2">
      <c r="A1809" s="14">
        <f t="shared" si="283"/>
        <v>1770</v>
      </c>
      <c r="B1809" s="21" t="s">
        <v>1540</v>
      </c>
      <c r="C1809" s="15" t="s">
        <v>3</v>
      </c>
      <c r="D1809" s="21" t="s">
        <v>1200</v>
      </c>
      <c r="E1809" s="21"/>
      <c r="F1809" s="69" t="s">
        <v>4</v>
      </c>
      <c r="G1809" s="9">
        <v>29221</v>
      </c>
      <c r="H1809" s="22">
        <v>73</v>
      </c>
      <c r="I1809" s="17">
        <v>0</v>
      </c>
      <c r="J1809" s="17">
        <f t="shared" si="285"/>
        <v>69.349999999999994</v>
      </c>
      <c r="K1809" s="17">
        <f t="shared" si="277"/>
        <v>3.6500000000000057</v>
      </c>
      <c r="L1809" s="23">
        <f t="shared" si="282"/>
        <v>3.6500000000000004</v>
      </c>
      <c r="M1809" s="23">
        <v>5</v>
      </c>
      <c r="N1809" s="18">
        <f t="shared" si="278"/>
        <v>40.279452054794518</v>
      </c>
      <c r="O1809" s="23">
        <v>34.674999999999997</v>
      </c>
      <c r="P1809" s="18">
        <f t="shared" si="279"/>
        <v>41.279452054794518</v>
      </c>
      <c r="Q1809" s="18">
        <f t="shared" si="281"/>
        <v>1.0658141036401504E-15</v>
      </c>
      <c r="R1809" s="18">
        <f t="shared" si="280"/>
        <v>34.674999999999997</v>
      </c>
      <c r="S1809" s="18">
        <f t="shared" si="284"/>
        <v>3.6500000000000004</v>
      </c>
    </row>
    <row r="1810" spans="1:19" ht="15" customHeight="1" x14ac:dyDescent="0.2">
      <c r="A1810" s="14">
        <f t="shared" si="283"/>
        <v>1771</v>
      </c>
      <c r="B1810" s="21" t="s">
        <v>1545</v>
      </c>
      <c r="C1810" s="15" t="s">
        <v>3</v>
      </c>
      <c r="D1810" s="21" t="s">
        <v>1200</v>
      </c>
      <c r="E1810" s="21"/>
      <c r="F1810" s="69" t="s">
        <v>4</v>
      </c>
      <c r="G1810" s="9">
        <v>28856</v>
      </c>
      <c r="H1810" s="22">
        <v>1432</v>
      </c>
      <c r="I1810" s="17">
        <v>0</v>
      </c>
      <c r="J1810" s="17">
        <f t="shared" si="285"/>
        <v>1360.4</v>
      </c>
      <c r="K1810" s="17">
        <f t="shared" si="277"/>
        <v>71.599999999999909</v>
      </c>
      <c r="L1810" s="23">
        <f t="shared" si="282"/>
        <v>71.600000000000009</v>
      </c>
      <c r="M1810" s="23">
        <v>5</v>
      </c>
      <c r="N1810" s="18">
        <f t="shared" si="278"/>
        <v>41.279452054794518</v>
      </c>
      <c r="O1810" s="23">
        <v>680.2</v>
      </c>
      <c r="P1810" s="18">
        <f t="shared" si="279"/>
        <v>42.279452054794518</v>
      </c>
      <c r="Q1810" s="18">
        <f t="shared" si="281"/>
        <v>-1.9895196601282807E-14</v>
      </c>
      <c r="R1810" s="18">
        <f t="shared" si="280"/>
        <v>680.2</v>
      </c>
      <c r="S1810" s="18">
        <f t="shared" si="284"/>
        <v>71.600000000000009</v>
      </c>
    </row>
    <row r="1811" spans="1:19" ht="15" customHeight="1" x14ac:dyDescent="0.2">
      <c r="A1811" s="14">
        <f t="shared" si="283"/>
        <v>1772</v>
      </c>
      <c r="B1811" s="21" t="s">
        <v>1546</v>
      </c>
      <c r="C1811" s="15" t="s">
        <v>3</v>
      </c>
      <c r="D1811" s="21" t="s">
        <v>1200</v>
      </c>
      <c r="E1811" s="21"/>
      <c r="F1811" s="69" t="s">
        <v>4</v>
      </c>
      <c r="G1811" s="9">
        <v>28856</v>
      </c>
      <c r="H1811" s="22">
        <v>360</v>
      </c>
      <c r="I1811" s="17">
        <v>0</v>
      </c>
      <c r="J1811" s="17">
        <f t="shared" si="285"/>
        <v>342</v>
      </c>
      <c r="K1811" s="17">
        <f t="shared" si="277"/>
        <v>18</v>
      </c>
      <c r="L1811" s="23">
        <f t="shared" si="282"/>
        <v>18</v>
      </c>
      <c r="M1811" s="23">
        <v>5</v>
      </c>
      <c r="N1811" s="18">
        <f t="shared" si="278"/>
        <v>41.279452054794518</v>
      </c>
      <c r="O1811" s="23">
        <v>171</v>
      </c>
      <c r="P1811" s="18">
        <f t="shared" si="279"/>
        <v>42.279452054794518</v>
      </c>
      <c r="Q1811" s="18">
        <f t="shared" si="281"/>
        <v>0</v>
      </c>
      <c r="R1811" s="18">
        <f t="shared" si="280"/>
        <v>171</v>
      </c>
      <c r="S1811" s="18">
        <f t="shared" si="284"/>
        <v>18</v>
      </c>
    </row>
    <row r="1812" spans="1:19" ht="15" customHeight="1" x14ac:dyDescent="0.2">
      <c r="A1812" s="14">
        <f t="shared" si="283"/>
        <v>1773</v>
      </c>
      <c r="B1812" s="21" t="s">
        <v>1547</v>
      </c>
      <c r="C1812" s="15" t="s">
        <v>3</v>
      </c>
      <c r="D1812" s="21" t="s">
        <v>1200</v>
      </c>
      <c r="E1812" s="21"/>
      <c r="F1812" s="69" t="s">
        <v>4</v>
      </c>
      <c r="G1812" s="9">
        <v>28856</v>
      </c>
      <c r="H1812" s="22">
        <v>255</v>
      </c>
      <c r="I1812" s="17">
        <v>0</v>
      </c>
      <c r="J1812" s="17">
        <f t="shared" si="285"/>
        <v>242.25</v>
      </c>
      <c r="K1812" s="17">
        <f t="shared" si="277"/>
        <v>12.75</v>
      </c>
      <c r="L1812" s="23">
        <f t="shared" si="282"/>
        <v>12.75</v>
      </c>
      <c r="M1812" s="23">
        <v>5</v>
      </c>
      <c r="N1812" s="18">
        <f t="shared" si="278"/>
        <v>41.279452054794518</v>
      </c>
      <c r="O1812" s="23">
        <v>121.125</v>
      </c>
      <c r="P1812" s="18">
        <f t="shared" si="279"/>
        <v>42.279452054794518</v>
      </c>
      <c r="Q1812" s="18">
        <f t="shared" si="281"/>
        <v>0</v>
      </c>
      <c r="R1812" s="18">
        <f t="shared" si="280"/>
        <v>121.125</v>
      </c>
      <c r="S1812" s="18">
        <f t="shared" si="284"/>
        <v>12.75</v>
      </c>
    </row>
    <row r="1813" spans="1:19" ht="15" customHeight="1" x14ac:dyDescent="0.2">
      <c r="A1813" s="14">
        <f t="shared" si="283"/>
        <v>1774</v>
      </c>
      <c r="B1813" s="21" t="s">
        <v>1526</v>
      </c>
      <c r="C1813" s="15" t="s">
        <v>3</v>
      </c>
      <c r="D1813" s="21" t="s">
        <v>1200</v>
      </c>
      <c r="E1813" s="21"/>
      <c r="F1813" s="69" t="s">
        <v>4</v>
      </c>
      <c r="G1813" s="9">
        <v>28856</v>
      </c>
      <c r="H1813" s="22">
        <v>2613</v>
      </c>
      <c r="I1813" s="17">
        <v>0</v>
      </c>
      <c r="J1813" s="17">
        <f t="shared" si="285"/>
        <v>2482.35</v>
      </c>
      <c r="K1813" s="17">
        <f t="shared" si="277"/>
        <v>130.65000000000009</v>
      </c>
      <c r="L1813" s="23">
        <f t="shared" si="282"/>
        <v>130.65</v>
      </c>
      <c r="M1813" s="23">
        <v>10</v>
      </c>
      <c r="N1813" s="18">
        <f t="shared" si="278"/>
        <v>41.279452054794518</v>
      </c>
      <c r="O1813" s="23">
        <v>1241.175</v>
      </c>
      <c r="P1813" s="18">
        <f t="shared" si="279"/>
        <v>42.279452054794518</v>
      </c>
      <c r="Q1813" s="18">
        <f t="shared" si="281"/>
        <v>8.5265128291212035E-15</v>
      </c>
      <c r="R1813" s="18">
        <f t="shared" si="280"/>
        <v>1241.175</v>
      </c>
      <c r="S1813" s="18">
        <f t="shared" si="284"/>
        <v>130.65</v>
      </c>
    </row>
    <row r="1814" spans="1:19" ht="15" customHeight="1" x14ac:dyDescent="0.2">
      <c r="A1814" s="14">
        <f t="shared" si="283"/>
        <v>1775</v>
      </c>
      <c r="B1814" s="21" t="s">
        <v>1548</v>
      </c>
      <c r="C1814" s="15" t="s">
        <v>3</v>
      </c>
      <c r="D1814" s="21" t="s">
        <v>1200</v>
      </c>
      <c r="E1814" s="21"/>
      <c r="F1814" s="69" t="s">
        <v>4</v>
      </c>
      <c r="G1814" s="9">
        <v>28491</v>
      </c>
      <c r="H1814" s="22">
        <v>3012</v>
      </c>
      <c r="I1814" s="17">
        <v>0</v>
      </c>
      <c r="J1814" s="17">
        <f t="shared" si="285"/>
        <v>2861.4</v>
      </c>
      <c r="K1814" s="17">
        <f t="shared" si="277"/>
        <v>150.59999999999991</v>
      </c>
      <c r="L1814" s="23">
        <f t="shared" si="282"/>
        <v>150.6</v>
      </c>
      <c r="M1814" s="23">
        <v>5</v>
      </c>
      <c r="N1814" s="18">
        <f t="shared" si="278"/>
        <v>42.279452054794518</v>
      </c>
      <c r="O1814" s="23">
        <v>1430.7</v>
      </c>
      <c r="P1814" s="18">
        <f t="shared" si="279"/>
        <v>43.279452054794518</v>
      </c>
      <c r="Q1814" s="18">
        <f t="shared" si="281"/>
        <v>-1.7053025658242407E-14</v>
      </c>
      <c r="R1814" s="18">
        <f t="shared" si="280"/>
        <v>1430.7</v>
      </c>
      <c r="S1814" s="18">
        <f t="shared" si="284"/>
        <v>150.6</v>
      </c>
    </row>
    <row r="1815" spans="1:19" ht="15" customHeight="1" x14ac:dyDescent="0.2">
      <c r="A1815" s="14">
        <f t="shared" si="283"/>
        <v>1776</v>
      </c>
      <c r="B1815" s="21" t="s">
        <v>1549</v>
      </c>
      <c r="C1815" s="15" t="s">
        <v>3</v>
      </c>
      <c r="D1815" s="21" t="s">
        <v>1200</v>
      </c>
      <c r="E1815" s="21"/>
      <c r="F1815" s="69" t="s">
        <v>4</v>
      </c>
      <c r="G1815" s="9">
        <v>28491</v>
      </c>
      <c r="H1815" s="22">
        <v>431</v>
      </c>
      <c r="I1815" s="17">
        <v>0</v>
      </c>
      <c r="J1815" s="17">
        <f t="shared" si="285"/>
        <v>409.45</v>
      </c>
      <c r="K1815" s="17">
        <f t="shared" si="277"/>
        <v>21.550000000000011</v>
      </c>
      <c r="L1815" s="23">
        <f t="shared" si="282"/>
        <v>21.55</v>
      </c>
      <c r="M1815" s="23">
        <v>5</v>
      </c>
      <c r="N1815" s="18">
        <f t="shared" si="278"/>
        <v>42.279452054794518</v>
      </c>
      <c r="O1815" s="23">
        <v>204.72499999999999</v>
      </c>
      <c r="P1815" s="18">
        <f t="shared" si="279"/>
        <v>43.279452054794518</v>
      </c>
      <c r="Q1815" s="18">
        <f t="shared" si="281"/>
        <v>2.1316282072803009E-15</v>
      </c>
      <c r="R1815" s="18">
        <f t="shared" si="280"/>
        <v>204.72499999999999</v>
      </c>
      <c r="S1815" s="18">
        <f t="shared" si="284"/>
        <v>21.55</v>
      </c>
    </row>
    <row r="1816" spans="1:19" ht="15" customHeight="1" x14ac:dyDescent="0.2">
      <c r="A1816" s="14">
        <f t="shared" si="283"/>
        <v>1777</v>
      </c>
      <c r="B1816" s="21" t="s">
        <v>1550</v>
      </c>
      <c r="C1816" s="15" t="s">
        <v>3</v>
      </c>
      <c r="D1816" s="21" t="s">
        <v>1200</v>
      </c>
      <c r="E1816" s="21"/>
      <c r="F1816" s="69" t="s">
        <v>4</v>
      </c>
      <c r="G1816" s="9">
        <v>28491</v>
      </c>
      <c r="H1816" s="22">
        <v>289</v>
      </c>
      <c r="I1816" s="17">
        <v>0</v>
      </c>
      <c r="J1816" s="17">
        <f t="shared" si="285"/>
        <v>274.55</v>
      </c>
      <c r="K1816" s="17">
        <f t="shared" si="277"/>
        <v>14.449999999999989</v>
      </c>
      <c r="L1816" s="23">
        <f t="shared" si="282"/>
        <v>14.450000000000001</v>
      </c>
      <c r="M1816" s="23">
        <v>5</v>
      </c>
      <c r="N1816" s="18">
        <f t="shared" si="278"/>
        <v>42.279452054794518</v>
      </c>
      <c r="O1816" s="23">
        <v>137.27500000000001</v>
      </c>
      <c r="P1816" s="18">
        <f t="shared" si="279"/>
        <v>43.279452054794518</v>
      </c>
      <c r="Q1816" s="18">
        <f t="shared" si="281"/>
        <v>-2.4868995751603509E-15</v>
      </c>
      <c r="R1816" s="18">
        <f t="shared" si="280"/>
        <v>137.27500000000001</v>
      </c>
      <c r="S1816" s="18">
        <f t="shared" si="284"/>
        <v>14.450000000000001</v>
      </c>
    </row>
    <row r="1817" spans="1:19" ht="15" customHeight="1" x14ac:dyDescent="0.2">
      <c r="A1817" s="14">
        <f t="shared" si="283"/>
        <v>1778</v>
      </c>
      <c r="B1817" s="21" t="s">
        <v>1551</v>
      </c>
      <c r="C1817" s="15" t="s">
        <v>3</v>
      </c>
      <c r="D1817" s="21" t="s">
        <v>1200</v>
      </c>
      <c r="E1817" s="21"/>
      <c r="F1817" s="69" t="s">
        <v>4</v>
      </c>
      <c r="G1817" s="9">
        <v>28491</v>
      </c>
      <c r="H1817" s="22">
        <v>275</v>
      </c>
      <c r="I1817" s="17">
        <v>0</v>
      </c>
      <c r="J1817" s="17">
        <f t="shared" si="285"/>
        <v>261.25</v>
      </c>
      <c r="K1817" s="17">
        <f t="shared" si="277"/>
        <v>13.75</v>
      </c>
      <c r="L1817" s="23">
        <f t="shared" si="282"/>
        <v>13.75</v>
      </c>
      <c r="M1817" s="23">
        <v>5</v>
      </c>
      <c r="N1817" s="18">
        <f t="shared" si="278"/>
        <v>42.279452054794518</v>
      </c>
      <c r="O1817" s="23">
        <v>130.625</v>
      </c>
      <c r="P1817" s="18">
        <f t="shared" si="279"/>
        <v>43.279452054794518</v>
      </c>
      <c r="Q1817" s="18">
        <f t="shared" si="281"/>
        <v>0</v>
      </c>
      <c r="R1817" s="18">
        <f t="shared" si="280"/>
        <v>130.625</v>
      </c>
      <c r="S1817" s="18">
        <f t="shared" si="284"/>
        <v>13.75</v>
      </c>
    </row>
    <row r="1818" spans="1:19" ht="15" customHeight="1" x14ac:dyDescent="0.2">
      <c r="A1818" s="14">
        <f t="shared" si="283"/>
        <v>1779</v>
      </c>
      <c r="B1818" s="21" t="s">
        <v>1523</v>
      </c>
      <c r="C1818" s="15" t="s">
        <v>3</v>
      </c>
      <c r="D1818" s="21" t="s">
        <v>1200</v>
      </c>
      <c r="E1818" s="21"/>
      <c r="F1818" s="69" t="s">
        <v>4</v>
      </c>
      <c r="G1818" s="9">
        <v>28491</v>
      </c>
      <c r="H1818" s="22">
        <v>797</v>
      </c>
      <c r="I1818" s="17">
        <v>0</v>
      </c>
      <c r="J1818" s="17">
        <f t="shared" si="285"/>
        <v>757.15</v>
      </c>
      <c r="K1818" s="17">
        <f t="shared" si="277"/>
        <v>39.850000000000023</v>
      </c>
      <c r="L1818" s="23">
        <f t="shared" si="282"/>
        <v>39.85</v>
      </c>
      <c r="M1818" s="23">
        <v>5</v>
      </c>
      <c r="N1818" s="18">
        <f t="shared" si="278"/>
        <v>42.279452054794518</v>
      </c>
      <c r="O1818" s="23">
        <v>378.57499999999999</v>
      </c>
      <c r="P1818" s="18">
        <f t="shared" si="279"/>
        <v>43.279452054794518</v>
      </c>
      <c r="Q1818" s="18">
        <f t="shared" si="281"/>
        <v>4.2632564145606017E-15</v>
      </c>
      <c r="R1818" s="18">
        <f t="shared" si="280"/>
        <v>378.57499999999999</v>
      </c>
      <c r="S1818" s="18">
        <f t="shared" si="284"/>
        <v>39.85</v>
      </c>
    </row>
    <row r="1819" spans="1:19" ht="15" customHeight="1" x14ac:dyDescent="0.2">
      <c r="A1819" s="14">
        <f t="shared" si="283"/>
        <v>1780</v>
      </c>
      <c r="B1819" s="21" t="s">
        <v>1552</v>
      </c>
      <c r="C1819" s="15" t="s">
        <v>3</v>
      </c>
      <c r="D1819" s="21" t="s">
        <v>1200</v>
      </c>
      <c r="E1819" s="21"/>
      <c r="F1819" s="69" t="s">
        <v>4</v>
      </c>
      <c r="G1819" s="9">
        <v>28491</v>
      </c>
      <c r="H1819" s="22">
        <v>1410</v>
      </c>
      <c r="I1819" s="17">
        <v>0</v>
      </c>
      <c r="J1819" s="17">
        <f t="shared" si="285"/>
        <v>1339.5</v>
      </c>
      <c r="K1819" s="17">
        <f t="shared" si="277"/>
        <v>70.5</v>
      </c>
      <c r="L1819" s="23">
        <f t="shared" si="282"/>
        <v>70.5</v>
      </c>
      <c r="M1819" s="23">
        <v>5</v>
      </c>
      <c r="N1819" s="18">
        <f t="shared" si="278"/>
        <v>42.279452054794518</v>
      </c>
      <c r="O1819" s="23">
        <v>669.75</v>
      </c>
      <c r="P1819" s="18">
        <f t="shared" si="279"/>
        <v>43.279452054794518</v>
      </c>
      <c r="Q1819" s="18">
        <f t="shared" si="281"/>
        <v>0</v>
      </c>
      <c r="R1819" s="18">
        <f t="shared" si="280"/>
        <v>669.75</v>
      </c>
      <c r="S1819" s="18">
        <f t="shared" si="284"/>
        <v>70.5</v>
      </c>
    </row>
    <row r="1820" spans="1:19" ht="15" customHeight="1" x14ac:dyDescent="0.2">
      <c r="A1820" s="14">
        <f t="shared" si="283"/>
        <v>1781</v>
      </c>
      <c r="B1820" s="21" t="s">
        <v>1553</v>
      </c>
      <c r="C1820" s="15" t="s">
        <v>3</v>
      </c>
      <c r="D1820" s="21" t="s">
        <v>1200</v>
      </c>
      <c r="E1820" s="21"/>
      <c r="F1820" s="69" t="s">
        <v>4</v>
      </c>
      <c r="G1820" s="9">
        <v>28491</v>
      </c>
      <c r="H1820" s="22">
        <v>449</v>
      </c>
      <c r="I1820" s="17">
        <v>0</v>
      </c>
      <c r="J1820" s="17">
        <f t="shared" si="285"/>
        <v>426.55</v>
      </c>
      <c r="K1820" s="17">
        <f t="shared" si="277"/>
        <v>22.449999999999989</v>
      </c>
      <c r="L1820" s="23">
        <f t="shared" si="282"/>
        <v>22.450000000000003</v>
      </c>
      <c r="M1820" s="23">
        <v>10</v>
      </c>
      <c r="N1820" s="18">
        <f t="shared" si="278"/>
        <v>42.279452054794518</v>
      </c>
      <c r="O1820" s="23">
        <v>213.27500000000001</v>
      </c>
      <c r="P1820" s="18">
        <f t="shared" si="279"/>
        <v>43.279452054794518</v>
      </c>
      <c r="Q1820" s="18">
        <f t="shared" si="281"/>
        <v>-1.4210854715202005E-15</v>
      </c>
      <c r="R1820" s="18">
        <f t="shared" si="280"/>
        <v>213.27500000000001</v>
      </c>
      <c r="S1820" s="18">
        <f t="shared" si="284"/>
        <v>22.450000000000003</v>
      </c>
    </row>
    <row r="1821" spans="1:19" ht="15" customHeight="1" x14ac:dyDescent="0.2">
      <c r="A1821" s="14">
        <f t="shared" si="283"/>
        <v>1782</v>
      </c>
      <c r="B1821" s="21" t="s">
        <v>1554</v>
      </c>
      <c r="C1821" s="15" t="s">
        <v>3</v>
      </c>
      <c r="D1821" s="21" t="s">
        <v>1200</v>
      </c>
      <c r="E1821" s="21"/>
      <c r="F1821" s="69" t="s">
        <v>4</v>
      </c>
      <c r="G1821" s="9">
        <v>28491</v>
      </c>
      <c r="H1821" s="22">
        <v>239</v>
      </c>
      <c r="I1821" s="17">
        <v>0</v>
      </c>
      <c r="J1821" s="17">
        <f t="shared" si="285"/>
        <v>227.05</v>
      </c>
      <c r="K1821" s="17">
        <f t="shared" si="277"/>
        <v>11.949999999999989</v>
      </c>
      <c r="L1821" s="23">
        <f t="shared" si="282"/>
        <v>11.950000000000001</v>
      </c>
      <c r="M1821" s="23">
        <v>5</v>
      </c>
      <c r="N1821" s="18">
        <f t="shared" si="278"/>
        <v>42.279452054794518</v>
      </c>
      <c r="O1821" s="23">
        <v>113.52500000000001</v>
      </c>
      <c r="P1821" s="18">
        <f t="shared" si="279"/>
        <v>43.279452054794518</v>
      </c>
      <c r="Q1821" s="18">
        <f t="shared" si="281"/>
        <v>-2.4868995751603509E-15</v>
      </c>
      <c r="R1821" s="18">
        <f t="shared" si="280"/>
        <v>113.52500000000001</v>
      </c>
      <c r="S1821" s="18">
        <f t="shared" si="284"/>
        <v>11.950000000000001</v>
      </c>
    </row>
    <row r="1822" spans="1:19" ht="15" customHeight="1" x14ac:dyDescent="0.2">
      <c r="A1822" s="14">
        <f t="shared" si="283"/>
        <v>1783</v>
      </c>
      <c r="B1822" s="21" t="s">
        <v>1555</v>
      </c>
      <c r="C1822" s="15" t="s">
        <v>3</v>
      </c>
      <c r="D1822" s="21" t="s">
        <v>1200</v>
      </c>
      <c r="E1822" s="21"/>
      <c r="F1822" s="69" t="s">
        <v>4</v>
      </c>
      <c r="G1822" s="9">
        <v>28491</v>
      </c>
      <c r="H1822" s="22">
        <v>53</v>
      </c>
      <c r="I1822" s="17">
        <v>0</v>
      </c>
      <c r="J1822" s="17">
        <f t="shared" si="285"/>
        <v>50.35</v>
      </c>
      <c r="K1822" s="17">
        <f t="shared" si="277"/>
        <v>2.6499999999999986</v>
      </c>
      <c r="L1822" s="23">
        <f t="shared" si="282"/>
        <v>2.6500000000000004</v>
      </c>
      <c r="M1822" s="23">
        <v>5</v>
      </c>
      <c r="N1822" s="18">
        <f t="shared" si="278"/>
        <v>42.279452054794518</v>
      </c>
      <c r="O1822" s="23">
        <v>25.175000000000001</v>
      </c>
      <c r="P1822" s="18">
        <f t="shared" si="279"/>
        <v>43.279452054794518</v>
      </c>
      <c r="Q1822" s="18">
        <f t="shared" si="281"/>
        <v>-3.5527136788005011E-16</v>
      </c>
      <c r="R1822" s="18">
        <f t="shared" si="280"/>
        <v>25.175000000000001</v>
      </c>
      <c r="S1822" s="18">
        <f t="shared" si="284"/>
        <v>2.6500000000000004</v>
      </c>
    </row>
    <row r="1823" spans="1:19" ht="15" customHeight="1" x14ac:dyDescent="0.2">
      <c r="A1823" s="14">
        <f t="shared" si="283"/>
        <v>1784</v>
      </c>
      <c r="B1823" s="21" t="s">
        <v>1556</v>
      </c>
      <c r="C1823" s="15" t="s">
        <v>3</v>
      </c>
      <c r="D1823" s="21" t="s">
        <v>1200</v>
      </c>
      <c r="E1823" s="21"/>
      <c r="F1823" s="69" t="s">
        <v>4</v>
      </c>
      <c r="G1823" s="9">
        <v>28491</v>
      </c>
      <c r="H1823" s="22">
        <v>82</v>
      </c>
      <c r="I1823" s="17">
        <v>0</v>
      </c>
      <c r="J1823" s="17">
        <f t="shared" si="285"/>
        <v>77.900000000000006</v>
      </c>
      <c r="K1823" s="17">
        <f t="shared" si="277"/>
        <v>4.0999999999999943</v>
      </c>
      <c r="L1823" s="23">
        <f t="shared" si="282"/>
        <v>4.1000000000000005</v>
      </c>
      <c r="M1823" s="23">
        <v>10</v>
      </c>
      <c r="N1823" s="18">
        <f t="shared" si="278"/>
        <v>42.279452054794518</v>
      </c>
      <c r="O1823" s="23">
        <v>38.950000000000003</v>
      </c>
      <c r="P1823" s="18">
        <f t="shared" si="279"/>
        <v>43.279452054794518</v>
      </c>
      <c r="Q1823" s="18">
        <f t="shared" si="281"/>
        <v>-6.2172489379008772E-16</v>
      </c>
      <c r="R1823" s="18">
        <f t="shared" si="280"/>
        <v>38.950000000000003</v>
      </c>
      <c r="S1823" s="18">
        <f t="shared" si="284"/>
        <v>4.1000000000000005</v>
      </c>
    </row>
    <row r="1824" spans="1:19" ht="15" customHeight="1" x14ac:dyDescent="0.2">
      <c r="A1824" s="14">
        <f t="shared" si="283"/>
        <v>1785</v>
      </c>
      <c r="B1824" s="21" t="s">
        <v>1557</v>
      </c>
      <c r="C1824" s="15" t="s">
        <v>3</v>
      </c>
      <c r="D1824" s="21" t="s">
        <v>1200</v>
      </c>
      <c r="E1824" s="21"/>
      <c r="F1824" s="69" t="s">
        <v>4</v>
      </c>
      <c r="G1824" s="9">
        <v>28491</v>
      </c>
      <c r="H1824" s="22">
        <v>28</v>
      </c>
      <c r="I1824" s="17">
        <v>0</v>
      </c>
      <c r="J1824" s="17">
        <f t="shared" si="285"/>
        <v>26.6</v>
      </c>
      <c r="K1824" s="17">
        <f t="shared" si="277"/>
        <v>1.3999999999999986</v>
      </c>
      <c r="L1824" s="23">
        <f t="shared" si="282"/>
        <v>1.4000000000000001</v>
      </c>
      <c r="M1824" s="23">
        <v>5</v>
      </c>
      <c r="N1824" s="18">
        <f t="shared" si="278"/>
        <v>42.279452054794518</v>
      </c>
      <c r="O1824" s="23">
        <v>13.3</v>
      </c>
      <c r="P1824" s="18">
        <f t="shared" si="279"/>
        <v>43.279452054794518</v>
      </c>
      <c r="Q1824" s="18">
        <f t="shared" si="281"/>
        <v>-3.1086244689504386E-16</v>
      </c>
      <c r="R1824" s="18">
        <f t="shared" si="280"/>
        <v>13.3</v>
      </c>
      <c r="S1824" s="18">
        <f t="shared" si="284"/>
        <v>1.4000000000000001</v>
      </c>
    </row>
    <row r="1825" spans="1:19" ht="15" customHeight="1" x14ac:dyDescent="0.2">
      <c r="A1825" s="14">
        <f t="shared" si="283"/>
        <v>1786</v>
      </c>
      <c r="B1825" s="21" t="s">
        <v>1558</v>
      </c>
      <c r="C1825" s="15" t="s">
        <v>3</v>
      </c>
      <c r="D1825" s="21" t="s">
        <v>1200</v>
      </c>
      <c r="E1825" s="21"/>
      <c r="F1825" s="69" t="s">
        <v>4</v>
      </c>
      <c r="G1825" s="9">
        <v>28491</v>
      </c>
      <c r="H1825" s="22">
        <v>14</v>
      </c>
      <c r="I1825" s="17">
        <v>0</v>
      </c>
      <c r="J1825" s="17">
        <f t="shared" si="285"/>
        <v>13.3</v>
      </c>
      <c r="K1825" s="17">
        <f t="shared" si="277"/>
        <v>0.69999999999999929</v>
      </c>
      <c r="L1825" s="23">
        <f t="shared" si="282"/>
        <v>0.70000000000000007</v>
      </c>
      <c r="M1825" s="23">
        <v>10</v>
      </c>
      <c r="N1825" s="18">
        <f t="shared" si="278"/>
        <v>42.279452054794518</v>
      </c>
      <c r="O1825" s="23">
        <v>6.65</v>
      </c>
      <c r="P1825" s="18">
        <f t="shared" si="279"/>
        <v>43.279452054794518</v>
      </c>
      <c r="Q1825" s="18">
        <f t="shared" si="281"/>
        <v>-7.7715611723760965E-17</v>
      </c>
      <c r="R1825" s="18">
        <f t="shared" si="280"/>
        <v>6.65</v>
      </c>
      <c r="S1825" s="18">
        <f t="shared" si="284"/>
        <v>0.70000000000000007</v>
      </c>
    </row>
    <row r="1826" spans="1:19" ht="15" customHeight="1" x14ac:dyDescent="0.2">
      <c r="A1826" s="14">
        <f t="shared" si="283"/>
        <v>1787</v>
      </c>
      <c r="B1826" s="21" t="s">
        <v>1559</v>
      </c>
      <c r="C1826" s="15" t="s">
        <v>3</v>
      </c>
      <c r="D1826" s="21" t="s">
        <v>1200</v>
      </c>
      <c r="E1826" s="21"/>
      <c r="F1826" s="69" t="s">
        <v>4</v>
      </c>
      <c r="G1826" s="9">
        <v>28126</v>
      </c>
      <c r="H1826" s="22">
        <v>1558</v>
      </c>
      <c r="I1826" s="17">
        <v>0</v>
      </c>
      <c r="J1826" s="17">
        <f t="shared" si="285"/>
        <v>1480.1</v>
      </c>
      <c r="K1826" s="17">
        <f t="shared" si="277"/>
        <v>77.900000000000091</v>
      </c>
      <c r="L1826" s="23">
        <f t="shared" si="282"/>
        <v>77.900000000000006</v>
      </c>
      <c r="M1826" s="23">
        <v>5</v>
      </c>
      <c r="N1826" s="18">
        <f t="shared" si="278"/>
        <v>43.279452054794518</v>
      </c>
      <c r="O1826" s="23">
        <v>740.05</v>
      </c>
      <c r="P1826" s="18">
        <f t="shared" si="279"/>
        <v>44.279452054794518</v>
      </c>
      <c r="Q1826" s="18">
        <f t="shared" si="281"/>
        <v>1.7053025658242407E-14</v>
      </c>
      <c r="R1826" s="18">
        <f t="shared" si="280"/>
        <v>740.05</v>
      </c>
      <c r="S1826" s="18">
        <f t="shared" si="284"/>
        <v>77.900000000000006</v>
      </c>
    </row>
    <row r="1827" spans="1:19" ht="15" customHeight="1" x14ac:dyDescent="0.2">
      <c r="A1827" s="14">
        <f t="shared" si="283"/>
        <v>1788</v>
      </c>
      <c r="B1827" s="21" t="s">
        <v>964</v>
      </c>
      <c r="C1827" s="15" t="s">
        <v>3</v>
      </c>
      <c r="D1827" s="21" t="s">
        <v>1200</v>
      </c>
      <c r="E1827" s="21"/>
      <c r="F1827" s="69" t="s">
        <v>4</v>
      </c>
      <c r="G1827" s="9">
        <v>28126</v>
      </c>
      <c r="H1827" s="22">
        <v>4004</v>
      </c>
      <c r="I1827" s="17">
        <v>0</v>
      </c>
      <c r="J1827" s="17">
        <f t="shared" si="285"/>
        <v>3803.8</v>
      </c>
      <c r="K1827" s="17">
        <f t="shared" si="277"/>
        <v>200.19999999999982</v>
      </c>
      <c r="L1827" s="23">
        <f t="shared" si="282"/>
        <v>200.20000000000002</v>
      </c>
      <c r="M1827" s="23">
        <v>5</v>
      </c>
      <c r="N1827" s="18">
        <f t="shared" si="278"/>
        <v>43.279452054794518</v>
      </c>
      <c r="O1827" s="23">
        <v>1901.9</v>
      </c>
      <c r="P1827" s="18">
        <f t="shared" si="279"/>
        <v>44.279452054794518</v>
      </c>
      <c r="Q1827" s="18">
        <f t="shared" si="281"/>
        <v>-3.9790393202565614E-14</v>
      </c>
      <c r="R1827" s="18">
        <f t="shared" si="280"/>
        <v>1901.9</v>
      </c>
      <c r="S1827" s="18">
        <f t="shared" si="284"/>
        <v>200.20000000000002</v>
      </c>
    </row>
    <row r="1828" spans="1:19" ht="15" customHeight="1" x14ac:dyDescent="0.2">
      <c r="A1828" s="14">
        <f t="shared" si="283"/>
        <v>1789</v>
      </c>
      <c r="B1828" s="21" t="s">
        <v>1560</v>
      </c>
      <c r="C1828" s="15" t="s">
        <v>3</v>
      </c>
      <c r="D1828" s="21" t="s">
        <v>1200</v>
      </c>
      <c r="E1828" s="21"/>
      <c r="F1828" s="69" t="s">
        <v>4</v>
      </c>
      <c r="G1828" s="9">
        <v>28126</v>
      </c>
      <c r="H1828" s="22">
        <v>1147</v>
      </c>
      <c r="I1828" s="17">
        <v>0</v>
      </c>
      <c r="J1828" s="17">
        <f t="shared" si="285"/>
        <v>1089.6500000000001</v>
      </c>
      <c r="K1828" s="17">
        <f t="shared" si="277"/>
        <v>57.349999999999909</v>
      </c>
      <c r="L1828" s="23">
        <f t="shared" si="282"/>
        <v>57.35</v>
      </c>
      <c r="M1828" s="23">
        <v>5</v>
      </c>
      <c r="N1828" s="18">
        <f t="shared" si="278"/>
        <v>43.279452054794518</v>
      </c>
      <c r="O1828" s="23">
        <v>544.82500000000005</v>
      </c>
      <c r="P1828" s="18">
        <f t="shared" si="279"/>
        <v>44.279452054794518</v>
      </c>
      <c r="Q1828" s="18">
        <f t="shared" si="281"/>
        <v>-1.8474111129762605E-14</v>
      </c>
      <c r="R1828" s="18">
        <f t="shared" si="280"/>
        <v>544.82500000000005</v>
      </c>
      <c r="S1828" s="18">
        <f t="shared" si="284"/>
        <v>57.35</v>
      </c>
    </row>
    <row r="1829" spans="1:19" ht="15" customHeight="1" x14ac:dyDescent="0.2">
      <c r="A1829" s="14">
        <f t="shared" si="283"/>
        <v>1790</v>
      </c>
      <c r="B1829" s="21" t="s">
        <v>1521</v>
      </c>
      <c r="C1829" s="15" t="s">
        <v>3</v>
      </c>
      <c r="D1829" s="21" t="s">
        <v>1200</v>
      </c>
      <c r="E1829" s="21"/>
      <c r="F1829" s="69" t="s">
        <v>4</v>
      </c>
      <c r="G1829" s="9">
        <v>28126</v>
      </c>
      <c r="H1829" s="22">
        <v>255</v>
      </c>
      <c r="I1829" s="17">
        <v>0</v>
      </c>
      <c r="J1829" s="17">
        <f t="shared" si="285"/>
        <v>242.25</v>
      </c>
      <c r="K1829" s="17">
        <f t="shared" si="277"/>
        <v>12.75</v>
      </c>
      <c r="L1829" s="23">
        <f t="shared" si="282"/>
        <v>12.75</v>
      </c>
      <c r="M1829" s="23">
        <v>5</v>
      </c>
      <c r="N1829" s="18">
        <f t="shared" si="278"/>
        <v>43.279452054794518</v>
      </c>
      <c r="O1829" s="23">
        <v>121.125</v>
      </c>
      <c r="P1829" s="18">
        <f t="shared" si="279"/>
        <v>44.279452054794518</v>
      </c>
      <c r="Q1829" s="18">
        <f t="shared" si="281"/>
        <v>0</v>
      </c>
      <c r="R1829" s="18">
        <f t="shared" si="280"/>
        <v>121.125</v>
      </c>
      <c r="S1829" s="18">
        <f t="shared" si="284"/>
        <v>12.75</v>
      </c>
    </row>
    <row r="1830" spans="1:19" ht="15" customHeight="1" x14ac:dyDescent="0.2">
      <c r="A1830" s="14">
        <f t="shared" si="283"/>
        <v>1791</v>
      </c>
      <c r="B1830" s="21" t="s">
        <v>1561</v>
      </c>
      <c r="C1830" s="15" t="s">
        <v>3</v>
      </c>
      <c r="D1830" s="21" t="s">
        <v>1200</v>
      </c>
      <c r="E1830" s="21"/>
      <c r="F1830" s="69" t="s">
        <v>4</v>
      </c>
      <c r="G1830" s="9">
        <v>28126</v>
      </c>
      <c r="H1830" s="22">
        <v>23</v>
      </c>
      <c r="I1830" s="17">
        <v>0</v>
      </c>
      <c r="J1830" s="17">
        <f t="shared" si="285"/>
        <v>21.85</v>
      </c>
      <c r="K1830" s="17">
        <f t="shared" ref="K1830:K1893" si="286">H1830+I1830-J1830</f>
        <v>1.1499999999999986</v>
      </c>
      <c r="L1830" s="23">
        <f t="shared" si="282"/>
        <v>1.1500000000000001</v>
      </c>
      <c r="M1830" s="23">
        <v>5</v>
      </c>
      <c r="N1830" s="18">
        <f t="shared" ref="N1830:N1893" si="287">IF(($N$35-G1830+1)/365&gt;0,($N$35-G1830+1)/365,0)</f>
        <v>43.279452054794518</v>
      </c>
      <c r="O1830" s="23">
        <v>10.925000000000001</v>
      </c>
      <c r="P1830" s="18">
        <f t="shared" ref="P1830:P1893" si="288">($P$35-G1830+1)/365</f>
        <v>44.279452054794518</v>
      </c>
      <c r="Q1830" s="18">
        <f t="shared" si="281"/>
        <v>-3.1086244689504386E-16</v>
      </c>
      <c r="R1830" s="18">
        <f t="shared" ref="R1830:R1893" si="289">Q1830+O1830</f>
        <v>10.925000000000001</v>
      </c>
      <c r="S1830" s="18">
        <f t="shared" si="284"/>
        <v>1.1500000000000001</v>
      </c>
    </row>
    <row r="1831" spans="1:19" ht="15" customHeight="1" x14ac:dyDescent="0.2">
      <c r="A1831" s="14">
        <f t="shared" si="283"/>
        <v>1792</v>
      </c>
      <c r="B1831" s="21" t="s">
        <v>1200</v>
      </c>
      <c r="C1831" s="15" t="s">
        <v>3</v>
      </c>
      <c r="D1831" s="21" t="s">
        <v>1200</v>
      </c>
      <c r="E1831" s="21"/>
      <c r="F1831" s="69" t="s">
        <v>4</v>
      </c>
      <c r="G1831" s="9">
        <v>28126</v>
      </c>
      <c r="H1831" s="22">
        <v>1082</v>
      </c>
      <c r="I1831" s="17">
        <v>0</v>
      </c>
      <c r="J1831" s="17">
        <f t="shared" si="285"/>
        <v>1027.9000000000001</v>
      </c>
      <c r="K1831" s="17">
        <f t="shared" si="286"/>
        <v>54.099999999999909</v>
      </c>
      <c r="L1831" s="23">
        <f t="shared" si="282"/>
        <v>54.1</v>
      </c>
      <c r="M1831" s="23">
        <v>5</v>
      </c>
      <c r="N1831" s="18">
        <f t="shared" si="287"/>
        <v>43.279452054794518</v>
      </c>
      <c r="O1831" s="23">
        <v>513.95000000000005</v>
      </c>
      <c r="P1831" s="18">
        <f t="shared" si="288"/>
        <v>44.279452054794518</v>
      </c>
      <c r="Q1831" s="18">
        <f t="shared" si="281"/>
        <v>-1.8474111129762605E-14</v>
      </c>
      <c r="R1831" s="18">
        <f t="shared" si="289"/>
        <v>513.95000000000005</v>
      </c>
      <c r="S1831" s="18">
        <f t="shared" si="284"/>
        <v>54.1</v>
      </c>
    </row>
    <row r="1832" spans="1:19" ht="15" customHeight="1" x14ac:dyDescent="0.2">
      <c r="A1832" s="14">
        <f t="shared" si="283"/>
        <v>1793</v>
      </c>
      <c r="B1832" s="21" t="s">
        <v>1562</v>
      </c>
      <c r="C1832" s="15" t="s">
        <v>3</v>
      </c>
      <c r="D1832" s="21" t="s">
        <v>1200</v>
      </c>
      <c r="E1832" s="21"/>
      <c r="F1832" s="69" t="s">
        <v>4</v>
      </c>
      <c r="G1832" s="9">
        <v>28126</v>
      </c>
      <c r="H1832" s="22">
        <v>1483</v>
      </c>
      <c r="I1832" s="17">
        <v>0</v>
      </c>
      <c r="J1832" s="17">
        <f t="shared" si="285"/>
        <v>1408.85</v>
      </c>
      <c r="K1832" s="17">
        <f t="shared" si="286"/>
        <v>74.150000000000091</v>
      </c>
      <c r="L1832" s="23">
        <f t="shared" si="282"/>
        <v>74.150000000000006</v>
      </c>
      <c r="M1832" s="23">
        <v>10</v>
      </c>
      <c r="N1832" s="18">
        <f t="shared" si="287"/>
        <v>43.279452054794518</v>
      </c>
      <c r="O1832" s="23">
        <v>704.42499999999995</v>
      </c>
      <c r="P1832" s="18">
        <f t="shared" si="288"/>
        <v>44.279452054794518</v>
      </c>
      <c r="Q1832" s="18">
        <f t="shared" ref="Q1832:Q1895" si="290">(P1832-N1832)/M1832*(K1832-L1832)</f>
        <v>8.5265128291212035E-15</v>
      </c>
      <c r="R1832" s="18">
        <f t="shared" si="289"/>
        <v>704.42499999999995</v>
      </c>
      <c r="S1832" s="18">
        <f t="shared" si="284"/>
        <v>74.150000000000006</v>
      </c>
    </row>
    <row r="1833" spans="1:19" ht="15" customHeight="1" x14ac:dyDescent="0.2">
      <c r="A1833" s="14">
        <f t="shared" si="283"/>
        <v>1794</v>
      </c>
      <c r="B1833" s="21" t="s">
        <v>1563</v>
      </c>
      <c r="C1833" s="15" t="s">
        <v>3</v>
      </c>
      <c r="D1833" s="21" t="s">
        <v>1200</v>
      </c>
      <c r="E1833" s="21"/>
      <c r="F1833" s="69" t="s">
        <v>4</v>
      </c>
      <c r="G1833" s="9">
        <v>28126</v>
      </c>
      <c r="H1833" s="22">
        <v>356</v>
      </c>
      <c r="I1833" s="17">
        <v>0</v>
      </c>
      <c r="J1833" s="17">
        <f t="shared" si="285"/>
        <v>338.2</v>
      </c>
      <c r="K1833" s="17">
        <f t="shared" si="286"/>
        <v>17.800000000000011</v>
      </c>
      <c r="L1833" s="23">
        <f t="shared" si="282"/>
        <v>17.8</v>
      </c>
      <c r="M1833" s="23">
        <v>5</v>
      </c>
      <c r="N1833" s="18">
        <f t="shared" si="287"/>
        <v>43.279452054794518</v>
      </c>
      <c r="O1833" s="23">
        <v>169.1</v>
      </c>
      <c r="P1833" s="18">
        <f t="shared" si="288"/>
        <v>44.279452054794518</v>
      </c>
      <c r="Q1833" s="18">
        <f t="shared" si="290"/>
        <v>2.1316282072803009E-15</v>
      </c>
      <c r="R1833" s="18">
        <f t="shared" si="289"/>
        <v>169.1</v>
      </c>
      <c r="S1833" s="18">
        <f t="shared" si="284"/>
        <v>17.8</v>
      </c>
    </row>
    <row r="1834" spans="1:19" ht="15" customHeight="1" x14ac:dyDescent="0.2">
      <c r="A1834" s="14">
        <f t="shared" si="283"/>
        <v>1795</v>
      </c>
      <c r="B1834" s="21" t="s">
        <v>1564</v>
      </c>
      <c r="C1834" s="15" t="s">
        <v>3</v>
      </c>
      <c r="D1834" s="21" t="s">
        <v>1200</v>
      </c>
      <c r="E1834" s="21"/>
      <c r="F1834" s="69" t="s">
        <v>4</v>
      </c>
      <c r="G1834" s="9">
        <v>28126</v>
      </c>
      <c r="H1834" s="22">
        <v>77</v>
      </c>
      <c r="I1834" s="17">
        <v>0</v>
      </c>
      <c r="J1834" s="17">
        <f t="shared" si="285"/>
        <v>73.150000000000006</v>
      </c>
      <c r="K1834" s="17">
        <f t="shared" si="286"/>
        <v>3.8499999999999943</v>
      </c>
      <c r="L1834" s="23">
        <f t="shared" ref="L1834:L1864" si="291">H1834*0.05</f>
        <v>3.85</v>
      </c>
      <c r="M1834" s="23">
        <v>10</v>
      </c>
      <c r="N1834" s="18">
        <f t="shared" si="287"/>
        <v>43.279452054794518</v>
      </c>
      <c r="O1834" s="23">
        <v>36.575000000000003</v>
      </c>
      <c r="P1834" s="18">
        <f t="shared" si="288"/>
        <v>44.279452054794518</v>
      </c>
      <c r="Q1834" s="18">
        <f t="shared" si="290"/>
        <v>-5.7731597280508142E-16</v>
      </c>
      <c r="R1834" s="18">
        <f t="shared" si="289"/>
        <v>36.575000000000003</v>
      </c>
      <c r="S1834" s="18">
        <f t="shared" si="284"/>
        <v>3.85</v>
      </c>
    </row>
    <row r="1835" spans="1:19" ht="15" customHeight="1" x14ac:dyDescent="0.2">
      <c r="A1835" s="14">
        <f t="shared" ref="A1835:A1898" si="292">+A1834+1</f>
        <v>1796</v>
      </c>
      <c r="B1835" s="21" t="s">
        <v>1565</v>
      </c>
      <c r="C1835" s="15" t="s">
        <v>3</v>
      </c>
      <c r="D1835" s="21" t="s">
        <v>1200</v>
      </c>
      <c r="E1835" s="21"/>
      <c r="F1835" s="69" t="s">
        <v>4</v>
      </c>
      <c r="G1835" s="9">
        <v>27760</v>
      </c>
      <c r="H1835" s="22">
        <v>640</v>
      </c>
      <c r="I1835" s="17">
        <v>0</v>
      </c>
      <c r="J1835" s="17">
        <f t="shared" si="285"/>
        <v>608</v>
      </c>
      <c r="K1835" s="17">
        <f t="shared" si="286"/>
        <v>32</v>
      </c>
      <c r="L1835" s="23">
        <f t="shared" si="291"/>
        <v>32</v>
      </c>
      <c r="M1835" s="23">
        <v>5</v>
      </c>
      <c r="N1835" s="18">
        <f t="shared" si="287"/>
        <v>44.282191780821918</v>
      </c>
      <c r="O1835" s="23">
        <v>304</v>
      </c>
      <c r="P1835" s="18">
        <f t="shared" si="288"/>
        <v>45.282191780821918</v>
      </c>
      <c r="Q1835" s="18">
        <f t="shared" si="290"/>
        <v>0</v>
      </c>
      <c r="R1835" s="18">
        <f t="shared" si="289"/>
        <v>304</v>
      </c>
      <c r="S1835" s="18">
        <f t="shared" si="284"/>
        <v>32</v>
      </c>
    </row>
    <row r="1836" spans="1:19" ht="15" customHeight="1" x14ac:dyDescent="0.2">
      <c r="A1836" s="14">
        <f t="shared" si="292"/>
        <v>1797</v>
      </c>
      <c r="B1836" s="21" t="s">
        <v>1566</v>
      </c>
      <c r="C1836" s="15" t="s">
        <v>3</v>
      </c>
      <c r="D1836" s="21" t="s">
        <v>1200</v>
      </c>
      <c r="E1836" s="21"/>
      <c r="F1836" s="69" t="s">
        <v>4</v>
      </c>
      <c r="G1836" s="9">
        <v>27760</v>
      </c>
      <c r="H1836" s="22">
        <v>4121</v>
      </c>
      <c r="I1836" s="17">
        <v>0</v>
      </c>
      <c r="J1836" s="17">
        <f t="shared" si="285"/>
        <v>3914.95</v>
      </c>
      <c r="K1836" s="17">
        <f t="shared" si="286"/>
        <v>206.05000000000018</v>
      </c>
      <c r="L1836" s="23">
        <f t="shared" si="291"/>
        <v>206.05</v>
      </c>
      <c r="M1836" s="23">
        <v>5</v>
      </c>
      <c r="N1836" s="18">
        <f t="shared" si="287"/>
        <v>44.282191780821918</v>
      </c>
      <c r="O1836" s="23">
        <v>1957.4749999999999</v>
      </c>
      <c r="P1836" s="18">
        <f t="shared" si="288"/>
        <v>45.282191780821918</v>
      </c>
      <c r="Q1836" s="18">
        <f t="shared" si="290"/>
        <v>3.4106051316484814E-14</v>
      </c>
      <c r="R1836" s="18">
        <f t="shared" si="289"/>
        <v>1957.4749999999999</v>
      </c>
      <c r="S1836" s="18">
        <f t="shared" si="284"/>
        <v>206.05</v>
      </c>
    </row>
    <row r="1837" spans="1:19" ht="15" customHeight="1" x14ac:dyDescent="0.2">
      <c r="A1837" s="14">
        <f t="shared" si="292"/>
        <v>1798</v>
      </c>
      <c r="B1837" s="21" t="s">
        <v>1567</v>
      </c>
      <c r="C1837" s="15" t="s">
        <v>3</v>
      </c>
      <c r="D1837" s="21" t="s">
        <v>1200</v>
      </c>
      <c r="E1837" s="21"/>
      <c r="F1837" s="69" t="s">
        <v>4</v>
      </c>
      <c r="G1837" s="9">
        <v>27760</v>
      </c>
      <c r="H1837" s="22">
        <v>636</v>
      </c>
      <c r="I1837" s="17">
        <v>0</v>
      </c>
      <c r="J1837" s="17">
        <f t="shared" si="285"/>
        <v>604.20000000000005</v>
      </c>
      <c r="K1837" s="17">
        <f t="shared" si="286"/>
        <v>31.799999999999955</v>
      </c>
      <c r="L1837" s="23">
        <f t="shared" si="291"/>
        <v>31.8</v>
      </c>
      <c r="M1837" s="23">
        <v>5</v>
      </c>
      <c r="N1837" s="18">
        <f t="shared" si="287"/>
        <v>44.282191780821918</v>
      </c>
      <c r="O1837" s="23">
        <v>302.10000000000002</v>
      </c>
      <c r="P1837" s="18">
        <f t="shared" si="288"/>
        <v>45.282191780821918</v>
      </c>
      <c r="Q1837" s="18">
        <f t="shared" si="290"/>
        <v>-9.2370555648813027E-15</v>
      </c>
      <c r="R1837" s="18">
        <f t="shared" si="289"/>
        <v>302.10000000000002</v>
      </c>
      <c r="S1837" s="18">
        <f t="shared" si="284"/>
        <v>31.8</v>
      </c>
    </row>
    <row r="1838" spans="1:19" ht="15" customHeight="1" x14ac:dyDescent="0.2">
      <c r="A1838" s="14">
        <f t="shared" si="292"/>
        <v>1799</v>
      </c>
      <c r="B1838" s="21" t="s">
        <v>1490</v>
      </c>
      <c r="C1838" s="15" t="s">
        <v>3</v>
      </c>
      <c r="D1838" s="21" t="s">
        <v>1200</v>
      </c>
      <c r="E1838" s="21"/>
      <c r="F1838" s="69" t="s">
        <v>4</v>
      </c>
      <c r="G1838" s="9">
        <v>27395</v>
      </c>
      <c r="H1838" s="22">
        <v>2266</v>
      </c>
      <c r="I1838" s="17">
        <v>0</v>
      </c>
      <c r="J1838" s="17">
        <f t="shared" si="285"/>
        <v>2152.6999999999998</v>
      </c>
      <c r="K1838" s="17">
        <f t="shared" si="286"/>
        <v>113.30000000000018</v>
      </c>
      <c r="L1838" s="23">
        <f t="shared" si="291"/>
        <v>113.30000000000001</v>
      </c>
      <c r="M1838" s="23">
        <v>5</v>
      </c>
      <c r="N1838" s="18">
        <f t="shared" si="287"/>
        <v>45.282191780821918</v>
      </c>
      <c r="O1838" s="23">
        <v>1076.3499999999999</v>
      </c>
      <c r="P1838" s="18">
        <f t="shared" si="288"/>
        <v>46.282191780821918</v>
      </c>
      <c r="Q1838" s="18">
        <f t="shared" si="290"/>
        <v>3.4106051316484814E-14</v>
      </c>
      <c r="R1838" s="18">
        <f t="shared" si="289"/>
        <v>1076.3499999999999</v>
      </c>
      <c r="S1838" s="18">
        <f t="shared" si="284"/>
        <v>113.30000000000001</v>
      </c>
    </row>
    <row r="1839" spans="1:19" ht="15" customHeight="1" x14ac:dyDescent="0.2">
      <c r="A1839" s="14">
        <f t="shared" si="292"/>
        <v>1800</v>
      </c>
      <c r="B1839" s="21" t="s">
        <v>1469</v>
      </c>
      <c r="C1839" s="15" t="s">
        <v>3</v>
      </c>
      <c r="D1839" s="21" t="s">
        <v>1200</v>
      </c>
      <c r="E1839" s="21"/>
      <c r="F1839" s="69" t="s">
        <v>4</v>
      </c>
      <c r="G1839" s="9">
        <v>27395</v>
      </c>
      <c r="H1839" s="22">
        <v>506</v>
      </c>
      <c r="I1839" s="17">
        <v>0</v>
      </c>
      <c r="J1839" s="17">
        <f t="shared" si="285"/>
        <v>480.7</v>
      </c>
      <c r="K1839" s="17">
        <f t="shared" si="286"/>
        <v>25.300000000000011</v>
      </c>
      <c r="L1839" s="23">
        <f t="shared" si="291"/>
        <v>25.3</v>
      </c>
      <c r="M1839" s="23">
        <v>5</v>
      </c>
      <c r="N1839" s="18">
        <f t="shared" si="287"/>
        <v>45.282191780821918</v>
      </c>
      <c r="O1839" s="23">
        <v>240.35</v>
      </c>
      <c r="P1839" s="18">
        <f t="shared" si="288"/>
        <v>46.282191780821918</v>
      </c>
      <c r="Q1839" s="18">
        <f t="shared" si="290"/>
        <v>2.1316282072803009E-15</v>
      </c>
      <c r="R1839" s="18">
        <f t="shared" si="289"/>
        <v>240.35</v>
      </c>
      <c r="S1839" s="18">
        <f t="shared" si="284"/>
        <v>25.3</v>
      </c>
    </row>
    <row r="1840" spans="1:19" ht="15" customHeight="1" x14ac:dyDescent="0.2">
      <c r="A1840" s="14">
        <f t="shared" si="292"/>
        <v>1801</v>
      </c>
      <c r="B1840" s="21" t="s">
        <v>1521</v>
      </c>
      <c r="C1840" s="15" t="s">
        <v>3</v>
      </c>
      <c r="D1840" s="21" t="s">
        <v>1200</v>
      </c>
      <c r="E1840" s="21"/>
      <c r="F1840" s="69" t="s">
        <v>4</v>
      </c>
      <c r="G1840" s="9">
        <v>27395</v>
      </c>
      <c r="H1840" s="22">
        <v>270</v>
      </c>
      <c r="I1840" s="17">
        <v>0</v>
      </c>
      <c r="J1840" s="17">
        <f t="shared" si="285"/>
        <v>256.5</v>
      </c>
      <c r="K1840" s="17">
        <f t="shared" si="286"/>
        <v>13.5</v>
      </c>
      <c r="L1840" s="23">
        <f t="shared" si="291"/>
        <v>13.5</v>
      </c>
      <c r="M1840" s="23">
        <v>5</v>
      </c>
      <c r="N1840" s="18">
        <f t="shared" si="287"/>
        <v>45.282191780821918</v>
      </c>
      <c r="O1840" s="23">
        <v>128.25</v>
      </c>
      <c r="P1840" s="18">
        <f t="shared" si="288"/>
        <v>46.282191780821918</v>
      </c>
      <c r="Q1840" s="18">
        <f t="shared" si="290"/>
        <v>0</v>
      </c>
      <c r="R1840" s="18">
        <f t="shared" si="289"/>
        <v>128.25</v>
      </c>
      <c r="S1840" s="18">
        <f t="shared" si="284"/>
        <v>13.5</v>
      </c>
    </row>
    <row r="1841" spans="1:19" ht="15" customHeight="1" x14ac:dyDescent="0.2">
      <c r="A1841" s="14">
        <f t="shared" si="292"/>
        <v>1802</v>
      </c>
      <c r="B1841" s="21" t="s">
        <v>1568</v>
      </c>
      <c r="C1841" s="15" t="s">
        <v>3</v>
      </c>
      <c r="D1841" s="21" t="s">
        <v>1200</v>
      </c>
      <c r="E1841" s="21"/>
      <c r="F1841" s="69" t="s">
        <v>4</v>
      </c>
      <c r="G1841" s="9">
        <v>27395</v>
      </c>
      <c r="H1841" s="22">
        <v>116</v>
      </c>
      <c r="I1841" s="17">
        <v>0</v>
      </c>
      <c r="J1841" s="17">
        <f t="shared" si="285"/>
        <v>110.2</v>
      </c>
      <c r="K1841" s="17">
        <f t="shared" si="286"/>
        <v>5.7999999999999972</v>
      </c>
      <c r="L1841" s="23">
        <f t="shared" si="291"/>
        <v>5.8000000000000007</v>
      </c>
      <c r="M1841" s="23">
        <v>5</v>
      </c>
      <c r="N1841" s="18">
        <f t="shared" si="287"/>
        <v>45.282191780821918</v>
      </c>
      <c r="O1841" s="23">
        <v>55.1</v>
      </c>
      <c r="P1841" s="18">
        <f t="shared" si="288"/>
        <v>46.282191780821918</v>
      </c>
      <c r="Q1841" s="18">
        <f t="shared" si="290"/>
        <v>-7.1054273576010023E-16</v>
      </c>
      <c r="R1841" s="18">
        <f t="shared" si="289"/>
        <v>55.1</v>
      </c>
      <c r="S1841" s="18">
        <f t="shared" si="284"/>
        <v>5.8000000000000007</v>
      </c>
    </row>
    <row r="1842" spans="1:19" ht="15" customHeight="1" x14ac:dyDescent="0.2">
      <c r="A1842" s="14">
        <f t="shared" si="292"/>
        <v>1803</v>
      </c>
      <c r="B1842" s="21" t="s">
        <v>1540</v>
      </c>
      <c r="C1842" s="15" t="s">
        <v>3</v>
      </c>
      <c r="D1842" s="21" t="s">
        <v>1200</v>
      </c>
      <c r="E1842" s="21"/>
      <c r="F1842" s="69" t="s">
        <v>4</v>
      </c>
      <c r="G1842" s="9">
        <v>27395</v>
      </c>
      <c r="H1842" s="22">
        <v>17</v>
      </c>
      <c r="I1842" s="17">
        <v>0</v>
      </c>
      <c r="J1842" s="17">
        <f t="shared" si="285"/>
        <v>16.149999999999999</v>
      </c>
      <c r="K1842" s="17">
        <f t="shared" si="286"/>
        <v>0.85000000000000142</v>
      </c>
      <c r="L1842" s="23">
        <f t="shared" si="291"/>
        <v>0.85000000000000009</v>
      </c>
      <c r="M1842" s="23">
        <v>5</v>
      </c>
      <c r="N1842" s="18">
        <f t="shared" si="287"/>
        <v>45.282191780821918</v>
      </c>
      <c r="O1842" s="23">
        <v>8.0749999999999993</v>
      </c>
      <c r="P1842" s="18">
        <f t="shared" si="288"/>
        <v>46.282191780821918</v>
      </c>
      <c r="Q1842" s="18">
        <f t="shared" si="290"/>
        <v>2.6645352591003761E-16</v>
      </c>
      <c r="R1842" s="18">
        <f t="shared" si="289"/>
        <v>8.0749999999999993</v>
      </c>
      <c r="S1842" s="18">
        <f t="shared" ref="S1842:S1905" si="293">+IF(N1842&gt;P1842,0,L1842)</f>
        <v>0.85000000000000009</v>
      </c>
    </row>
    <row r="1843" spans="1:19" ht="15" customHeight="1" x14ac:dyDescent="0.2">
      <c r="A1843" s="14">
        <f t="shared" si="292"/>
        <v>1804</v>
      </c>
      <c r="B1843" s="21" t="s">
        <v>1569</v>
      </c>
      <c r="C1843" s="15" t="s">
        <v>3</v>
      </c>
      <c r="D1843" s="21" t="s">
        <v>1200</v>
      </c>
      <c r="E1843" s="21"/>
      <c r="F1843" s="69" t="s">
        <v>4</v>
      </c>
      <c r="G1843" s="9">
        <v>27395</v>
      </c>
      <c r="H1843" s="22">
        <v>15194</v>
      </c>
      <c r="I1843" s="17">
        <v>0</v>
      </c>
      <c r="J1843" s="17">
        <f t="shared" si="285"/>
        <v>14434.3</v>
      </c>
      <c r="K1843" s="17">
        <f t="shared" si="286"/>
        <v>759.70000000000073</v>
      </c>
      <c r="L1843" s="23">
        <f t="shared" si="291"/>
        <v>759.7</v>
      </c>
      <c r="M1843" s="23">
        <v>10</v>
      </c>
      <c r="N1843" s="18">
        <f t="shared" si="287"/>
        <v>45.282191780821918</v>
      </c>
      <c r="O1843" s="23">
        <v>7217.15</v>
      </c>
      <c r="P1843" s="18">
        <f t="shared" si="288"/>
        <v>46.282191780821918</v>
      </c>
      <c r="Q1843" s="18">
        <f t="shared" si="290"/>
        <v>6.8212102632969628E-14</v>
      </c>
      <c r="R1843" s="18">
        <f t="shared" si="289"/>
        <v>7217.15</v>
      </c>
      <c r="S1843" s="18">
        <f t="shared" si="293"/>
        <v>759.7</v>
      </c>
    </row>
    <row r="1844" spans="1:19" ht="15" customHeight="1" x14ac:dyDescent="0.2">
      <c r="A1844" s="14">
        <f t="shared" si="292"/>
        <v>1805</v>
      </c>
      <c r="B1844" s="21" t="s">
        <v>1570</v>
      </c>
      <c r="C1844" s="15" t="s">
        <v>3</v>
      </c>
      <c r="D1844" s="21" t="s">
        <v>1200</v>
      </c>
      <c r="E1844" s="21"/>
      <c r="F1844" s="69" t="s">
        <v>4</v>
      </c>
      <c r="G1844" s="9">
        <v>27030</v>
      </c>
      <c r="H1844" s="22">
        <v>5952</v>
      </c>
      <c r="I1844" s="17">
        <v>0</v>
      </c>
      <c r="J1844" s="17">
        <f t="shared" si="285"/>
        <v>5654.4</v>
      </c>
      <c r="K1844" s="17">
        <f t="shared" si="286"/>
        <v>297.60000000000036</v>
      </c>
      <c r="L1844" s="23">
        <f t="shared" si="291"/>
        <v>297.60000000000002</v>
      </c>
      <c r="M1844" s="23">
        <v>10</v>
      </c>
      <c r="N1844" s="18">
        <f t="shared" si="287"/>
        <v>46.282191780821918</v>
      </c>
      <c r="O1844" s="23">
        <v>2827.2</v>
      </c>
      <c r="P1844" s="18">
        <f t="shared" si="288"/>
        <v>47.282191780821918</v>
      </c>
      <c r="Q1844" s="18">
        <f t="shared" si="290"/>
        <v>3.4106051316484814E-14</v>
      </c>
      <c r="R1844" s="18">
        <f t="shared" si="289"/>
        <v>2827.2</v>
      </c>
      <c r="S1844" s="18">
        <f t="shared" si="293"/>
        <v>297.60000000000002</v>
      </c>
    </row>
    <row r="1845" spans="1:19" ht="15" customHeight="1" x14ac:dyDescent="0.2">
      <c r="A1845" s="14">
        <f t="shared" si="292"/>
        <v>1806</v>
      </c>
      <c r="B1845" s="21" t="s">
        <v>1570</v>
      </c>
      <c r="C1845" s="15" t="s">
        <v>3</v>
      </c>
      <c r="D1845" s="21" t="s">
        <v>1200</v>
      </c>
      <c r="E1845" s="21"/>
      <c r="F1845" s="69" t="s">
        <v>4</v>
      </c>
      <c r="G1845" s="9">
        <v>26665</v>
      </c>
      <c r="H1845" s="22">
        <v>5135</v>
      </c>
      <c r="I1845" s="17">
        <v>0</v>
      </c>
      <c r="J1845" s="17">
        <f t="shared" si="285"/>
        <v>4878.25</v>
      </c>
      <c r="K1845" s="17">
        <f t="shared" si="286"/>
        <v>256.75</v>
      </c>
      <c r="L1845" s="23">
        <f t="shared" si="291"/>
        <v>256.75</v>
      </c>
      <c r="M1845" s="23">
        <v>10</v>
      </c>
      <c r="N1845" s="18">
        <f t="shared" si="287"/>
        <v>47.282191780821918</v>
      </c>
      <c r="O1845" s="23">
        <v>2439.125</v>
      </c>
      <c r="P1845" s="18">
        <f t="shared" si="288"/>
        <v>48.282191780821918</v>
      </c>
      <c r="Q1845" s="18">
        <f t="shared" si="290"/>
        <v>0</v>
      </c>
      <c r="R1845" s="18">
        <f t="shared" si="289"/>
        <v>2439.125</v>
      </c>
      <c r="S1845" s="18">
        <f t="shared" si="293"/>
        <v>256.75</v>
      </c>
    </row>
    <row r="1846" spans="1:19" ht="15" customHeight="1" x14ac:dyDescent="0.2">
      <c r="A1846" s="14">
        <f t="shared" si="292"/>
        <v>1807</v>
      </c>
      <c r="B1846" s="21" t="s">
        <v>1526</v>
      </c>
      <c r="C1846" s="15" t="s">
        <v>3</v>
      </c>
      <c r="D1846" s="21" t="s">
        <v>1200</v>
      </c>
      <c r="E1846" s="21"/>
      <c r="F1846" s="69" t="s">
        <v>4</v>
      </c>
      <c r="G1846" s="9">
        <v>26665</v>
      </c>
      <c r="H1846" s="22">
        <v>18694</v>
      </c>
      <c r="I1846" s="17">
        <v>0</v>
      </c>
      <c r="J1846" s="17">
        <f t="shared" si="285"/>
        <v>17759.3</v>
      </c>
      <c r="K1846" s="17">
        <f t="shared" si="286"/>
        <v>934.70000000000073</v>
      </c>
      <c r="L1846" s="23">
        <f t="shared" si="291"/>
        <v>934.7</v>
      </c>
      <c r="M1846" s="23">
        <v>10</v>
      </c>
      <c r="N1846" s="18">
        <f t="shared" si="287"/>
        <v>47.282191780821918</v>
      </c>
      <c r="O1846" s="23">
        <v>8879.65</v>
      </c>
      <c r="P1846" s="18">
        <f t="shared" si="288"/>
        <v>48.282191780821918</v>
      </c>
      <c r="Q1846" s="18">
        <f t="shared" si="290"/>
        <v>6.8212102632969628E-14</v>
      </c>
      <c r="R1846" s="18">
        <f t="shared" si="289"/>
        <v>8879.65</v>
      </c>
      <c r="S1846" s="18">
        <f t="shared" si="293"/>
        <v>934.7</v>
      </c>
    </row>
    <row r="1847" spans="1:19" ht="15" customHeight="1" x14ac:dyDescent="0.2">
      <c r="A1847" s="14">
        <f t="shared" si="292"/>
        <v>1808</v>
      </c>
      <c r="B1847" s="21" t="s">
        <v>1571</v>
      </c>
      <c r="C1847" s="15" t="s">
        <v>3</v>
      </c>
      <c r="D1847" s="21" t="s">
        <v>1200</v>
      </c>
      <c r="E1847" s="21"/>
      <c r="F1847" s="69" t="s">
        <v>4</v>
      </c>
      <c r="G1847" s="9">
        <v>26299</v>
      </c>
      <c r="H1847" s="22">
        <v>221</v>
      </c>
      <c r="I1847" s="17">
        <v>0</v>
      </c>
      <c r="J1847" s="17">
        <f t="shared" si="285"/>
        <v>209.95</v>
      </c>
      <c r="K1847" s="17">
        <f t="shared" si="286"/>
        <v>11.050000000000011</v>
      </c>
      <c r="L1847" s="23">
        <f t="shared" si="291"/>
        <v>11.05</v>
      </c>
      <c r="M1847" s="23">
        <v>5</v>
      </c>
      <c r="N1847" s="18">
        <f t="shared" si="287"/>
        <v>48.284931506849318</v>
      </c>
      <c r="O1847" s="23">
        <v>104.97499999999999</v>
      </c>
      <c r="P1847" s="18">
        <f t="shared" si="288"/>
        <v>49.284931506849318</v>
      </c>
      <c r="Q1847" s="18">
        <f t="shared" si="290"/>
        <v>2.1316282072803009E-15</v>
      </c>
      <c r="R1847" s="18">
        <f t="shared" si="289"/>
        <v>104.97499999999999</v>
      </c>
      <c r="S1847" s="18">
        <f t="shared" si="293"/>
        <v>11.05</v>
      </c>
    </row>
    <row r="1848" spans="1:19" ht="15" customHeight="1" x14ac:dyDescent="0.2">
      <c r="A1848" s="14">
        <f t="shared" si="292"/>
        <v>1809</v>
      </c>
      <c r="B1848" s="21" t="s">
        <v>1572</v>
      </c>
      <c r="C1848" s="15" t="s">
        <v>3</v>
      </c>
      <c r="D1848" s="21" t="s">
        <v>1200</v>
      </c>
      <c r="E1848" s="21"/>
      <c r="F1848" s="69" t="s">
        <v>4</v>
      </c>
      <c r="G1848" s="9">
        <v>26299</v>
      </c>
      <c r="H1848" s="22">
        <v>1760</v>
      </c>
      <c r="I1848" s="17">
        <v>0</v>
      </c>
      <c r="J1848" s="17">
        <f t="shared" si="285"/>
        <v>1672</v>
      </c>
      <c r="K1848" s="17">
        <f t="shared" si="286"/>
        <v>88</v>
      </c>
      <c r="L1848" s="23">
        <f t="shared" si="291"/>
        <v>88</v>
      </c>
      <c r="M1848" s="23">
        <v>10</v>
      </c>
      <c r="N1848" s="18">
        <f t="shared" si="287"/>
        <v>48.284931506849318</v>
      </c>
      <c r="O1848" s="23">
        <v>836</v>
      </c>
      <c r="P1848" s="18">
        <f t="shared" si="288"/>
        <v>49.284931506849318</v>
      </c>
      <c r="Q1848" s="18">
        <f t="shared" si="290"/>
        <v>0</v>
      </c>
      <c r="R1848" s="18">
        <f t="shared" si="289"/>
        <v>836</v>
      </c>
      <c r="S1848" s="18">
        <f t="shared" si="293"/>
        <v>88</v>
      </c>
    </row>
    <row r="1849" spans="1:19" ht="15" customHeight="1" x14ac:dyDescent="0.2">
      <c r="A1849" s="14">
        <f t="shared" si="292"/>
        <v>1810</v>
      </c>
      <c r="B1849" s="21" t="s">
        <v>1573</v>
      </c>
      <c r="C1849" s="15" t="s">
        <v>3</v>
      </c>
      <c r="D1849" s="21" t="s">
        <v>1200</v>
      </c>
      <c r="E1849" s="21"/>
      <c r="F1849" s="69" t="s">
        <v>4</v>
      </c>
      <c r="G1849" s="9">
        <v>26299</v>
      </c>
      <c r="H1849" s="22">
        <v>7</v>
      </c>
      <c r="I1849" s="17">
        <v>0</v>
      </c>
      <c r="J1849" s="17">
        <f t="shared" si="285"/>
        <v>6.65</v>
      </c>
      <c r="K1849" s="17">
        <f t="shared" si="286"/>
        <v>0.34999999999999964</v>
      </c>
      <c r="L1849" s="23">
        <f t="shared" si="291"/>
        <v>0.35000000000000003</v>
      </c>
      <c r="M1849" s="23">
        <v>10</v>
      </c>
      <c r="N1849" s="18">
        <f t="shared" si="287"/>
        <v>48.284931506849318</v>
      </c>
      <c r="O1849" s="23">
        <v>3.3250000000000002</v>
      </c>
      <c r="P1849" s="18">
        <f t="shared" si="288"/>
        <v>49.284931506849318</v>
      </c>
      <c r="Q1849" s="18">
        <f t="shared" si="290"/>
        <v>-3.8857805861880483E-17</v>
      </c>
      <c r="R1849" s="18">
        <f t="shared" si="289"/>
        <v>3.3250000000000002</v>
      </c>
      <c r="S1849" s="18">
        <f t="shared" si="293"/>
        <v>0.35000000000000003</v>
      </c>
    </row>
    <row r="1850" spans="1:19" ht="15" customHeight="1" x14ac:dyDescent="0.2">
      <c r="A1850" s="14">
        <f t="shared" si="292"/>
        <v>1811</v>
      </c>
      <c r="B1850" s="21" t="s">
        <v>1574</v>
      </c>
      <c r="C1850" s="15" t="s">
        <v>3</v>
      </c>
      <c r="D1850" s="21" t="s">
        <v>1200</v>
      </c>
      <c r="E1850" s="21"/>
      <c r="F1850" s="69" t="s">
        <v>4</v>
      </c>
      <c r="G1850" s="9">
        <v>26299</v>
      </c>
      <c r="H1850" s="22">
        <v>11</v>
      </c>
      <c r="I1850" s="17">
        <v>0</v>
      </c>
      <c r="J1850" s="17">
        <f t="shared" si="285"/>
        <v>10.45</v>
      </c>
      <c r="K1850" s="17">
        <f t="shared" si="286"/>
        <v>0.55000000000000071</v>
      </c>
      <c r="L1850" s="23">
        <f t="shared" si="291"/>
        <v>0.55000000000000004</v>
      </c>
      <c r="M1850" s="23">
        <v>10</v>
      </c>
      <c r="N1850" s="18">
        <f t="shared" si="287"/>
        <v>48.284931506849318</v>
      </c>
      <c r="O1850" s="23">
        <v>5.2249999999999996</v>
      </c>
      <c r="P1850" s="18">
        <f t="shared" si="288"/>
        <v>49.284931506849318</v>
      </c>
      <c r="Q1850" s="18">
        <f t="shared" si="290"/>
        <v>6.6613381477509402E-17</v>
      </c>
      <c r="R1850" s="18">
        <f t="shared" si="289"/>
        <v>5.2249999999999996</v>
      </c>
      <c r="S1850" s="18">
        <f t="shared" si="293"/>
        <v>0.55000000000000004</v>
      </c>
    </row>
    <row r="1851" spans="1:19" ht="15" customHeight="1" x14ac:dyDescent="0.2">
      <c r="A1851" s="14">
        <f t="shared" si="292"/>
        <v>1812</v>
      </c>
      <c r="B1851" s="21" t="s">
        <v>1575</v>
      </c>
      <c r="C1851" s="15" t="s">
        <v>3</v>
      </c>
      <c r="D1851" s="21" t="s">
        <v>1200</v>
      </c>
      <c r="E1851" s="21"/>
      <c r="F1851" s="69" t="s">
        <v>4</v>
      </c>
      <c r="G1851" s="9">
        <v>26299</v>
      </c>
      <c r="H1851" s="22">
        <v>56</v>
      </c>
      <c r="I1851" s="17">
        <v>0</v>
      </c>
      <c r="J1851" s="17">
        <f t="shared" si="285"/>
        <v>53.2</v>
      </c>
      <c r="K1851" s="17">
        <f t="shared" si="286"/>
        <v>2.7999999999999972</v>
      </c>
      <c r="L1851" s="23">
        <f t="shared" si="291"/>
        <v>2.8000000000000003</v>
      </c>
      <c r="M1851" s="23">
        <v>5</v>
      </c>
      <c r="N1851" s="18">
        <f t="shared" si="287"/>
        <v>48.284931506849318</v>
      </c>
      <c r="O1851" s="23">
        <v>26.6</v>
      </c>
      <c r="P1851" s="18">
        <f t="shared" si="288"/>
        <v>49.284931506849318</v>
      </c>
      <c r="Q1851" s="18">
        <f t="shared" si="290"/>
        <v>-6.2172489379008772E-16</v>
      </c>
      <c r="R1851" s="18">
        <f t="shared" si="289"/>
        <v>26.6</v>
      </c>
      <c r="S1851" s="18">
        <f t="shared" si="293"/>
        <v>2.8000000000000003</v>
      </c>
    </row>
    <row r="1852" spans="1:19" ht="15" customHeight="1" x14ac:dyDescent="0.2">
      <c r="A1852" s="14">
        <f t="shared" si="292"/>
        <v>1813</v>
      </c>
      <c r="B1852" s="21" t="s">
        <v>1576</v>
      </c>
      <c r="C1852" s="15" t="s">
        <v>3</v>
      </c>
      <c r="D1852" s="21" t="s">
        <v>1200</v>
      </c>
      <c r="E1852" s="21"/>
      <c r="F1852" s="69" t="s">
        <v>4</v>
      </c>
      <c r="G1852" s="9">
        <v>26299</v>
      </c>
      <c r="H1852" s="22">
        <v>61</v>
      </c>
      <c r="I1852" s="17">
        <v>0</v>
      </c>
      <c r="J1852" s="17">
        <f t="shared" si="285"/>
        <v>57.95</v>
      </c>
      <c r="K1852" s="17">
        <f t="shared" si="286"/>
        <v>3.0499999999999972</v>
      </c>
      <c r="L1852" s="23">
        <f t="shared" si="291"/>
        <v>3.0500000000000003</v>
      </c>
      <c r="M1852" s="23">
        <v>5</v>
      </c>
      <c r="N1852" s="18">
        <f t="shared" si="287"/>
        <v>48.284931506849318</v>
      </c>
      <c r="O1852" s="23">
        <v>28.975000000000001</v>
      </c>
      <c r="P1852" s="18">
        <f t="shared" si="288"/>
        <v>49.284931506849318</v>
      </c>
      <c r="Q1852" s="18">
        <f t="shared" si="290"/>
        <v>-6.2172489379008772E-16</v>
      </c>
      <c r="R1852" s="18">
        <f t="shared" si="289"/>
        <v>28.975000000000001</v>
      </c>
      <c r="S1852" s="18">
        <f t="shared" si="293"/>
        <v>3.0500000000000003</v>
      </c>
    </row>
    <row r="1853" spans="1:19" ht="15" customHeight="1" x14ac:dyDescent="0.2">
      <c r="A1853" s="14">
        <f t="shared" si="292"/>
        <v>1814</v>
      </c>
      <c r="B1853" s="21" t="s">
        <v>1577</v>
      </c>
      <c r="C1853" s="15" t="s">
        <v>3</v>
      </c>
      <c r="D1853" s="21" t="s">
        <v>1200</v>
      </c>
      <c r="E1853" s="21"/>
      <c r="F1853" s="69" t="s">
        <v>4</v>
      </c>
      <c r="G1853" s="9">
        <v>25934</v>
      </c>
      <c r="H1853" s="22">
        <v>161</v>
      </c>
      <c r="I1853" s="17">
        <v>0</v>
      </c>
      <c r="J1853" s="17">
        <f t="shared" si="285"/>
        <v>152.94999999999999</v>
      </c>
      <c r="K1853" s="17">
        <f t="shared" si="286"/>
        <v>8.0500000000000114</v>
      </c>
      <c r="L1853" s="23">
        <f t="shared" si="291"/>
        <v>8.0500000000000007</v>
      </c>
      <c r="M1853" s="23">
        <v>5</v>
      </c>
      <c r="N1853" s="18">
        <f t="shared" si="287"/>
        <v>49.284931506849318</v>
      </c>
      <c r="O1853" s="23">
        <v>76.474999999999994</v>
      </c>
      <c r="P1853" s="18">
        <f t="shared" si="288"/>
        <v>50.284931506849318</v>
      </c>
      <c r="Q1853" s="18">
        <f t="shared" si="290"/>
        <v>2.1316282072803009E-15</v>
      </c>
      <c r="R1853" s="18">
        <f t="shared" si="289"/>
        <v>76.474999999999994</v>
      </c>
      <c r="S1853" s="18">
        <f t="shared" si="293"/>
        <v>8.0500000000000007</v>
      </c>
    </row>
    <row r="1854" spans="1:19" ht="15" customHeight="1" x14ac:dyDescent="0.2">
      <c r="A1854" s="14">
        <f t="shared" si="292"/>
        <v>1815</v>
      </c>
      <c r="B1854" s="21" t="s">
        <v>1578</v>
      </c>
      <c r="C1854" s="15" t="s">
        <v>3</v>
      </c>
      <c r="D1854" s="21" t="s">
        <v>1200</v>
      </c>
      <c r="E1854" s="21"/>
      <c r="F1854" s="69" t="s">
        <v>4</v>
      </c>
      <c r="G1854" s="9">
        <v>25569</v>
      </c>
      <c r="H1854" s="22">
        <v>4252</v>
      </c>
      <c r="I1854" s="17">
        <v>0</v>
      </c>
      <c r="J1854" s="17">
        <f t="shared" si="285"/>
        <v>4039.4</v>
      </c>
      <c r="K1854" s="17">
        <f t="shared" si="286"/>
        <v>212.59999999999991</v>
      </c>
      <c r="L1854" s="23">
        <f t="shared" si="291"/>
        <v>212.60000000000002</v>
      </c>
      <c r="M1854" s="23">
        <v>10</v>
      </c>
      <c r="N1854" s="18">
        <f t="shared" si="287"/>
        <v>50.284931506849318</v>
      </c>
      <c r="O1854" s="23">
        <v>2019.7</v>
      </c>
      <c r="P1854" s="18">
        <f t="shared" si="288"/>
        <v>51.284931506849318</v>
      </c>
      <c r="Q1854" s="18">
        <f t="shared" si="290"/>
        <v>-1.1368683772161604E-14</v>
      </c>
      <c r="R1854" s="18">
        <f t="shared" si="289"/>
        <v>2019.7</v>
      </c>
      <c r="S1854" s="18">
        <f t="shared" si="293"/>
        <v>212.60000000000002</v>
      </c>
    </row>
    <row r="1855" spans="1:19" ht="15" customHeight="1" x14ac:dyDescent="0.2">
      <c r="A1855" s="14">
        <f t="shared" si="292"/>
        <v>1816</v>
      </c>
      <c r="B1855" s="21" t="s">
        <v>1579</v>
      </c>
      <c r="C1855" s="15" t="s">
        <v>3</v>
      </c>
      <c r="D1855" s="21" t="s">
        <v>1200</v>
      </c>
      <c r="E1855" s="21"/>
      <c r="F1855" s="69" t="s">
        <v>4</v>
      </c>
      <c r="G1855" s="9">
        <v>25204</v>
      </c>
      <c r="H1855" s="22">
        <v>116</v>
      </c>
      <c r="I1855" s="17">
        <v>0</v>
      </c>
      <c r="J1855" s="17">
        <f t="shared" si="285"/>
        <v>110.2</v>
      </c>
      <c r="K1855" s="17">
        <f t="shared" si="286"/>
        <v>5.7999999999999972</v>
      </c>
      <c r="L1855" s="23">
        <f t="shared" si="291"/>
        <v>5.8000000000000007</v>
      </c>
      <c r="M1855" s="23">
        <v>5</v>
      </c>
      <c r="N1855" s="18">
        <f t="shared" si="287"/>
        <v>51.284931506849318</v>
      </c>
      <c r="O1855" s="23">
        <v>55.1</v>
      </c>
      <c r="P1855" s="18">
        <f t="shared" si="288"/>
        <v>52.284931506849318</v>
      </c>
      <c r="Q1855" s="18">
        <f t="shared" si="290"/>
        <v>-7.1054273576010023E-16</v>
      </c>
      <c r="R1855" s="18">
        <f t="shared" si="289"/>
        <v>55.1</v>
      </c>
      <c r="S1855" s="18">
        <f t="shared" si="293"/>
        <v>5.8000000000000007</v>
      </c>
    </row>
    <row r="1856" spans="1:19" ht="15" customHeight="1" x14ac:dyDescent="0.2">
      <c r="A1856" s="14">
        <f t="shared" si="292"/>
        <v>1817</v>
      </c>
      <c r="B1856" s="21" t="s">
        <v>1552</v>
      </c>
      <c r="C1856" s="15" t="s">
        <v>3</v>
      </c>
      <c r="D1856" s="21" t="s">
        <v>1200</v>
      </c>
      <c r="E1856" s="21"/>
      <c r="F1856" s="69" t="s">
        <v>4</v>
      </c>
      <c r="G1856" s="9">
        <v>25204</v>
      </c>
      <c r="H1856" s="22">
        <v>19</v>
      </c>
      <c r="I1856" s="17">
        <v>0</v>
      </c>
      <c r="J1856" s="17">
        <f t="shared" si="285"/>
        <v>18.05</v>
      </c>
      <c r="K1856" s="17">
        <f t="shared" si="286"/>
        <v>0.94999999999999929</v>
      </c>
      <c r="L1856" s="23">
        <f t="shared" si="291"/>
        <v>0.95000000000000007</v>
      </c>
      <c r="M1856" s="23">
        <v>5</v>
      </c>
      <c r="N1856" s="18">
        <f t="shared" si="287"/>
        <v>51.284931506849318</v>
      </c>
      <c r="O1856" s="23">
        <v>9.0250000000000004</v>
      </c>
      <c r="P1856" s="18">
        <f t="shared" si="288"/>
        <v>52.284931506849318</v>
      </c>
      <c r="Q1856" s="18">
        <f t="shared" si="290"/>
        <v>-1.5543122344752193E-16</v>
      </c>
      <c r="R1856" s="18">
        <f t="shared" si="289"/>
        <v>9.0250000000000004</v>
      </c>
      <c r="S1856" s="18">
        <f t="shared" si="293"/>
        <v>0.95000000000000007</v>
      </c>
    </row>
    <row r="1857" spans="1:19" ht="15" customHeight="1" x14ac:dyDescent="0.2">
      <c r="A1857" s="14">
        <f t="shared" si="292"/>
        <v>1818</v>
      </c>
      <c r="B1857" s="21" t="s">
        <v>1580</v>
      </c>
      <c r="C1857" s="15" t="s">
        <v>3</v>
      </c>
      <c r="D1857" s="21" t="s">
        <v>1200</v>
      </c>
      <c r="E1857" s="21"/>
      <c r="F1857" s="69" t="s">
        <v>4</v>
      </c>
      <c r="G1857" s="9">
        <v>24108</v>
      </c>
      <c r="H1857" s="22">
        <v>1072</v>
      </c>
      <c r="I1857" s="17">
        <v>0</v>
      </c>
      <c r="J1857" s="17">
        <f t="shared" si="285"/>
        <v>1018.4</v>
      </c>
      <c r="K1857" s="17">
        <f t="shared" si="286"/>
        <v>53.600000000000023</v>
      </c>
      <c r="L1857" s="23">
        <f t="shared" si="291"/>
        <v>53.6</v>
      </c>
      <c r="M1857" s="23">
        <v>10</v>
      </c>
      <c r="N1857" s="18">
        <f t="shared" si="287"/>
        <v>54.287671232876711</v>
      </c>
      <c r="O1857" s="23">
        <v>509.2</v>
      </c>
      <c r="P1857" s="18">
        <f t="shared" si="288"/>
        <v>55.287671232876711</v>
      </c>
      <c r="Q1857" s="18">
        <f t="shared" si="290"/>
        <v>2.1316282072803009E-15</v>
      </c>
      <c r="R1857" s="18">
        <f t="shared" si="289"/>
        <v>509.2</v>
      </c>
      <c r="S1857" s="18">
        <f t="shared" si="293"/>
        <v>53.6</v>
      </c>
    </row>
    <row r="1858" spans="1:19" ht="15" customHeight="1" x14ac:dyDescent="0.2">
      <c r="A1858" s="14">
        <f t="shared" si="292"/>
        <v>1819</v>
      </c>
      <c r="B1858" s="21" t="s">
        <v>1581</v>
      </c>
      <c r="C1858" s="15" t="s">
        <v>3</v>
      </c>
      <c r="D1858" s="21" t="s">
        <v>1200</v>
      </c>
      <c r="E1858" s="21"/>
      <c r="F1858" s="69" t="s">
        <v>4</v>
      </c>
      <c r="G1858" s="9">
        <v>23743</v>
      </c>
      <c r="H1858" s="22">
        <v>569</v>
      </c>
      <c r="I1858" s="17">
        <v>0</v>
      </c>
      <c r="J1858" s="17">
        <f t="shared" si="285"/>
        <v>540.54999999999995</v>
      </c>
      <c r="K1858" s="17">
        <f t="shared" si="286"/>
        <v>28.450000000000045</v>
      </c>
      <c r="L1858" s="23">
        <f t="shared" si="291"/>
        <v>28.450000000000003</v>
      </c>
      <c r="M1858" s="23">
        <v>5</v>
      </c>
      <c r="N1858" s="18">
        <f t="shared" si="287"/>
        <v>55.287671232876711</v>
      </c>
      <c r="O1858" s="23">
        <v>270.27499999999998</v>
      </c>
      <c r="P1858" s="18">
        <f t="shared" si="288"/>
        <v>56.287671232876711</v>
      </c>
      <c r="Q1858" s="18">
        <f t="shared" si="290"/>
        <v>8.5265128291212035E-15</v>
      </c>
      <c r="R1858" s="18">
        <f t="shared" si="289"/>
        <v>270.27499999999998</v>
      </c>
      <c r="S1858" s="18">
        <f t="shared" si="293"/>
        <v>28.450000000000003</v>
      </c>
    </row>
    <row r="1859" spans="1:19" ht="15" customHeight="1" x14ac:dyDescent="0.2">
      <c r="A1859" s="14">
        <f t="shared" si="292"/>
        <v>1820</v>
      </c>
      <c r="B1859" s="21" t="s">
        <v>1582</v>
      </c>
      <c r="C1859" s="15" t="s">
        <v>3</v>
      </c>
      <c r="D1859" s="21" t="s">
        <v>1200</v>
      </c>
      <c r="E1859" s="21"/>
      <c r="F1859" s="69" t="s">
        <v>4</v>
      </c>
      <c r="G1859" s="9">
        <v>23377</v>
      </c>
      <c r="H1859" s="22">
        <v>452</v>
      </c>
      <c r="I1859" s="17">
        <v>0</v>
      </c>
      <c r="J1859" s="17">
        <f t="shared" si="285"/>
        <v>429.4</v>
      </c>
      <c r="K1859" s="17">
        <f t="shared" si="286"/>
        <v>22.600000000000023</v>
      </c>
      <c r="L1859" s="23">
        <f t="shared" si="291"/>
        <v>22.6</v>
      </c>
      <c r="M1859" s="23">
        <v>5</v>
      </c>
      <c r="N1859" s="18">
        <f t="shared" si="287"/>
        <v>56.290410958904111</v>
      </c>
      <c r="O1859" s="23">
        <v>214.7</v>
      </c>
      <c r="P1859" s="18">
        <f t="shared" si="288"/>
        <v>57.290410958904111</v>
      </c>
      <c r="Q1859" s="18">
        <f t="shared" si="290"/>
        <v>4.2632564145606017E-15</v>
      </c>
      <c r="R1859" s="18">
        <f t="shared" si="289"/>
        <v>214.7</v>
      </c>
      <c r="S1859" s="18">
        <f t="shared" si="293"/>
        <v>22.6</v>
      </c>
    </row>
    <row r="1860" spans="1:19" ht="15" customHeight="1" x14ac:dyDescent="0.2">
      <c r="A1860" s="14">
        <f t="shared" si="292"/>
        <v>1821</v>
      </c>
      <c r="B1860" s="21" t="s">
        <v>1583</v>
      </c>
      <c r="C1860" s="15" t="s">
        <v>3</v>
      </c>
      <c r="D1860" s="21" t="s">
        <v>1200</v>
      </c>
      <c r="E1860" s="21"/>
      <c r="F1860" s="69" t="s">
        <v>4</v>
      </c>
      <c r="G1860" s="9">
        <v>23102</v>
      </c>
      <c r="H1860" s="22">
        <v>2674</v>
      </c>
      <c r="I1860" s="17">
        <v>0</v>
      </c>
      <c r="J1860" s="17">
        <f t="shared" si="285"/>
        <v>2540.3000000000002</v>
      </c>
      <c r="K1860" s="17">
        <f t="shared" si="286"/>
        <v>133.69999999999982</v>
      </c>
      <c r="L1860" s="23">
        <f t="shared" si="291"/>
        <v>133.70000000000002</v>
      </c>
      <c r="M1860" s="23">
        <v>5</v>
      </c>
      <c r="N1860" s="18">
        <f t="shared" si="287"/>
        <v>57.043835616438358</v>
      </c>
      <c r="O1860" s="23">
        <v>1270.1500000000001</v>
      </c>
      <c r="P1860" s="18">
        <f t="shared" si="288"/>
        <v>58.043835616438358</v>
      </c>
      <c r="Q1860" s="18">
        <f t="shared" si="290"/>
        <v>-3.9790393202565614E-14</v>
      </c>
      <c r="R1860" s="18">
        <f t="shared" si="289"/>
        <v>1270.1500000000001</v>
      </c>
      <c r="S1860" s="18">
        <f t="shared" si="293"/>
        <v>133.70000000000002</v>
      </c>
    </row>
    <row r="1861" spans="1:19" ht="15" customHeight="1" x14ac:dyDescent="0.2">
      <c r="A1861" s="14">
        <f t="shared" si="292"/>
        <v>1822</v>
      </c>
      <c r="B1861" s="21" t="s">
        <v>1584</v>
      </c>
      <c r="C1861" s="15" t="s">
        <v>3</v>
      </c>
      <c r="D1861" s="21" t="s">
        <v>1200</v>
      </c>
      <c r="E1861" s="21"/>
      <c r="F1861" s="69" t="s">
        <v>4</v>
      </c>
      <c r="G1861" s="9">
        <v>23012</v>
      </c>
      <c r="H1861" s="22">
        <v>126</v>
      </c>
      <c r="I1861" s="17">
        <v>0</v>
      </c>
      <c r="J1861" s="17">
        <f t="shared" si="285"/>
        <v>119.7</v>
      </c>
      <c r="K1861" s="17">
        <f t="shared" si="286"/>
        <v>6.2999999999999972</v>
      </c>
      <c r="L1861" s="23">
        <f t="shared" si="291"/>
        <v>6.3000000000000007</v>
      </c>
      <c r="M1861" s="23">
        <v>5</v>
      </c>
      <c r="N1861" s="18">
        <f t="shared" si="287"/>
        <v>57.290410958904111</v>
      </c>
      <c r="O1861" s="23">
        <v>59.85</v>
      </c>
      <c r="P1861" s="18">
        <f t="shared" si="288"/>
        <v>58.290410958904111</v>
      </c>
      <c r="Q1861" s="18">
        <f t="shared" si="290"/>
        <v>-7.1054273576010023E-16</v>
      </c>
      <c r="R1861" s="18">
        <f t="shared" si="289"/>
        <v>59.85</v>
      </c>
      <c r="S1861" s="18">
        <f t="shared" si="293"/>
        <v>6.3000000000000007</v>
      </c>
    </row>
    <row r="1862" spans="1:19" ht="15" customHeight="1" x14ac:dyDescent="0.2">
      <c r="A1862" s="14">
        <f t="shared" si="292"/>
        <v>1823</v>
      </c>
      <c r="B1862" s="21" t="s">
        <v>1552</v>
      </c>
      <c r="C1862" s="15" t="s">
        <v>3</v>
      </c>
      <c r="D1862" s="21" t="s">
        <v>1200</v>
      </c>
      <c r="E1862" s="21"/>
      <c r="F1862" s="69" t="s">
        <v>4</v>
      </c>
      <c r="G1862" s="9">
        <v>22647</v>
      </c>
      <c r="H1862" s="22">
        <v>344</v>
      </c>
      <c r="I1862" s="17">
        <v>0</v>
      </c>
      <c r="J1862" s="17">
        <f t="shared" si="285"/>
        <v>326.8</v>
      </c>
      <c r="K1862" s="17">
        <f t="shared" si="286"/>
        <v>17.199999999999989</v>
      </c>
      <c r="L1862" s="23">
        <f t="shared" si="291"/>
        <v>17.2</v>
      </c>
      <c r="M1862" s="23">
        <v>5</v>
      </c>
      <c r="N1862" s="18">
        <f t="shared" si="287"/>
        <v>58.290410958904111</v>
      </c>
      <c r="O1862" s="23">
        <v>163.4</v>
      </c>
      <c r="P1862" s="18">
        <f t="shared" si="288"/>
        <v>59.290410958904111</v>
      </c>
      <c r="Q1862" s="18">
        <f t="shared" si="290"/>
        <v>-2.1316282072803009E-15</v>
      </c>
      <c r="R1862" s="18">
        <f t="shared" si="289"/>
        <v>163.4</v>
      </c>
      <c r="S1862" s="18">
        <f t="shared" si="293"/>
        <v>17.2</v>
      </c>
    </row>
    <row r="1863" spans="1:19" ht="15" customHeight="1" x14ac:dyDescent="0.2">
      <c r="A1863" s="14">
        <f t="shared" si="292"/>
        <v>1824</v>
      </c>
      <c r="B1863" s="21" t="s">
        <v>1578</v>
      </c>
      <c r="C1863" s="15" t="s">
        <v>3</v>
      </c>
      <c r="D1863" s="21" t="s">
        <v>1200</v>
      </c>
      <c r="E1863" s="21"/>
      <c r="F1863" s="69" t="s">
        <v>4</v>
      </c>
      <c r="G1863" s="9">
        <v>22282</v>
      </c>
      <c r="H1863" s="22">
        <v>2803</v>
      </c>
      <c r="I1863" s="17">
        <v>0</v>
      </c>
      <c r="J1863" s="17">
        <f t="shared" si="285"/>
        <v>2662.85</v>
      </c>
      <c r="K1863" s="17">
        <f t="shared" si="286"/>
        <v>140.15000000000009</v>
      </c>
      <c r="L1863" s="23">
        <f t="shared" si="291"/>
        <v>140.15</v>
      </c>
      <c r="M1863" s="23">
        <v>10</v>
      </c>
      <c r="N1863" s="18">
        <f t="shared" si="287"/>
        <v>59.290410958904111</v>
      </c>
      <c r="O1863" s="23">
        <v>1331.425</v>
      </c>
      <c r="P1863" s="18">
        <f t="shared" si="288"/>
        <v>60.290410958904111</v>
      </c>
      <c r="Q1863" s="18">
        <f t="shared" si="290"/>
        <v>8.5265128291212035E-15</v>
      </c>
      <c r="R1863" s="18">
        <f t="shared" si="289"/>
        <v>1331.425</v>
      </c>
      <c r="S1863" s="18">
        <f t="shared" si="293"/>
        <v>140.15</v>
      </c>
    </row>
    <row r="1864" spans="1:19" ht="15" customHeight="1" x14ac:dyDescent="0.2">
      <c r="A1864" s="14">
        <f t="shared" si="292"/>
        <v>1825</v>
      </c>
      <c r="B1864" s="21" t="s">
        <v>1585</v>
      </c>
      <c r="C1864" s="15" t="s">
        <v>3</v>
      </c>
      <c r="D1864" s="21" t="s">
        <v>1200</v>
      </c>
      <c r="E1864" s="21"/>
      <c r="F1864" s="69" t="s">
        <v>4</v>
      </c>
      <c r="G1864" s="9">
        <v>20911</v>
      </c>
      <c r="H1864" s="22">
        <v>701</v>
      </c>
      <c r="I1864" s="17">
        <v>0</v>
      </c>
      <c r="J1864" s="17">
        <f t="shared" ref="J1864" si="294">H1864-L1864</f>
        <v>665.95</v>
      </c>
      <c r="K1864" s="17">
        <f t="shared" si="286"/>
        <v>35.049999999999955</v>
      </c>
      <c r="L1864" s="23">
        <f t="shared" si="291"/>
        <v>35.050000000000004</v>
      </c>
      <c r="M1864" s="23">
        <v>5</v>
      </c>
      <c r="N1864" s="18">
        <f t="shared" si="287"/>
        <v>63.046575342465751</v>
      </c>
      <c r="O1864" s="23">
        <v>0</v>
      </c>
      <c r="P1864" s="18">
        <f t="shared" si="288"/>
        <v>64.046575342465758</v>
      </c>
      <c r="Q1864" s="18">
        <f t="shared" si="290"/>
        <v>-9.947598300641473E-15</v>
      </c>
      <c r="R1864" s="18">
        <f t="shared" si="289"/>
        <v>-9.947598300641473E-15</v>
      </c>
      <c r="S1864" s="18">
        <f t="shared" si="293"/>
        <v>35.050000000000004</v>
      </c>
    </row>
    <row r="1865" spans="1:19" ht="15" customHeight="1" x14ac:dyDescent="0.2">
      <c r="A1865" s="14">
        <f t="shared" si="292"/>
        <v>1826</v>
      </c>
      <c r="B1865" s="21" t="s">
        <v>1586</v>
      </c>
      <c r="C1865" s="15" t="s">
        <v>3</v>
      </c>
      <c r="D1865" s="21" t="s">
        <v>1200</v>
      </c>
      <c r="E1865" s="21"/>
      <c r="F1865" s="69" t="s">
        <v>4</v>
      </c>
      <c r="G1865" s="9">
        <v>42475</v>
      </c>
      <c r="H1865" s="22">
        <v>5699.98</v>
      </c>
      <c r="I1865" s="17">
        <v>0</v>
      </c>
      <c r="J1865" s="17">
        <v>0</v>
      </c>
      <c r="K1865" s="17">
        <f t="shared" si="286"/>
        <v>5699.98</v>
      </c>
      <c r="L1865" s="23">
        <f t="shared" ref="L1865:L1914" si="295">K1865*0.05</f>
        <v>284.99899999999997</v>
      </c>
      <c r="M1865" s="23">
        <v>5</v>
      </c>
      <c r="N1865" s="18">
        <f t="shared" si="287"/>
        <v>3.967123287671233</v>
      </c>
      <c r="O1865" s="23">
        <f t="shared" ref="O1865:O1896" si="296">(K1865-L1865)/M1865*N1865-J1865</f>
        <v>4296.3794454794524</v>
      </c>
      <c r="P1865" s="18">
        <f t="shared" si="288"/>
        <v>4.9671232876712326</v>
      </c>
      <c r="Q1865" s="18">
        <f t="shared" si="290"/>
        <v>1082.9961999999994</v>
      </c>
      <c r="R1865" s="18">
        <f t="shared" si="289"/>
        <v>5379.375645479452</v>
      </c>
      <c r="S1865" s="18">
        <f t="shared" si="293"/>
        <v>284.99899999999997</v>
      </c>
    </row>
    <row r="1866" spans="1:19" ht="15" customHeight="1" x14ac:dyDescent="0.2">
      <c r="A1866" s="14">
        <f t="shared" si="292"/>
        <v>1827</v>
      </c>
      <c r="B1866" s="21" t="s">
        <v>1587</v>
      </c>
      <c r="C1866" s="15" t="s">
        <v>3</v>
      </c>
      <c r="D1866" s="21" t="s">
        <v>1200</v>
      </c>
      <c r="E1866" s="21"/>
      <c r="F1866" s="69" t="s">
        <v>4</v>
      </c>
      <c r="G1866" s="9">
        <v>42505</v>
      </c>
      <c r="H1866" s="22">
        <v>15669.86</v>
      </c>
      <c r="I1866" s="17">
        <v>0</v>
      </c>
      <c r="J1866" s="17">
        <v>0</v>
      </c>
      <c r="K1866" s="17">
        <f t="shared" si="286"/>
        <v>15669.86</v>
      </c>
      <c r="L1866" s="23">
        <f t="shared" si="295"/>
        <v>783.49300000000005</v>
      </c>
      <c r="M1866" s="23">
        <v>5</v>
      </c>
      <c r="N1866" s="18">
        <f t="shared" si="287"/>
        <v>3.8849315068493149</v>
      </c>
      <c r="O1866" s="23">
        <f t="shared" si="296"/>
        <v>11566.503236164383</v>
      </c>
      <c r="P1866" s="18">
        <f t="shared" si="288"/>
        <v>4.8849315068493153</v>
      </c>
      <c r="Q1866" s="18">
        <f t="shared" si="290"/>
        <v>2977.2734000000014</v>
      </c>
      <c r="R1866" s="18">
        <f t="shared" si="289"/>
        <v>14543.776636164384</v>
      </c>
      <c r="S1866" s="18">
        <f t="shared" si="293"/>
        <v>783.49300000000005</v>
      </c>
    </row>
    <row r="1867" spans="1:19" ht="15" customHeight="1" x14ac:dyDescent="0.2">
      <c r="A1867" s="14">
        <f t="shared" si="292"/>
        <v>1828</v>
      </c>
      <c r="B1867" s="21" t="s">
        <v>1588</v>
      </c>
      <c r="C1867" s="15" t="s">
        <v>3</v>
      </c>
      <c r="D1867" s="21" t="s">
        <v>1200</v>
      </c>
      <c r="E1867" s="21"/>
      <c r="F1867" s="69" t="s">
        <v>4</v>
      </c>
      <c r="G1867" s="9">
        <v>42505</v>
      </c>
      <c r="H1867" s="22">
        <v>23400</v>
      </c>
      <c r="I1867" s="17">
        <v>0</v>
      </c>
      <c r="J1867" s="17">
        <v>0</v>
      </c>
      <c r="K1867" s="17">
        <f t="shared" si="286"/>
        <v>23400</v>
      </c>
      <c r="L1867" s="23">
        <f t="shared" si="295"/>
        <v>1170</v>
      </c>
      <c r="M1867" s="23">
        <v>5</v>
      </c>
      <c r="N1867" s="18">
        <f t="shared" si="287"/>
        <v>3.8849315068493149</v>
      </c>
      <c r="O1867" s="23">
        <f t="shared" si="296"/>
        <v>17272.405479452053</v>
      </c>
      <c r="P1867" s="18">
        <f t="shared" si="288"/>
        <v>4.8849315068493153</v>
      </c>
      <c r="Q1867" s="18">
        <f t="shared" si="290"/>
        <v>4446.0000000000018</v>
      </c>
      <c r="R1867" s="18">
        <f t="shared" si="289"/>
        <v>21718.405479452056</v>
      </c>
      <c r="S1867" s="18">
        <f t="shared" si="293"/>
        <v>1170</v>
      </c>
    </row>
    <row r="1868" spans="1:19" ht="15" customHeight="1" x14ac:dyDescent="0.2">
      <c r="A1868" s="14">
        <f t="shared" si="292"/>
        <v>1829</v>
      </c>
      <c r="B1868" s="21" t="s">
        <v>1206</v>
      </c>
      <c r="C1868" s="15" t="s">
        <v>3</v>
      </c>
      <c r="D1868" s="21" t="s">
        <v>1200</v>
      </c>
      <c r="E1868" s="21"/>
      <c r="F1868" s="69" t="s">
        <v>4</v>
      </c>
      <c r="G1868" s="9">
        <v>42536</v>
      </c>
      <c r="H1868" s="22">
        <v>7834.93</v>
      </c>
      <c r="I1868" s="17">
        <v>0</v>
      </c>
      <c r="J1868" s="17">
        <v>0</v>
      </c>
      <c r="K1868" s="17">
        <f t="shared" si="286"/>
        <v>7834.93</v>
      </c>
      <c r="L1868" s="23">
        <f t="shared" si="295"/>
        <v>391.74650000000003</v>
      </c>
      <c r="M1868" s="23">
        <v>5</v>
      </c>
      <c r="N1868" s="18">
        <f t="shared" si="287"/>
        <v>3.8</v>
      </c>
      <c r="O1868" s="23">
        <f t="shared" si="296"/>
        <v>5656.8194599999997</v>
      </c>
      <c r="P1868" s="18">
        <f t="shared" si="288"/>
        <v>4.8</v>
      </c>
      <c r="Q1868" s="18">
        <f t="shared" si="290"/>
        <v>1488.6367</v>
      </c>
      <c r="R1868" s="18">
        <f t="shared" si="289"/>
        <v>7145.4561599999997</v>
      </c>
      <c r="S1868" s="18">
        <f t="shared" si="293"/>
        <v>391.74650000000003</v>
      </c>
    </row>
    <row r="1869" spans="1:19" ht="15" customHeight="1" x14ac:dyDescent="0.2">
      <c r="A1869" s="14">
        <f t="shared" si="292"/>
        <v>1830</v>
      </c>
      <c r="B1869" s="21" t="s">
        <v>1208</v>
      </c>
      <c r="C1869" s="15" t="s">
        <v>3</v>
      </c>
      <c r="D1869" s="21" t="s">
        <v>1200</v>
      </c>
      <c r="E1869" s="21"/>
      <c r="F1869" s="69" t="s">
        <v>4</v>
      </c>
      <c r="G1869" s="9">
        <v>42536</v>
      </c>
      <c r="H1869" s="22">
        <v>25000</v>
      </c>
      <c r="I1869" s="17">
        <v>0</v>
      </c>
      <c r="J1869" s="17">
        <v>0</v>
      </c>
      <c r="K1869" s="17">
        <f t="shared" si="286"/>
        <v>25000</v>
      </c>
      <c r="L1869" s="23">
        <f t="shared" si="295"/>
        <v>1250</v>
      </c>
      <c r="M1869" s="23">
        <v>5</v>
      </c>
      <c r="N1869" s="18">
        <f t="shared" si="287"/>
        <v>3.8</v>
      </c>
      <c r="O1869" s="23">
        <f t="shared" si="296"/>
        <v>18050</v>
      </c>
      <c r="P1869" s="18">
        <f t="shared" si="288"/>
        <v>4.8</v>
      </c>
      <c r="Q1869" s="18">
        <f t="shared" si="290"/>
        <v>4750</v>
      </c>
      <c r="R1869" s="18">
        <f t="shared" si="289"/>
        <v>22800</v>
      </c>
      <c r="S1869" s="18">
        <f t="shared" si="293"/>
        <v>1250</v>
      </c>
    </row>
    <row r="1870" spans="1:19" ht="15" customHeight="1" x14ac:dyDescent="0.2">
      <c r="A1870" s="14">
        <f t="shared" si="292"/>
        <v>1831</v>
      </c>
      <c r="B1870" s="21" t="s">
        <v>1208</v>
      </c>
      <c r="C1870" s="15" t="s">
        <v>3</v>
      </c>
      <c r="D1870" s="21" t="s">
        <v>1200</v>
      </c>
      <c r="E1870" s="21"/>
      <c r="F1870" s="69" t="s">
        <v>4</v>
      </c>
      <c r="G1870" s="9">
        <v>42543</v>
      </c>
      <c r="H1870" s="22">
        <v>12600</v>
      </c>
      <c r="I1870" s="17">
        <v>0</v>
      </c>
      <c r="J1870" s="17">
        <v>0</v>
      </c>
      <c r="K1870" s="17">
        <f t="shared" si="286"/>
        <v>12600</v>
      </c>
      <c r="L1870" s="23">
        <f t="shared" si="295"/>
        <v>630</v>
      </c>
      <c r="M1870" s="23">
        <v>5</v>
      </c>
      <c r="N1870" s="18">
        <f t="shared" si="287"/>
        <v>3.7808219178082192</v>
      </c>
      <c r="O1870" s="23">
        <f t="shared" si="296"/>
        <v>9051.2876712328762</v>
      </c>
      <c r="P1870" s="18">
        <f t="shared" si="288"/>
        <v>4.7808219178082192</v>
      </c>
      <c r="Q1870" s="18">
        <f t="shared" si="290"/>
        <v>2394</v>
      </c>
      <c r="R1870" s="18">
        <f t="shared" si="289"/>
        <v>11445.287671232876</v>
      </c>
      <c r="S1870" s="18">
        <f t="shared" si="293"/>
        <v>630</v>
      </c>
    </row>
    <row r="1871" spans="1:19" ht="15" customHeight="1" x14ac:dyDescent="0.2">
      <c r="A1871" s="14">
        <f t="shared" si="292"/>
        <v>1832</v>
      </c>
      <c r="B1871" s="21" t="s">
        <v>1589</v>
      </c>
      <c r="C1871" s="15" t="s">
        <v>3</v>
      </c>
      <c r="D1871" s="21" t="s">
        <v>1200</v>
      </c>
      <c r="E1871" s="21"/>
      <c r="F1871" s="69" t="s">
        <v>4</v>
      </c>
      <c r="G1871" s="9">
        <v>42566</v>
      </c>
      <c r="H1871" s="22">
        <v>8490</v>
      </c>
      <c r="I1871" s="17">
        <v>0</v>
      </c>
      <c r="J1871" s="17">
        <v>0</v>
      </c>
      <c r="K1871" s="17">
        <f t="shared" si="286"/>
        <v>8490</v>
      </c>
      <c r="L1871" s="23">
        <f t="shared" si="295"/>
        <v>424.5</v>
      </c>
      <c r="M1871" s="23">
        <v>5</v>
      </c>
      <c r="N1871" s="18">
        <f t="shared" si="287"/>
        <v>3.7178082191780821</v>
      </c>
      <c r="O1871" s="23">
        <f t="shared" si="296"/>
        <v>5997.1964383561635</v>
      </c>
      <c r="P1871" s="18">
        <f t="shared" si="288"/>
        <v>4.7178082191780826</v>
      </c>
      <c r="Q1871" s="18">
        <f t="shared" si="290"/>
        <v>1613.1000000000008</v>
      </c>
      <c r="R1871" s="18">
        <f t="shared" si="289"/>
        <v>7610.2964383561648</v>
      </c>
      <c r="S1871" s="18">
        <f t="shared" si="293"/>
        <v>424.5</v>
      </c>
    </row>
    <row r="1872" spans="1:19" ht="15" customHeight="1" x14ac:dyDescent="0.2">
      <c r="A1872" s="14">
        <f t="shared" si="292"/>
        <v>1833</v>
      </c>
      <c r="B1872" s="21" t="s">
        <v>1590</v>
      </c>
      <c r="C1872" s="15" t="s">
        <v>3</v>
      </c>
      <c r="D1872" s="21" t="s">
        <v>1200</v>
      </c>
      <c r="E1872" s="21"/>
      <c r="F1872" s="69" t="s">
        <v>4</v>
      </c>
      <c r="G1872" s="9">
        <v>42566</v>
      </c>
      <c r="H1872" s="22">
        <v>2865</v>
      </c>
      <c r="I1872" s="17">
        <v>0</v>
      </c>
      <c r="J1872" s="17">
        <v>0</v>
      </c>
      <c r="K1872" s="17">
        <f t="shared" si="286"/>
        <v>2865</v>
      </c>
      <c r="L1872" s="23">
        <f t="shared" si="295"/>
        <v>143.25</v>
      </c>
      <c r="M1872" s="23">
        <v>5</v>
      </c>
      <c r="N1872" s="18">
        <f t="shared" si="287"/>
        <v>3.7178082191780821</v>
      </c>
      <c r="O1872" s="23">
        <f t="shared" si="296"/>
        <v>2023.7889041095891</v>
      </c>
      <c r="P1872" s="18">
        <f t="shared" si="288"/>
        <v>4.7178082191780826</v>
      </c>
      <c r="Q1872" s="18">
        <f t="shared" si="290"/>
        <v>544.35000000000025</v>
      </c>
      <c r="R1872" s="18">
        <f t="shared" si="289"/>
        <v>2568.1389041095895</v>
      </c>
      <c r="S1872" s="18">
        <f t="shared" si="293"/>
        <v>143.25</v>
      </c>
    </row>
    <row r="1873" spans="1:19" ht="15" customHeight="1" x14ac:dyDescent="0.2">
      <c r="A1873" s="14">
        <f t="shared" si="292"/>
        <v>1834</v>
      </c>
      <c r="B1873" s="21" t="s">
        <v>1591</v>
      </c>
      <c r="C1873" s="15" t="s">
        <v>3</v>
      </c>
      <c r="D1873" s="21" t="s">
        <v>1200</v>
      </c>
      <c r="E1873" s="21"/>
      <c r="F1873" s="69" t="s">
        <v>4</v>
      </c>
      <c r="G1873" s="9">
        <v>42566</v>
      </c>
      <c r="H1873" s="22">
        <v>435000</v>
      </c>
      <c r="I1873" s="17">
        <v>0</v>
      </c>
      <c r="J1873" s="17">
        <v>0</v>
      </c>
      <c r="K1873" s="17">
        <f t="shared" si="286"/>
        <v>435000</v>
      </c>
      <c r="L1873" s="23">
        <f t="shared" si="295"/>
        <v>21750</v>
      </c>
      <c r="M1873" s="23">
        <v>5</v>
      </c>
      <c r="N1873" s="18">
        <f t="shared" si="287"/>
        <v>3.7178082191780821</v>
      </c>
      <c r="O1873" s="23">
        <f t="shared" si="296"/>
        <v>307276.84931506851</v>
      </c>
      <c r="P1873" s="18">
        <f t="shared" si="288"/>
        <v>4.7178082191780826</v>
      </c>
      <c r="Q1873" s="18">
        <f t="shared" si="290"/>
        <v>82650.000000000044</v>
      </c>
      <c r="R1873" s="18">
        <f t="shared" si="289"/>
        <v>389926.84931506857</v>
      </c>
      <c r="S1873" s="18">
        <f t="shared" si="293"/>
        <v>21750</v>
      </c>
    </row>
    <row r="1874" spans="1:19" ht="15" customHeight="1" x14ac:dyDescent="0.2">
      <c r="A1874" s="14">
        <f t="shared" si="292"/>
        <v>1835</v>
      </c>
      <c r="B1874" s="21" t="s">
        <v>1592</v>
      </c>
      <c r="C1874" s="15" t="s">
        <v>3</v>
      </c>
      <c r="D1874" s="21" t="s">
        <v>1200</v>
      </c>
      <c r="E1874" s="21"/>
      <c r="F1874" s="69" t="s">
        <v>4</v>
      </c>
      <c r="G1874" s="9">
        <v>42566</v>
      </c>
      <c r="H1874" s="22">
        <v>3900</v>
      </c>
      <c r="I1874" s="17">
        <v>0</v>
      </c>
      <c r="J1874" s="17">
        <v>0</v>
      </c>
      <c r="K1874" s="17">
        <f t="shared" si="286"/>
        <v>3900</v>
      </c>
      <c r="L1874" s="23">
        <f t="shared" si="295"/>
        <v>195</v>
      </c>
      <c r="M1874" s="23">
        <v>5</v>
      </c>
      <c r="N1874" s="18">
        <f t="shared" si="287"/>
        <v>3.7178082191780821</v>
      </c>
      <c r="O1874" s="23">
        <f t="shared" si="296"/>
        <v>2754.8958904109591</v>
      </c>
      <c r="P1874" s="18">
        <f t="shared" si="288"/>
        <v>4.7178082191780826</v>
      </c>
      <c r="Q1874" s="18">
        <f t="shared" si="290"/>
        <v>741.00000000000034</v>
      </c>
      <c r="R1874" s="18">
        <f t="shared" si="289"/>
        <v>3495.8958904109595</v>
      </c>
      <c r="S1874" s="18">
        <f t="shared" si="293"/>
        <v>195</v>
      </c>
    </row>
    <row r="1875" spans="1:19" ht="15" customHeight="1" x14ac:dyDescent="0.2">
      <c r="A1875" s="14">
        <f t="shared" si="292"/>
        <v>1836</v>
      </c>
      <c r="B1875" s="21" t="s">
        <v>1593</v>
      </c>
      <c r="C1875" s="15" t="s">
        <v>3</v>
      </c>
      <c r="D1875" s="21" t="s">
        <v>1200</v>
      </c>
      <c r="E1875" s="21"/>
      <c r="F1875" s="69" t="s">
        <v>4</v>
      </c>
      <c r="G1875" s="9">
        <v>42628</v>
      </c>
      <c r="H1875" s="22">
        <v>65000</v>
      </c>
      <c r="I1875" s="17">
        <v>0</v>
      </c>
      <c r="J1875" s="17">
        <v>0</v>
      </c>
      <c r="K1875" s="17">
        <f t="shared" si="286"/>
        <v>65000</v>
      </c>
      <c r="L1875" s="23">
        <f t="shared" si="295"/>
        <v>3250</v>
      </c>
      <c r="M1875" s="23">
        <v>5</v>
      </c>
      <c r="N1875" s="18">
        <f t="shared" si="287"/>
        <v>3.547945205479452</v>
      </c>
      <c r="O1875" s="23">
        <f t="shared" si="296"/>
        <v>43817.123287671231</v>
      </c>
      <c r="P1875" s="18">
        <f t="shared" si="288"/>
        <v>4.5479452054794525</v>
      </c>
      <c r="Q1875" s="18">
        <f t="shared" si="290"/>
        <v>12350.000000000005</v>
      </c>
      <c r="R1875" s="18">
        <f t="shared" si="289"/>
        <v>56167.123287671238</v>
      </c>
      <c r="S1875" s="18">
        <f t="shared" si="293"/>
        <v>3250</v>
      </c>
    </row>
    <row r="1876" spans="1:19" ht="15" customHeight="1" x14ac:dyDescent="0.2">
      <c r="A1876" s="14">
        <f t="shared" si="292"/>
        <v>1837</v>
      </c>
      <c r="B1876" s="21" t="s">
        <v>1594</v>
      </c>
      <c r="C1876" s="15" t="s">
        <v>3</v>
      </c>
      <c r="D1876" s="21" t="s">
        <v>1200</v>
      </c>
      <c r="E1876" s="21"/>
      <c r="F1876" s="69" t="s">
        <v>4</v>
      </c>
      <c r="G1876" s="9">
        <v>42628</v>
      </c>
      <c r="H1876" s="22">
        <v>149850</v>
      </c>
      <c r="I1876" s="17">
        <v>0</v>
      </c>
      <c r="J1876" s="17">
        <v>0</v>
      </c>
      <c r="K1876" s="17">
        <f t="shared" si="286"/>
        <v>149850</v>
      </c>
      <c r="L1876" s="23">
        <f t="shared" si="295"/>
        <v>7492.5</v>
      </c>
      <c r="M1876" s="23">
        <v>5</v>
      </c>
      <c r="N1876" s="18">
        <f t="shared" si="287"/>
        <v>3.547945205479452</v>
      </c>
      <c r="O1876" s="23">
        <f t="shared" si="296"/>
        <v>101015.32191780822</v>
      </c>
      <c r="P1876" s="18">
        <f t="shared" si="288"/>
        <v>4.5479452054794525</v>
      </c>
      <c r="Q1876" s="18">
        <f t="shared" si="290"/>
        <v>28471.500000000015</v>
      </c>
      <c r="R1876" s="18">
        <f t="shared" si="289"/>
        <v>129486.82191780824</v>
      </c>
      <c r="S1876" s="18">
        <f t="shared" si="293"/>
        <v>7492.5</v>
      </c>
    </row>
    <row r="1877" spans="1:19" ht="15" customHeight="1" x14ac:dyDescent="0.2">
      <c r="A1877" s="14">
        <f t="shared" si="292"/>
        <v>1838</v>
      </c>
      <c r="B1877" s="21" t="s">
        <v>1595</v>
      </c>
      <c r="C1877" s="15" t="s">
        <v>3</v>
      </c>
      <c r="D1877" s="21" t="s">
        <v>1200</v>
      </c>
      <c r="E1877" s="21"/>
      <c r="F1877" s="69" t="s">
        <v>4</v>
      </c>
      <c r="G1877" s="9">
        <v>42689</v>
      </c>
      <c r="H1877" s="22">
        <v>364322.37000000011</v>
      </c>
      <c r="I1877" s="17">
        <v>0</v>
      </c>
      <c r="J1877" s="17">
        <v>0</v>
      </c>
      <c r="K1877" s="17">
        <f t="shared" si="286"/>
        <v>364322.37000000011</v>
      </c>
      <c r="L1877" s="23">
        <f t="shared" si="295"/>
        <v>18216.118500000008</v>
      </c>
      <c r="M1877" s="23">
        <v>5</v>
      </c>
      <c r="N1877" s="18">
        <f t="shared" si="287"/>
        <v>3.3808219178082193</v>
      </c>
      <c r="O1877" s="23">
        <f t="shared" si="296"/>
        <v>234024.72019232888</v>
      </c>
      <c r="P1877" s="18">
        <f t="shared" si="288"/>
        <v>4.3808219178082188</v>
      </c>
      <c r="Q1877" s="18">
        <f t="shared" si="290"/>
        <v>69221.250299999985</v>
      </c>
      <c r="R1877" s="18">
        <f t="shared" si="289"/>
        <v>303245.97049232887</v>
      </c>
      <c r="S1877" s="18">
        <f t="shared" si="293"/>
        <v>18216.118500000008</v>
      </c>
    </row>
    <row r="1878" spans="1:19" ht="15" customHeight="1" x14ac:dyDescent="0.2">
      <c r="A1878" s="14">
        <f t="shared" si="292"/>
        <v>1839</v>
      </c>
      <c r="B1878" s="21" t="s">
        <v>1296</v>
      </c>
      <c r="C1878" s="15" t="s">
        <v>3</v>
      </c>
      <c r="D1878" s="21" t="s">
        <v>1200</v>
      </c>
      <c r="E1878" s="21"/>
      <c r="F1878" s="69" t="s">
        <v>4</v>
      </c>
      <c r="G1878" s="9">
        <v>42787</v>
      </c>
      <c r="H1878" s="22">
        <v>18585.650000000001</v>
      </c>
      <c r="I1878" s="17">
        <v>0</v>
      </c>
      <c r="J1878" s="17">
        <v>0</v>
      </c>
      <c r="K1878" s="17">
        <f t="shared" si="286"/>
        <v>18585.650000000001</v>
      </c>
      <c r="L1878" s="23">
        <f t="shared" si="295"/>
        <v>929.28250000000014</v>
      </c>
      <c r="M1878" s="23">
        <v>5</v>
      </c>
      <c r="N1878" s="18">
        <f t="shared" si="287"/>
        <v>3.1123287671232878</v>
      </c>
      <c r="O1878" s="23">
        <f t="shared" si="296"/>
        <v>10990.484098630139</v>
      </c>
      <c r="P1878" s="18">
        <f t="shared" si="288"/>
        <v>4.1123287671232873</v>
      </c>
      <c r="Q1878" s="18">
        <f t="shared" si="290"/>
        <v>3531.2734999999984</v>
      </c>
      <c r="R1878" s="18">
        <f t="shared" si="289"/>
        <v>14521.757598630138</v>
      </c>
      <c r="S1878" s="18">
        <f t="shared" si="293"/>
        <v>929.28250000000014</v>
      </c>
    </row>
    <row r="1879" spans="1:19" ht="15" customHeight="1" x14ac:dyDescent="0.2">
      <c r="A1879" s="14">
        <f t="shared" si="292"/>
        <v>1840</v>
      </c>
      <c r="B1879" s="21" t="s">
        <v>1596</v>
      </c>
      <c r="C1879" s="15" t="s">
        <v>3</v>
      </c>
      <c r="D1879" s="21" t="s">
        <v>1200</v>
      </c>
      <c r="E1879" s="21"/>
      <c r="F1879" s="69" t="s">
        <v>4</v>
      </c>
      <c r="G1879" s="9">
        <v>42787</v>
      </c>
      <c r="H1879" s="22">
        <v>152703.70000000001</v>
      </c>
      <c r="I1879" s="17">
        <v>0</v>
      </c>
      <c r="J1879" s="17">
        <v>0</v>
      </c>
      <c r="K1879" s="17">
        <f t="shared" si="286"/>
        <v>152703.70000000001</v>
      </c>
      <c r="L1879" s="23">
        <f t="shared" si="295"/>
        <v>7635.1850000000013</v>
      </c>
      <c r="M1879" s="23">
        <v>5</v>
      </c>
      <c r="N1879" s="18">
        <f t="shared" si="287"/>
        <v>3.1123287671232878</v>
      </c>
      <c r="O1879" s="23">
        <f t="shared" si="296"/>
        <v>90300.182487671234</v>
      </c>
      <c r="P1879" s="18">
        <f t="shared" si="288"/>
        <v>4.1123287671232873</v>
      </c>
      <c r="Q1879" s="18">
        <f t="shared" si="290"/>
        <v>29013.702999999987</v>
      </c>
      <c r="R1879" s="18">
        <f t="shared" si="289"/>
        <v>119313.88548767121</v>
      </c>
      <c r="S1879" s="18">
        <f t="shared" si="293"/>
        <v>7635.1850000000013</v>
      </c>
    </row>
    <row r="1880" spans="1:19" ht="15" customHeight="1" x14ac:dyDescent="0.2">
      <c r="A1880" s="14">
        <f t="shared" si="292"/>
        <v>1841</v>
      </c>
      <c r="B1880" s="21" t="s">
        <v>1597</v>
      </c>
      <c r="C1880" s="15" t="s">
        <v>3</v>
      </c>
      <c r="D1880" s="21" t="s">
        <v>1200</v>
      </c>
      <c r="E1880" s="21"/>
      <c r="F1880" s="69" t="s">
        <v>4</v>
      </c>
      <c r="G1880" s="9">
        <v>42787</v>
      </c>
      <c r="H1880" s="22">
        <v>45710.65</v>
      </c>
      <c r="I1880" s="17">
        <v>0</v>
      </c>
      <c r="J1880" s="17">
        <v>0</v>
      </c>
      <c r="K1880" s="17">
        <f t="shared" si="286"/>
        <v>45710.65</v>
      </c>
      <c r="L1880" s="23">
        <f t="shared" si="295"/>
        <v>2285.5325000000003</v>
      </c>
      <c r="M1880" s="23">
        <v>5</v>
      </c>
      <c r="N1880" s="18">
        <f t="shared" si="287"/>
        <v>3.1123287671232878</v>
      </c>
      <c r="O1880" s="23">
        <f t="shared" si="296"/>
        <v>27030.64848219178</v>
      </c>
      <c r="P1880" s="18">
        <f t="shared" si="288"/>
        <v>4.1123287671232873</v>
      </c>
      <c r="Q1880" s="18">
        <f t="shared" si="290"/>
        <v>8685.0234999999957</v>
      </c>
      <c r="R1880" s="18">
        <f t="shared" si="289"/>
        <v>35715.67198219178</v>
      </c>
      <c r="S1880" s="18">
        <f t="shared" si="293"/>
        <v>2285.5325000000003</v>
      </c>
    </row>
    <row r="1881" spans="1:19" ht="15" customHeight="1" x14ac:dyDescent="0.2">
      <c r="A1881" s="14">
        <f t="shared" si="292"/>
        <v>1842</v>
      </c>
      <c r="B1881" s="21" t="s">
        <v>1598</v>
      </c>
      <c r="C1881" s="15" t="s">
        <v>3</v>
      </c>
      <c r="D1881" s="21" t="s">
        <v>1200</v>
      </c>
      <c r="E1881" s="21"/>
      <c r="F1881" s="69" t="s">
        <v>4</v>
      </c>
      <c r="G1881" s="9">
        <v>42815</v>
      </c>
      <c r="H1881" s="22">
        <v>20300</v>
      </c>
      <c r="I1881" s="17">
        <v>0</v>
      </c>
      <c r="J1881" s="17">
        <v>0</v>
      </c>
      <c r="K1881" s="17">
        <f t="shared" si="286"/>
        <v>20300</v>
      </c>
      <c r="L1881" s="23">
        <f t="shared" si="295"/>
        <v>1015</v>
      </c>
      <c r="M1881" s="23">
        <v>5</v>
      </c>
      <c r="N1881" s="18">
        <f t="shared" si="287"/>
        <v>3.0356164383561643</v>
      </c>
      <c r="O1881" s="23">
        <f t="shared" si="296"/>
        <v>11708.372602739726</v>
      </c>
      <c r="P1881" s="18">
        <f t="shared" si="288"/>
        <v>4.0356164383561648</v>
      </c>
      <c r="Q1881" s="18">
        <f t="shared" si="290"/>
        <v>3857.0000000000018</v>
      </c>
      <c r="R1881" s="18">
        <f t="shared" si="289"/>
        <v>15565.372602739728</v>
      </c>
      <c r="S1881" s="18">
        <f t="shared" si="293"/>
        <v>1015</v>
      </c>
    </row>
    <row r="1882" spans="1:19" ht="15" customHeight="1" x14ac:dyDescent="0.2">
      <c r="A1882" s="14">
        <f t="shared" si="292"/>
        <v>1843</v>
      </c>
      <c r="B1882" s="21" t="s">
        <v>1257</v>
      </c>
      <c r="C1882" s="15" t="s">
        <v>3</v>
      </c>
      <c r="D1882" s="21" t="s">
        <v>1200</v>
      </c>
      <c r="E1882" s="21"/>
      <c r="F1882" s="69" t="s">
        <v>4</v>
      </c>
      <c r="G1882" s="9">
        <v>42815</v>
      </c>
      <c r="H1882" s="22">
        <v>77402</v>
      </c>
      <c r="I1882" s="17">
        <v>0</v>
      </c>
      <c r="J1882" s="17">
        <v>0</v>
      </c>
      <c r="K1882" s="17">
        <f t="shared" si="286"/>
        <v>77402</v>
      </c>
      <c r="L1882" s="23">
        <f t="shared" si="295"/>
        <v>3870.1000000000004</v>
      </c>
      <c r="M1882" s="23">
        <v>5</v>
      </c>
      <c r="N1882" s="18">
        <f t="shared" si="287"/>
        <v>3.0356164383561643</v>
      </c>
      <c r="O1882" s="23">
        <f t="shared" si="296"/>
        <v>44642.928876712329</v>
      </c>
      <c r="P1882" s="18">
        <f t="shared" si="288"/>
        <v>4.0356164383561648</v>
      </c>
      <c r="Q1882" s="18">
        <f t="shared" si="290"/>
        <v>14706.380000000006</v>
      </c>
      <c r="R1882" s="18">
        <f t="shared" si="289"/>
        <v>59349.308876712334</v>
      </c>
      <c r="S1882" s="18">
        <f t="shared" si="293"/>
        <v>3870.1000000000004</v>
      </c>
    </row>
    <row r="1883" spans="1:19" ht="15" customHeight="1" x14ac:dyDescent="0.2">
      <c r="A1883" s="14">
        <f t="shared" si="292"/>
        <v>1844</v>
      </c>
      <c r="B1883" s="21" t="s">
        <v>1599</v>
      </c>
      <c r="C1883" s="15" t="s">
        <v>3</v>
      </c>
      <c r="D1883" s="21" t="s">
        <v>1200</v>
      </c>
      <c r="E1883" s="21"/>
      <c r="F1883" s="69" t="s">
        <v>4</v>
      </c>
      <c r="G1883" s="9">
        <v>42815</v>
      </c>
      <c r="H1883" s="22">
        <v>25190</v>
      </c>
      <c r="I1883" s="17">
        <v>0</v>
      </c>
      <c r="J1883" s="17">
        <v>0</v>
      </c>
      <c r="K1883" s="17">
        <f t="shared" si="286"/>
        <v>25190</v>
      </c>
      <c r="L1883" s="23">
        <f t="shared" si="295"/>
        <v>1259.5</v>
      </c>
      <c r="M1883" s="23">
        <v>5</v>
      </c>
      <c r="N1883" s="18">
        <f t="shared" si="287"/>
        <v>3.0356164383561643</v>
      </c>
      <c r="O1883" s="23">
        <f t="shared" si="296"/>
        <v>14528.763835616439</v>
      </c>
      <c r="P1883" s="18">
        <f t="shared" si="288"/>
        <v>4.0356164383561648</v>
      </c>
      <c r="Q1883" s="18">
        <f t="shared" si="290"/>
        <v>4786.1000000000022</v>
      </c>
      <c r="R1883" s="18">
        <f t="shared" si="289"/>
        <v>19314.863835616441</v>
      </c>
      <c r="S1883" s="18">
        <f t="shared" si="293"/>
        <v>1259.5</v>
      </c>
    </row>
    <row r="1884" spans="1:19" ht="15" customHeight="1" x14ac:dyDescent="0.2">
      <c r="A1884" s="14">
        <f t="shared" si="292"/>
        <v>1845</v>
      </c>
      <c r="B1884" s="21" t="s">
        <v>1600</v>
      </c>
      <c r="C1884" s="15" t="s">
        <v>3</v>
      </c>
      <c r="D1884" s="21" t="s">
        <v>1200</v>
      </c>
      <c r="E1884" s="21"/>
      <c r="F1884" s="69" t="s">
        <v>4</v>
      </c>
      <c r="G1884" s="9">
        <v>42815</v>
      </c>
      <c r="H1884" s="22">
        <v>4293.75</v>
      </c>
      <c r="I1884" s="17">
        <v>0</v>
      </c>
      <c r="J1884" s="17">
        <v>0</v>
      </c>
      <c r="K1884" s="17">
        <f t="shared" si="286"/>
        <v>4293.75</v>
      </c>
      <c r="L1884" s="23">
        <f t="shared" si="295"/>
        <v>214.6875</v>
      </c>
      <c r="M1884" s="23">
        <v>5</v>
      </c>
      <c r="N1884" s="18">
        <f t="shared" si="287"/>
        <v>3.0356164383561643</v>
      </c>
      <c r="O1884" s="23">
        <f t="shared" si="296"/>
        <v>2476.4938356164384</v>
      </c>
      <c r="P1884" s="18">
        <f t="shared" si="288"/>
        <v>4.0356164383561648</v>
      </c>
      <c r="Q1884" s="18">
        <f t="shared" si="290"/>
        <v>815.81250000000034</v>
      </c>
      <c r="R1884" s="18">
        <f t="shared" si="289"/>
        <v>3292.3063356164389</v>
      </c>
      <c r="S1884" s="18">
        <f t="shared" si="293"/>
        <v>214.6875</v>
      </c>
    </row>
    <row r="1885" spans="1:19" ht="15" customHeight="1" x14ac:dyDescent="0.2">
      <c r="A1885" s="14">
        <f t="shared" si="292"/>
        <v>1846</v>
      </c>
      <c r="B1885" s="21" t="s">
        <v>1601</v>
      </c>
      <c r="C1885" s="15" t="s">
        <v>3</v>
      </c>
      <c r="D1885" s="21" t="s">
        <v>1200</v>
      </c>
      <c r="E1885" s="21"/>
      <c r="F1885" s="69" t="s">
        <v>4</v>
      </c>
      <c r="G1885" s="9">
        <v>42815</v>
      </c>
      <c r="H1885" s="22">
        <v>126650</v>
      </c>
      <c r="I1885" s="17">
        <v>0</v>
      </c>
      <c r="J1885" s="17">
        <v>0</v>
      </c>
      <c r="K1885" s="17">
        <f t="shared" si="286"/>
        <v>126650</v>
      </c>
      <c r="L1885" s="23">
        <f t="shared" si="295"/>
        <v>6332.5</v>
      </c>
      <c r="M1885" s="23">
        <v>5</v>
      </c>
      <c r="N1885" s="18">
        <f t="shared" si="287"/>
        <v>3.0356164383561643</v>
      </c>
      <c r="O1885" s="23">
        <f t="shared" si="296"/>
        <v>73047.556164383554</v>
      </c>
      <c r="P1885" s="18">
        <f t="shared" si="288"/>
        <v>4.0356164383561648</v>
      </c>
      <c r="Q1885" s="18">
        <f t="shared" si="290"/>
        <v>24063.500000000011</v>
      </c>
      <c r="R1885" s="18">
        <f t="shared" si="289"/>
        <v>97111.056164383568</v>
      </c>
      <c r="S1885" s="18">
        <f t="shared" si="293"/>
        <v>6332.5</v>
      </c>
    </row>
    <row r="1886" spans="1:19" ht="15" customHeight="1" x14ac:dyDescent="0.2">
      <c r="A1886" s="14">
        <f t="shared" si="292"/>
        <v>1847</v>
      </c>
      <c r="B1886" s="21" t="s">
        <v>1206</v>
      </c>
      <c r="C1886" s="15" t="s">
        <v>3</v>
      </c>
      <c r="D1886" s="21" t="s">
        <v>1200</v>
      </c>
      <c r="E1886" s="21"/>
      <c r="F1886" s="69" t="s">
        <v>4</v>
      </c>
      <c r="G1886" s="9">
        <v>42840</v>
      </c>
      <c r="H1886" s="22">
        <v>12700</v>
      </c>
      <c r="I1886" s="17">
        <v>0</v>
      </c>
      <c r="J1886" s="17">
        <v>0</v>
      </c>
      <c r="K1886" s="17">
        <f t="shared" si="286"/>
        <v>12700</v>
      </c>
      <c r="L1886" s="23">
        <f t="shared" si="295"/>
        <v>635</v>
      </c>
      <c r="M1886" s="23">
        <v>5</v>
      </c>
      <c r="N1886" s="18">
        <f t="shared" si="287"/>
        <v>2.967123287671233</v>
      </c>
      <c r="O1886" s="23">
        <f t="shared" si="296"/>
        <v>7159.6684931506852</v>
      </c>
      <c r="P1886" s="18">
        <f t="shared" si="288"/>
        <v>3.967123287671233</v>
      </c>
      <c r="Q1886" s="18">
        <f t="shared" si="290"/>
        <v>2413</v>
      </c>
      <c r="R1886" s="18">
        <f t="shared" si="289"/>
        <v>9572.6684931506861</v>
      </c>
      <c r="S1886" s="18">
        <f t="shared" si="293"/>
        <v>635</v>
      </c>
    </row>
    <row r="1887" spans="1:19" ht="15" customHeight="1" x14ac:dyDescent="0.2">
      <c r="A1887" s="14">
        <f t="shared" si="292"/>
        <v>1848</v>
      </c>
      <c r="B1887" s="21" t="s">
        <v>1602</v>
      </c>
      <c r="C1887" s="15" t="s">
        <v>3</v>
      </c>
      <c r="D1887" s="21" t="s">
        <v>1200</v>
      </c>
      <c r="E1887" s="21"/>
      <c r="F1887" s="69" t="s">
        <v>4</v>
      </c>
      <c r="G1887" s="9">
        <v>42840</v>
      </c>
      <c r="H1887" s="22">
        <v>13999</v>
      </c>
      <c r="I1887" s="17">
        <v>0</v>
      </c>
      <c r="J1887" s="17">
        <v>0</v>
      </c>
      <c r="K1887" s="17">
        <f t="shared" si="286"/>
        <v>13999</v>
      </c>
      <c r="L1887" s="23">
        <f t="shared" si="295"/>
        <v>699.95</v>
      </c>
      <c r="M1887" s="23">
        <v>5</v>
      </c>
      <c r="N1887" s="18">
        <f t="shared" si="287"/>
        <v>2.967123287671233</v>
      </c>
      <c r="O1887" s="23">
        <f t="shared" si="296"/>
        <v>7891.9841917808217</v>
      </c>
      <c r="P1887" s="18">
        <f t="shared" si="288"/>
        <v>3.967123287671233</v>
      </c>
      <c r="Q1887" s="18">
        <f t="shared" si="290"/>
        <v>2659.81</v>
      </c>
      <c r="R1887" s="18">
        <f t="shared" si="289"/>
        <v>10551.794191780822</v>
      </c>
      <c r="S1887" s="18">
        <f t="shared" si="293"/>
        <v>699.95</v>
      </c>
    </row>
    <row r="1888" spans="1:19" ht="15" customHeight="1" x14ac:dyDescent="0.2">
      <c r="A1888" s="14">
        <f t="shared" si="292"/>
        <v>1849</v>
      </c>
      <c r="B1888" s="21" t="s">
        <v>1199</v>
      </c>
      <c r="C1888" s="15" t="s">
        <v>3</v>
      </c>
      <c r="D1888" s="21" t="s">
        <v>1200</v>
      </c>
      <c r="E1888" s="21"/>
      <c r="F1888" s="69" t="s">
        <v>4</v>
      </c>
      <c r="G1888" s="9">
        <v>42870</v>
      </c>
      <c r="H1888" s="22">
        <v>79200</v>
      </c>
      <c r="I1888" s="17">
        <v>0</v>
      </c>
      <c r="J1888" s="17">
        <v>0</v>
      </c>
      <c r="K1888" s="17">
        <f t="shared" si="286"/>
        <v>79200</v>
      </c>
      <c r="L1888" s="23">
        <f t="shared" si="295"/>
        <v>3960</v>
      </c>
      <c r="M1888" s="23">
        <v>5</v>
      </c>
      <c r="N1888" s="18">
        <f t="shared" si="287"/>
        <v>2.8849315068493149</v>
      </c>
      <c r="O1888" s="23">
        <f t="shared" si="296"/>
        <v>43412.449315068487</v>
      </c>
      <c r="P1888" s="18">
        <f t="shared" si="288"/>
        <v>3.8849315068493149</v>
      </c>
      <c r="Q1888" s="18">
        <f t="shared" si="290"/>
        <v>15048</v>
      </c>
      <c r="R1888" s="18">
        <f t="shared" si="289"/>
        <v>58460.449315068487</v>
      </c>
      <c r="S1888" s="18">
        <f t="shared" si="293"/>
        <v>3960</v>
      </c>
    </row>
    <row r="1889" spans="1:19" ht="15" customHeight="1" x14ac:dyDescent="0.2">
      <c r="A1889" s="14">
        <f t="shared" si="292"/>
        <v>1850</v>
      </c>
      <c r="B1889" s="21" t="s">
        <v>1603</v>
      </c>
      <c r="C1889" s="15" t="s">
        <v>3</v>
      </c>
      <c r="D1889" s="21" t="s">
        <v>1200</v>
      </c>
      <c r="E1889" s="21"/>
      <c r="F1889" s="69" t="s">
        <v>4</v>
      </c>
      <c r="G1889" s="9">
        <v>42901</v>
      </c>
      <c r="H1889" s="22">
        <v>168000</v>
      </c>
      <c r="I1889" s="17">
        <v>0</v>
      </c>
      <c r="J1889" s="17">
        <v>0</v>
      </c>
      <c r="K1889" s="17">
        <f t="shared" si="286"/>
        <v>168000</v>
      </c>
      <c r="L1889" s="23">
        <f t="shared" si="295"/>
        <v>8400</v>
      </c>
      <c r="M1889" s="23">
        <v>5</v>
      </c>
      <c r="N1889" s="18">
        <f t="shared" si="287"/>
        <v>2.8</v>
      </c>
      <c r="O1889" s="23">
        <f t="shared" si="296"/>
        <v>89376</v>
      </c>
      <c r="P1889" s="18">
        <f t="shared" si="288"/>
        <v>3.8</v>
      </c>
      <c r="Q1889" s="18">
        <f t="shared" si="290"/>
        <v>31920</v>
      </c>
      <c r="R1889" s="18">
        <f t="shared" si="289"/>
        <v>121296</v>
      </c>
      <c r="S1889" s="18">
        <f t="shared" si="293"/>
        <v>8400</v>
      </c>
    </row>
    <row r="1890" spans="1:19" ht="15" customHeight="1" x14ac:dyDescent="0.2">
      <c r="A1890" s="14">
        <f t="shared" si="292"/>
        <v>1851</v>
      </c>
      <c r="B1890" s="21" t="s">
        <v>1604</v>
      </c>
      <c r="C1890" s="15" t="s">
        <v>3</v>
      </c>
      <c r="D1890" s="21" t="s">
        <v>1200</v>
      </c>
      <c r="E1890" s="21"/>
      <c r="F1890" s="69" t="s">
        <v>4</v>
      </c>
      <c r="G1890" s="9">
        <v>42901</v>
      </c>
      <c r="H1890" s="22">
        <v>22900</v>
      </c>
      <c r="I1890" s="17">
        <v>0</v>
      </c>
      <c r="J1890" s="17">
        <v>0</v>
      </c>
      <c r="K1890" s="17">
        <f t="shared" si="286"/>
        <v>22900</v>
      </c>
      <c r="L1890" s="23">
        <f t="shared" si="295"/>
        <v>1145</v>
      </c>
      <c r="M1890" s="23">
        <v>5</v>
      </c>
      <c r="N1890" s="18">
        <f t="shared" si="287"/>
        <v>2.8</v>
      </c>
      <c r="O1890" s="23">
        <f t="shared" si="296"/>
        <v>12182.8</v>
      </c>
      <c r="P1890" s="18">
        <f t="shared" si="288"/>
        <v>3.8</v>
      </c>
      <c r="Q1890" s="18">
        <f t="shared" si="290"/>
        <v>4351</v>
      </c>
      <c r="R1890" s="18">
        <f t="shared" si="289"/>
        <v>16533.8</v>
      </c>
      <c r="S1890" s="18">
        <f t="shared" si="293"/>
        <v>1145</v>
      </c>
    </row>
    <row r="1891" spans="1:19" ht="15" customHeight="1" x14ac:dyDescent="0.2">
      <c r="A1891" s="14">
        <f t="shared" si="292"/>
        <v>1852</v>
      </c>
      <c r="B1891" s="21" t="s">
        <v>1605</v>
      </c>
      <c r="C1891" s="15" t="s">
        <v>3</v>
      </c>
      <c r="D1891" s="21" t="s">
        <v>1200</v>
      </c>
      <c r="E1891" s="21"/>
      <c r="F1891" s="69" t="s">
        <v>4</v>
      </c>
      <c r="G1891" s="9">
        <v>42931</v>
      </c>
      <c r="H1891" s="22">
        <v>23000</v>
      </c>
      <c r="I1891" s="17">
        <v>0</v>
      </c>
      <c r="J1891" s="17">
        <v>0</v>
      </c>
      <c r="K1891" s="17">
        <f t="shared" si="286"/>
        <v>23000</v>
      </c>
      <c r="L1891" s="23">
        <f t="shared" si="295"/>
        <v>1150</v>
      </c>
      <c r="M1891" s="23">
        <v>5</v>
      </c>
      <c r="N1891" s="18">
        <f t="shared" si="287"/>
        <v>2.7178082191780821</v>
      </c>
      <c r="O1891" s="23">
        <f t="shared" si="296"/>
        <v>11876.821917808218</v>
      </c>
      <c r="P1891" s="18">
        <f t="shared" si="288"/>
        <v>3.7178082191780821</v>
      </c>
      <c r="Q1891" s="18">
        <f t="shared" si="290"/>
        <v>4370</v>
      </c>
      <c r="R1891" s="18">
        <f t="shared" si="289"/>
        <v>16246.821917808218</v>
      </c>
      <c r="S1891" s="18">
        <f t="shared" si="293"/>
        <v>1150</v>
      </c>
    </row>
    <row r="1892" spans="1:19" ht="15" customHeight="1" x14ac:dyDescent="0.2">
      <c r="A1892" s="14">
        <f t="shared" si="292"/>
        <v>1853</v>
      </c>
      <c r="B1892" s="21" t="s">
        <v>1606</v>
      </c>
      <c r="C1892" s="15" t="s">
        <v>3</v>
      </c>
      <c r="D1892" s="21" t="s">
        <v>1200</v>
      </c>
      <c r="E1892" s="21"/>
      <c r="F1892" s="69" t="s">
        <v>4</v>
      </c>
      <c r="G1892" s="9">
        <v>42931</v>
      </c>
      <c r="H1892" s="22">
        <v>2900</v>
      </c>
      <c r="I1892" s="17">
        <v>0</v>
      </c>
      <c r="J1892" s="17">
        <v>0</v>
      </c>
      <c r="K1892" s="17">
        <f t="shared" si="286"/>
        <v>2900</v>
      </c>
      <c r="L1892" s="23">
        <f t="shared" si="295"/>
        <v>145</v>
      </c>
      <c r="M1892" s="23">
        <v>5</v>
      </c>
      <c r="N1892" s="18">
        <f t="shared" si="287"/>
        <v>2.7178082191780821</v>
      </c>
      <c r="O1892" s="23">
        <f t="shared" si="296"/>
        <v>1497.5123287671233</v>
      </c>
      <c r="P1892" s="18">
        <f t="shared" si="288"/>
        <v>3.7178082191780821</v>
      </c>
      <c r="Q1892" s="18">
        <f t="shared" si="290"/>
        <v>551</v>
      </c>
      <c r="R1892" s="18">
        <f t="shared" si="289"/>
        <v>2048.5123287671231</v>
      </c>
      <c r="S1892" s="18">
        <f t="shared" si="293"/>
        <v>145</v>
      </c>
    </row>
    <row r="1893" spans="1:19" ht="15" customHeight="1" x14ac:dyDescent="0.2">
      <c r="A1893" s="14">
        <f t="shared" si="292"/>
        <v>1854</v>
      </c>
      <c r="B1893" s="21" t="s">
        <v>1607</v>
      </c>
      <c r="C1893" s="15" t="s">
        <v>3</v>
      </c>
      <c r="D1893" s="21" t="s">
        <v>1200</v>
      </c>
      <c r="E1893" s="21"/>
      <c r="F1893" s="69" t="s">
        <v>4</v>
      </c>
      <c r="G1893" s="9">
        <v>42931</v>
      </c>
      <c r="H1893" s="22">
        <v>23640</v>
      </c>
      <c r="I1893" s="17">
        <v>0</v>
      </c>
      <c r="J1893" s="17">
        <v>0</v>
      </c>
      <c r="K1893" s="17">
        <f t="shared" si="286"/>
        <v>23640</v>
      </c>
      <c r="L1893" s="23">
        <f t="shared" si="295"/>
        <v>1182</v>
      </c>
      <c r="M1893" s="23">
        <v>5</v>
      </c>
      <c r="N1893" s="18">
        <f t="shared" si="287"/>
        <v>2.7178082191780821</v>
      </c>
      <c r="O1893" s="23">
        <f t="shared" si="296"/>
        <v>12207.307397260274</v>
      </c>
      <c r="P1893" s="18">
        <f t="shared" si="288"/>
        <v>3.7178082191780821</v>
      </c>
      <c r="Q1893" s="18">
        <f t="shared" si="290"/>
        <v>4491.6000000000004</v>
      </c>
      <c r="R1893" s="18">
        <f t="shared" si="289"/>
        <v>16698.907397260275</v>
      </c>
      <c r="S1893" s="18">
        <f t="shared" si="293"/>
        <v>1182</v>
      </c>
    </row>
    <row r="1894" spans="1:19" ht="15" customHeight="1" x14ac:dyDescent="0.2">
      <c r="A1894" s="14">
        <f t="shared" si="292"/>
        <v>1855</v>
      </c>
      <c r="B1894" s="21" t="s">
        <v>1199</v>
      </c>
      <c r="C1894" s="15" t="s">
        <v>3</v>
      </c>
      <c r="D1894" s="21" t="s">
        <v>1200</v>
      </c>
      <c r="E1894" s="21"/>
      <c r="F1894" s="69" t="s">
        <v>4</v>
      </c>
      <c r="G1894" s="9">
        <v>42931</v>
      </c>
      <c r="H1894" s="22">
        <v>280000</v>
      </c>
      <c r="I1894" s="17">
        <v>0</v>
      </c>
      <c r="J1894" s="17">
        <v>0</v>
      </c>
      <c r="K1894" s="17">
        <f t="shared" ref="K1894:K1957" si="297">H1894+I1894-J1894</f>
        <v>280000</v>
      </c>
      <c r="L1894" s="23">
        <f t="shared" si="295"/>
        <v>14000</v>
      </c>
      <c r="M1894" s="23">
        <v>5</v>
      </c>
      <c r="N1894" s="18">
        <f t="shared" ref="N1894:N1957" si="298">IF(($N$35-G1894+1)/365&gt;0,($N$35-G1894+1)/365,0)</f>
        <v>2.7178082191780821</v>
      </c>
      <c r="O1894" s="23">
        <f t="shared" si="296"/>
        <v>144587.39726027398</v>
      </c>
      <c r="P1894" s="18">
        <f t="shared" ref="P1894:P1957" si="299">($P$35-G1894+1)/365</f>
        <v>3.7178082191780821</v>
      </c>
      <c r="Q1894" s="18">
        <f t="shared" si="290"/>
        <v>53200</v>
      </c>
      <c r="R1894" s="18">
        <f t="shared" ref="R1894:R1957" si="300">Q1894+O1894</f>
        <v>197787.39726027398</v>
      </c>
      <c r="S1894" s="18">
        <f t="shared" si="293"/>
        <v>14000</v>
      </c>
    </row>
    <row r="1895" spans="1:19" ht="15" customHeight="1" x14ac:dyDescent="0.2">
      <c r="A1895" s="14">
        <f t="shared" si="292"/>
        <v>1856</v>
      </c>
      <c r="B1895" s="21" t="s">
        <v>1608</v>
      </c>
      <c r="C1895" s="15" t="s">
        <v>3</v>
      </c>
      <c r="D1895" s="21" t="s">
        <v>1200</v>
      </c>
      <c r="E1895" s="21"/>
      <c r="F1895" s="69" t="s">
        <v>4</v>
      </c>
      <c r="G1895" s="9">
        <v>42962</v>
      </c>
      <c r="H1895" s="22">
        <v>92000</v>
      </c>
      <c r="I1895" s="17">
        <v>0</v>
      </c>
      <c r="J1895" s="17">
        <v>0</v>
      </c>
      <c r="K1895" s="17">
        <f t="shared" si="297"/>
        <v>92000</v>
      </c>
      <c r="L1895" s="23">
        <f t="shared" si="295"/>
        <v>4600</v>
      </c>
      <c r="M1895" s="23">
        <v>5</v>
      </c>
      <c r="N1895" s="18">
        <f t="shared" si="298"/>
        <v>2.6328767123287671</v>
      </c>
      <c r="O1895" s="23">
        <f t="shared" si="296"/>
        <v>46022.684931506847</v>
      </c>
      <c r="P1895" s="18">
        <f t="shared" si="299"/>
        <v>3.6328767123287671</v>
      </c>
      <c r="Q1895" s="18">
        <f t="shared" si="290"/>
        <v>17480</v>
      </c>
      <c r="R1895" s="18">
        <f t="shared" si="300"/>
        <v>63502.684931506847</v>
      </c>
      <c r="S1895" s="18">
        <f t="shared" si="293"/>
        <v>4600</v>
      </c>
    </row>
    <row r="1896" spans="1:19" ht="15" customHeight="1" x14ac:dyDescent="0.2">
      <c r="A1896" s="14">
        <f t="shared" si="292"/>
        <v>1857</v>
      </c>
      <c r="B1896" s="21" t="s">
        <v>1609</v>
      </c>
      <c r="C1896" s="15" t="s">
        <v>3</v>
      </c>
      <c r="D1896" s="21" t="s">
        <v>1200</v>
      </c>
      <c r="E1896" s="21"/>
      <c r="F1896" s="69" t="s">
        <v>4</v>
      </c>
      <c r="G1896" s="9">
        <v>42993</v>
      </c>
      <c r="H1896" s="22">
        <v>11000</v>
      </c>
      <c r="I1896" s="17">
        <v>0</v>
      </c>
      <c r="J1896" s="17">
        <v>0</v>
      </c>
      <c r="K1896" s="17">
        <f t="shared" si="297"/>
        <v>11000</v>
      </c>
      <c r="L1896" s="23">
        <f t="shared" si="295"/>
        <v>550</v>
      </c>
      <c r="M1896" s="23">
        <v>3</v>
      </c>
      <c r="N1896" s="18">
        <f t="shared" si="298"/>
        <v>2.547945205479452</v>
      </c>
      <c r="O1896" s="23">
        <f t="shared" si="296"/>
        <v>8875.3424657534251</v>
      </c>
      <c r="P1896" s="18">
        <f t="shared" si="299"/>
        <v>3.547945205479452</v>
      </c>
      <c r="Q1896" s="18">
        <f t="shared" ref="Q1896:Q1959" si="301">(P1896-N1896)/M1896*(K1896-L1896)</f>
        <v>3483.333333333333</v>
      </c>
      <c r="R1896" s="18">
        <f t="shared" si="300"/>
        <v>12358.675799086759</v>
      </c>
      <c r="S1896" s="18">
        <f t="shared" si="293"/>
        <v>550</v>
      </c>
    </row>
    <row r="1897" spans="1:19" ht="15" customHeight="1" x14ac:dyDescent="0.2">
      <c r="A1897" s="14">
        <f t="shared" si="292"/>
        <v>1858</v>
      </c>
      <c r="B1897" s="21" t="s">
        <v>1610</v>
      </c>
      <c r="C1897" s="15" t="s">
        <v>3</v>
      </c>
      <c r="D1897" s="21" t="s">
        <v>1200</v>
      </c>
      <c r="E1897" s="21"/>
      <c r="F1897" s="69" t="s">
        <v>4</v>
      </c>
      <c r="G1897" s="9">
        <v>42993</v>
      </c>
      <c r="H1897" s="22">
        <v>26630</v>
      </c>
      <c r="I1897" s="17">
        <v>0</v>
      </c>
      <c r="J1897" s="17">
        <v>0</v>
      </c>
      <c r="K1897" s="17">
        <f t="shared" si="297"/>
        <v>26630</v>
      </c>
      <c r="L1897" s="23">
        <f t="shared" si="295"/>
        <v>1331.5</v>
      </c>
      <c r="M1897" s="23">
        <v>5</v>
      </c>
      <c r="N1897" s="18">
        <f t="shared" si="298"/>
        <v>2.547945205479452</v>
      </c>
      <c r="O1897" s="23">
        <f t="shared" ref="O1897:O1928" si="302">(K1897-L1897)/M1897*N1897-J1897</f>
        <v>12891.838356164382</v>
      </c>
      <c r="P1897" s="18">
        <f t="shared" si="299"/>
        <v>3.547945205479452</v>
      </c>
      <c r="Q1897" s="18">
        <f t="shared" si="301"/>
        <v>5059.7000000000007</v>
      </c>
      <c r="R1897" s="18">
        <f t="shared" si="300"/>
        <v>17951.538356164383</v>
      </c>
      <c r="S1897" s="18">
        <f t="shared" si="293"/>
        <v>1331.5</v>
      </c>
    </row>
    <row r="1898" spans="1:19" ht="15" customHeight="1" x14ac:dyDescent="0.2">
      <c r="A1898" s="14">
        <f t="shared" si="292"/>
        <v>1859</v>
      </c>
      <c r="B1898" s="21" t="s">
        <v>1611</v>
      </c>
      <c r="C1898" s="15" t="s">
        <v>3</v>
      </c>
      <c r="D1898" s="21" t="s">
        <v>1200</v>
      </c>
      <c r="E1898" s="21"/>
      <c r="F1898" s="69" t="s">
        <v>4</v>
      </c>
      <c r="G1898" s="9">
        <v>42993</v>
      </c>
      <c r="H1898" s="22">
        <v>6000</v>
      </c>
      <c r="I1898" s="17">
        <v>0</v>
      </c>
      <c r="J1898" s="17">
        <v>0</v>
      </c>
      <c r="K1898" s="17">
        <f t="shared" si="297"/>
        <v>6000</v>
      </c>
      <c r="L1898" s="23">
        <f t="shared" si="295"/>
        <v>300</v>
      </c>
      <c r="M1898" s="23">
        <v>5</v>
      </c>
      <c r="N1898" s="18">
        <f t="shared" si="298"/>
        <v>2.547945205479452</v>
      </c>
      <c r="O1898" s="23">
        <f t="shared" si="302"/>
        <v>2904.6575342465753</v>
      </c>
      <c r="P1898" s="18">
        <f t="shared" si="299"/>
        <v>3.547945205479452</v>
      </c>
      <c r="Q1898" s="18">
        <f t="shared" si="301"/>
        <v>1140</v>
      </c>
      <c r="R1898" s="18">
        <f t="shared" si="300"/>
        <v>4044.6575342465753</v>
      </c>
      <c r="S1898" s="18">
        <f t="shared" si="293"/>
        <v>300</v>
      </c>
    </row>
    <row r="1899" spans="1:19" ht="15" customHeight="1" x14ac:dyDescent="0.2">
      <c r="A1899" s="14">
        <f t="shared" ref="A1899:A1962" si="303">+A1898+1</f>
        <v>1860</v>
      </c>
      <c r="B1899" s="21" t="s">
        <v>1199</v>
      </c>
      <c r="C1899" s="15" t="s">
        <v>3</v>
      </c>
      <c r="D1899" s="21" t="s">
        <v>1200</v>
      </c>
      <c r="E1899" s="21"/>
      <c r="F1899" s="69" t="s">
        <v>4</v>
      </c>
      <c r="G1899" s="9">
        <v>42993</v>
      </c>
      <c r="H1899" s="22">
        <v>112000</v>
      </c>
      <c r="I1899" s="17">
        <v>0</v>
      </c>
      <c r="J1899" s="17">
        <v>0</v>
      </c>
      <c r="K1899" s="17">
        <f t="shared" si="297"/>
        <v>112000</v>
      </c>
      <c r="L1899" s="23">
        <f t="shared" si="295"/>
        <v>5600</v>
      </c>
      <c r="M1899" s="23">
        <v>5</v>
      </c>
      <c r="N1899" s="18">
        <f t="shared" si="298"/>
        <v>2.547945205479452</v>
      </c>
      <c r="O1899" s="23">
        <f t="shared" si="302"/>
        <v>54220.273972602736</v>
      </c>
      <c r="P1899" s="18">
        <f t="shared" si="299"/>
        <v>3.547945205479452</v>
      </c>
      <c r="Q1899" s="18">
        <f t="shared" si="301"/>
        <v>21280</v>
      </c>
      <c r="R1899" s="18">
        <f t="shared" si="300"/>
        <v>75500.273972602736</v>
      </c>
      <c r="S1899" s="18">
        <f t="shared" si="293"/>
        <v>5600</v>
      </c>
    </row>
    <row r="1900" spans="1:19" ht="15" customHeight="1" x14ac:dyDescent="0.2">
      <c r="A1900" s="14">
        <f t="shared" si="303"/>
        <v>1861</v>
      </c>
      <c r="B1900" s="21" t="s">
        <v>1612</v>
      </c>
      <c r="C1900" s="15" t="s">
        <v>3</v>
      </c>
      <c r="D1900" s="21" t="s">
        <v>1200</v>
      </c>
      <c r="E1900" s="21"/>
      <c r="F1900" s="69" t="s">
        <v>4</v>
      </c>
      <c r="G1900" s="9">
        <v>42993</v>
      </c>
      <c r="H1900" s="22">
        <v>8135.6</v>
      </c>
      <c r="I1900" s="17">
        <v>0</v>
      </c>
      <c r="J1900" s="17">
        <v>0</v>
      </c>
      <c r="K1900" s="17">
        <f t="shared" si="297"/>
        <v>8135.6</v>
      </c>
      <c r="L1900" s="23">
        <f t="shared" si="295"/>
        <v>406.78000000000003</v>
      </c>
      <c r="M1900" s="23">
        <v>5</v>
      </c>
      <c r="N1900" s="18">
        <f t="shared" si="298"/>
        <v>2.547945205479452</v>
      </c>
      <c r="O1900" s="23">
        <f t="shared" si="302"/>
        <v>3938.5219726027399</v>
      </c>
      <c r="P1900" s="18">
        <f t="shared" si="299"/>
        <v>3.547945205479452</v>
      </c>
      <c r="Q1900" s="18">
        <f t="shared" si="301"/>
        <v>1545.7640000000001</v>
      </c>
      <c r="R1900" s="18">
        <f t="shared" si="300"/>
        <v>5484.28597260274</v>
      </c>
      <c r="S1900" s="18">
        <f t="shared" si="293"/>
        <v>406.78000000000003</v>
      </c>
    </row>
    <row r="1901" spans="1:19" ht="15" customHeight="1" x14ac:dyDescent="0.2">
      <c r="A1901" s="14">
        <f t="shared" si="303"/>
        <v>1862</v>
      </c>
      <c r="B1901" s="21" t="s">
        <v>1609</v>
      </c>
      <c r="C1901" s="15" t="s">
        <v>3</v>
      </c>
      <c r="D1901" s="21" t="s">
        <v>1200</v>
      </c>
      <c r="E1901" s="21"/>
      <c r="F1901" s="69" t="s">
        <v>4</v>
      </c>
      <c r="G1901" s="9">
        <v>43023</v>
      </c>
      <c r="H1901" s="22">
        <v>10000</v>
      </c>
      <c r="I1901" s="17">
        <v>0</v>
      </c>
      <c r="J1901" s="17">
        <v>0</v>
      </c>
      <c r="K1901" s="17">
        <f t="shared" si="297"/>
        <v>10000</v>
      </c>
      <c r="L1901" s="23">
        <f t="shared" si="295"/>
        <v>500</v>
      </c>
      <c r="M1901" s="23">
        <v>3</v>
      </c>
      <c r="N1901" s="18">
        <f t="shared" si="298"/>
        <v>2.4657534246575343</v>
      </c>
      <c r="O1901" s="23">
        <f t="shared" si="302"/>
        <v>7808.2191780821913</v>
      </c>
      <c r="P1901" s="18">
        <f t="shared" si="299"/>
        <v>3.4657534246575343</v>
      </c>
      <c r="Q1901" s="18">
        <f t="shared" si="301"/>
        <v>3166.6666666666665</v>
      </c>
      <c r="R1901" s="18">
        <f t="shared" si="300"/>
        <v>10974.885844748858</v>
      </c>
      <c r="S1901" s="18">
        <f t="shared" si="293"/>
        <v>500</v>
      </c>
    </row>
    <row r="1902" spans="1:19" ht="15" customHeight="1" x14ac:dyDescent="0.2">
      <c r="A1902" s="14">
        <f t="shared" si="303"/>
        <v>1863</v>
      </c>
      <c r="B1902" s="21" t="s">
        <v>1613</v>
      </c>
      <c r="C1902" s="15" t="s">
        <v>3</v>
      </c>
      <c r="D1902" s="21" t="s">
        <v>1200</v>
      </c>
      <c r="E1902" s="21"/>
      <c r="F1902" s="69" t="s">
        <v>4</v>
      </c>
      <c r="G1902" s="9">
        <v>43023</v>
      </c>
      <c r="H1902" s="22">
        <v>74100.5</v>
      </c>
      <c r="I1902" s="17">
        <v>0</v>
      </c>
      <c r="J1902" s="17">
        <v>0</v>
      </c>
      <c r="K1902" s="17">
        <f t="shared" si="297"/>
        <v>74100.5</v>
      </c>
      <c r="L1902" s="23">
        <f t="shared" si="295"/>
        <v>3705.0250000000001</v>
      </c>
      <c r="M1902" s="23">
        <v>5</v>
      </c>
      <c r="N1902" s="18">
        <f t="shared" si="298"/>
        <v>2.4657534246575343</v>
      </c>
      <c r="O1902" s="23">
        <f t="shared" si="302"/>
        <v>34715.576712328773</v>
      </c>
      <c r="P1902" s="18">
        <f t="shared" si="299"/>
        <v>3.4657534246575343</v>
      </c>
      <c r="Q1902" s="18">
        <f t="shared" si="301"/>
        <v>14079.095000000001</v>
      </c>
      <c r="R1902" s="18">
        <f t="shared" si="300"/>
        <v>48794.671712328774</v>
      </c>
      <c r="S1902" s="18">
        <f t="shared" si="293"/>
        <v>3705.0250000000001</v>
      </c>
    </row>
    <row r="1903" spans="1:19" ht="15" customHeight="1" x14ac:dyDescent="0.2">
      <c r="A1903" s="14">
        <f t="shared" si="303"/>
        <v>1864</v>
      </c>
      <c r="B1903" s="21" t="s">
        <v>1614</v>
      </c>
      <c r="C1903" s="15" t="s">
        <v>3</v>
      </c>
      <c r="D1903" s="21" t="s">
        <v>1200</v>
      </c>
      <c r="E1903" s="21"/>
      <c r="F1903" s="69" t="s">
        <v>4</v>
      </c>
      <c r="G1903" s="9">
        <v>43023</v>
      </c>
      <c r="H1903" s="22">
        <v>8266.02</v>
      </c>
      <c r="I1903" s="17">
        <v>0</v>
      </c>
      <c r="J1903" s="17">
        <v>0</v>
      </c>
      <c r="K1903" s="17">
        <f t="shared" si="297"/>
        <v>8266.02</v>
      </c>
      <c r="L1903" s="23">
        <f t="shared" si="295"/>
        <v>413.30100000000004</v>
      </c>
      <c r="M1903" s="23">
        <v>5</v>
      </c>
      <c r="N1903" s="18">
        <f t="shared" si="298"/>
        <v>2.4657534246575343</v>
      </c>
      <c r="O1903" s="23">
        <f t="shared" si="302"/>
        <v>3872.5737534246573</v>
      </c>
      <c r="P1903" s="18">
        <f t="shared" si="299"/>
        <v>3.4657534246575343</v>
      </c>
      <c r="Q1903" s="18">
        <f t="shared" si="301"/>
        <v>1570.5438000000001</v>
      </c>
      <c r="R1903" s="18">
        <f t="shared" si="300"/>
        <v>5443.1175534246577</v>
      </c>
      <c r="S1903" s="18">
        <f t="shared" si="293"/>
        <v>413.30100000000004</v>
      </c>
    </row>
    <row r="1904" spans="1:19" ht="15" customHeight="1" x14ac:dyDescent="0.2">
      <c r="A1904" s="14">
        <f t="shared" si="303"/>
        <v>1865</v>
      </c>
      <c r="B1904" s="21" t="s">
        <v>1615</v>
      </c>
      <c r="C1904" s="15" t="s">
        <v>3</v>
      </c>
      <c r="D1904" s="21" t="s">
        <v>1200</v>
      </c>
      <c r="E1904" s="21"/>
      <c r="F1904" s="69" t="s">
        <v>4</v>
      </c>
      <c r="G1904" s="9">
        <v>43023</v>
      </c>
      <c r="H1904" s="22">
        <v>12588.099999999999</v>
      </c>
      <c r="I1904" s="17">
        <v>0</v>
      </c>
      <c r="J1904" s="17">
        <v>0</v>
      </c>
      <c r="K1904" s="17">
        <f t="shared" si="297"/>
        <v>12588.099999999999</v>
      </c>
      <c r="L1904" s="23">
        <f t="shared" si="295"/>
        <v>629.40499999999997</v>
      </c>
      <c r="M1904" s="23">
        <v>5</v>
      </c>
      <c r="N1904" s="18">
        <f t="shared" si="298"/>
        <v>2.4657534246575343</v>
      </c>
      <c r="O1904" s="23">
        <f t="shared" si="302"/>
        <v>5897.438630136985</v>
      </c>
      <c r="P1904" s="18">
        <f t="shared" si="299"/>
        <v>3.4657534246575343</v>
      </c>
      <c r="Q1904" s="18">
        <f t="shared" si="301"/>
        <v>2391.7389999999996</v>
      </c>
      <c r="R1904" s="18">
        <f t="shared" si="300"/>
        <v>8289.1776301369846</v>
      </c>
      <c r="S1904" s="18">
        <f t="shared" si="293"/>
        <v>629.40499999999997</v>
      </c>
    </row>
    <row r="1905" spans="1:19" ht="15" customHeight="1" x14ac:dyDescent="0.2">
      <c r="A1905" s="14">
        <f t="shared" si="303"/>
        <v>1866</v>
      </c>
      <c r="B1905" s="21" t="s">
        <v>1616</v>
      </c>
      <c r="C1905" s="15" t="s">
        <v>3</v>
      </c>
      <c r="D1905" s="21" t="s">
        <v>1200</v>
      </c>
      <c r="E1905" s="21"/>
      <c r="F1905" s="69" t="s">
        <v>4</v>
      </c>
      <c r="G1905" s="9">
        <v>43054</v>
      </c>
      <c r="H1905" s="22">
        <v>53050.84</v>
      </c>
      <c r="I1905" s="17">
        <v>0</v>
      </c>
      <c r="J1905" s="17">
        <v>0</v>
      </c>
      <c r="K1905" s="17">
        <f t="shared" si="297"/>
        <v>53050.84</v>
      </c>
      <c r="L1905" s="23">
        <f t="shared" si="295"/>
        <v>2652.5419999999999</v>
      </c>
      <c r="M1905" s="23">
        <v>5</v>
      </c>
      <c r="N1905" s="18">
        <f t="shared" si="298"/>
        <v>2.3808219178082193</v>
      </c>
      <c r="O1905" s="23">
        <f t="shared" si="302"/>
        <v>23997.874499726026</v>
      </c>
      <c r="P1905" s="18">
        <f t="shared" si="299"/>
        <v>3.3808219178082193</v>
      </c>
      <c r="Q1905" s="18">
        <f t="shared" si="301"/>
        <v>10079.659599999999</v>
      </c>
      <c r="R1905" s="18">
        <f t="shared" si="300"/>
        <v>34077.534099726021</v>
      </c>
      <c r="S1905" s="18">
        <f t="shared" si="293"/>
        <v>2652.5419999999999</v>
      </c>
    </row>
    <row r="1906" spans="1:19" ht="15" customHeight="1" x14ac:dyDescent="0.2">
      <c r="A1906" s="14">
        <f t="shared" si="303"/>
        <v>1867</v>
      </c>
      <c r="B1906" s="21" t="s">
        <v>1609</v>
      </c>
      <c r="C1906" s="15" t="s">
        <v>3</v>
      </c>
      <c r="D1906" s="21" t="s">
        <v>1200</v>
      </c>
      <c r="E1906" s="21"/>
      <c r="F1906" s="69" t="s">
        <v>4</v>
      </c>
      <c r="G1906" s="9">
        <v>43054</v>
      </c>
      <c r="H1906" s="22">
        <v>6696.42</v>
      </c>
      <c r="I1906" s="17">
        <v>0</v>
      </c>
      <c r="J1906" s="17">
        <v>0</v>
      </c>
      <c r="K1906" s="17">
        <f t="shared" si="297"/>
        <v>6696.42</v>
      </c>
      <c r="L1906" s="23">
        <f t="shared" si="295"/>
        <v>334.82100000000003</v>
      </c>
      <c r="M1906" s="23">
        <v>3</v>
      </c>
      <c r="N1906" s="18">
        <f t="shared" si="298"/>
        <v>2.3808219178082193</v>
      </c>
      <c r="O1906" s="23">
        <f t="shared" si="302"/>
        <v>5048.6114438356162</v>
      </c>
      <c r="P1906" s="18">
        <f t="shared" si="299"/>
        <v>3.3808219178082193</v>
      </c>
      <c r="Q1906" s="18">
        <f t="shared" si="301"/>
        <v>2120.5329999999999</v>
      </c>
      <c r="R1906" s="18">
        <f t="shared" si="300"/>
        <v>7169.1444438356157</v>
      </c>
      <c r="S1906" s="18">
        <f t="shared" ref="S1906:S1969" si="304">+IF(N1906&gt;P1906,0,L1906)</f>
        <v>334.82100000000003</v>
      </c>
    </row>
    <row r="1907" spans="1:19" ht="15" customHeight="1" x14ac:dyDescent="0.2">
      <c r="A1907" s="14">
        <f t="shared" si="303"/>
        <v>1868</v>
      </c>
      <c r="B1907" s="21" t="s">
        <v>1617</v>
      </c>
      <c r="C1907" s="15" t="s">
        <v>3</v>
      </c>
      <c r="D1907" s="21" t="s">
        <v>1200</v>
      </c>
      <c r="E1907" s="21"/>
      <c r="F1907" s="69" t="s">
        <v>4</v>
      </c>
      <c r="G1907" s="9">
        <v>43054</v>
      </c>
      <c r="H1907" s="22">
        <v>113932.88</v>
      </c>
      <c r="I1907" s="17">
        <v>0</v>
      </c>
      <c r="J1907" s="17">
        <v>0</v>
      </c>
      <c r="K1907" s="17">
        <f t="shared" si="297"/>
        <v>113932.88</v>
      </c>
      <c r="L1907" s="23">
        <f t="shared" si="295"/>
        <v>5696.6440000000002</v>
      </c>
      <c r="M1907" s="23">
        <v>5</v>
      </c>
      <c r="N1907" s="18">
        <f t="shared" si="298"/>
        <v>2.3808219178082193</v>
      </c>
      <c r="O1907" s="23">
        <f t="shared" si="302"/>
        <v>51538.240593972609</v>
      </c>
      <c r="P1907" s="18">
        <f t="shared" si="299"/>
        <v>3.3808219178082193</v>
      </c>
      <c r="Q1907" s="18">
        <f t="shared" si="301"/>
        <v>21647.247200000002</v>
      </c>
      <c r="R1907" s="18">
        <f t="shared" si="300"/>
        <v>73185.487793972614</v>
      </c>
      <c r="S1907" s="18">
        <f t="shared" si="304"/>
        <v>5696.6440000000002</v>
      </c>
    </row>
    <row r="1908" spans="1:19" ht="15" customHeight="1" x14ac:dyDescent="0.2">
      <c r="A1908" s="14">
        <f t="shared" si="303"/>
        <v>1869</v>
      </c>
      <c r="B1908" s="21" t="s">
        <v>1609</v>
      </c>
      <c r="C1908" s="15" t="s">
        <v>3</v>
      </c>
      <c r="D1908" s="21" t="s">
        <v>1200</v>
      </c>
      <c r="E1908" s="21"/>
      <c r="F1908" s="69" t="s">
        <v>4</v>
      </c>
      <c r="G1908" s="9">
        <v>43084</v>
      </c>
      <c r="H1908" s="22">
        <v>6000</v>
      </c>
      <c r="I1908" s="17">
        <v>0</v>
      </c>
      <c r="J1908" s="17">
        <v>0</v>
      </c>
      <c r="K1908" s="17">
        <f t="shared" si="297"/>
        <v>6000</v>
      </c>
      <c r="L1908" s="23">
        <f t="shared" si="295"/>
        <v>300</v>
      </c>
      <c r="M1908" s="23">
        <v>3</v>
      </c>
      <c r="N1908" s="18">
        <f t="shared" si="298"/>
        <v>2.2986301369863016</v>
      </c>
      <c r="O1908" s="23">
        <f t="shared" si="302"/>
        <v>4367.3972602739732</v>
      </c>
      <c r="P1908" s="18">
        <f t="shared" si="299"/>
        <v>3.2986301369863016</v>
      </c>
      <c r="Q1908" s="18">
        <f t="shared" si="301"/>
        <v>1900</v>
      </c>
      <c r="R1908" s="18">
        <f t="shared" si="300"/>
        <v>6267.3972602739732</v>
      </c>
      <c r="S1908" s="18">
        <f t="shared" si="304"/>
        <v>300</v>
      </c>
    </row>
    <row r="1909" spans="1:19" ht="15" customHeight="1" x14ac:dyDescent="0.2">
      <c r="A1909" s="14">
        <f t="shared" si="303"/>
        <v>1870</v>
      </c>
      <c r="B1909" s="21" t="s">
        <v>1618</v>
      </c>
      <c r="C1909" s="15" t="s">
        <v>3</v>
      </c>
      <c r="D1909" s="21" t="s">
        <v>1200</v>
      </c>
      <c r="E1909" s="21"/>
      <c r="F1909" s="69" t="s">
        <v>4</v>
      </c>
      <c r="G1909" s="9">
        <v>43084</v>
      </c>
      <c r="H1909" s="22">
        <v>11000</v>
      </c>
      <c r="I1909" s="17">
        <v>0</v>
      </c>
      <c r="J1909" s="17">
        <v>0</v>
      </c>
      <c r="K1909" s="17">
        <f t="shared" si="297"/>
        <v>11000</v>
      </c>
      <c r="L1909" s="23">
        <f t="shared" si="295"/>
        <v>550</v>
      </c>
      <c r="M1909" s="23">
        <v>3</v>
      </c>
      <c r="N1909" s="18">
        <f t="shared" si="298"/>
        <v>2.2986301369863016</v>
      </c>
      <c r="O1909" s="23">
        <f t="shared" si="302"/>
        <v>8006.8949771689513</v>
      </c>
      <c r="P1909" s="18">
        <f t="shared" si="299"/>
        <v>3.2986301369863016</v>
      </c>
      <c r="Q1909" s="18">
        <f t="shared" si="301"/>
        <v>3483.333333333333</v>
      </c>
      <c r="R1909" s="18">
        <f t="shared" si="300"/>
        <v>11490.228310502283</v>
      </c>
      <c r="S1909" s="18">
        <f t="shared" si="304"/>
        <v>550</v>
      </c>
    </row>
    <row r="1910" spans="1:19" ht="15" customHeight="1" x14ac:dyDescent="0.2">
      <c r="A1910" s="14">
        <f t="shared" si="303"/>
        <v>1871</v>
      </c>
      <c r="B1910" s="21" t="s">
        <v>1619</v>
      </c>
      <c r="C1910" s="15" t="s">
        <v>3</v>
      </c>
      <c r="D1910" s="21" t="s">
        <v>1200</v>
      </c>
      <c r="E1910" s="21"/>
      <c r="F1910" s="69" t="s">
        <v>4</v>
      </c>
      <c r="G1910" s="9">
        <v>43115</v>
      </c>
      <c r="H1910" s="22">
        <v>5500</v>
      </c>
      <c r="I1910" s="17">
        <v>0</v>
      </c>
      <c r="J1910" s="17">
        <v>0</v>
      </c>
      <c r="K1910" s="17">
        <f t="shared" si="297"/>
        <v>5500</v>
      </c>
      <c r="L1910" s="23">
        <f t="shared" si="295"/>
        <v>275</v>
      </c>
      <c r="M1910" s="23">
        <v>5</v>
      </c>
      <c r="N1910" s="18">
        <f t="shared" si="298"/>
        <v>2.2136986301369861</v>
      </c>
      <c r="O1910" s="23">
        <f t="shared" si="302"/>
        <v>2313.3150684931506</v>
      </c>
      <c r="P1910" s="18">
        <f t="shared" si="299"/>
        <v>3.2136986301369861</v>
      </c>
      <c r="Q1910" s="18">
        <f t="shared" si="301"/>
        <v>1045</v>
      </c>
      <c r="R1910" s="18">
        <f t="shared" si="300"/>
        <v>3358.3150684931506</v>
      </c>
      <c r="S1910" s="18">
        <f t="shared" si="304"/>
        <v>275</v>
      </c>
    </row>
    <row r="1911" spans="1:19" ht="15" customHeight="1" x14ac:dyDescent="0.2">
      <c r="A1911" s="14">
        <f t="shared" si="303"/>
        <v>1872</v>
      </c>
      <c r="B1911" s="21" t="s">
        <v>1620</v>
      </c>
      <c r="C1911" s="15" t="s">
        <v>3</v>
      </c>
      <c r="D1911" s="21" t="s">
        <v>1200</v>
      </c>
      <c r="E1911" s="21"/>
      <c r="F1911" s="69" t="s">
        <v>4</v>
      </c>
      <c r="G1911" s="9">
        <v>43115</v>
      </c>
      <c r="H1911" s="22">
        <v>63347.46</v>
      </c>
      <c r="I1911" s="17">
        <v>0</v>
      </c>
      <c r="J1911" s="17">
        <v>0</v>
      </c>
      <c r="K1911" s="17">
        <f t="shared" si="297"/>
        <v>63347.46</v>
      </c>
      <c r="L1911" s="23">
        <f t="shared" si="295"/>
        <v>3167.373</v>
      </c>
      <c r="M1911" s="23">
        <v>3</v>
      </c>
      <c r="N1911" s="18">
        <f t="shared" si="298"/>
        <v>2.2136986301369861</v>
      </c>
      <c r="O1911" s="23">
        <f t="shared" si="302"/>
        <v>44406.858717808209</v>
      </c>
      <c r="P1911" s="18">
        <f t="shared" si="299"/>
        <v>3.2136986301369861</v>
      </c>
      <c r="Q1911" s="18">
        <f t="shared" si="301"/>
        <v>20060.028999999999</v>
      </c>
      <c r="R1911" s="18">
        <f t="shared" si="300"/>
        <v>64466.887717808204</v>
      </c>
      <c r="S1911" s="18">
        <f t="shared" si="304"/>
        <v>3167.373</v>
      </c>
    </row>
    <row r="1912" spans="1:19" ht="15" customHeight="1" x14ac:dyDescent="0.2">
      <c r="A1912" s="14">
        <f t="shared" si="303"/>
        <v>1873</v>
      </c>
      <c r="B1912" s="21" t="s">
        <v>1621</v>
      </c>
      <c r="C1912" s="15" t="s">
        <v>3</v>
      </c>
      <c r="D1912" s="21" t="s">
        <v>1200</v>
      </c>
      <c r="E1912" s="21"/>
      <c r="F1912" s="69" t="s">
        <v>4</v>
      </c>
      <c r="G1912" s="9">
        <v>43146</v>
      </c>
      <c r="H1912" s="22">
        <v>6875</v>
      </c>
      <c r="I1912" s="17">
        <v>0</v>
      </c>
      <c r="J1912" s="17">
        <v>0</v>
      </c>
      <c r="K1912" s="17">
        <f t="shared" si="297"/>
        <v>6875</v>
      </c>
      <c r="L1912" s="23">
        <f t="shared" si="295"/>
        <v>343.75</v>
      </c>
      <c r="M1912" s="23">
        <v>5</v>
      </c>
      <c r="N1912" s="18">
        <f t="shared" si="298"/>
        <v>2.128767123287671</v>
      </c>
      <c r="O1912" s="23">
        <f t="shared" si="302"/>
        <v>2780.7020547945203</v>
      </c>
      <c r="P1912" s="18">
        <f t="shared" si="299"/>
        <v>3.128767123287671</v>
      </c>
      <c r="Q1912" s="18">
        <f t="shared" si="301"/>
        <v>1306.25</v>
      </c>
      <c r="R1912" s="18">
        <f t="shared" si="300"/>
        <v>4086.9520547945203</v>
      </c>
      <c r="S1912" s="18">
        <f t="shared" si="304"/>
        <v>343.75</v>
      </c>
    </row>
    <row r="1913" spans="1:19" ht="15" customHeight="1" x14ac:dyDescent="0.2">
      <c r="A1913" s="14">
        <f t="shared" si="303"/>
        <v>1874</v>
      </c>
      <c r="B1913" s="21" t="s">
        <v>1322</v>
      </c>
      <c r="C1913" s="15" t="s">
        <v>3</v>
      </c>
      <c r="D1913" s="21" t="s">
        <v>1200</v>
      </c>
      <c r="E1913" s="21"/>
      <c r="F1913" s="69" t="s">
        <v>4</v>
      </c>
      <c r="G1913" s="9">
        <v>43146</v>
      </c>
      <c r="H1913" s="22">
        <v>6500</v>
      </c>
      <c r="I1913" s="17">
        <v>0</v>
      </c>
      <c r="J1913" s="17">
        <v>0</v>
      </c>
      <c r="K1913" s="17">
        <f t="shared" si="297"/>
        <v>6500</v>
      </c>
      <c r="L1913" s="23">
        <f t="shared" si="295"/>
        <v>325</v>
      </c>
      <c r="M1913" s="23">
        <v>5</v>
      </c>
      <c r="N1913" s="18">
        <f t="shared" si="298"/>
        <v>2.128767123287671</v>
      </c>
      <c r="O1913" s="23">
        <f t="shared" si="302"/>
        <v>2629.0273972602736</v>
      </c>
      <c r="P1913" s="18">
        <f t="shared" si="299"/>
        <v>3.128767123287671</v>
      </c>
      <c r="Q1913" s="18">
        <f t="shared" si="301"/>
        <v>1235</v>
      </c>
      <c r="R1913" s="18">
        <f t="shared" si="300"/>
        <v>3864.0273972602736</v>
      </c>
      <c r="S1913" s="18">
        <f t="shared" si="304"/>
        <v>325</v>
      </c>
    </row>
    <row r="1914" spans="1:19" ht="15" customHeight="1" x14ac:dyDescent="0.2">
      <c r="A1914" s="14">
        <f t="shared" si="303"/>
        <v>1875</v>
      </c>
      <c r="B1914" s="21" t="s">
        <v>1622</v>
      </c>
      <c r="C1914" s="15" t="s">
        <v>3</v>
      </c>
      <c r="D1914" s="21" t="s">
        <v>1200</v>
      </c>
      <c r="E1914" s="21"/>
      <c r="F1914" s="69" t="s">
        <v>4</v>
      </c>
      <c r="G1914" s="9">
        <v>43174</v>
      </c>
      <c r="H1914" s="22">
        <v>47465.38</v>
      </c>
      <c r="I1914" s="17">
        <v>0</v>
      </c>
      <c r="J1914" s="17">
        <v>0</v>
      </c>
      <c r="K1914" s="17">
        <f t="shared" si="297"/>
        <v>47465.38</v>
      </c>
      <c r="L1914" s="23">
        <f t="shared" si="295"/>
        <v>2373.2689999999998</v>
      </c>
      <c r="M1914" s="23">
        <v>5</v>
      </c>
      <c r="N1914" s="18">
        <f t="shared" si="298"/>
        <v>2.0520547945205481</v>
      </c>
      <c r="O1914" s="23">
        <f t="shared" si="302"/>
        <v>18506.296514520545</v>
      </c>
      <c r="P1914" s="18">
        <f t="shared" si="299"/>
        <v>3.0520547945205481</v>
      </c>
      <c r="Q1914" s="18">
        <f t="shared" si="301"/>
        <v>9018.4221999999991</v>
      </c>
      <c r="R1914" s="18">
        <f t="shared" si="300"/>
        <v>27524.718714520546</v>
      </c>
      <c r="S1914" s="18">
        <f t="shared" si="304"/>
        <v>2373.2689999999998</v>
      </c>
    </row>
    <row r="1915" spans="1:19" ht="15" customHeight="1" x14ac:dyDescent="0.2">
      <c r="A1915" s="14">
        <f t="shared" si="303"/>
        <v>1876</v>
      </c>
      <c r="B1915" s="21" t="s">
        <v>1623</v>
      </c>
      <c r="C1915" s="15" t="s">
        <v>3</v>
      </c>
      <c r="D1915" s="21" t="s">
        <v>1200</v>
      </c>
      <c r="E1915" s="21"/>
      <c r="F1915" s="69" t="s">
        <v>4</v>
      </c>
      <c r="G1915" s="9">
        <v>43174</v>
      </c>
      <c r="H1915" s="22">
        <v>10318.56</v>
      </c>
      <c r="I1915" s="17">
        <v>0</v>
      </c>
      <c r="J1915" s="17">
        <v>0</v>
      </c>
      <c r="K1915" s="17">
        <f t="shared" si="297"/>
        <v>10318.56</v>
      </c>
      <c r="L1915" s="23">
        <f t="shared" ref="L1915:L1978" si="305">K1915*0.05</f>
        <v>515.928</v>
      </c>
      <c r="M1915" s="23">
        <v>5</v>
      </c>
      <c r="N1915" s="18">
        <f t="shared" si="298"/>
        <v>2.0520547945205481</v>
      </c>
      <c r="O1915" s="23">
        <f t="shared" si="302"/>
        <v>4023.1075989041096</v>
      </c>
      <c r="P1915" s="18">
        <f t="shared" si="299"/>
        <v>3.0520547945205481</v>
      </c>
      <c r="Q1915" s="18">
        <f t="shared" si="301"/>
        <v>1960.5264</v>
      </c>
      <c r="R1915" s="18">
        <f t="shared" si="300"/>
        <v>5983.6339989041098</v>
      </c>
      <c r="S1915" s="18">
        <f t="shared" si="304"/>
        <v>515.928</v>
      </c>
    </row>
    <row r="1916" spans="1:19" ht="15" customHeight="1" x14ac:dyDescent="0.2">
      <c r="A1916" s="14">
        <f t="shared" si="303"/>
        <v>1877</v>
      </c>
      <c r="B1916" s="21" t="s">
        <v>1624</v>
      </c>
      <c r="C1916" s="15" t="s">
        <v>3</v>
      </c>
      <c r="D1916" s="21" t="s">
        <v>1200</v>
      </c>
      <c r="E1916" s="21"/>
      <c r="F1916" s="69" t="s">
        <v>4</v>
      </c>
      <c r="G1916" s="9">
        <v>43174</v>
      </c>
      <c r="H1916" s="22">
        <v>2416.06</v>
      </c>
      <c r="I1916" s="17">
        <v>0</v>
      </c>
      <c r="J1916" s="17">
        <v>0</v>
      </c>
      <c r="K1916" s="17">
        <f t="shared" si="297"/>
        <v>2416.06</v>
      </c>
      <c r="L1916" s="23">
        <f t="shared" si="305"/>
        <v>120.803</v>
      </c>
      <c r="M1916" s="23">
        <v>5</v>
      </c>
      <c r="N1916" s="18">
        <f t="shared" si="298"/>
        <v>2.0520547945205481</v>
      </c>
      <c r="O1916" s="23">
        <f t="shared" si="302"/>
        <v>941.99862630136988</v>
      </c>
      <c r="P1916" s="18">
        <f t="shared" si="299"/>
        <v>3.0520547945205481</v>
      </c>
      <c r="Q1916" s="18">
        <f t="shared" si="301"/>
        <v>459.05140000000006</v>
      </c>
      <c r="R1916" s="18">
        <f t="shared" si="300"/>
        <v>1401.0500263013701</v>
      </c>
      <c r="S1916" s="18">
        <f t="shared" si="304"/>
        <v>120.803</v>
      </c>
    </row>
    <row r="1917" spans="1:19" ht="15" customHeight="1" x14ac:dyDescent="0.2">
      <c r="A1917" s="14">
        <f t="shared" si="303"/>
        <v>1878</v>
      </c>
      <c r="B1917" s="21" t="s">
        <v>1625</v>
      </c>
      <c r="C1917" s="15" t="s">
        <v>3</v>
      </c>
      <c r="D1917" s="21" t="s">
        <v>1200</v>
      </c>
      <c r="E1917" s="21"/>
      <c r="F1917" s="69" t="s">
        <v>4</v>
      </c>
      <c r="G1917" s="9">
        <v>43296</v>
      </c>
      <c r="H1917" s="22">
        <v>11999</v>
      </c>
      <c r="I1917" s="17">
        <v>0</v>
      </c>
      <c r="J1917" s="17">
        <v>0</v>
      </c>
      <c r="K1917" s="17">
        <f t="shared" si="297"/>
        <v>11999</v>
      </c>
      <c r="L1917" s="23">
        <f t="shared" si="305"/>
        <v>599.95000000000005</v>
      </c>
      <c r="M1917" s="23">
        <v>3</v>
      </c>
      <c r="N1917" s="18">
        <f t="shared" si="298"/>
        <v>1.7178082191780821</v>
      </c>
      <c r="O1917" s="23">
        <f t="shared" si="302"/>
        <v>6527.1272602739718</v>
      </c>
      <c r="P1917" s="18">
        <f t="shared" si="299"/>
        <v>2.7178082191780821</v>
      </c>
      <c r="Q1917" s="18">
        <f t="shared" si="301"/>
        <v>3799.6833333333329</v>
      </c>
      <c r="R1917" s="18">
        <f t="shared" si="300"/>
        <v>10326.810593607304</v>
      </c>
      <c r="S1917" s="18">
        <f t="shared" si="304"/>
        <v>599.95000000000005</v>
      </c>
    </row>
    <row r="1918" spans="1:19" ht="15" customHeight="1" x14ac:dyDescent="0.2">
      <c r="A1918" s="14">
        <f t="shared" si="303"/>
        <v>1879</v>
      </c>
      <c r="B1918" s="21" t="s">
        <v>1626</v>
      </c>
      <c r="C1918" s="15" t="s">
        <v>3</v>
      </c>
      <c r="D1918" s="21" t="s">
        <v>1200</v>
      </c>
      <c r="E1918" s="21"/>
      <c r="F1918" s="69" t="s">
        <v>4</v>
      </c>
      <c r="G1918" s="9">
        <v>43327</v>
      </c>
      <c r="H1918" s="22">
        <v>18990</v>
      </c>
      <c r="I1918" s="17">
        <v>0</v>
      </c>
      <c r="J1918" s="17">
        <v>0</v>
      </c>
      <c r="K1918" s="17">
        <f t="shared" si="297"/>
        <v>18990</v>
      </c>
      <c r="L1918" s="23">
        <f t="shared" si="305"/>
        <v>949.5</v>
      </c>
      <c r="M1918" s="23">
        <v>3</v>
      </c>
      <c r="N1918" s="18">
        <f t="shared" si="298"/>
        <v>1.6328767123287671</v>
      </c>
      <c r="O1918" s="23">
        <f t="shared" si="302"/>
        <v>9819.3041095890403</v>
      </c>
      <c r="P1918" s="18">
        <f t="shared" si="299"/>
        <v>2.6328767123287671</v>
      </c>
      <c r="Q1918" s="18">
        <f t="shared" si="301"/>
        <v>6013.5</v>
      </c>
      <c r="R1918" s="18">
        <f t="shared" si="300"/>
        <v>15832.80410958904</v>
      </c>
      <c r="S1918" s="18">
        <f t="shared" si="304"/>
        <v>949.5</v>
      </c>
    </row>
    <row r="1919" spans="1:19" ht="15" customHeight="1" x14ac:dyDescent="0.2">
      <c r="A1919" s="14">
        <f t="shared" si="303"/>
        <v>1880</v>
      </c>
      <c r="B1919" s="21" t="s">
        <v>1627</v>
      </c>
      <c r="C1919" s="15" t="s">
        <v>3</v>
      </c>
      <c r="D1919" s="21" t="s">
        <v>1200</v>
      </c>
      <c r="E1919" s="21"/>
      <c r="F1919" s="69" t="s">
        <v>4</v>
      </c>
      <c r="G1919" s="9">
        <v>43388</v>
      </c>
      <c r="H1919" s="22">
        <v>65169.49</v>
      </c>
      <c r="I1919" s="17">
        <v>0</v>
      </c>
      <c r="J1919" s="17">
        <v>0</v>
      </c>
      <c r="K1919" s="17">
        <f t="shared" si="297"/>
        <v>65169.49</v>
      </c>
      <c r="L1919" s="23">
        <f t="shared" si="305"/>
        <v>3258.4745000000003</v>
      </c>
      <c r="M1919" s="23">
        <v>5</v>
      </c>
      <c r="N1919" s="18">
        <f t="shared" si="298"/>
        <v>1.4657534246575343</v>
      </c>
      <c r="O1919" s="23">
        <f t="shared" si="302"/>
        <v>18149.256598630138</v>
      </c>
      <c r="P1919" s="18">
        <f t="shared" si="299"/>
        <v>2.4657534246575343</v>
      </c>
      <c r="Q1919" s="18">
        <f t="shared" si="301"/>
        <v>12382.203099999999</v>
      </c>
      <c r="R1919" s="18">
        <f t="shared" si="300"/>
        <v>30531.459698630137</v>
      </c>
      <c r="S1919" s="18">
        <f t="shared" si="304"/>
        <v>3258.4745000000003</v>
      </c>
    </row>
    <row r="1920" spans="1:19" ht="15" customHeight="1" x14ac:dyDescent="0.2">
      <c r="A1920" s="14">
        <f t="shared" si="303"/>
        <v>1881</v>
      </c>
      <c r="B1920" s="21" t="s">
        <v>1628</v>
      </c>
      <c r="C1920" s="15" t="s">
        <v>3</v>
      </c>
      <c r="D1920" s="21" t="s">
        <v>1200</v>
      </c>
      <c r="E1920" s="21"/>
      <c r="F1920" s="69" t="s">
        <v>4</v>
      </c>
      <c r="G1920" s="9">
        <v>43388</v>
      </c>
      <c r="H1920" s="22">
        <v>15677.12</v>
      </c>
      <c r="I1920" s="17">
        <v>0</v>
      </c>
      <c r="J1920" s="17">
        <v>0</v>
      </c>
      <c r="K1920" s="17">
        <f t="shared" si="297"/>
        <v>15677.12</v>
      </c>
      <c r="L1920" s="23">
        <f t="shared" si="305"/>
        <v>783.85600000000011</v>
      </c>
      <c r="M1920" s="23">
        <v>5</v>
      </c>
      <c r="N1920" s="18">
        <f t="shared" si="298"/>
        <v>1.4657534246575343</v>
      </c>
      <c r="O1920" s="23">
        <f t="shared" si="302"/>
        <v>4365.9705424657541</v>
      </c>
      <c r="P1920" s="18">
        <f t="shared" si="299"/>
        <v>2.4657534246575343</v>
      </c>
      <c r="Q1920" s="18">
        <f t="shared" si="301"/>
        <v>2978.6528000000003</v>
      </c>
      <c r="R1920" s="18">
        <f t="shared" si="300"/>
        <v>7344.6233424657548</v>
      </c>
      <c r="S1920" s="18">
        <f t="shared" si="304"/>
        <v>783.85600000000011</v>
      </c>
    </row>
    <row r="1921" spans="1:19" ht="15" customHeight="1" x14ac:dyDescent="0.2">
      <c r="A1921" s="14">
        <f t="shared" si="303"/>
        <v>1882</v>
      </c>
      <c r="B1921" s="21" t="s">
        <v>1625</v>
      </c>
      <c r="C1921" s="15" t="s">
        <v>3</v>
      </c>
      <c r="D1921" s="21" t="s">
        <v>1200</v>
      </c>
      <c r="E1921" s="21"/>
      <c r="F1921" s="69" t="s">
        <v>4</v>
      </c>
      <c r="G1921" s="9">
        <v>43419</v>
      </c>
      <c r="H1921" s="22">
        <v>14999</v>
      </c>
      <c r="I1921" s="17">
        <v>0</v>
      </c>
      <c r="J1921" s="17">
        <v>0</v>
      </c>
      <c r="K1921" s="17">
        <f t="shared" si="297"/>
        <v>14999</v>
      </c>
      <c r="L1921" s="23">
        <f t="shared" si="305"/>
        <v>749.95</v>
      </c>
      <c r="M1921" s="23">
        <v>3</v>
      </c>
      <c r="N1921" s="18">
        <f t="shared" si="298"/>
        <v>1.3808219178082193</v>
      </c>
      <c r="O1921" s="23">
        <f t="shared" si="302"/>
        <v>6558.4668493150693</v>
      </c>
      <c r="P1921" s="18">
        <f t="shared" si="299"/>
        <v>2.3808219178082193</v>
      </c>
      <c r="Q1921" s="18">
        <f t="shared" si="301"/>
        <v>4749.6833333333325</v>
      </c>
      <c r="R1921" s="18">
        <f t="shared" si="300"/>
        <v>11308.150182648402</v>
      </c>
      <c r="S1921" s="18">
        <f t="shared" si="304"/>
        <v>749.95</v>
      </c>
    </row>
    <row r="1922" spans="1:19" ht="15" customHeight="1" x14ac:dyDescent="0.2">
      <c r="A1922" s="14">
        <f t="shared" si="303"/>
        <v>1883</v>
      </c>
      <c r="B1922" s="21" t="s">
        <v>1629</v>
      </c>
      <c r="C1922" s="15" t="s">
        <v>3</v>
      </c>
      <c r="D1922" s="21" t="s">
        <v>1200</v>
      </c>
      <c r="E1922" s="21"/>
      <c r="F1922" s="69" t="s">
        <v>4</v>
      </c>
      <c r="G1922" s="9">
        <v>43419</v>
      </c>
      <c r="H1922" s="22">
        <v>12999</v>
      </c>
      <c r="I1922" s="17">
        <v>0</v>
      </c>
      <c r="J1922" s="17">
        <v>0</v>
      </c>
      <c r="K1922" s="17">
        <f t="shared" si="297"/>
        <v>12999</v>
      </c>
      <c r="L1922" s="23">
        <f t="shared" si="305"/>
        <v>649.95000000000005</v>
      </c>
      <c r="M1922" s="23">
        <v>3</v>
      </c>
      <c r="N1922" s="18">
        <f t="shared" si="298"/>
        <v>1.3808219178082193</v>
      </c>
      <c r="O1922" s="23">
        <f t="shared" si="302"/>
        <v>5683.9463013698623</v>
      </c>
      <c r="P1922" s="18">
        <f t="shared" si="299"/>
        <v>2.3808219178082193</v>
      </c>
      <c r="Q1922" s="18">
        <f t="shared" si="301"/>
        <v>4116.3499999999995</v>
      </c>
      <c r="R1922" s="18">
        <f t="shared" si="300"/>
        <v>9800.2963013698609</v>
      </c>
      <c r="S1922" s="18">
        <f t="shared" si="304"/>
        <v>649.95000000000005</v>
      </c>
    </row>
    <row r="1923" spans="1:19" ht="15" customHeight="1" x14ac:dyDescent="0.2">
      <c r="A1923" s="14">
        <f t="shared" si="303"/>
        <v>1884</v>
      </c>
      <c r="B1923" s="21" t="s">
        <v>1630</v>
      </c>
      <c r="C1923" s="15" t="s">
        <v>3</v>
      </c>
      <c r="D1923" s="21" t="s">
        <v>1200</v>
      </c>
      <c r="E1923" s="21"/>
      <c r="F1923" s="69" t="s">
        <v>4</v>
      </c>
      <c r="G1923" s="9">
        <v>43449</v>
      </c>
      <c r="H1923" s="22">
        <v>16000</v>
      </c>
      <c r="I1923" s="17">
        <v>0</v>
      </c>
      <c r="J1923" s="17">
        <v>0</v>
      </c>
      <c r="K1923" s="17">
        <f t="shared" si="297"/>
        <v>16000</v>
      </c>
      <c r="L1923" s="23">
        <f t="shared" si="305"/>
        <v>800</v>
      </c>
      <c r="M1923" s="23">
        <v>3</v>
      </c>
      <c r="N1923" s="18">
        <f t="shared" si="298"/>
        <v>1.2986301369863014</v>
      </c>
      <c r="O1923" s="23">
        <f t="shared" si="302"/>
        <v>6579.7260273972606</v>
      </c>
      <c r="P1923" s="18">
        <f t="shared" si="299"/>
        <v>2.2986301369863016</v>
      </c>
      <c r="Q1923" s="18">
        <f t="shared" si="301"/>
        <v>5066.6666666666679</v>
      </c>
      <c r="R1923" s="18">
        <f t="shared" si="300"/>
        <v>11646.392694063929</v>
      </c>
      <c r="S1923" s="18">
        <f t="shared" si="304"/>
        <v>800</v>
      </c>
    </row>
    <row r="1924" spans="1:19" ht="15" customHeight="1" x14ac:dyDescent="0.2">
      <c r="A1924" s="14">
        <f t="shared" si="303"/>
        <v>1885</v>
      </c>
      <c r="B1924" s="21" t="s">
        <v>1631</v>
      </c>
      <c r="C1924" s="15" t="s">
        <v>3</v>
      </c>
      <c r="D1924" s="21" t="s">
        <v>1200</v>
      </c>
      <c r="E1924" s="21"/>
      <c r="F1924" s="69" t="s">
        <v>4</v>
      </c>
      <c r="G1924" s="9">
        <v>43449</v>
      </c>
      <c r="H1924" s="22">
        <v>23728.81</v>
      </c>
      <c r="I1924" s="17">
        <v>0</v>
      </c>
      <c r="J1924" s="17">
        <v>0</v>
      </c>
      <c r="K1924" s="17">
        <f t="shared" si="297"/>
        <v>23728.81</v>
      </c>
      <c r="L1924" s="23">
        <f t="shared" si="305"/>
        <v>1186.4405000000002</v>
      </c>
      <c r="M1924" s="23">
        <v>5</v>
      </c>
      <c r="N1924" s="18">
        <f t="shared" si="298"/>
        <v>1.2986301369863014</v>
      </c>
      <c r="O1924" s="23">
        <f t="shared" si="302"/>
        <v>5854.8400783561647</v>
      </c>
      <c r="P1924" s="18">
        <f t="shared" si="299"/>
        <v>2.2986301369863016</v>
      </c>
      <c r="Q1924" s="18">
        <f t="shared" si="301"/>
        <v>4508.4739000000009</v>
      </c>
      <c r="R1924" s="18">
        <f t="shared" si="300"/>
        <v>10363.313978356166</v>
      </c>
      <c r="S1924" s="18">
        <f t="shared" si="304"/>
        <v>1186.4405000000002</v>
      </c>
    </row>
    <row r="1925" spans="1:19" ht="15" customHeight="1" x14ac:dyDescent="0.2">
      <c r="A1925" s="14">
        <f t="shared" si="303"/>
        <v>1886</v>
      </c>
      <c r="B1925" s="21" t="s">
        <v>1632</v>
      </c>
      <c r="C1925" s="15" t="s">
        <v>3</v>
      </c>
      <c r="D1925" s="21" t="s">
        <v>1200</v>
      </c>
      <c r="E1925" s="21"/>
      <c r="F1925" s="69" t="s">
        <v>4</v>
      </c>
      <c r="G1925" s="9">
        <v>43449</v>
      </c>
      <c r="H1925" s="22">
        <v>50847.46</v>
      </c>
      <c r="I1925" s="17">
        <v>0</v>
      </c>
      <c r="J1925" s="17">
        <v>0</v>
      </c>
      <c r="K1925" s="17">
        <f t="shared" si="297"/>
        <v>50847.46</v>
      </c>
      <c r="L1925" s="23">
        <f t="shared" si="305"/>
        <v>2542.373</v>
      </c>
      <c r="M1925" s="23">
        <v>5</v>
      </c>
      <c r="N1925" s="18">
        <f t="shared" si="298"/>
        <v>1.2986301369863014</v>
      </c>
      <c r="O1925" s="23">
        <f t="shared" si="302"/>
        <v>12546.088349589041</v>
      </c>
      <c r="P1925" s="18">
        <f t="shared" si="299"/>
        <v>2.2986301369863016</v>
      </c>
      <c r="Q1925" s="18">
        <f t="shared" si="301"/>
        <v>9661.0174000000025</v>
      </c>
      <c r="R1925" s="18">
        <f t="shared" si="300"/>
        <v>22207.105749589042</v>
      </c>
      <c r="S1925" s="18">
        <f t="shared" si="304"/>
        <v>2542.373</v>
      </c>
    </row>
    <row r="1926" spans="1:19" ht="15" customHeight="1" x14ac:dyDescent="0.2">
      <c r="A1926" s="14">
        <f t="shared" si="303"/>
        <v>1887</v>
      </c>
      <c r="B1926" s="21" t="s">
        <v>1633</v>
      </c>
      <c r="C1926" s="15" t="s">
        <v>3</v>
      </c>
      <c r="D1926" s="21" t="s">
        <v>1200</v>
      </c>
      <c r="E1926" s="21"/>
      <c r="F1926" s="69" t="s">
        <v>4</v>
      </c>
      <c r="G1926" s="9">
        <v>43480</v>
      </c>
      <c r="H1926" s="22">
        <v>14999</v>
      </c>
      <c r="I1926" s="17">
        <v>0</v>
      </c>
      <c r="J1926" s="17">
        <v>0</v>
      </c>
      <c r="K1926" s="17">
        <f t="shared" si="297"/>
        <v>14999</v>
      </c>
      <c r="L1926" s="23">
        <f t="shared" si="305"/>
        <v>749.95</v>
      </c>
      <c r="M1926" s="23">
        <v>3</v>
      </c>
      <c r="N1926" s="18">
        <f t="shared" si="298"/>
        <v>1.2136986301369863</v>
      </c>
      <c r="O1926" s="23">
        <f t="shared" si="302"/>
        <v>5764.6841552511414</v>
      </c>
      <c r="P1926" s="18">
        <f t="shared" si="299"/>
        <v>2.2136986301369861</v>
      </c>
      <c r="Q1926" s="18">
        <f t="shared" si="301"/>
        <v>4749.6833333333325</v>
      </c>
      <c r="R1926" s="18">
        <f t="shared" si="300"/>
        <v>10514.367488584474</v>
      </c>
      <c r="S1926" s="18">
        <f t="shared" si="304"/>
        <v>749.95</v>
      </c>
    </row>
    <row r="1927" spans="1:19" ht="15" customHeight="1" x14ac:dyDescent="0.2">
      <c r="A1927" s="14">
        <f t="shared" si="303"/>
        <v>1888</v>
      </c>
      <c r="B1927" s="21" t="s">
        <v>1634</v>
      </c>
      <c r="C1927" s="15" t="s">
        <v>3</v>
      </c>
      <c r="D1927" s="21" t="s">
        <v>1200</v>
      </c>
      <c r="E1927" s="21"/>
      <c r="F1927" s="69" t="s">
        <v>4</v>
      </c>
      <c r="G1927" s="9">
        <v>43480</v>
      </c>
      <c r="H1927" s="22">
        <v>5000</v>
      </c>
      <c r="I1927" s="17">
        <v>0</v>
      </c>
      <c r="J1927" s="17">
        <v>0</v>
      </c>
      <c r="K1927" s="17">
        <f t="shared" si="297"/>
        <v>5000</v>
      </c>
      <c r="L1927" s="23">
        <f t="shared" si="305"/>
        <v>250</v>
      </c>
      <c r="M1927" s="23">
        <v>3</v>
      </c>
      <c r="N1927" s="18">
        <f t="shared" si="298"/>
        <v>1.2136986301369863</v>
      </c>
      <c r="O1927" s="23">
        <f t="shared" si="302"/>
        <v>1921.6894977168949</v>
      </c>
      <c r="P1927" s="18">
        <f t="shared" si="299"/>
        <v>2.2136986301369861</v>
      </c>
      <c r="Q1927" s="18">
        <f t="shared" si="301"/>
        <v>1583.333333333333</v>
      </c>
      <c r="R1927" s="18">
        <f t="shared" si="300"/>
        <v>3505.022831050228</v>
      </c>
      <c r="S1927" s="18">
        <f t="shared" si="304"/>
        <v>250</v>
      </c>
    </row>
    <row r="1928" spans="1:19" ht="15" customHeight="1" x14ac:dyDescent="0.2">
      <c r="A1928" s="14">
        <f t="shared" si="303"/>
        <v>1889</v>
      </c>
      <c r="B1928" s="21" t="s">
        <v>1635</v>
      </c>
      <c r="C1928" s="15" t="s">
        <v>3</v>
      </c>
      <c r="D1928" s="21" t="s">
        <v>1200</v>
      </c>
      <c r="E1928" s="21"/>
      <c r="F1928" s="69" t="s">
        <v>4</v>
      </c>
      <c r="G1928" s="9">
        <v>43480</v>
      </c>
      <c r="H1928" s="22">
        <v>74766.039999999994</v>
      </c>
      <c r="I1928" s="17">
        <v>0</v>
      </c>
      <c r="J1928" s="17">
        <v>0</v>
      </c>
      <c r="K1928" s="17">
        <f t="shared" si="297"/>
        <v>74766.039999999994</v>
      </c>
      <c r="L1928" s="23">
        <f t="shared" si="305"/>
        <v>3738.3019999999997</v>
      </c>
      <c r="M1928" s="23">
        <v>3</v>
      </c>
      <c r="N1928" s="18">
        <f t="shared" si="298"/>
        <v>1.2136986301369863</v>
      </c>
      <c r="O1928" s="23">
        <f t="shared" si="302"/>
        <v>28735.422770776255</v>
      </c>
      <c r="P1928" s="18">
        <f t="shared" si="299"/>
        <v>2.2136986301369861</v>
      </c>
      <c r="Q1928" s="18">
        <f t="shared" si="301"/>
        <v>23675.91266666666</v>
      </c>
      <c r="R1928" s="18">
        <f t="shared" si="300"/>
        <v>52411.335437442918</v>
      </c>
      <c r="S1928" s="18">
        <f t="shared" si="304"/>
        <v>3738.3019999999997</v>
      </c>
    </row>
    <row r="1929" spans="1:19" ht="15" customHeight="1" x14ac:dyDescent="0.2">
      <c r="A1929" s="14">
        <f t="shared" si="303"/>
        <v>1890</v>
      </c>
      <c r="B1929" s="21" t="s">
        <v>1636</v>
      </c>
      <c r="C1929" s="15" t="s">
        <v>3</v>
      </c>
      <c r="D1929" s="21" t="s">
        <v>1200</v>
      </c>
      <c r="E1929" s="21"/>
      <c r="F1929" s="69" t="s">
        <v>4</v>
      </c>
      <c r="G1929" s="9">
        <v>43511</v>
      </c>
      <c r="H1929" s="22">
        <v>12499.11</v>
      </c>
      <c r="I1929" s="17">
        <v>0</v>
      </c>
      <c r="J1929" s="17">
        <v>12499.11</v>
      </c>
      <c r="K1929" s="17">
        <f t="shared" si="297"/>
        <v>0</v>
      </c>
      <c r="L1929" s="23">
        <f t="shared" si="305"/>
        <v>0</v>
      </c>
      <c r="M1929" s="23">
        <v>3</v>
      </c>
      <c r="N1929" s="18">
        <f t="shared" si="298"/>
        <v>1.1287671232876713</v>
      </c>
      <c r="O1929" s="23">
        <v>0</v>
      </c>
      <c r="P1929" s="18">
        <f t="shared" si="299"/>
        <v>2.128767123287671</v>
      </c>
      <c r="Q1929" s="18">
        <f t="shared" si="301"/>
        <v>0</v>
      </c>
      <c r="R1929" s="18">
        <f t="shared" si="300"/>
        <v>0</v>
      </c>
      <c r="S1929" s="18">
        <f t="shared" si="304"/>
        <v>0</v>
      </c>
    </row>
    <row r="1930" spans="1:19" ht="15" customHeight="1" x14ac:dyDescent="0.2">
      <c r="A1930" s="14">
        <f t="shared" si="303"/>
        <v>1891</v>
      </c>
      <c r="B1930" s="21" t="s">
        <v>1637</v>
      </c>
      <c r="C1930" s="15" t="s">
        <v>3</v>
      </c>
      <c r="D1930" s="21" t="s">
        <v>1200</v>
      </c>
      <c r="E1930" s="21"/>
      <c r="F1930" s="69" t="s">
        <v>4</v>
      </c>
      <c r="G1930" s="9">
        <v>43511</v>
      </c>
      <c r="H1930" s="22">
        <v>63801</v>
      </c>
      <c r="I1930" s="17">
        <v>0</v>
      </c>
      <c r="J1930" s="17">
        <v>0</v>
      </c>
      <c r="K1930" s="17">
        <f t="shared" si="297"/>
        <v>63801</v>
      </c>
      <c r="L1930" s="23">
        <f t="shared" si="305"/>
        <v>3190.05</v>
      </c>
      <c r="M1930" s="23">
        <v>3</v>
      </c>
      <c r="N1930" s="18">
        <f t="shared" si="298"/>
        <v>1.1287671232876713</v>
      </c>
      <c r="O1930" s="23">
        <f t="shared" ref="O1930:O1960" si="306">(K1930-L1930)/M1930*N1930-J1930</f>
        <v>22805.215890410956</v>
      </c>
      <c r="P1930" s="18">
        <f t="shared" si="299"/>
        <v>2.128767123287671</v>
      </c>
      <c r="Q1930" s="18">
        <f t="shared" si="301"/>
        <v>20203.649999999994</v>
      </c>
      <c r="R1930" s="18">
        <f t="shared" si="300"/>
        <v>43008.865890410947</v>
      </c>
      <c r="S1930" s="18">
        <f t="shared" si="304"/>
        <v>3190.05</v>
      </c>
    </row>
    <row r="1931" spans="1:19" ht="15" customHeight="1" x14ac:dyDescent="0.2">
      <c r="A1931" s="14">
        <f t="shared" si="303"/>
        <v>1892</v>
      </c>
      <c r="B1931" s="21" t="s">
        <v>1638</v>
      </c>
      <c r="C1931" s="15" t="s">
        <v>3</v>
      </c>
      <c r="D1931" s="21" t="s">
        <v>1200</v>
      </c>
      <c r="E1931" s="21"/>
      <c r="F1931" s="69" t="s">
        <v>4</v>
      </c>
      <c r="G1931" s="9">
        <v>43539</v>
      </c>
      <c r="H1931" s="22">
        <v>8200</v>
      </c>
      <c r="I1931" s="17">
        <v>0</v>
      </c>
      <c r="J1931" s="17">
        <v>0</v>
      </c>
      <c r="K1931" s="17">
        <f t="shared" si="297"/>
        <v>8200</v>
      </c>
      <c r="L1931" s="23">
        <f t="shared" si="305"/>
        <v>410</v>
      </c>
      <c r="M1931" s="23">
        <v>3</v>
      </c>
      <c r="N1931" s="18">
        <f t="shared" si="298"/>
        <v>1.0520547945205478</v>
      </c>
      <c r="O1931" s="23">
        <f t="shared" si="306"/>
        <v>2731.8356164383558</v>
      </c>
      <c r="P1931" s="18">
        <f t="shared" si="299"/>
        <v>2.0520547945205481</v>
      </c>
      <c r="Q1931" s="18">
        <f t="shared" si="301"/>
        <v>2596.6666666666674</v>
      </c>
      <c r="R1931" s="18">
        <f t="shared" si="300"/>
        <v>5328.5022831050228</v>
      </c>
      <c r="S1931" s="18">
        <f t="shared" si="304"/>
        <v>410</v>
      </c>
    </row>
    <row r="1932" spans="1:19" ht="15" customHeight="1" x14ac:dyDescent="0.2">
      <c r="A1932" s="14">
        <f t="shared" si="303"/>
        <v>1893</v>
      </c>
      <c r="B1932" s="21" t="s">
        <v>1639</v>
      </c>
      <c r="C1932" s="15" t="s">
        <v>3</v>
      </c>
      <c r="D1932" s="21" t="s">
        <v>1200</v>
      </c>
      <c r="E1932" s="21"/>
      <c r="F1932" s="69" t="s">
        <v>4</v>
      </c>
      <c r="G1932" s="9">
        <v>43539</v>
      </c>
      <c r="H1932" s="22">
        <v>25593.22</v>
      </c>
      <c r="I1932" s="17">
        <v>0</v>
      </c>
      <c r="J1932" s="17">
        <v>0</v>
      </c>
      <c r="K1932" s="17">
        <f t="shared" si="297"/>
        <v>25593.22</v>
      </c>
      <c r="L1932" s="23">
        <f t="shared" si="305"/>
        <v>1279.6610000000001</v>
      </c>
      <c r="M1932" s="23">
        <v>5</v>
      </c>
      <c r="N1932" s="18">
        <f t="shared" si="298"/>
        <v>1.0520547945205478</v>
      </c>
      <c r="O1932" s="23">
        <f t="shared" si="306"/>
        <v>5115.8392635616437</v>
      </c>
      <c r="P1932" s="18">
        <f t="shared" si="299"/>
        <v>2.0520547945205481</v>
      </c>
      <c r="Q1932" s="18">
        <f t="shared" si="301"/>
        <v>4862.7118000000009</v>
      </c>
      <c r="R1932" s="18">
        <f t="shared" si="300"/>
        <v>9978.5510635616447</v>
      </c>
      <c r="S1932" s="18">
        <f t="shared" si="304"/>
        <v>1279.6610000000001</v>
      </c>
    </row>
    <row r="1933" spans="1:19" ht="15" customHeight="1" x14ac:dyDescent="0.2">
      <c r="A1933" s="14">
        <f t="shared" si="303"/>
        <v>1894</v>
      </c>
      <c r="B1933" s="21" t="s">
        <v>1640</v>
      </c>
      <c r="C1933" s="15" t="s">
        <v>3</v>
      </c>
      <c r="D1933" s="21" t="s">
        <v>1200</v>
      </c>
      <c r="E1933" s="21"/>
      <c r="F1933" s="69" t="s">
        <v>4</v>
      </c>
      <c r="G1933" s="9">
        <v>43539</v>
      </c>
      <c r="H1933" s="22">
        <v>28566.67</v>
      </c>
      <c r="I1933" s="17">
        <v>0</v>
      </c>
      <c r="J1933" s="17">
        <v>0</v>
      </c>
      <c r="K1933" s="17">
        <f t="shared" si="297"/>
        <v>28566.67</v>
      </c>
      <c r="L1933" s="23">
        <f t="shared" si="305"/>
        <v>1428.3335</v>
      </c>
      <c r="M1933" s="23">
        <v>5</v>
      </c>
      <c r="N1933" s="18">
        <f t="shared" si="298"/>
        <v>1.0520547945205478</v>
      </c>
      <c r="O1933" s="23">
        <f t="shared" si="306"/>
        <v>5710.2034060273954</v>
      </c>
      <c r="P1933" s="18">
        <f t="shared" si="299"/>
        <v>2.0520547945205481</v>
      </c>
      <c r="Q1933" s="18">
        <f t="shared" si="301"/>
        <v>5427.667300000001</v>
      </c>
      <c r="R1933" s="18">
        <f t="shared" si="300"/>
        <v>11137.870706027395</v>
      </c>
      <c r="S1933" s="18">
        <f t="shared" si="304"/>
        <v>1428.3335</v>
      </c>
    </row>
    <row r="1934" spans="1:19" ht="15" customHeight="1" x14ac:dyDescent="0.2">
      <c r="A1934" s="14">
        <f t="shared" si="303"/>
        <v>1895</v>
      </c>
      <c r="B1934" s="28" t="s">
        <v>1322</v>
      </c>
      <c r="C1934" s="15" t="s">
        <v>3</v>
      </c>
      <c r="D1934" s="21" t="s">
        <v>1200</v>
      </c>
      <c r="E1934" s="21"/>
      <c r="F1934" s="69" t="s">
        <v>4</v>
      </c>
      <c r="G1934" s="25">
        <v>43631</v>
      </c>
      <c r="H1934" s="26">
        <v>8100</v>
      </c>
      <c r="I1934" s="17">
        <v>0</v>
      </c>
      <c r="J1934" s="17">
        <v>0</v>
      </c>
      <c r="K1934" s="17">
        <f t="shared" si="297"/>
        <v>8100</v>
      </c>
      <c r="L1934" s="23">
        <f t="shared" si="305"/>
        <v>405</v>
      </c>
      <c r="M1934" s="34">
        <v>5</v>
      </c>
      <c r="N1934" s="18">
        <f t="shared" si="298"/>
        <v>0.8</v>
      </c>
      <c r="O1934" s="23">
        <f t="shared" si="306"/>
        <v>1231.2</v>
      </c>
      <c r="P1934" s="18">
        <f t="shared" si="299"/>
        <v>1.8</v>
      </c>
      <c r="Q1934" s="18">
        <f t="shared" si="301"/>
        <v>1539</v>
      </c>
      <c r="R1934" s="18">
        <f t="shared" si="300"/>
        <v>2770.2</v>
      </c>
      <c r="S1934" s="18">
        <f t="shared" si="304"/>
        <v>405</v>
      </c>
    </row>
    <row r="1935" spans="1:19" ht="15" customHeight="1" x14ac:dyDescent="0.2">
      <c r="A1935" s="14">
        <f t="shared" si="303"/>
        <v>1896</v>
      </c>
      <c r="B1935" s="28" t="s">
        <v>1208</v>
      </c>
      <c r="C1935" s="15" t="s">
        <v>3</v>
      </c>
      <c r="D1935" s="21" t="s">
        <v>1200</v>
      </c>
      <c r="E1935" s="21"/>
      <c r="F1935" s="69" t="s">
        <v>4</v>
      </c>
      <c r="G1935" s="25">
        <v>43570</v>
      </c>
      <c r="H1935" s="26">
        <v>5000</v>
      </c>
      <c r="I1935" s="17">
        <v>0</v>
      </c>
      <c r="J1935" s="17">
        <v>0</v>
      </c>
      <c r="K1935" s="17">
        <f t="shared" si="297"/>
        <v>5000</v>
      </c>
      <c r="L1935" s="23">
        <f t="shared" si="305"/>
        <v>250</v>
      </c>
      <c r="M1935" s="34">
        <v>3</v>
      </c>
      <c r="N1935" s="18">
        <f t="shared" si="298"/>
        <v>0.9671232876712329</v>
      </c>
      <c r="O1935" s="23">
        <f t="shared" si="306"/>
        <v>1531.2785388127854</v>
      </c>
      <c r="P1935" s="18">
        <f t="shared" si="299"/>
        <v>1.9671232876712328</v>
      </c>
      <c r="Q1935" s="18">
        <f t="shared" si="301"/>
        <v>1583.3333333333333</v>
      </c>
      <c r="R1935" s="18">
        <f t="shared" si="300"/>
        <v>3114.6118721461189</v>
      </c>
      <c r="S1935" s="18">
        <f t="shared" si="304"/>
        <v>250</v>
      </c>
    </row>
    <row r="1936" spans="1:19" ht="15" customHeight="1" x14ac:dyDescent="0.2">
      <c r="A1936" s="14">
        <f t="shared" si="303"/>
        <v>1897</v>
      </c>
      <c r="B1936" s="28" t="s">
        <v>1641</v>
      </c>
      <c r="C1936" s="15" t="s">
        <v>3</v>
      </c>
      <c r="D1936" s="21" t="s">
        <v>1200</v>
      </c>
      <c r="E1936" s="21"/>
      <c r="F1936" s="69" t="s">
        <v>4</v>
      </c>
      <c r="G1936" s="25">
        <v>43570</v>
      </c>
      <c r="H1936" s="26">
        <v>12457.63</v>
      </c>
      <c r="I1936" s="17">
        <v>0</v>
      </c>
      <c r="J1936" s="17">
        <v>0</v>
      </c>
      <c r="K1936" s="17">
        <f t="shared" si="297"/>
        <v>12457.63</v>
      </c>
      <c r="L1936" s="23">
        <f t="shared" si="305"/>
        <v>622.88149999999996</v>
      </c>
      <c r="M1936" s="34">
        <v>5</v>
      </c>
      <c r="N1936" s="18">
        <f t="shared" si="298"/>
        <v>0.9671232876712329</v>
      </c>
      <c r="O1936" s="23">
        <f t="shared" si="306"/>
        <v>2289.1321756164384</v>
      </c>
      <c r="P1936" s="18">
        <f t="shared" si="299"/>
        <v>1.9671232876712328</v>
      </c>
      <c r="Q1936" s="18">
        <f t="shared" si="301"/>
        <v>2366.9496999999997</v>
      </c>
      <c r="R1936" s="18">
        <f t="shared" si="300"/>
        <v>4656.0818756164381</v>
      </c>
      <c r="S1936" s="18">
        <f t="shared" si="304"/>
        <v>622.88149999999996</v>
      </c>
    </row>
    <row r="1937" spans="1:19" ht="15" customHeight="1" x14ac:dyDescent="0.2">
      <c r="A1937" s="14">
        <f t="shared" si="303"/>
        <v>1898</v>
      </c>
      <c r="B1937" s="28" t="s">
        <v>1642</v>
      </c>
      <c r="C1937" s="15" t="s">
        <v>3</v>
      </c>
      <c r="D1937" s="21" t="s">
        <v>1200</v>
      </c>
      <c r="E1937" s="21"/>
      <c r="F1937" s="69" t="s">
        <v>4</v>
      </c>
      <c r="G1937" s="25">
        <v>43570</v>
      </c>
      <c r="H1937" s="26">
        <v>1822.03</v>
      </c>
      <c r="I1937" s="17">
        <v>0</v>
      </c>
      <c r="J1937" s="17">
        <v>0</v>
      </c>
      <c r="K1937" s="17">
        <f t="shared" si="297"/>
        <v>1822.03</v>
      </c>
      <c r="L1937" s="23">
        <f t="shared" si="305"/>
        <v>91.101500000000001</v>
      </c>
      <c r="M1937" s="34">
        <v>5</v>
      </c>
      <c r="N1937" s="18">
        <f t="shared" si="298"/>
        <v>0.9671232876712329</v>
      </c>
      <c r="O1937" s="23">
        <f t="shared" si="306"/>
        <v>334.80425232876712</v>
      </c>
      <c r="P1937" s="18">
        <f t="shared" si="299"/>
        <v>1.9671232876712328</v>
      </c>
      <c r="Q1937" s="18">
        <f t="shared" si="301"/>
        <v>346.18569999999994</v>
      </c>
      <c r="R1937" s="18">
        <f t="shared" si="300"/>
        <v>680.989952328767</v>
      </c>
      <c r="S1937" s="18">
        <f t="shared" si="304"/>
        <v>91.101500000000001</v>
      </c>
    </row>
    <row r="1938" spans="1:19" ht="15" customHeight="1" x14ac:dyDescent="0.2">
      <c r="A1938" s="14">
        <f t="shared" si="303"/>
        <v>1899</v>
      </c>
      <c r="B1938" s="28" t="s">
        <v>1643</v>
      </c>
      <c r="C1938" s="15" t="s">
        <v>3</v>
      </c>
      <c r="D1938" s="21" t="s">
        <v>1200</v>
      </c>
      <c r="E1938" s="21"/>
      <c r="F1938" s="69" t="s">
        <v>4</v>
      </c>
      <c r="G1938" s="25">
        <v>43570</v>
      </c>
      <c r="H1938" s="26">
        <v>108054.23</v>
      </c>
      <c r="I1938" s="17">
        <v>0</v>
      </c>
      <c r="J1938" s="17">
        <v>0</v>
      </c>
      <c r="K1938" s="17">
        <f t="shared" si="297"/>
        <v>108054.23</v>
      </c>
      <c r="L1938" s="23">
        <f t="shared" si="305"/>
        <v>5402.7115000000003</v>
      </c>
      <c r="M1938" s="34">
        <v>5</v>
      </c>
      <c r="N1938" s="18">
        <f t="shared" si="298"/>
        <v>0.9671232876712329</v>
      </c>
      <c r="O1938" s="23">
        <f t="shared" si="306"/>
        <v>19855.334811232875</v>
      </c>
      <c r="P1938" s="18">
        <f t="shared" si="299"/>
        <v>1.9671232876712328</v>
      </c>
      <c r="Q1938" s="18">
        <f t="shared" si="301"/>
        <v>20530.303699999997</v>
      </c>
      <c r="R1938" s="18">
        <f t="shared" si="300"/>
        <v>40385.638511232872</v>
      </c>
      <c r="S1938" s="18">
        <f t="shared" si="304"/>
        <v>5402.7115000000003</v>
      </c>
    </row>
    <row r="1939" spans="1:19" ht="15" customHeight="1" x14ac:dyDescent="0.2">
      <c r="A1939" s="14">
        <f t="shared" si="303"/>
        <v>1900</v>
      </c>
      <c r="B1939" s="28" t="s">
        <v>1644</v>
      </c>
      <c r="C1939" s="15" t="s">
        <v>3</v>
      </c>
      <c r="D1939" s="21" t="s">
        <v>1200</v>
      </c>
      <c r="E1939" s="21"/>
      <c r="F1939" s="69" t="s">
        <v>4</v>
      </c>
      <c r="G1939" s="25">
        <v>43570</v>
      </c>
      <c r="H1939" s="26">
        <v>12904</v>
      </c>
      <c r="I1939" s="17">
        <v>0</v>
      </c>
      <c r="J1939" s="17">
        <v>0</v>
      </c>
      <c r="K1939" s="17">
        <f t="shared" si="297"/>
        <v>12904</v>
      </c>
      <c r="L1939" s="23">
        <f t="shared" si="305"/>
        <v>645.20000000000005</v>
      </c>
      <c r="M1939" s="34">
        <v>5</v>
      </c>
      <c r="N1939" s="18">
        <f t="shared" si="298"/>
        <v>0.9671232876712329</v>
      </c>
      <c r="O1939" s="23">
        <f t="shared" si="306"/>
        <v>2371.1541917808217</v>
      </c>
      <c r="P1939" s="18">
        <f t="shared" si="299"/>
        <v>1.9671232876712328</v>
      </c>
      <c r="Q1939" s="18">
        <f t="shared" si="301"/>
        <v>2451.7599999999998</v>
      </c>
      <c r="R1939" s="18">
        <f t="shared" si="300"/>
        <v>4822.9141917808211</v>
      </c>
      <c r="S1939" s="18">
        <f t="shared" si="304"/>
        <v>645.20000000000005</v>
      </c>
    </row>
    <row r="1940" spans="1:19" ht="15" customHeight="1" x14ac:dyDescent="0.2">
      <c r="A1940" s="14">
        <f t="shared" si="303"/>
        <v>1901</v>
      </c>
      <c r="B1940" s="28" t="s">
        <v>1645</v>
      </c>
      <c r="C1940" s="15" t="s">
        <v>3</v>
      </c>
      <c r="D1940" s="21" t="s">
        <v>1200</v>
      </c>
      <c r="E1940" s="21"/>
      <c r="F1940" s="69" t="s">
        <v>4</v>
      </c>
      <c r="G1940" s="25">
        <v>43600</v>
      </c>
      <c r="H1940" s="26">
        <v>4955</v>
      </c>
      <c r="I1940" s="17">
        <v>0</v>
      </c>
      <c r="J1940" s="17">
        <v>0</v>
      </c>
      <c r="K1940" s="17">
        <f t="shared" si="297"/>
        <v>4955</v>
      </c>
      <c r="L1940" s="23">
        <f t="shared" si="305"/>
        <v>247.75</v>
      </c>
      <c r="M1940" s="34">
        <v>5</v>
      </c>
      <c r="N1940" s="18">
        <f t="shared" si="298"/>
        <v>0.8849315068493151</v>
      </c>
      <c r="O1940" s="23">
        <f t="shared" si="306"/>
        <v>833.11876712328774</v>
      </c>
      <c r="P1940" s="18">
        <f t="shared" si="299"/>
        <v>1.8849315068493151</v>
      </c>
      <c r="Q1940" s="18">
        <f t="shared" si="301"/>
        <v>941.45</v>
      </c>
      <c r="R1940" s="18">
        <f t="shared" si="300"/>
        <v>1774.5687671232877</v>
      </c>
      <c r="S1940" s="18">
        <f t="shared" si="304"/>
        <v>247.75</v>
      </c>
    </row>
    <row r="1941" spans="1:19" ht="15" customHeight="1" x14ac:dyDescent="0.2">
      <c r="A1941" s="14">
        <f t="shared" si="303"/>
        <v>1902</v>
      </c>
      <c r="B1941" s="28" t="s">
        <v>1646</v>
      </c>
      <c r="C1941" s="15" t="s">
        <v>3</v>
      </c>
      <c r="D1941" s="21" t="s">
        <v>1200</v>
      </c>
      <c r="E1941" s="21"/>
      <c r="F1941" s="69" t="s">
        <v>4</v>
      </c>
      <c r="G1941" s="25">
        <v>43600</v>
      </c>
      <c r="H1941" s="26">
        <v>27343.74</v>
      </c>
      <c r="I1941" s="17">
        <v>0</v>
      </c>
      <c r="J1941" s="17">
        <v>0</v>
      </c>
      <c r="K1941" s="17">
        <f t="shared" si="297"/>
        <v>27343.74</v>
      </c>
      <c r="L1941" s="23">
        <f t="shared" si="305"/>
        <v>1367.1870000000001</v>
      </c>
      <c r="M1941" s="34">
        <v>5</v>
      </c>
      <c r="N1941" s="18">
        <f t="shared" si="298"/>
        <v>0.8849315068493151</v>
      </c>
      <c r="O1941" s="23">
        <f t="shared" si="306"/>
        <v>4597.4940378082192</v>
      </c>
      <c r="P1941" s="18">
        <f t="shared" si="299"/>
        <v>1.8849315068493151</v>
      </c>
      <c r="Q1941" s="18">
        <f t="shared" si="301"/>
        <v>5195.3106000000007</v>
      </c>
      <c r="R1941" s="18">
        <f t="shared" si="300"/>
        <v>9792.8046378082199</v>
      </c>
      <c r="S1941" s="18">
        <f t="shared" si="304"/>
        <v>1367.1870000000001</v>
      </c>
    </row>
    <row r="1942" spans="1:19" ht="15" customHeight="1" x14ac:dyDescent="0.2">
      <c r="A1942" s="14">
        <f t="shared" si="303"/>
        <v>1903</v>
      </c>
      <c r="B1942" s="28" t="s">
        <v>1647</v>
      </c>
      <c r="C1942" s="15" t="s">
        <v>3</v>
      </c>
      <c r="D1942" s="21" t="s">
        <v>1200</v>
      </c>
      <c r="E1942" s="21"/>
      <c r="F1942" s="69" t="s">
        <v>4</v>
      </c>
      <c r="G1942" s="25">
        <v>43631</v>
      </c>
      <c r="H1942" s="26">
        <v>14000</v>
      </c>
      <c r="I1942" s="17">
        <v>0</v>
      </c>
      <c r="J1942" s="17">
        <v>0</v>
      </c>
      <c r="K1942" s="17">
        <f t="shared" si="297"/>
        <v>14000</v>
      </c>
      <c r="L1942" s="23">
        <f t="shared" si="305"/>
        <v>700</v>
      </c>
      <c r="M1942" s="34">
        <v>3</v>
      </c>
      <c r="N1942" s="18">
        <f t="shared" si="298"/>
        <v>0.8</v>
      </c>
      <c r="O1942" s="23">
        <f t="shared" si="306"/>
        <v>3546.6666666666665</v>
      </c>
      <c r="P1942" s="18">
        <f t="shared" si="299"/>
        <v>1.8</v>
      </c>
      <c r="Q1942" s="18">
        <f t="shared" si="301"/>
        <v>4433.333333333333</v>
      </c>
      <c r="R1942" s="18">
        <f t="shared" si="300"/>
        <v>7980</v>
      </c>
      <c r="S1942" s="18">
        <f t="shared" si="304"/>
        <v>700</v>
      </c>
    </row>
    <row r="1943" spans="1:19" ht="15" customHeight="1" x14ac:dyDescent="0.2">
      <c r="A1943" s="14">
        <f t="shared" si="303"/>
        <v>1904</v>
      </c>
      <c r="B1943" s="28" t="s">
        <v>1648</v>
      </c>
      <c r="C1943" s="15" t="s">
        <v>3</v>
      </c>
      <c r="D1943" s="21" t="s">
        <v>1200</v>
      </c>
      <c r="E1943" s="21"/>
      <c r="F1943" s="69" t="s">
        <v>4</v>
      </c>
      <c r="G1943" s="25">
        <v>43631</v>
      </c>
      <c r="H1943" s="26">
        <v>106500</v>
      </c>
      <c r="I1943" s="17">
        <v>0</v>
      </c>
      <c r="J1943" s="17">
        <v>0</v>
      </c>
      <c r="K1943" s="17">
        <f t="shared" si="297"/>
        <v>106500</v>
      </c>
      <c r="L1943" s="23">
        <f t="shared" si="305"/>
        <v>5325</v>
      </c>
      <c r="M1943" s="34">
        <v>3</v>
      </c>
      <c r="N1943" s="18">
        <f t="shared" si="298"/>
        <v>0.8</v>
      </c>
      <c r="O1943" s="23">
        <f t="shared" si="306"/>
        <v>26980</v>
      </c>
      <c r="P1943" s="18">
        <f t="shared" si="299"/>
        <v>1.8</v>
      </c>
      <c r="Q1943" s="18">
        <f t="shared" si="301"/>
        <v>33725</v>
      </c>
      <c r="R1943" s="18">
        <f t="shared" si="300"/>
        <v>60705</v>
      </c>
      <c r="S1943" s="18">
        <f t="shared" si="304"/>
        <v>5325</v>
      </c>
    </row>
    <row r="1944" spans="1:19" ht="15" customHeight="1" x14ac:dyDescent="0.2">
      <c r="A1944" s="14">
        <f t="shared" si="303"/>
        <v>1905</v>
      </c>
      <c r="B1944" s="28" t="s">
        <v>1649</v>
      </c>
      <c r="C1944" s="15" t="s">
        <v>3</v>
      </c>
      <c r="D1944" s="21" t="s">
        <v>1200</v>
      </c>
      <c r="E1944" s="21"/>
      <c r="F1944" s="69" t="s">
        <v>4</v>
      </c>
      <c r="G1944" s="25">
        <v>43661</v>
      </c>
      <c r="H1944" s="26">
        <v>11990</v>
      </c>
      <c r="I1944" s="17">
        <v>0</v>
      </c>
      <c r="J1944" s="17">
        <v>0</v>
      </c>
      <c r="K1944" s="17">
        <f t="shared" si="297"/>
        <v>11990</v>
      </c>
      <c r="L1944" s="23">
        <f t="shared" si="305"/>
        <v>599.5</v>
      </c>
      <c r="M1944" s="34">
        <v>3</v>
      </c>
      <c r="N1944" s="18">
        <f t="shared" si="298"/>
        <v>0.71780821917808224</v>
      </c>
      <c r="O1944" s="23">
        <f t="shared" si="306"/>
        <v>2725.3981735159819</v>
      </c>
      <c r="P1944" s="18">
        <f t="shared" si="299"/>
        <v>1.7178082191780821</v>
      </c>
      <c r="Q1944" s="18">
        <f t="shared" si="301"/>
        <v>3796.833333333333</v>
      </c>
      <c r="R1944" s="18">
        <f t="shared" si="300"/>
        <v>6522.2315068493153</v>
      </c>
      <c r="S1944" s="18">
        <f t="shared" si="304"/>
        <v>599.5</v>
      </c>
    </row>
    <row r="1945" spans="1:19" ht="15" customHeight="1" x14ac:dyDescent="0.2">
      <c r="A1945" s="14">
        <f t="shared" si="303"/>
        <v>1906</v>
      </c>
      <c r="B1945" s="28" t="s">
        <v>1650</v>
      </c>
      <c r="C1945" s="15" t="s">
        <v>3</v>
      </c>
      <c r="D1945" s="21" t="s">
        <v>1200</v>
      </c>
      <c r="E1945" s="21"/>
      <c r="F1945" s="69" t="s">
        <v>4</v>
      </c>
      <c r="G1945" s="25">
        <v>43661</v>
      </c>
      <c r="H1945" s="26">
        <v>62033.9</v>
      </c>
      <c r="I1945" s="17">
        <v>0</v>
      </c>
      <c r="J1945" s="17">
        <v>0</v>
      </c>
      <c r="K1945" s="17">
        <f t="shared" si="297"/>
        <v>62033.9</v>
      </c>
      <c r="L1945" s="23">
        <f t="shared" si="305"/>
        <v>3101.6950000000002</v>
      </c>
      <c r="M1945" s="34">
        <v>3</v>
      </c>
      <c r="N1945" s="18">
        <f t="shared" si="298"/>
        <v>0.71780821917808224</v>
      </c>
      <c r="O1945" s="23">
        <f t="shared" si="306"/>
        <v>14100.673707762558</v>
      </c>
      <c r="P1945" s="18">
        <f t="shared" si="299"/>
        <v>1.7178082191780821</v>
      </c>
      <c r="Q1945" s="18">
        <f t="shared" si="301"/>
        <v>19644.068333333333</v>
      </c>
      <c r="R1945" s="18">
        <f t="shared" si="300"/>
        <v>33744.742041095888</v>
      </c>
      <c r="S1945" s="18">
        <f t="shared" si="304"/>
        <v>3101.6950000000002</v>
      </c>
    </row>
    <row r="1946" spans="1:19" ht="15" customHeight="1" x14ac:dyDescent="0.2">
      <c r="A1946" s="14">
        <f t="shared" si="303"/>
        <v>1907</v>
      </c>
      <c r="B1946" s="28" t="s">
        <v>1651</v>
      </c>
      <c r="C1946" s="15" t="s">
        <v>3</v>
      </c>
      <c r="D1946" s="21" t="s">
        <v>1200</v>
      </c>
      <c r="E1946" s="21"/>
      <c r="F1946" s="69" t="s">
        <v>4</v>
      </c>
      <c r="G1946" s="25">
        <v>43661</v>
      </c>
      <c r="H1946" s="26">
        <v>57810.240000000005</v>
      </c>
      <c r="I1946" s="17">
        <v>0</v>
      </c>
      <c r="J1946" s="17">
        <v>0</v>
      </c>
      <c r="K1946" s="17">
        <f t="shared" si="297"/>
        <v>57810.240000000005</v>
      </c>
      <c r="L1946" s="23">
        <f t="shared" si="305"/>
        <v>2890.5120000000006</v>
      </c>
      <c r="M1946" s="34">
        <v>3</v>
      </c>
      <c r="N1946" s="18">
        <f t="shared" si="298"/>
        <v>0.71780821917808224</v>
      </c>
      <c r="O1946" s="23">
        <f t="shared" si="306"/>
        <v>13140.61071780822</v>
      </c>
      <c r="P1946" s="18">
        <f t="shared" si="299"/>
        <v>1.7178082191780821</v>
      </c>
      <c r="Q1946" s="18">
        <f t="shared" si="301"/>
        <v>18306.576000000001</v>
      </c>
      <c r="R1946" s="18">
        <f t="shared" si="300"/>
        <v>31447.186717808221</v>
      </c>
      <c r="S1946" s="18">
        <f t="shared" si="304"/>
        <v>2890.5120000000006</v>
      </c>
    </row>
    <row r="1947" spans="1:19" ht="15" customHeight="1" x14ac:dyDescent="0.2">
      <c r="A1947" s="14">
        <f t="shared" si="303"/>
        <v>1908</v>
      </c>
      <c r="B1947" s="28" t="s">
        <v>1652</v>
      </c>
      <c r="C1947" s="15" t="s">
        <v>3</v>
      </c>
      <c r="D1947" s="21" t="s">
        <v>1200</v>
      </c>
      <c r="E1947" s="21"/>
      <c r="F1947" s="69" t="s">
        <v>4</v>
      </c>
      <c r="G1947" s="25">
        <v>43661</v>
      </c>
      <c r="H1947" s="26">
        <v>2966.1</v>
      </c>
      <c r="I1947" s="17">
        <v>0</v>
      </c>
      <c r="J1947" s="17">
        <v>0</v>
      </c>
      <c r="K1947" s="17">
        <f t="shared" si="297"/>
        <v>2966.1</v>
      </c>
      <c r="L1947" s="23">
        <f t="shared" si="305"/>
        <v>148.30500000000001</v>
      </c>
      <c r="M1947" s="34">
        <v>5</v>
      </c>
      <c r="N1947" s="18">
        <f t="shared" si="298"/>
        <v>0.71780821917808224</v>
      </c>
      <c r="O1947" s="23">
        <f t="shared" si="306"/>
        <v>404.52728219178084</v>
      </c>
      <c r="P1947" s="18">
        <f t="shared" si="299"/>
        <v>1.7178082191780821</v>
      </c>
      <c r="Q1947" s="18">
        <f t="shared" si="301"/>
        <v>563.55899999999997</v>
      </c>
      <c r="R1947" s="18">
        <f t="shared" si="300"/>
        <v>968.08628219178081</v>
      </c>
      <c r="S1947" s="18">
        <f t="shared" si="304"/>
        <v>148.30500000000001</v>
      </c>
    </row>
    <row r="1948" spans="1:19" ht="15" customHeight="1" x14ac:dyDescent="0.2">
      <c r="A1948" s="14">
        <f t="shared" si="303"/>
        <v>1909</v>
      </c>
      <c r="B1948" s="28" t="s">
        <v>1653</v>
      </c>
      <c r="C1948" s="15" t="s">
        <v>3</v>
      </c>
      <c r="D1948" s="21" t="s">
        <v>1200</v>
      </c>
      <c r="E1948" s="21"/>
      <c r="F1948" s="69" t="s">
        <v>4</v>
      </c>
      <c r="G1948" s="25">
        <v>43661</v>
      </c>
      <c r="H1948" s="26">
        <v>24609.38</v>
      </c>
      <c r="I1948" s="17">
        <v>0</v>
      </c>
      <c r="J1948" s="17">
        <v>0</v>
      </c>
      <c r="K1948" s="17">
        <f t="shared" si="297"/>
        <v>24609.38</v>
      </c>
      <c r="L1948" s="23">
        <f t="shared" si="305"/>
        <v>1230.4690000000001</v>
      </c>
      <c r="M1948" s="34">
        <v>5</v>
      </c>
      <c r="N1948" s="18">
        <f t="shared" si="298"/>
        <v>0.71780821917808224</v>
      </c>
      <c r="O1948" s="23">
        <f t="shared" si="306"/>
        <v>3356.3148942465755</v>
      </c>
      <c r="P1948" s="18">
        <f t="shared" si="299"/>
        <v>1.7178082191780821</v>
      </c>
      <c r="Q1948" s="18">
        <f t="shared" si="301"/>
        <v>4675.7821999999996</v>
      </c>
      <c r="R1948" s="18">
        <f t="shared" si="300"/>
        <v>8032.0970942465756</v>
      </c>
      <c r="S1948" s="18">
        <f t="shared" si="304"/>
        <v>1230.4690000000001</v>
      </c>
    </row>
    <row r="1949" spans="1:19" ht="15" customHeight="1" x14ac:dyDescent="0.2">
      <c r="A1949" s="14">
        <f t="shared" si="303"/>
        <v>1910</v>
      </c>
      <c r="B1949" s="28" t="s">
        <v>1654</v>
      </c>
      <c r="C1949" s="15" t="s">
        <v>3</v>
      </c>
      <c r="D1949" s="21" t="s">
        <v>1200</v>
      </c>
      <c r="E1949" s="21"/>
      <c r="F1949" s="69" t="s">
        <v>4</v>
      </c>
      <c r="G1949" s="25">
        <v>43692</v>
      </c>
      <c r="H1949" s="26">
        <v>60084.75</v>
      </c>
      <c r="I1949" s="17">
        <v>0</v>
      </c>
      <c r="J1949" s="17">
        <v>0</v>
      </c>
      <c r="K1949" s="17">
        <f t="shared" si="297"/>
        <v>60084.75</v>
      </c>
      <c r="L1949" s="23">
        <f t="shared" si="305"/>
        <v>3004.2375000000002</v>
      </c>
      <c r="M1949" s="34">
        <v>3</v>
      </c>
      <c r="N1949" s="18">
        <f t="shared" si="298"/>
        <v>0.63287671232876708</v>
      </c>
      <c r="O1949" s="23">
        <f t="shared" si="306"/>
        <v>12041.642363013696</v>
      </c>
      <c r="P1949" s="18">
        <f t="shared" si="299"/>
        <v>1.6328767123287671</v>
      </c>
      <c r="Q1949" s="18">
        <f t="shared" si="301"/>
        <v>19026.837499999998</v>
      </c>
      <c r="R1949" s="18">
        <f t="shared" si="300"/>
        <v>31068.479863013694</v>
      </c>
      <c r="S1949" s="18">
        <f t="shared" si="304"/>
        <v>3004.2375000000002</v>
      </c>
    </row>
    <row r="1950" spans="1:19" ht="15" customHeight="1" x14ac:dyDescent="0.2">
      <c r="A1950" s="14">
        <f t="shared" si="303"/>
        <v>1911</v>
      </c>
      <c r="B1950" s="28" t="s">
        <v>1655</v>
      </c>
      <c r="C1950" s="15" t="s">
        <v>3</v>
      </c>
      <c r="D1950" s="21" t="s">
        <v>1200</v>
      </c>
      <c r="E1950" s="21"/>
      <c r="F1950" s="69" t="s">
        <v>4</v>
      </c>
      <c r="G1950" s="25">
        <v>43692</v>
      </c>
      <c r="H1950" s="26">
        <v>10000</v>
      </c>
      <c r="I1950" s="17">
        <v>0</v>
      </c>
      <c r="J1950" s="17">
        <v>10000</v>
      </c>
      <c r="K1950" s="17">
        <f t="shared" si="297"/>
        <v>0</v>
      </c>
      <c r="L1950" s="23">
        <f t="shared" si="305"/>
        <v>0</v>
      </c>
      <c r="M1950" s="34">
        <v>3</v>
      </c>
      <c r="N1950" s="18">
        <f t="shared" si="298"/>
        <v>0.63287671232876708</v>
      </c>
      <c r="O1950" s="23">
        <v>0</v>
      </c>
      <c r="P1950" s="18">
        <f t="shared" si="299"/>
        <v>1.6328767123287671</v>
      </c>
      <c r="Q1950" s="18">
        <f t="shared" si="301"/>
        <v>0</v>
      </c>
      <c r="R1950" s="18">
        <f t="shared" si="300"/>
        <v>0</v>
      </c>
      <c r="S1950" s="18">
        <f t="shared" si="304"/>
        <v>0</v>
      </c>
    </row>
    <row r="1951" spans="1:19" ht="15" customHeight="1" x14ac:dyDescent="0.2">
      <c r="A1951" s="14">
        <f t="shared" si="303"/>
        <v>1912</v>
      </c>
      <c r="B1951" s="28" t="s">
        <v>1656</v>
      </c>
      <c r="C1951" s="15" t="s">
        <v>3</v>
      </c>
      <c r="D1951" s="21" t="s">
        <v>1200</v>
      </c>
      <c r="E1951" s="21"/>
      <c r="F1951" s="69" t="s">
        <v>4</v>
      </c>
      <c r="G1951" s="25">
        <v>43692</v>
      </c>
      <c r="H1951" s="26">
        <v>8000</v>
      </c>
      <c r="I1951" s="17">
        <v>0</v>
      </c>
      <c r="J1951" s="17">
        <v>0</v>
      </c>
      <c r="K1951" s="17">
        <f t="shared" si="297"/>
        <v>8000</v>
      </c>
      <c r="L1951" s="23">
        <f t="shared" si="305"/>
        <v>400</v>
      </c>
      <c r="M1951" s="34">
        <v>3</v>
      </c>
      <c r="N1951" s="18">
        <f t="shared" si="298"/>
        <v>0.63287671232876708</v>
      </c>
      <c r="O1951" s="23">
        <f t="shared" si="306"/>
        <v>1603.2876712328766</v>
      </c>
      <c r="P1951" s="18">
        <f t="shared" si="299"/>
        <v>1.6328767123287671</v>
      </c>
      <c r="Q1951" s="18">
        <f t="shared" si="301"/>
        <v>2533.333333333333</v>
      </c>
      <c r="R1951" s="18">
        <f t="shared" si="300"/>
        <v>4136.6210045662101</v>
      </c>
      <c r="S1951" s="18">
        <f t="shared" si="304"/>
        <v>400</v>
      </c>
    </row>
    <row r="1952" spans="1:19" ht="15" customHeight="1" x14ac:dyDescent="0.2">
      <c r="A1952" s="14">
        <f t="shared" si="303"/>
        <v>1913</v>
      </c>
      <c r="B1952" s="28" t="s">
        <v>1657</v>
      </c>
      <c r="C1952" s="15" t="s">
        <v>3</v>
      </c>
      <c r="D1952" s="21" t="s">
        <v>1200</v>
      </c>
      <c r="E1952" s="21"/>
      <c r="F1952" s="69" t="s">
        <v>4</v>
      </c>
      <c r="G1952" s="25">
        <v>43753</v>
      </c>
      <c r="H1952" s="26">
        <v>5000</v>
      </c>
      <c r="I1952" s="17">
        <v>0</v>
      </c>
      <c r="J1952" s="17">
        <v>0</v>
      </c>
      <c r="K1952" s="17">
        <f t="shared" si="297"/>
        <v>5000</v>
      </c>
      <c r="L1952" s="23">
        <f t="shared" si="305"/>
        <v>250</v>
      </c>
      <c r="M1952" s="34">
        <v>3</v>
      </c>
      <c r="N1952" s="18">
        <f t="shared" si="298"/>
        <v>0.46575342465753422</v>
      </c>
      <c r="O1952" s="23">
        <f t="shared" si="306"/>
        <v>737.44292237442914</v>
      </c>
      <c r="P1952" s="18">
        <f t="shared" si="299"/>
        <v>1.4657534246575343</v>
      </c>
      <c r="Q1952" s="18">
        <f t="shared" si="301"/>
        <v>1583.3333333333333</v>
      </c>
      <c r="R1952" s="18">
        <f t="shared" si="300"/>
        <v>2320.7762557077622</v>
      </c>
      <c r="S1952" s="18">
        <f t="shared" si="304"/>
        <v>250</v>
      </c>
    </row>
    <row r="1953" spans="1:19" ht="15" customHeight="1" x14ac:dyDescent="0.2">
      <c r="A1953" s="14">
        <f t="shared" si="303"/>
        <v>1914</v>
      </c>
      <c r="B1953" s="28" t="s">
        <v>1658</v>
      </c>
      <c r="C1953" s="15" t="s">
        <v>3</v>
      </c>
      <c r="D1953" s="21" t="s">
        <v>1200</v>
      </c>
      <c r="E1953" s="21"/>
      <c r="F1953" s="69" t="s">
        <v>4</v>
      </c>
      <c r="G1953" s="25">
        <v>43753</v>
      </c>
      <c r="H1953" s="26">
        <v>29999</v>
      </c>
      <c r="I1953" s="17">
        <v>0</v>
      </c>
      <c r="J1953" s="17">
        <v>0</v>
      </c>
      <c r="K1953" s="17">
        <f t="shared" si="297"/>
        <v>29999</v>
      </c>
      <c r="L1953" s="23">
        <f t="shared" si="305"/>
        <v>1499.95</v>
      </c>
      <c r="M1953" s="34">
        <v>3</v>
      </c>
      <c r="N1953" s="18">
        <f t="shared" si="298"/>
        <v>0.46575342465753422</v>
      </c>
      <c r="O1953" s="23">
        <f t="shared" si="306"/>
        <v>4424.5100456620994</v>
      </c>
      <c r="P1953" s="18">
        <f t="shared" si="299"/>
        <v>1.4657534246575343</v>
      </c>
      <c r="Q1953" s="18">
        <f t="shared" si="301"/>
        <v>9499.6833333333325</v>
      </c>
      <c r="R1953" s="18">
        <f t="shared" si="300"/>
        <v>13924.193378995431</v>
      </c>
      <c r="S1953" s="18">
        <f t="shared" si="304"/>
        <v>1499.95</v>
      </c>
    </row>
    <row r="1954" spans="1:19" ht="15" customHeight="1" x14ac:dyDescent="0.2">
      <c r="A1954" s="14">
        <f t="shared" si="303"/>
        <v>1915</v>
      </c>
      <c r="B1954" s="28" t="s">
        <v>1659</v>
      </c>
      <c r="C1954" s="15" t="s">
        <v>3</v>
      </c>
      <c r="D1954" s="21" t="s">
        <v>1200</v>
      </c>
      <c r="E1954" s="21"/>
      <c r="F1954" s="69" t="s">
        <v>4</v>
      </c>
      <c r="G1954" s="25">
        <v>43784</v>
      </c>
      <c r="H1954" s="26">
        <v>5000</v>
      </c>
      <c r="I1954" s="17">
        <v>0</v>
      </c>
      <c r="J1954" s="17">
        <v>0</v>
      </c>
      <c r="K1954" s="17">
        <f t="shared" si="297"/>
        <v>5000</v>
      </c>
      <c r="L1954" s="23">
        <f t="shared" si="305"/>
        <v>250</v>
      </c>
      <c r="M1954" s="34">
        <v>3</v>
      </c>
      <c r="N1954" s="18">
        <f t="shared" si="298"/>
        <v>0.38082191780821917</v>
      </c>
      <c r="O1954" s="23">
        <f t="shared" si="306"/>
        <v>602.96803652968038</v>
      </c>
      <c r="P1954" s="18">
        <f t="shared" si="299"/>
        <v>1.3808219178082193</v>
      </c>
      <c r="Q1954" s="18">
        <f t="shared" si="301"/>
        <v>1583.3333333333333</v>
      </c>
      <c r="R1954" s="18">
        <f t="shared" si="300"/>
        <v>2186.3013698630139</v>
      </c>
      <c r="S1954" s="18">
        <f t="shared" si="304"/>
        <v>250</v>
      </c>
    </row>
    <row r="1955" spans="1:19" ht="15" customHeight="1" x14ac:dyDescent="0.2">
      <c r="A1955" s="14">
        <f t="shared" si="303"/>
        <v>1916</v>
      </c>
      <c r="B1955" s="28" t="s">
        <v>1660</v>
      </c>
      <c r="C1955" s="15" t="s">
        <v>3</v>
      </c>
      <c r="D1955" s="21" t="s">
        <v>1200</v>
      </c>
      <c r="E1955" s="21"/>
      <c r="F1955" s="69" t="s">
        <v>4</v>
      </c>
      <c r="G1955" s="25">
        <v>43784</v>
      </c>
      <c r="H1955" s="26">
        <v>5000</v>
      </c>
      <c r="I1955" s="17">
        <v>0</v>
      </c>
      <c r="J1955" s="17">
        <v>0</v>
      </c>
      <c r="K1955" s="17">
        <f t="shared" si="297"/>
        <v>5000</v>
      </c>
      <c r="L1955" s="23">
        <f t="shared" si="305"/>
        <v>250</v>
      </c>
      <c r="M1955" s="34">
        <v>3</v>
      </c>
      <c r="N1955" s="18">
        <f t="shared" si="298"/>
        <v>0.38082191780821917</v>
      </c>
      <c r="O1955" s="23">
        <f t="shared" si="306"/>
        <v>602.96803652968038</v>
      </c>
      <c r="P1955" s="18">
        <f t="shared" si="299"/>
        <v>1.3808219178082193</v>
      </c>
      <c r="Q1955" s="18">
        <f t="shared" si="301"/>
        <v>1583.3333333333333</v>
      </c>
      <c r="R1955" s="18">
        <f t="shared" si="300"/>
        <v>2186.3013698630139</v>
      </c>
      <c r="S1955" s="18">
        <f t="shared" si="304"/>
        <v>250</v>
      </c>
    </row>
    <row r="1956" spans="1:19" ht="15" customHeight="1" x14ac:dyDescent="0.2">
      <c r="A1956" s="14">
        <f t="shared" si="303"/>
        <v>1917</v>
      </c>
      <c r="B1956" s="28" t="s">
        <v>1661</v>
      </c>
      <c r="C1956" s="15" t="s">
        <v>3</v>
      </c>
      <c r="D1956" s="21" t="s">
        <v>1200</v>
      </c>
      <c r="E1956" s="21"/>
      <c r="F1956" s="69" t="s">
        <v>4</v>
      </c>
      <c r="G1956" s="25">
        <v>43784</v>
      </c>
      <c r="H1956" s="26">
        <v>50000</v>
      </c>
      <c r="I1956" s="17">
        <v>0</v>
      </c>
      <c r="J1956" s="17">
        <v>0</v>
      </c>
      <c r="K1956" s="17">
        <f t="shared" si="297"/>
        <v>50000</v>
      </c>
      <c r="L1956" s="23">
        <f t="shared" si="305"/>
        <v>2500</v>
      </c>
      <c r="M1956" s="34">
        <v>5</v>
      </c>
      <c r="N1956" s="18">
        <f t="shared" si="298"/>
        <v>0.38082191780821917</v>
      </c>
      <c r="O1956" s="23">
        <f t="shared" si="306"/>
        <v>3617.8082191780823</v>
      </c>
      <c r="P1956" s="18">
        <f t="shared" si="299"/>
        <v>1.3808219178082193</v>
      </c>
      <c r="Q1956" s="18">
        <f t="shared" si="301"/>
        <v>9500</v>
      </c>
      <c r="R1956" s="18">
        <f t="shared" si="300"/>
        <v>13117.808219178081</v>
      </c>
      <c r="S1956" s="18">
        <f t="shared" si="304"/>
        <v>2500</v>
      </c>
    </row>
    <row r="1957" spans="1:19" ht="15" customHeight="1" x14ac:dyDescent="0.2">
      <c r="A1957" s="14">
        <f t="shared" si="303"/>
        <v>1918</v>
      </c>
      <c r="B1957" s="28" t="s">
        <v>1662</v>
      </c>
      <c r="C1957" s="15" t="s">
        <v>3</v>
      </c>
      <c r="D1957" s="21" t="s">
        <v>1200</v>
      </c>
      <c r="E1957" s="21"/>
      <c r="F1957" s="69" t="s">
        <v>4</v>
      </c>
      <c r="G1957" s="25">
        <v>43814</v>
      </c>
      <c r="H1957" s="26">
        <v>32100</v>
      </c>
      <c r="I1957" s="17">
        <v>0</v>
      </c>
      <c r="J1957" s="17">
        <v>0</v>
      </c>
      <c r="K1957" s="17">
        <f t="shared" si="297"/>
        <v>32100</v>
      </c>
      <c r="L1957" s="23">
        <f t="shared" si="305"/>
        <v>1605</v>
      </c>
      <c r="M1957" s="34">
        <v>5</v>
      </c>
      <c r="N1957" s="18">
        <f t="shared" si="298"/>
        <v>0.29863013698630136</v>
      </c>
      <c r="O1957" s="23">
        <f t="shared" si="306"/>
        <v>1821.345205479452</v>
      </c>
      <c r="P1957" s="18">
        <f t="shared" si="299"/>
        <v>1.2986301369863014</v>
      </c>
      <c r="Q1957" s="18">
        <f t="shared" si="301"/>
        <v>6099</v>
      </c>
      <c r="R1957" s="18">
        <f t="shared" si="300"/>
        <v>7920.3452054794525</v>
      </c>
      <c r="S1957" s="18">
        <f t="shared" si="304"/>
        <v>1605</v>
      </c>
    </row>
    <row r="1958" spans="1:19" ht="15" customHeight="1" x14ac:dyDescent="0.2">
      <c r="A1958" s="14">
        <f t="shared" si="303"/>
        <v>1919</v>
      </c>
      <c r="B1958" s="28" t="s">
        <v>1663</v>
      </c>
      <c r="C1958" s="15" t="s">
        <v>3</v>
      </c>
      <c r="D1958" s="21" t="s">
        <v>1200</v>
      </c>
      <c r="E1958" s="21"/>
      <c r="F1958" s="69" t="s">
        <v>4</v>
      </c>
      <c r="G1958" s="25">
        <v>43845</v>
      </c>
      <c r="H1958" s="26">
        <v>10000</v>
      </c>
      <c r="I1958" s="17">
        <v>0</v>
      </c>
      <c r="J1958" s="17">
        <v>0</v>
      </c>
      <c r="K1958" s="17">
        <f t="shared" ref="K1958:K2021" si="307">H1958+I1958-J1958</f>
        <v>10000</v>
      </c>
      <c r="L1958" s="23">
        <f t="shared" si="305"/>
        <v>500</v>
      </c>
      <c r="M1958" s="34">
        <v>3</v>
      </c>
      <c r="N1958" s="18">
        <f t="shared" ref="N1958:N2021" si="308">IF(($N$35-G1958+1)/365&gt;0,($N$35-G1958+1)/365,0)</f>
        <v>0.21369863013698631</v>
      </c>
      <c r="O1958" s="23">
        <f t="shared" si="306"/>
        <v>676.71232876712327</v>
      </c>
      <c r="P1958" s="18">
        <f t="shared" ref="P1958:P2021" si="309">($P$35-G1958+1)/365</f>
        <v>1.2136986301369863</v>
      </c>
      <c r="Q1958" s="18">
        <f t="shared" si="301"/>
        <v>3166.6666666666665</v>
      </c>
      <c r="R1958" s="18">
        <f t="shared" ref="R1958:R2021" si="310">Q1958+O1958</f>
        <v>3843.3789954337899</v>
      </c>
      <c r="S1958" s="18">
        <f t="shared" si="304"/>
        <v>500</v>
      </c>
    </row>
    <row r="1959" spans="1:19" ht="15" customHeight="1" x14ac:dyDescent="0.2">
      <c r="A1959" s="14">
        <f t="shared" si="303"/>
        <v>1920</v>
      </c>
      <c r="B1959" s="28" t="s">
        <v>1664</v>
      </c>
      <c r="C1959" s="15" t="s">
        <v>3</v>
      </c>
      <c r="D1959" s="21" t="s">
        <v>1200</v>
      </c>
      <c r="E1959" s="21"/>
      <c r="F1959" s="69" t="s">
        <v>4</v>
      </c>
      <c r="G1959" s="25">
        <v>43845</v>
      </c>
      <c r="H1959" s="26">
        <v>10700</v>
      </c>
      <c r="I1959" s="17">
        <v>0</v>
      </c>
      <c r="J1959" s="17">
        <v>0</v>
      </c>
      <c r="K1959" s="17">
        <f t="shared" si="307"/>
        <v>10700</v>
      </c>
      <c r="L1959" s="23">
        <f t="shared" si="305"/>
        <v>535</v>
      </c>
      <c r="M1959" s="34">
        <v>5</v>
      </c>
      <c r="N1959" s="18">
        <f t="shared" si="308"/>
        <v>0.21369863013698631</v>
      </c>
      <c r="O1959" s="23">
        <f t="shared" si="306"/>
        <v>434.44931506849315</v>
      </c>
      <c r="P1959" s="18">
        <f t="shared" si="309"/>
        <v>1.2136986301369863</v>
      </c>
      <c r="Q1959" s="18">
        <f t="shared" si="301"/>
        <v>2033</v>
      </c>
      <c r="R1959" s="18">
        <f t="shared" si="310"/>
        <v>2467.449315068493</v>
      </c>
      <c r="S1959" s="18">
        <f t="shared" si="304"/>
        <v>535</v>
      </c>
    </row>
    <row r="1960" spans="1:19" ht="15" customHeight="1" x14ac:dyDescent="0.2">
      <c r="A1960" s="14">
        <f t="shared" si="303"/>
        <v>1921</v>
      </c>
      <c r="B1960" s="28" t="s">
        <v>1665</v>
      </c>
      <c r="C1960" s="15" t="s">
        <v>3</v>
      </c>
      <c r="D1960" s="21" t="s">
        <v>1200</v>
      </c>
      <c r="E1960" s="21"/>
      <c r="F1960" s="69" t="s">
        <v>4</v>
      </c>
      <c r="G1960" s="25">
        <v>43845</v>
      </c>
      <c r="H1960" s="26">
        <v>28566.66</v>
      </c>
      <c r="I1960" s="17">
        <v>0</v>
      </c>
      <c r="J1960" s="17">
        <v>0</v>
      </c>
      <c r="K1960" s="17">
        <f t="shared" si="307"/>
        <v>28566.66</v>
      </c>
      <c r="L1960" s="23">
        <f t="shared" si="305"/>
        <v>1428.3330000000001</v>
      </c>
      <c r="M1960" s="34">
        <v>5</v>
      </c>
      <c r="N1960" s="18">
        <f t="shared" si="308"/>
        <v>0.21369863013698631</v>
      </c>
      <c r="O1960" s="23">
        <f t="shared" si="306"/>
        <v>1159.8846608219178</v>
      </c>
      <c r="P1960" s="18">
        <f t="shared" si="309"/>
        <v>1.2136986301369863</v>
      </c>
      <c r="Q1960" s="18">
        <f t="shared" ref="Q1960:Q2023" si="311">(P1960-N1960)/M1960*(K1960-L1960)</f>
        <v>5427.6654000000008</v>
      </c>
      <c r="R1960" s="18">
        <f t="shared" si="310"/>
        <v>6587.550060821919</v>
      </c>
      <c r="S1960" s="18">
        <f t="shared" si="304"/>
        <v>1428.3330000000001</v>
      </c>
    </row>
    <row r="1961" spans="1:19" ht="15" customHeight="1" x14ac:dyDescent="0.2">
      <c r="A1961" s="14">
        <f t="shared" si="303"/>
        <v>1922</v>
      </c>
      <c r="B1961" s="28" t="s">
        <v>1666</v>
      </c>
      <c r="C1961" s="15" t="s">
        <v>3</v>
      </c>
      <c r="D1961" s="21" t="s">
        <v>1200</v>
      </c>
      <c r="E1961" s="21"/>
      <c r="F1961" s="69" t="s">
        <v>4</v>
      </c>
      <c r="G1961" s="25">
        <v>43876</v>
      </c>
      <c r="H1961" s="26">
        <v>14999</v>
      </c>
      <c r="I1961" s="17">
        <v>0</v>
      </c>
      <c r="J1961" s="17">
        <v>0</v>
      </c>
      <c r="K1961" s="17">
        <f t="shared" si="307"/>
        <v>14999</v>
      </c>
      <c r="L1961" s="23">
        <f t="shared" si="305"/>
        <v>749.95</v>
      </c>
      <c r="M1961" s="34">
        <v>3</v>
      </c>
      <c r="N1961" s="18">
        <f t="shared" si="308"/>
        <v>0.12876712328767123</v>
      </c>
      <c r="O1961" s="23">
        <f t="shared" ref="O1961:O1992" si="312">(K1961-L1961)/M1961*N1961-J1961</f>
        <v>611.60305936073064</v>
      </c>
      <c r="P1961" s="18">
        <f t="shared" si="309"/>
        <v>1.1287671232876713</v>
      </c>
      <c r="Q1961" s="18">
        <f t="shared" si="311"/>
        <v>4749.6833333333325</v>
      </c>
      <c r="R1961" s="18">
        <f t="shared" si="310"/>
        <v>5361.2863926940627</v>
      </c>
      <c r="S1961" s="18">
        <f t="shared" si="304"/>
        <v>749.95</v>
      </c>
    </row>
    <row r="1962" spans="1:19" ht="15" customHeight="1" x14ac:dyDescent="0.2">
      <c r="A1962" s="14">
        <f t="shared" si="303"/>
        <v>1923</v>
      </c>
      <c r="B1962" s="28" t="s">
        <v>1667</v>
      </c>
      <c r="C1962" s="15" t="s">
        <v>3</v>
      </c>
      <c r="D1962" s="21" t="s">
        <v>1200</v>
      </c>
      <c r="E1962" s="21"/>
      <c r="F1962" s="69" t="s">
        <v>4</v>
      </c>
      <c r="G1962" s="25">
        <v>43876</v>
      </c>
      <c r="H1962" s="26">
        <v>6000</v>
      </c>
      <c r="I1962" s="17">
        <v>0</v>
      </c>
      <c r="J1962" s="17">
        <v>0</v>
      </c>
      <c r="K1962" s="17">
        <f t="shared" si="307"/>
        <v>6000</v>
      </c>
      <c r="L1962" s="23">
        <f t="shared" si="305"/>
        <v>300</v>
      </c>
      <c r="M1962" s="34">
        <v>3</v>
      </c>
      <c r="N1962" s="18">
        <f t="shared" si="308"/>
        <v>0.12876712328767123</v>
      </c>
      <c r="O1962" s="23">
        <f t="shared" si="312"/>
        <v>244.65753424657535</v>
      </c>
      <c r="P1962" s="18">
        <f t="shared" si="309"/>
        <v>1.1287671232876713</v>
      </c>
      <c r="Q1962" s="18">
        <f t="shared" si="311"/>
        <v>1900</v>
      </c>
      <c r="R1962" s="18">
        <f t="shared" si="310"/>
        <v>2144.6575342465753</v>
      </c>
      <c r="S1962" s="18">
        <f t="shared" si="304"/>
        <v>300</v>
      </c>
    </row>
    <row r="1963" spans="1:19" ht="15" customHeight="1" x14ac:dyDescent="0.2">
      <c r="A1963" s="14">
        <f t="shared" ref="A1963:A2026" si="313">+A1962+1</f>
        <v>1924</v>
      </c>
      <c r="B1963" s="28" t="s">
        <v>1668</v>
      </c>
      <c r="C1963" s="15" t="s">
        <v>3</v>
      </c>
      <c r="D1963" s="21" t="s">
        <v>1200</v>
      </c>
      <c r="E1963" s="21"/>
      <c r="F1963" s="69" t="s">
        <v>4</v>
      </c>
      <c r="G1963" s="25">
        <v>43876</v>
      </c>
      <c r="H1963" s="26">
        <v>130000</v>
      </c>
      <c r="I1963" s="17">
        <v>0</v>
      </c>
      <c r="J1963" s="17">
        <v>0</v>
      </c>
      <c r="K1963" s="17">
        <f t="shared" si="307"/>
        <v>130000</v>
      </c>
      <c r="L1963" s="23">
        <f t="shared" si="305"/>
        <v>6500</v>
      </c>
      <c r="M1963" s="34">
        <v>3</v>
      </c>
      <c r="N1963" s="18">
        <f t="shared" si="308"/>
        <v>0.12876712328767123</v>
      </c>
      <c r="O1963" s="23">
        <f t="shared" si="312"/>
        <v>5300.9132420091319</v>
      </c>
      <c r="P1963" s="18">
        <f t="shared" si="309"/>
        <v>1.1287671232876713</v>
      </c>
      <c r="Q1963" s="18">
        <f t="shared" si="311"/>
        <v>41166.666666666664</v>
      </c>
      <c r="R1963" s="18">
        <f t="shared" si="310"/>
        <v>46467.579908675798</v>
      </c>
      <c r="S1963" s="18">
        <f t="shared" si="304"/>
        <v>6500</v>
      </c>
    </row>
    <row r="1964" spans="1:19" ht="15" customHeight="1" x14ac:dyDescent="0.2">
      <c r="A1964" s="14">
        <f t="shared" si="313"/>
        <v>1925</v>
      </c>
      <c r="B1964" s="28" t="s">
        <v>1669</v>
      </c>
      <c r="C1964" s="15" t="s">
        <v>3</v>
      </c>
      <c r="D1964" s="21" t="s">
        <v>1200</v>
      </c>
      <c r="E1964" s="21"/>
      <c r="F1964" s="69" t="s">
        <v>4</v>
      </c>
      <c r="G1964" s="25">
        <v>43876</v>
      </c>
      <c r="H1964" s="26">
        <v>28000</v>
      </c>
      <c r="I1964" s="17">
        <v>0</v>
      </c>
      <c r="J1964" s="17">
        <v>0</v>
      </c>
      <c r="K1964" s="17">
        <f t="shared" si="307"/>
        <v>28000</v>
      </c>
      <c r="L1964" s="23">
        <f t="shared" si="305"/>
        <v>1400</v>
      </c>
      <c r="M1964" s="34">
        <v>5</v>
      </c>
      <c r="N1964" s="18">
        <f t="shared" si="308"/>
        <v>0.12876712328767123</v>
      </c>
      <c r="O1964" s="23">
        <f t="shared" si="312"/>
        <v>685.04109589041093</v>
      </c>
      <c r="P1964" s="18">
        <f t="shared" si="309"/>
        <v>1.1287671232876713</v>
      </c>
      <c r="Q1964" s="18">
        <f t="shared" si="311"/>
        <v>5320</v>
      </c>
      <c r="R1964" s="18">
        <f t="shared" si="310"/>
        <v>6005.0410958904113</v>
      </c>
      <c r="S1964" s="18">
        <f t="shared" si="304"/>
        <v>1400</v>
      </c>
    </row>
    <row r="1965" spans="1:19" ht="15" customHeight="1" x14ac:dyDescent="0.2">
      <c r="A1965" s="14">
        <f t="shared" si="313"/>
        <v>1926</v>
      </c>
      <c r="B1965" s="28" t="s">
        <v>1670</v>
      </c>
      <c r="C1965" s="15" t="s">
        <v>3</v>
      </c>
      <c r="D1965" s="21" t="s">
        <v>1200</v>
      </c>
      <c r="E1965" s="21"/>
      <c r="F1965" s="69" t="s">
        <v>4</v>
      </c>
      <c r="G1965" s="25">
        <v>43876</v>
      </c>
      <c r="H1965" s="26">
        <v>16260</v>
      </c>
      <c r="I1965" s="17">
        <v>0</v>
      </c>
      <c r="J1965" s="17">
        <v>0</v>
      </c>
      <c r="K1965" s="17">
        <f t="shared" si="307"/>
        <v>16260</v>
      </c>
      <c r="L1965" s="23">
        <f t="shared" si="305"/>
        <v>813</v>
      </c>
      <c r="M1965" s="34">
        <v>5</v>
      </c>
      <c r="N1965" s="18">
        <f t="shared" si="308"/>
        <v>0.12876712328767123</v>
      </c>
      <c r="O1965" s="23">
        <f t="shared" si="312"/>
        <v>397.81315068493149</v>
      </c>
      <c r="P1965" s="18">
        <f t="shared" si="309"/>
        <v>1.1287671232876713</v>
      </c>
      <c r="Q1965" s="18">
        <f t="shared" si="311"/>
        <v>3089.4</v>
      </c>
      <c r="R1965" s="18">
        <f t="shared" si="310"/>
        <v>3487.2131506849314</v>
      </c>
      <c r="S1965" s="18">
        <f t="shared" si="304"/>
        <v>813</v>
      </c>
    </row>
    <row r="1966" spans="1:19" ht="15" customHeight="1" x14ac:dyDescent="0.2">
      <c r="A1966" s="14">
        <f t="shared" si="313"/>
        <v>1927</v>
      </c>
      <c r="B1966" s="28" t="s">
        <v>1671</v>
      </c>
      <c r="C1966" s="15" t="s">
        <v>3</v>
      </c>
      <c r="D1966" s="21" t="s">
        <v>1200</v>
      </c>
      <c r="E1966" s="21"/>
      <c r="F1966" s="69" t="s">
        <v>4</v>
      </c>
      <c r="G1966" s="25">
        <v>43876</v>
      </c>
      <c r="H1966" s="26">
        <v>63880</v>
      </c>
      <c r="I1966" s="17">
        <v>0</v>
      </c>
      <c r="J1966" s="17">
        <v>0</v>
      </c>
      <c r="K1966" s="17">
        <f t="shared" si="307"/>
        <v>63880</v>
      </c>
      <c r="L1966" s="23">
        <f t="shared" si="305"/>
        <v>3194</v>
      </c>
      <c r="M1966" s="34">
        <v>5</v>
      </c>
      <c r="N1966" s="18">
        <f t="shared" si="308"/>
        <v>0.12876712328767123</v>
      </c>
      <c r="O1966" s="23">
        <f t="shared" si="312"/>
        <v>1562.8723287671235</v>
      </c>
      <c r="P1966" s="18">
        <f t="shared" si="309"/>
        <v>1.1287671232876713</v>
      </c>
      <c r="Q1966" s="18">
        <f t="shared" si="311"/>
        <v>12137.2</v>
      </c>
      <c r="R1966" s="18">
        <f t="shared" si="310"/>
        <v>13700.072328767124</v>
      </c>
      <c r="S1966" s="18">
        <f t="shared" si="304"/>
        <v>3194</v>
      </c>
    </row>
    <row r="1967" spans="1:19" ht="15" customHeight="1" x14ac:dyDescent="0.2">
      <c r="A1967" s="14">
        <f t="shared" si="313"/>
        <v>1928</v>
      </c>
      <c r="B1967" s="28" t="s">
        <v>1672</v>
      </c>
      <c r="C1967" s="15" t="s">
        <v>3</v>
      </c>
      <c r="D1967" s="21" t="s">
        <v>1200</v>
      </c>
      <c r="E1967" s="21"/>
      <c r="F1967" s="69" t="s">
        <v>4</v>
      </c>
      <c r="G1967" s="25">
        <v>43876</v>
      </c>
      <c r="H1967" s="26">
        <v>74000</v>
      </c>
      <c r="I1967" s="17">
        <v>0</v>
      </c>
      <c r="J1967" s="17">
        <v>0</v>
      </c>
      <c r="K1967" s="17">
        <f t="shared" si="307"/>
        <v>74000</v>
      </c>
      <c r="L1967" s="23">
        <f t="shared" si="305"/>
        <v>3700</v>
      </c>
      <c r="M1967" s="34">
        <v>5</v>
      </c>
      <c r="N1967" s="18">
        <f t="shared" si="308"/>
        <v>0.12876712328767123</v>
      </c>
      <c r="O1967" s="23">
        <f t="shared" si="312"/>
        <v>1810.4657534246576</v>
      </c>
      <c r="P1967" s="18">
        <f t="shared" si="309"/>
        <v>1.1287671232876713</v>
      </c>
      <c r="Q1967" s="18">
        <f t="shared" si="311"/>
        <v>14060</v>
      </c>
      <c r="R1967" s="18">
        <f t="shared" si="310"/>
        <v>15870.465753424658</v>
      </c>
      <c r="S1967" s="18">
        <f t="shared" si="304"/>
        <v>3700</v>
      </c>
    </row>
    <row r="1968" spans="1:19" ht="15" customHeight="1" x14ac:dyDescent="0.2">
      <c r="A1968" s="14">
        <f t="shared" si="313"/>
        <v>1929</v>
      </c>
      <c r="B1968" s="28" t="s">
        <v>1673</v>
      </c>
      <c r="C1968" s="15" t="s">
        <v>3</v>
      </c>
      <c r="D1968" s="21" t="s">
        <v>1200</v>
      </c>
      <c r="E1968" s="21"/>
      <c r="F1968" s="69" t="s">
        <v>4</v>
      </c>
      <c r="G1968" s="25">
        <v>43966</v>
      </c>
      <c r="H1968" s="26">
        <v>0</v>
      </c>
      <c r="I1968" s="27">
        <v>24800</v>
      </c>
      <c r="J1968" s="17">
        <v>0</v>
      </c>
      <c r="K1968" s="17">
        <f t="shared" si="307"/>
        <v>24800</v>
      </c>
      <c r="L1968" s="23">
        <f t="shared" si="305"/>
        <v>1240</v>
      </c>
      <c r="M1968" s="34">
        <v>3</v>
      </c>
      <c r="N1968" s="18">
        <f t="shared" si="308"/>
        <v>0</v>
      </c>
      <c r="O1968" s="23">
        <f t="shared" si="312"/>
        <v>0</v>
      </c>
      <c r="P1968" s="18">
        <f t="shared" si="309"/>
        <v>0.88219178082191785</v>
      </c>
      <c r="Q1968" s="18">
        <f t="shared" si="311"/>
        <v>6928.1461187214609</v>
      </c>
      <c r="R1968" s="18">
        <f t="shared" si="310"/>
        <v>6928.1461187214609</v>
      </c>
      <c r="S1968" s="18">
        <f t="shared" si="304"/>
        <v>1240</v>
      </c>
    </row>
    <row r="1969" spans="1:19" ht="15" customHeight="1" x14ac:dyDescent="0.2">
      <c r="A1969" s="14">
        <f t="shared" si="313"/>
        <v>1930</v>
      </c>
      <c r="B1969" s="28" t="s">
        <v>1674</v>
      </c>
      <c r="C1969" s="15" t="s">
        <v>3</v>
      </c>
      <c r="D1969" s="21" t="s">
        <v>1200</v>
      </c>
      <c r="E1969" s="21"/>
      <c r="F1969" s="69" t="s">
        <v>4</v>
      </c>
      <c r="G1969" s="25">
        <v>43966</v>
      </c>
      <c r="H1969" s="26">
        <v>0</v>
      </c>
      <c r="I1969" s="27">
        <v>2000</v>
      </c>
      <c r="J1969" s="17">
        <v>0</v>
      </c>
      <c r="K1969" s="17">
        <f t="shared" si="307"/>
        <v>2000</v>
      </c>
      <c r="L1969" s="23">
        <f t="shared" si="305"/>
        <v>100</v>
      </c>
      <c r="M1969" s="34">
        <v>3</v>
      </c>
      <c r="N1969" s="18">
        <f t="shared" si="308"/>
        <v>0</v>
      </c>
      <c r="O1969" s="23">
        <f t="shared" si="312"/>
        <v>0</v>
      </c>
      <c r="P1969" s="18">
        <f t="shared" si="309"/>
        <v>0.88219178082191785</v>
      </c>
      <c r="Q1969" s="18">
        <f t="shared" si="311"/>
        <v>558.72146118721457</v>
      </c>
      <c r="R1969" s="18">
        <f t="shared" si="310"/>
        <v>558.72146118721457</v>
      </c>
      <c r="S1969" s="18">
        <f t="shared" si="304"/>
        <v>100</v>
      </c>
    </row>
    <row r="1970" spans="1:19" ht="15" customHeight="1" x14ac:dyDescent="0.2">
      <c r="A1970" s="14">
        <f t="shared" si="313"/>
        <v>1931</v>
      </c>
      <c r="B1970" s="28" t="s">
        <v>1675</v>
      </c>
      <c r="C1970" s="15" t="s">
        <v>3</v>
      </c>
      <c r="D1970" s="21" t="s">
        <v>1200</v>
      </c>
      <c r="E1970" s="21"/>
      <c r="F1970" s="69" t="s">
        <v>4</v>
      </c>
      <c r="G1970" s="25">
        <v>44027</v>
      </c>
      <c r="H1970" s="26">
        <v>0</v>
      </c>
      <c r="I1970" s="27">
        <v>14350</v>
      </c>
      <c r="J1970" s="17">
        <v>0</v>
      </c>
      <c r="K1970" s="17">
        <f t="shared" si="307"/>
        <v>14350</v>
      </c>
      <c r="L1970" s="23">
        <f t="shared" si="305"/>
        <v>717.5</v>
      </c>
      <c r="M1970" s="34">
        <v>5</v>
      </c>
      <c r="N1970" s="18">
        <f t="shared" si="308"/>
        <v>0</v>
      </c>
      <c r="O1970" s="23">
        <f t="shared" si="312"/>
        <v>0</v>
      </c>
      <c r="P1970" s="18">
        <f t="shared" si="309"/>
        <v>0.71506849315068488</v>
      </c>
      <c r="Q1970" s="18">
        <f t="shared" si="311"/>
        <v>1949.6342465753421</v>
      </c>
      <c r="R1970" s="18">
        <f t="shared" si="310"/>
        <v>1949.6342465753421</v>
      </c>
      <c r="S1970" s="18">
        <f t="shared" ref="S1970:S1996" si="314">+IF(N1970&gt;P1970,0,L1970)</f>
        <v>717.5</v>
      </c>
    </row>
    <row r="1971" spans="1:19" ht="15" customHeight="1" x14ac:dyDescent="0.2">
      <c r="A1971" s="14">
        <f t="shared" si="313"/>
        <v>1932</v>
      </c>
      <c r="B1971" s="28" t="s">
        <v>1676</v>
      </c>
      <c r="C1971" s="15" t="s">
        <v>3</v>
      </c>
      <c r="D1971" s="21" t="s">
        <v>1200</v>
      </c>
      <c r="E1971" s="21"/>
      <c r="F1971" s="69" t="s">
        <v>4</v>
      </c>
      <c r="G1971" s="25">
        <v>44027</v>
      </c>
      <c r="H1971" s="26">
        <v>0</v>
      </c>
      <c r="I1971" s="27">
        <v>41600</v>
      </c>
      <c r="J1971" s="17">
        <v>0</v>
      </c>
      <c r="K1971" s="17">
        <f t="shared" si="307"/>
        <v>41600</v>
      </c>
      <c r="L1971" s="23">
        <f t="shared" si="305"/>
        <v>2080</v>
      </c>
      <c r="M1971" s="34">
        <v>5</v>
      </c>
      <c r="N1971" s="18">
        <f t="shared" si="308"/>
        <v>0</v>
      </c>
      <c r="O1971" s="23">
        <f t="shared" si="312"/>
        <v>0</v>
      </c>
      <c r="P1971" s="18">
        <f t="shared" si="309"/>
        <v>0.71506849315068488</v>
      </c>
      <c r="Q1971" s="18">
        <f t="shared" si="311"/>
        <v>5651.9013698630124</v>
      </c>
      <c r="R1971" s="18">
        <f t="shared" si="310"/>
        <v>5651.9013698630124</v>
      </c>
      <c r="S1971" s="18">
        <f t="shared" si="314"/>
        <v>2080</v>
      </c>
    </row>
    <row r="1972" spans="1:19" ht="15" customHeight="1" x14ac:dyDescent="0.2">
      <c r="A1972" s="14">
        <f t="shared" si="313"/>
        <v>1933</v>
      </c>
      <c r="B1972" s="28" t="s">
        <v>1677</v>
      </c>
      <c r="C1972" s="15" t="s">
        <v>3</v>
      </c>
      <c r="D1972" s="21" t="s">
        <v>1200</v>
      </c>
      <c r="E1972" s="21"/>
      <c r="F1972" s="69" t="s">
        <v>4</v>
      </c>
      <c r="G1972" s="25">
        <v>44058</v>
      </c>
      <c r="H1972" s="26">
        <v>0</v>
      </c>
      <c r="I1972" s="27">
        <v>10000</v>
      </c>
      <c r="J1972" s="17">
        <v>0</v>
      </c>
      <c r="K1972" s="17">
        <f t="shared" si="307"/>
        <v>10000</v>
      </c>
      <c r="L1972" s="23">
        <f t="shared" si="305"/>
        <v>500</v>
      </c>
      <c r="M1972" s="34">
        <v>3</v>
      </c>
      <c r="N1972" s="18">
        <f t="shared" si="308"/>
        <v>0</v>
      </c>
      <c r="O1972" s="23">
        <f t="shared" si="312"/>
        <v>0</v>
      </c>
      <c r="P1972" s="18">
        <f t="shared" si="309"/>
        <v>0.63013698630136983</v>
      </c>
      <c r="Q1972" s="18">
        <f t="shared" si="311"/>
        <v>1995.4337899543377</v>
      </c>
      <c r="R1972" s="18">
        <f t="shared" si="310"/>
        <v>1995.4337899543377</v>
      </c>
      <c r="S1972" s="18">
        <f t="shared" si="314"/>
        <v>500</v>
      </c>
    </row>
    <row r="1973" spans="1:19" ht="15" customHeight="1" x14ac:dyDescent="0.2">
      <c r="A1973" s="14">
        <f t="shared" si="313"/>
        <v>1934</v>
      </c>
      <c r="B1973" s="28" t="s">
        <v>1678</v>
      </c>
      <c r="C1973" s="15" t="s">
        <v>3</v>
      </c>
      <c r="D1973" s="21" t="s">
        <v>1200</v>
      </c>
      <c r="E1973" s="21"/>
      <c r="F1973" s="69" t="s">
        <v>4</v>
      </c>
      <c r="G1973" s="25">
        <v>44078</v>
      </c>
      <c r="H1973" s="26">
        <v>0</v>
      </c>
      <c r="I1973" s="27">
        <v>5000</v>
      </c>
      <c r="J1973" s="17">
        <v>0</v>
      </c>
      <c r="K1973" s="17">
        <f t="shared" si="307"/>
        <v>5000</v>
      </c>
      <c r="L1973" s="23">
        <f t="shared" si="305"/>
        <v>250</v>
      </c>
      <c r="M1973" s="34">
        <v>3</v>
      </c>
      <c r="N1973" s="18">
        <f t="shared" si="308"/>
        <v>0</v>
      </c>
      <c r="O1973" s="23">
        <f t="shared" si="312"/>
        <v>0</v>
      </c>
      <c r="P1973" s="18">
        <f t="shared" si="309"/>
        <v>0.57534246575342463</v>
      </c>
      <c r="Q1973" s="18">
        <f t="shared" si="311"/>
        <v>910.95890410958896</v>
      </c>
      <c r="R1973" s="18">
        <f t="shared" si="310"/>
        <v>910.95890410958896</v>
      </c>
      <c r="S1973" s="18">
        <f t="shared" si="314"/>
        <v>250</v>
      </c>
    </row>
    <row r="1974" spans="1:19" ht="15" customHeight="1" x14ac:dyDescent="0.2">
      <c r="A1974" s="14">
        <f t="shared" si="313"/>
        <v>1935</v>
      </c>
      <c r="B1974" s="28" t="s">
        <v>1679</v>
      </c>
      <c r="C1974" s="15" t="s">
        <v>3</v>
      </c>
      <c r="D1974" s="21" t="s">
        <v>1200</v>
      </c>
      <c r="E1974" s="21"/>
      <c r="F1974" s="69" t="s">
        <v>4</v>
      </c>
      <c r="G1974" s="25">
        <v>44088</v>
      </c>
      <c r="H1974" s="26">
        <v>0</v>
      </c>
      <c r="I1974" s="27">
        <v>125700</v>
      </c>
      <c r="J1974" s="17">
        <v>0</v>
      </c>
      <c r="K1974" s="17">
        <f t="shared" si="307"/>
        <v>125700</v>
      </c>
      <c r="L1974" s="23">
        <f t="shared" si="305"/>
        <v>6285</v>
      </c>
      <c r="M1974" s="34">
        <v>3</v>
      </c>
      <c r="N1974" s="18">
        <f t="shared" si="308"/>
        <v>0</v>
      </c>
      <c r="O1974" s="23">
        <f t="shared" si="312"/>
        <v>0</v>
      </c>
      <c r="P1974" s="18">
        <f t="shared" si="309"/>
        <v>0.54794520547945202</v>
      </c>
      <c r="Q1974" s="18">
        <f t="shared" si="311"/>
        <v>21810.95890410959</v>
      </c>
      <c r="R1974" s="18">
        <f t="shared" si="310"/>
        <v>21810.95890410959</v>
      </c>
      <c r="S1974" s="18">
        <f t="shared" si="314"/>
        <v>6285</v>
      </c>
    </row>
    <row r="1975" spans="1:19" ht="15" customHeight="1" x14ac:dyDescent="0.2">
      <c r="A1975" s="14">
        <f t="shared" si="313"/>
        <v>1936</v>
      </c>
      <c r="B1975" s="28" t="s">
        <v>1680</v>
      </c>
      <c r="C1975" s="15" t="s">
        <v>3</v>
      </c>
      <c r="D1975" s="21" t="s">
        <v>1200</v>
      </c>
      <c r="E1975" s="21"/>
      <c r="F1975" s="69" t="s">
        <v>4</v>
      </c>
      <c r="G1975" s="25">
        <v>44088</v>
      </c>
      <c r="H1975" s="26">
        <v>0</v>
      </c>
      <c r="I1975" s="27">
        <v>5000</v>
      </c>
      <c r="J1975" s="17">
        <v>0</v>
      </c>
      <c r="K1975" s="17">
        <f t="shared" si="307"/>
        <v>5000</v>
      </c>
      <c r="L1975" s="23">
        <f t="shared" si="305"/>
        <v>250</v>
      </c>
      <c r="M1975" s="34">
        <v>3</v>
      </c>
      <c r="N1975" s="18">
        <f t="shared" si="308"/>
        <v>0</v>
      </c>
      <c r="O1975" s="23">
        <f t="shared" si="312"/>
        <v>0</v>
      </c>
      <c r="P1975" s="18">
        <f t="shared" si="309"/>
        <v>0.54794520547945202</v>
      </c>
      <c r="Q1975" s="18">
        <f t="shared" si="311"/>
        <v>867.57990867579906</v>
      </c>
      <c r="R1975" s="18">
        <f t="shared" si="310"/>
        <v>867.57990867579906</v>
      </c>
      <c r="S1975" s="18">
        <f t="shared" si="314"/>
        <v>250</v>
      </c>
    </row>
    <row r="1976" spans="1:19" ht="15" customHeight="1" x14ac:dyDescent="0.2">
      <c r="A1976" s="14">
        <f t="shared" si="313"/>
        <v>1937</v>
      </c>
      <c r="B1976" s="28" t="s">
        <v>1681</v>
      </c>
      <c r="C1976" s="15" t="s">
        <v>3</v>
      </c>
      <c r="D1976" s="21" t="s">
        <v>1200</v>
      </c>
      <c r="E1976" s="21"/>
      <c r="F1976" s="69" t="s">
        <v>4</v>
      </c>
      <c r="G1976" s="25">
        <v>44013</v>
      </c>
      <c r="H1976" s="26">
        <v>0</v>
      </c>
      <c r="I1976" s="27">
        <v>15000</v>
      </c>
      <c r="J1976" s="17">
        <v>0</v>
      </c>
      <c r="K1976" s="17">
        <f t="shared" si="307"/>
        <v>15000</v>
      </c>
      <c r="L1976" s="23">
        <f t="shared" si="305"/>
        <v>750</v>
      </c>
      <c r="M1976" s="34">
        <v>3</v>
      </c>
      <c r="N1976" s="18">
        <f t="shared" si="308"/>
        <v>0</v>
      </c>
      <c r="O1976" s="23">
        <f t="shared" si="312"/>
        <v>0</v>
      </c>
      <c r="P1976" s="18">
        <f t="shared" si="309"/>
        <v>0.75342465753424659</v>
      </c>
      <c r="Q1976" s="18">
        <f t="shared" si="311"/>
        <v>3578.767123287671</v>
      </c>
      <c r="R1976" s="18">
        <f t="shared" si="310"/>
        <v>3578.767123287671</v>
      </c>
      <c r="S1976" s="18">
        <f t="shared" si="314"/>
        <v>750</v>
      </c>
    </row>
    <row r="1977" spans="1:19" ht="15" customHeight="1" x14ac:dyDescent="0.2">
      <c r="A1977" s="14">
        <f t="shared" si="313"/>
        <v>1938</v>
      </c>
      <c r="B1977" s="28" t="s">
        <v>1682</v>
      </c>
      <c r="C1977" s="15" t="s">
        <v>3</v>
      </c>
      <c r="D1977" s="21" t="s">
        <v>1200</v>
      </c>
      <c r="E1977" s="21"/>
      <c r="F1977" s="69" t="s">
        <v>4</v>
      </c>
      <c r="G1977" s="25">
        <v>44097</v>
      </c>
      <c r="H1977" s="26">
        <v>0</v>
      </c>
      <c r="I1977" s="27">
        <v>14450</v>
      </c>
      <c r="J1977" s="17">
        <v>0</v>
      </c>
      <c r="K1977" s="17">
        <f t="shared" si="307"/>
        <v>14450</v>
      </c>
      <c r="L1977" s="23">
        <f t="shared" si="305"/>
        <v>722.5</v>
      </c>
      <c r="M1977" s="34">
        <v>3</v>
      </c>
      <c r="N1977" s="18">
        <f t="shared" si="308"/>
        <v>0</v>
      </c>
      <c r="O1977" s="23">
        <f t="shared" si="312"/>
        <v>0</v>
      </c>
      <c r="P1977" s="18">
        <f t="shared" si="309"/>
        <v>0.52328767123287667</v>
      </c>
      <c r="Q1977" s="18">
        <f t="shared" si="311"/>
        <v>2394.4771689497716</v>
      </c>
      <c r="R1977" s="18">
        <f t="shared" si="310"/>
        <v>2394.4771689497716</v>
      </c>
      <c r="S1977" s="18">
        <f t="shared" si="314"/>
        <v>722.5</v>
      </c>
    </row>
    <row r="1978" spans="1:19" ht="15" customHeight="1" x14ac:dyDescent="0.2">
      <c r="A1978" s="14">
        <f t="shared" si="313"/>
        <v>1939</v>
      </c>
      <c r="B1978" s="28" t="s">
        <v>1683</v>
      </c>
      <c r="C1978" s="15" t="s">
        <v>3</v>
      </c>
      <c r="D1978" s="21" t="s">
        <v>1200</v>
      </c>
      <c r="E1978" s="21"/>
      <c r="F1978" s="69" t="s">
        <v>4</v>
      </c>
      <c r="G1978" s="25">
        <v>44089</v>
      </c>
      <c r="H1978" s="26">
        <v>0</v>
      </c>
      <c r="I1978" s="27">
        <v>1867</v>
      </c>
      <c r="J1978" s="17">
        <v>0</v>
      </c>
      <c r="K1978" s="17">
        <f t="shared" si="307"/>
        <v>1867</v>
      </c>
      <c r="L1978" s="23">
        <f t="shared" si="305"/>
        <v>93.350000000000009</v>
      </c>
      <c r="M1978" s="34">
        <v>3</v>
      </c>
      <c r="N1978" s="18">
        <f t="shared" si="308"/>
        <v>0</v>
      </c>
      <c r="O1978" s="23">
        <f t="shared" si="312"/>
        <v>0</v>
      </c>
      <c r="P1978" s="18">
        <f t="shared" si="309"/>
        <v>0.54520547945205478</v>
      </c>
      <c r="Q1978" s="18">
        <f t="shared" si="311"/>
        <v>322.33456621004564</v>
      </c>
      <c r="R1978" s="18">
        <f t="shared" si="310"/>
        <v>322.33456621004564</v>
      </c>
      <c r="S1978" s="18">
        <f t="shared" si="314"/>
        <v>93.350000000000009</v>
      </c>
    </row>
    <row r="1979" spans="1:19" ht="15" customHeight="1" x14ac:dyDescent="0.2">
      <c r="A1979" s="14">
        <f t="shared" si="313"/>
        <v>1940</v>
      </c>
      <c r="B1979" s="28" t="s">
        <v>1684</v>
      </c>
      <c r="C1979" s="15" t="s">
        <v>3</v>
      </c>
      <c r="D1979" s="21" t="s">
        <v>1200</v>
      </c>
      <c r="E1979" s="21"/>
      <c r="F1979" s="69" t="s">
        <v>4</v>
      </c>
      <c r="G1979" s="25">
        <v>44115</v>
      </c>
      <c r="H1979" s="26">
        <v>0</v>
      </c>
      <c r="I1979" s="27">
        <v>10000</v>
      </c>
      <c r="J1979" s="17">
        <v>0</v>
      </c>
      <c r="K1979" s="17">
        <f t="shared" si="307"/>
        <v>10000</v>
      </c>
      <c r="L1979" s="23">
        <f t="shared" ref="L1979:L2003" si="315">K1979*0.05</f>
        <v>500</v>
      </c>
      <c r="M1979" s="34">
        <v>3</v>
      </c>
      <c r="N1979" s="18">
        <f t="shared" si="308"/>
        <v>0</v>
      </c>
      <c r="O1979" s="23">
        <f t="shared" si="312"/>
        <v>0</v>
      </c>
      <c r="P1979" s="18">
        <f t="shared" si="309"/>
        <v>0.47397260273972602</v>
      </c>
      <c r="Q1979" s="18">
        <f t="shared" si="311"/>
        <v>1500.9132420091325</v>
      </c>
      <c r="R1979" s="18">
        <f t="shared" si="310"/>
        <v>1500.9132420091325</v>
      </c>
      <c r="S1979" s="18">
        <f t="shared" si="314"/>
        <v>500</v>
      </c>
    </row>
    <row r="1980" spans="1:19" ht="15" customHeight="1" x14ac:dyDescent="0.2">
      <c r="A1980" s="14">
        <f t="shared" si="313"/>
        <v>1941</v>
      </c>
      <c r="B1980" s="28" t="s">
        <v>1685</v>
      </c>
      <c r="C1980" s="15" t="s">
        <v>3</v>
      </c>
      <c r="D1980" s="21" t="s">
        <v>1200</v>
      </c>
      <c r="E1980" s="21"/>
      <c r="F1980" s="69" t="s">
        <v>4</v>
      </c>
      <c r="G1980" s="25">
        <v>44120</v>
      </c>
      <c r="H1980" s="26">
        <v>0</v>
      </c>
      <c r="I1980" s="27">
        <v>125700</v>
      </c>
      <c r="J1980" s="17">
        <v>0</v>
      </c>
      <c r="K1980" s="17">
        <f t="shared" si="307"/>
        <v>125700</v>
      </c>
      <c r="L1980" s="23">
        <f t="shared" si="315"/>
        <v>6285</v>
      </c>
      <c r="M1980" s="34">
        <v>3</v>
      </c>
      <c r="N1980" s="18">
        <f t="shared" si="308"/>
        <v>0</v>
      </c>
      <c r="O1980" s="23">
        <f t="shared" si="312"/>
        <v>0</v>
      </c>
      <c r="P1980" s="18">
        <f t="shared" si="309"/>
        <v>0.46027397260273972</v>
      </c>
      <c r="Q1980" s="18">
        <f t="shared" si="311"/>
        <v>18321.205479452055</v>
      </c>
      <c r="R1980" s="18">
        <f t="shared" si="310"/>
        <v>18321.205479452055</v>
      </c>
      <c r="S1980" s="18">
        <f t="shared" si="314"/>
        <v>6285</v>
      </c>
    </row>
    <row r="1981" spans="1:19" ht="15" customHeight="1" x14ac:dyDescent="0.2">
      <c r="A1981" s="14">
        <f t="shared" si="313"/>
        <v>1942</v>
      </c>
      <c r="B1981" s="28" t="s">
        <v>1686</v>
      </c>
      <c r="C1981" s="15" t="s">
        <v>3</v>
      </c>
      <c r="D1981" s="21" t="s">
        <v>1200</v>
      </c>
      <c r="E1981" s="21"/>
      <c r="F1981" s="69" t="s">
        <v>4</v>
      </c>
      <c r="G1981" s="25">
        <v>44079</v>
      </c>
      <c r="H1981" s="26">
        <v>0</v>
      </c>
      <c r="I1981" s="27">
        <v>8300</v>
      </c>
      <c r="J1981" s="17">
        <v>0</v>
      </c>
      <c r="K1981" s="17">
        <f t="shared" si="307"/>
        <v>8300</v>
      </c>
      <c r="L1981" s="23">
        <f t="shared" si="315"/>
        <v>415</v>
      </c>
      <c r="M1981" s="34">
        <v>3</v>
      </c>
      <c r="N1981" s="18">
        <f t="shared" si="308"/>
        <v>0</v>
      </c>
      <c r="O1981" s="23">
        <f t="shared" si="312"/>
        <v>0</v>
      </c>
      <c r="P1981" s="18">
        <f t="shared" si="309"/>
        <v>0.57260273972602738</v>
      </c>
      <c r="Q1981" s="18">
        <f t="shared" si="311"/>
        <v>1504.9908675799086</v>
      </c>
      <c r="R1981" s="18">
        <f t="shared" si="310"/>
        <v>1504.9908675799086</v>
      </c>
      <c r="S1981" s="18">
        <f t="shared" si="314"/>
        <v>415</v>
      </c>
    </row>
    <row r="1982" spans="1:19" ht="15" customHeight="1" x14ac:dyDescent="0.2">
      <c r="A1982" s="14">
        <f t="shared" si="313"/>
        <v>1943</v>
      </c>
      <c r="B1982" s="28" t="s">
        <v>1687</v>
      </c>
      <c r="C1982" s="15" t="s">
        <v>3</v>
      </c>
      <c r="D1982" s="21" t="s">
        <v>1200</v>
      </c>
      <c r="E1982" s="21"/>
      <c r="F1982" s="69" t="s">
        <v>4</v>
      </c>
      <c r="G1982" s="25">
        <v>44129</v>
      </c>
      <c r="H1982" s="26">
        <v>0</v>
      </c>
      <c r="I1982" s="27">
        <v>7199</v>
      </c>
      <c r="J1982" s="17">
        <v>0</v>
      </c>
      <c r="K1982" s="17">
        <f t="shared" si="307"/>
        <v>7199</v>
      </c>
      <c r="L1982" s="23">
        <f t="shared" si="315"/>
        <v>359.95000000000005</v>
      </c>
      <c r="M1982" s="34">
        <v>3</v>
      </c>
      <c r="N1982" s="18">
        <f t="shared" si="308"/>
        <v>0</v>
      </c>
      <c r="O1982" s="23">
        <f t="shared" si="312"/>
        <v>0</v>
      </c>
      <c r="P1982" s="18">
        <f t="shared" si="309"/>
        <v>0.43561643835616437</v>
      </c>
      <c r="Q1982" s="18">
        <f t="shared" si="311"/>
        <v>993.06753424657529</v>
      </c>
      <c r="R1982" s="18">
        <f t="shared" si="310"/>
        <v>993.06753424657529</v>
      </c>
      <c r="S1982" s="18">
        <f t="shared" si="314"/>
        <v>359.95000000000005</v>
      </c>
    </row>
    <row r="1983" spans="1:19" ht="15" customHeight="1" x14ac:dyDescent="0.2">
      <c r="A1983" s="14">
        <f t="shared" si="313"/>
        <v>1944</v>
      </c>
      <c r="B1983" s="28" t="s">
        <v>1688</v>
      </c>
      <c r="C1983" s="15" t="s">
        <v>3</v>
      </c>
      <c r="D1983" s="21" t="s">
        <v>1200</v>
      </c>
      <c r="E1983" s="21"/>
      <c r="F1983" s="69" t="s">
        <v>4</v>
      </c>
      <c r="G1983" s="25">
        <v>44111</v>
      </c>
      <c r="H1983" s="26">
        <v>0</v>
      </c>
      <c r="I1983" s="27">
        <v>14350</v>
      </c>
      <c r="J1983" s="17">
        <v>0</v>
      </c>
      <c r="K1983" s="17">
        <f t="shared" si="307"/>
        <v>14350</v>
      </c>
      <c r="L1983" s="23">
        <f t="shared" si="315"/>
        <v>717.5</v>
      </c>
      <c r="M1983" s="34">
        <v>5</v>
      </c>
      <c r="N1983" s="18">
        <f t="shared" si="308"/>
        <v>0</v>
      </c>
      <c r="O1983" s="23">
        <f t="shared" si="312"/>
        <v>0</v>
      </c>
      <c r="P1983" s="18">
        <f t="shared" si="309"/>
        <v>0.48493150684931507</v>
      </c>
      <c r="Q1983" s="18">
        <f t="shared" si="311"/>
        <v>1322.1657534246576</v>
      </c>
      <c r="R1983" s="18">
        <f t="shared" si="310"/>
        <v>1322.1657534246576</v>
      </c>
      <c r="S1983" s="18">
        <f t="shared" si="314"/>
        <v>717.5</v>
      </c>
    </row>
    <row r="1984" spans="1:19" ht="15" customHeight="1" x14ac:dyDescent="0.2">
      <c r="A1984" s="14">
        <f t="shared" si="313"/>
        <v>1945</v>
      </c>
      <c r="B1984" s="28" t="s">
        <v>1689</v>
      </c>
      <c r="C1984" s="15" t="s">
        <v>3</v>
      </c>
      <c r="D1984" s="21" t="s">
        <v>1200</v>
      </c>
      <c r="E1984" s="21"/>
      <c r="F1984" s="69" t="s">
        <v>4</v>
      </c>
      <c r="G1984" s="25">
        <v>44134</v>
      </c>
      <c r="H1984" s="26">
        <v>0</v>
      </c>
      <c r="I1984" s="27">
        <v>15000</v>
      </c>
      <c r="J1984" s="17">
        <v>0</v>
      </c>
      <c r="K1984" s="17">
        <f t="shared" si="307"/>
        <v>15000</v>
      </c>
      <c r="L1984" s="23">
        <f t="shared" si="315"/>
        <v>750</v>
      </c>
      <c r="M1984" s="34">
        <v>3</v>
      </c>
      <c r="N1984" s="18">
        <f t="shared" si="308"/>
        <v>0</v>
      </c>
      <c r="O1984" s="23">
        <f t="shared" si="312"/>
        <v>0</v>
      </c>
      <c r="P1984" s="18">
        <f t="shared" si="309"/>
        <v>0.42191780821917807</v>
      </c>
      <c r="Q1984" s="18">
        <f t="shared" si="311"/>
        <v>2004.1095890410957</v>
      </c>
      <c r="R1984" s="18">
        <f t="shared" si="310"/>
        <v>2004.1095890410957</v>
      </c>
      <c r="S1984" s="18">
        <f t="shared" si="314"/>
        <v>750</v>
      </c>
    </row>
    <row r="1985" spans="1:19" ht="15" customHeight="1" x14ac:dyDescent="0.2">
      <c r="A1985" s="14">
        <f t="shared" si="313"/>
        <v>1946</v>
      </c>
      <c r="B1985" s="28" t="s">
        <v>1690</v>
      </c>
      <c r="C1985" s="15" t="s">
        <v>3</v>
      </c>
      <c r="D1985" s="21" t="s">
        <v>1200</v>
      </c>
      <c r="E1985" s="21"/>
      <c r="F1985" s="69" t="s">
        <v>4</v>
      </c>
      <c r="G1985" s="25">
        <v>44161</v>
      </c>
      <c r="H1985" s="26">
        <v>0</v>
      </c>
      <c r="I1985" s="27">
        <v>15000</v>
      </c>
      <c r="J1985" s="17">
        <v>0</v>
      </c>
      <c r="K1985" s="17">
        <f t="shared" si="307"/>
        <v>15000</v>
      </c>
      <c r="L1985" s="23">
        <f t="shared" si="315"/>
        <v>750</v>
      </c>
      <c r="M1985" s="34">
        <v>3</v>
      </c>
      <c r="N1985" s="18">
        <f t="shared" si="308"/>
        <v>0</v>
      </c>
      <c r="O1985" s="23">
        <f t="shared" si="312"/>
        <v>0</v>
      </c>
      <c r="P1985" s="18">
        <f t="shared" si="309"/>
        <v>0.34794520547945207</v>
      </c>
      <c r="Q1985" s="18">
        <f t="shared" si="311"/>
        <v>1652.7397260273974</v>
      </c>
      <c r="R1985" s="18">
        <f t="shared" si="310"/>
        <v>1652.7397260273974</v>
      </c>
      <c r="S1985" s="18">
        <f t="shared" si="314"/>
        <v>750</v>
      </c>
    </row>
    <row r="1986" spans="1:19" ht="15" customHeight="1" x14ac:dyDescent="0.2">
      <c r="A1986" s="14">
        <f t="shared" si="313"/>
        <v>1947</v>
      </c>
      <c r="B1986" s="28" t="s">
        <v>1691</v>
      </c>
      <c r="C1986" s="15" t="s">
        <v>3</v>
      </c>
      <c r="D1986" s="21" t="s">
        <v>1200</v>
      </c>
      <c r="E1986" s="21"/>
      <c r="F1986" s="69" t="s">
        <v>4</v>
      </c>
      <c r="G1986" s="25">
        <v>44145</v>
      </c>
      <c r="H1986" s="26">
        <v>0</v>
      </c>
      <c r="I1986" s="27">
        <v>60624.85</v>
      </c>
      <c r="J1986" s="17">
        <v>0</v>
      </c>
      <c r="K1986" s="17">
        <f t="shared" si="307"/>
        <v>60624.85</v>
      </c>
      <c r="L1986" s="23">
        <f t="shared" si="315"/>
        <v>3031.2425000000003</v>
      </c>
      <c r="M1986" s="34">
        <v>3</v>
      </c>
      <c r="N1986" s="18">
        <f t="shared" si="308"/>
        <v>0</v>
      </c>
      <c r="O1986" s="23">
        <f t="shared" si="312"/>
        <v>0</v>
      </c>
      <c r="P1986" s="18">
        <f t="shared" si="309"/>
        <v>0.39178082191780822</v>
      </c>
      <c r="Q1986" s="18">
        <f t="shared" si="311"/>
        <v>7521.3569611872153</v>
      </c>
      <c r="R1986" s="18">
        <f t="shared" si="310"/>
        <v>7521.3569611872153</v>
      </c>
      <c r="S1986" s="18">
        <f t="shared" si="314"/>
        <v>3031.2425000000003</v>
      </c>
    </row>
    <row r="1987" spans="1:19" ht="15" customHeight="1" x14ac:dyDescent="0.2">
      <c r="A1987" s="14">
        <f t="shared" si="313"/>
        <v>1948</v>
      </c>
      <c r="B1987" s="28" t="s">
        <v>1692</v>
      </c>
      <c r="C1987" s="15" t="s">
        <v>3</v>
      </c>
      <c r="D1987" s="21" t="s">
        <v>1200</v>
      </c>
      <c r="E1987" s="21"/>
      <c r="F1987" s="69" t="s">
        <v>4</v>
      </c>
      <c r="G1987" s="25">
        <v>44150</v>
      </c>
      <c r="H1987" s="26">
        <v>0</v>
      </c>
      <c r="I1987" s="27">
        <v>10700</v>
      </c>
      <c r="J1987" s="17">
        <v>0</v>
      </c>
      <c r="K1987" s="17">
        <f t="shared" si="307"/>
        <v>10700</v>
      </c>
      <c r="L1987" s="23">
        <f t="shared" si="315"/>
        <v>535</v>
      </c>
      <c r="M1987" s="34">
        <v>5</v>
      </c>
      <c r="N1987" s="18">
        <f t="shared" si="308"/>
        <v>0</v>
      </c>
      <c r="O1987" s="23">
        <f t="shared" si="312"/>
        <v>0</v>
      </c>
      <c r="P1987" s="18">
        <f t="shared" si="309"/>
        <v>0.37808219178082192</v>
      </c>
      <c r="Q1987" s="18">
        <f t="shared" si="311"/>
        <v>768.64109589041095</v>
      </c>
      <c r="R1987" s="18">
        <f t="shared" si="310"/>
        <v>768.64109589041095</v>
      </c>
      <c r="S1987" s="18">
        <f t="shared" si="314"/>
        <v>535</v>
      </c>
    </row>
    <row r="1988" spans="1:19" ht="15" customHeight="1" x14ac:dyDescent="0.2">
      <c r="A1988" s="14">
        <f t="shared" si="313"/>
        <v>1949</v>
      </c>
      <c r="B1988" s="28" t="s">
        <v>1693</v>
      </c>
      <c r="C1988" s="15" t="s">
        <v>3</v>
      </c>
      <c r="D1988" s="21" t="s">
        <v>1200</v>
      </c>
      <c r="E1988" s="21"/>
      <c r="F1988" s="69" t="s">
        <v>4</v>
      </c>
      <c r="G1988" s="25">
        <v>44182</v>
      </c>
      <c r="H1988" s="26">
        <v>0</v>
      </c>
      <c r="I1988" s="27">
        <v>66949.149999999994</v>
      </c>
      <c r="J1988" s="17">
        <v>0</v>
      </c>
      <c r="K1988" s="17">
        <f t="shared" si="307"/>
        <v>66949.149999999994</v>
      </c>
      <c r="L1988" s="23">
        <f t="shared" si="315"/>
        <v>3347.4575</v>
      </c>
      <c r="M1988" s="34">
        <v>3</v>
      </c>
      <c r="N1988" s="18">
        <f t="shared" si="308"/>
        <v>0</v>
      </c>
      <c r="O1988" s="23">
        <f t="shared" si="312"/>
        <v>0</v>
      </c>
      <c r="P1988" s="18">
        <f t="shared" si="309"/>
        <v>0.29041095890410956</v>
      </c>
      <c r="Q1988" s="18">
        <f t="shared" si="311"/>
        <v>6156.8761689497705</v>
      </c>
      <c r="R1988" s="18">
        <f t="shared" si="310"/>
        <v>6156.8761689497705</v>
      </c>
      <c r="S1988" s="18">
        <f t="shared" si="314"/>
        <v>3347.4575</v>
      </c>
    </row>
    <row r="1989" spans="1:19" ht="15" customHeight="1" x14ac:dyDescent="0.2">
      <c r="A1989" s="14">
        <f t="shared" si="313"/>
        <v>1950</v>
      </c>
      <c r="B1989" s="28" t="s">
        <v>1694</v>
      </c>
      <c r="C1989" s="15" t="s">
        <v>3</v>
      </c>
      <c r="D1989" s="21" t="s">
        <v>1200</v>
      </c>
      <c r="E1989" s="21"/>
      <c r="F1989" s="69" t="s">
        <v>4</v>
      </c>
      <c r="G1989" s="25">
        <v>44184</v>
      </c>
      <c r="H1989" s="26">
        <v>0</v>
      </c>
      <c r="I1989" s="27">
        <v>29234</v>
      </c>
      <c r="J1989" s="17">
        <v>0</v>
      </c>
      <c r="K1989" s="17">
        <f t="shared" si="307"/>
        <v>29234</v>
      </c>
      <c r="L1989" s="23">
        <f t="shared" si="315"/>
        <v>1461.7</v>
      </c>
      <c r="M1989" s="34">
        <v>5</v>
      </c>
      <c r="N1989" s="18">
        <f t="shared" si="308"/>
        <v>0</v>
      </c>
      <c r="O1989" s="23">
        <f t="shared" si="312"/>
        <v>0</v>
      </c>
      <c r="P1989" s="18">
        <f t="shared" si="309"/>
        <v>0.28493150684931506</v>
      </c>
      <c r="Q1989" s="18">
        <f t="shared" si="311"/>
        <v>1582.6406575342464</v>
      </c>
      <c r="R1989" s="18">
        <f t="shared" si="310"/>
        <v>1582.6406575342464</v>
      </c>
      <c r="S1989" s="18">
        <f t="shared" si="314"/>
        <v>1461.7</v>
      </c>
    </row>
    <row r="1990" spans="1:19" ht="15" customHeight="1" x14ac:dyDescent="0.2">
      <c r="A1990" s="14">
        <f t="shared" si="313"/>
        <v>1951</v>
      </c>
      <c r="B1990" s="28" t="s">
        <v>1695</v>
      </c>
      <c r="C1990" s="15" t="s">
        <v>3</v>
      </c>
      <c r="D1990" s="21" t="s">
        <v>1200</v>
      </c>
      <c r="E1990" s="21"/>
      <c r="F1990" s="69" t="s">
        <v>4</v>
      </c>
      <c r="G1990" s="25">
        <v>44180</v>
      </c>
      <c r="H1990" s="26">
        <v>0</v>
      </c>
      <c r="I1990" s="27">
        <v>4466</v>
      </c>
      <c r="J1990" s="17">
        <v>0</v>
      </c>
      <c r="K1990" s="17">
        <f t="shared" si="307"/>
        <v>4466</v>
      </c>
      <c r="L1990" s="23">
        <f t="shared" si="315"/>
        <v>223.3</v>
      </c>
      <c r="M1990" s="34">
        <v>5</v>
      </c>
      <c r="N1990" s="18">
        <f t="shared" si="308"/>
        <v>0</v>
      </c>
      <c r="O1990" s="23">
        <f t="shared" si="312"/>
        <v>0</v>
      </c>
      <c r="P1990" s="18">
        <f t="shared" si="309"/>
        <v>0.29589041095890412</v>
      </c>
      <c r="Q1990" s="18">
        <f t="shared" si="311"/>
        <v>251.07484931506846</v>
      </c>
      <c r="R1990" s="18">
        <f t="shared" si="310"/>
        <v>251.07484931506846</v>
      </c>
      <c r="S1990" s="18">
        <f t="shared" si="314"/>
        <v>223.3</v>
      </c>
    </row>
    <row r="1991" spans="1:19" ht="15" customHeight="1" x14ac:dyDescent="0.2">
      <c r="A1991" s="14">
        <f t="shared" si="313"/>
        <v>1952</v>
      </c>
      <c r="B1991" s="28" t="s">
        <v>1696</v>
      </c>
      <c r="C1991" s="15" t="s">
        <v>3</v>
      </c>
      <c r="D1991" s="21" t="s">
        <v>1200</v>
      </c>
      <c r="E1991" s="21"/>
      <c r="F1991" s="70" t="s">
        <v>7</v>
      </c>
      <c r="G1991" s="25">
        <v>44180</v>
      </c>
      <c r="H1991" s="26">
        <v>0</v>
      </c>
      <c r="I1991" s="27">
        <v>215000</v>
      </c>
      <c r="J1991" s="17">
        <v>0</v>
      </c>
      <c r="K1991" s="17">
        <f t="shared" si="307"/>
        <v>215000</v>
      </c>
      <c r="L1991" s="23">
        <f t="shared" si="315"/>
        <v>10750</v>
      </c>
      <c r="M1991" s="34">
        <v>5</v>
      </c>
      <c r="N1991" s="18">
        <f t="shared" si="308"/>
        <v>0</v>
      </c>
      <c r="O1991" s="23">
        <f t="shared" si="312"/>
        <v>0</v>
      </c>
      <c r="P1991" s="18">
        <f t="shared" si="309"/>
        <v>0.29589041095890412</v>
      </c>
      <c r="Q1991" s="18">
        <f t="shared" si="311"/>
        <v>12087.123287671233</v>
      </c>
      <c r="R1991" s="18">
        <f t="shared" si="310"/>
        <v>12087.123287671233</v>
      </c>
      <c r="S1991" s="18">
        <f t="shared" si="314"/>
        <v>10750</v>
      </c>
    </row>
    <row r="1992" spans="1:19" ht="15" customHeight="1" x14ac:dyDescent="0.2">
      <c r="A1992" s="14">
        <f t="shared" si="313"/>
        <v>1953</v>
      </c>
      <c r="B1992" s="28" t="s">
        <v>1697</v>
      </c>
      <c r="C1992" s="15" t="s">
        <v>3</v>
      </c>
      <c r="D1992" s="21" t="s">
        <v>1200</v>
      </c>
      <c r="E1992" s="21"/>
      <c r="F1992" s="69" t="s">
        <v>4</v>
      </c>
      <c r="G1992" s="25">
        <v>44223</v>
      </c>
      <c r="H1992" s="26">
        <v>0</v>
      </c>
      <c r="I1992" s="27">
        <v>101118.64</v>
      </c>
      <c r="J1992" s="17">
        <v>0</v>
      </c>
      <c r="K1992" s="17">
        <f t="shared" si="307"/>
        <v>101118.64</v>
      </c>
      <c r="L1992" s="23">
        <f t="shared" si="315"/>
        <v>5055.9320000000007</v>
      </c>
      <c r="M1992" s="34">
        <v>3</v>
      </c>
      <c r="N1992" s="18">
        <f t="shared" si="308"/>
        <v>0</v>
      </c>
      <c r="O1992" s="23">
        <f t="shared" si="312"/>
        <v>0</v>
      </c>
      <c r="P1992" s="18">
        <f t="shared" si="309"/>
        <v>0.17808219178082191</v>
      </c>
      <c r="Q1992" s="18">
        <f t="shared" si="311"/>
        <v>5702.3525296803646</v>
      </c>
      <c r="R1992" s="18">
        <f t="shared" si="310"/>
        <v>5702.3525296803646</v>
      </c>
      <c r="S1992" s="18">
        <f t="shared" si="314"/>
        <v>5055.9320000000007</v>
      </c>
    </row>
    <row r="1993" spans="1:19" ht="15" customHeight="1" x14ac:dyDescent="0.2">
      <c r="A1993" s="14">
        <f t="shared" si="313"/>
        <v>1954</v>
      </c>
      <c r="B1993" s="28" t="s">
        <v>1692</v>
      </c>
      <c r="C1993" s="15" t="s">
        <v>3</v>
      </c>
      <c r="D1993" s="21" t="s">
        <v>1200</v>
      </c>
      <c r="E1993" s="21"/>
      <c r="F1993" s="69" t="s">
        <v>4</v>
      </c>
      <c r="G1993" s="25">
        <v>44211</v>
      </c>
      <c r="H1993" s="26">
        <v>0</v>
      </c>
      <c r="I1993" s="27">
        <v>10700</v>
      </c>
      <c r="J1993" s="17">
        <v>0</v>
      </c>
      <c r="K1993" s="17">
        <f t="shared" si="307"/>
        <v>10700</v>
      </c>
      <c r="L1993" s="23">
        <f t="shared" si="315"/>
        <v>535</v>
      </c>
      <c r="M1993" s="34">
        <v>5</v>
      </c>
      <c r="N1993" s="18">
        <f t="shared" si="308"/>
        <v>0</v>
      </c>
      <c r="O1993" s="23">
        <f t="shared" ref="O1993:O2003" si="316">(K1993-L1993)/M1993*N1993-J1993</f>
        <v>0</v>
      </c>
      <c r="P1993" s="18">
        <f t="shared" si="309"/>
        <v>0.21095890410958903</v>
      </c>
      <c r="Q1993" s="18">
        <f t="shared" si="311"/>
        <v>428.87945205479451</v>
      </c>
      <c r="R1993" s="18">
        <f t="shared" si="310"/>
        <v>428.87945205479451</v>
      </c>
      <c r="S1993" s="18">
        <f t="shared" si="314"/>
        <v>535</v>
      </c>
    </row>
    <row r="1994" spans="1:19" ht="15" customHeight="1" x14ac:dyDescent="0.2">
      <c r="A1994" s="14">
        <f t="shared" si="313"/>
        <v>1955</v>
      </c>
      <c r="B1994" s="28" t="s">
        <v>1698</v>
      </c>
      <c r="C1994" s="15" t="s">
        <v>3</v>
      </c>
      <c r="D1994" s="21" t="s">
        <v>1200</v>
      </c>
      <c r="E1994" s="21"/>
      <c r="F1994" s="69" t="s">
        <v>4</v>
      </c>
      <c r="G1994" s="25">
        <v>44211</v>
      </c>
      <c r="H1994" s="26">
        <v>0</v>
      </c>
      <c r="I1994" s="27">
        <v>66000</v>
      </c>
      <c r="J1994" s="17">
        <v>0</v>
      </c>
      <c r="K1994" s="17">
        <f t="shared" si="307"/>
        <v>66000</v>
      </c>
      <c r="L1994" s="23">
        <f t="shared" si="315"/>
        <v>3300</v>
      </c>
      <c r="M1994" s="34">
        <v>5</v>
      </c>
      <c r="N1994" s="18">
        <f t="shared" si="308"/>
        <v>0</v>
      </c>
      <c r="O1994" s="23">
        <f t="shared" si="316"/>
        <v>0</v>
      </c>
      <c r="P1994" s="18">
        <f t="shared" si="309"/>
        <v>0.21095890410958903</v>
      </c>
      <c r="Q1994" s="18">
        <f t="shared" si="311"/>
        <v>2645.4246575342468</v>
      </c>
      <c r="R1994" s="18">
        <f t="shared" si="310"/>
        <v>2645.4246575342468</v>
      </c>
      <c r="S1994" s="18">
        <f t="shared" si="314"/>
        <v>3300</v>
      </c>
    </row>
    <row r="1995" spans="1:19" ht="15" customHeight="1" x14ac:dyDescent="0.2">
      <c r="A1995" s="14">
        <f t="shared" si="313"/>
        <v>1956</v>
      </c>
      <c r="B1995" s="28" t="s">
        <v>1675</v>
      </c>
      <c r="C1995" s="15" t="s">
        <v>3</v>
      </c>
      <c r="D1995" s="21" t="s">
        <v>1200</v>
      </c>
      <c r="E1995" s="21"/>
      <c r="F1995" s="69" t="s">
        <v>4</v>
      </c>
      <c r="G1995" s="25">
        <v>44211</v>
      </c>
      <c r="H1995" s="26">
        <v>0</v>
      </c>
      <c r="I1995" s="27">
        <v>15500</v>
      </c>
      <c r="J1995" s="17">
        <v>0</v>
      </c>
      <c r="K1995" s="17">
        <f t="shared" si="307"/>
        <v>15500</v>
      </c>
      <c r="L1995" s="23">
        <f t="shared" si="315"/>
        <v>775</v>
      </c>
      <c r="M1995" s="34">
        <v>5</v>
      </c>
      <c r="N1995" s="18">
        <f t="shared" si="308"/>
        <v>0</v>
      </c>
      <c r="O1995" s="23">
        <f t="shared" si="316"/>
        <v>0</v>
      </c>
      <c r="P1995" s="18">
        <f t="shared" si="309"/>
        <v>0.21095890410958903</v>
      </c>
      <c r="Q1995" s="18">
        <f t="shared" si="311"/>
        <v>621.27397260273972</v>
      </c>
      <c r="R1995" s="18">
        <f t="shared" si="310"/>
        <v>621.27397260273972</v>
      </c>
      <c r="S1995" s="18">
        <f t="shared" si="314"/>
        <v>775</v>
      </c>
    </row>
    <row r="1996" spans="1:19" ht="15" customHeight="1" x14ac:dyDescent="0.2">
      <c r="A1996" s="14">
        <f t="shared" si="313"/>
        <v>1957</v>
      </c>
      <c r="B1996" s="28" t="s">
        <v>1699</v>
      </c>
      <c r="C1996" s="15" t="s">
        <v>3</v>
      </c>
      <c r="D1996" s="21" t="s">
        <v>1200</v>
      </c>
      <c r="E1996" s="21"/>
      <c r="F1996" s="69" t="s">
        <v>4</v>
      </c>
      <c r="G1996" s="25">
        <v>44211</v>
      </c>
      <c r="H1996" s="26">
        <v>0</v>
      </c>
      <c r="I1996" s="27">
        <v>4695.1499999999996</v>
      </c>
      <c r="J1996" s="17">
        <v>0</v>
      </c>
      <c r="K1996" s="17">
        <f t="shared" si="307"/>
        <v>4695.1499999999996</v>
      </c>
      <c r="L1996" s="23">
        <f t="shared" si="315"/>
        <v>234.75749999999999</v>
      </c>
      <c r="M1996" s="34">
        <v>5</v>
      </c>
      <c r="N1996" s="18">
        <f t="shared" si="308"/>
        <v>0</v>
      </c>
      <c r="O1996" s="23">
        <f t="shared" si="316"/>
        <v>0</v>
      </c>
      <c r="P1996" s="18">
        <f t="shared" si="309"/>
        <v>0.21095890410958903</v>
      </c>
      <c r="Q1996" s="18">
        <f t="shared" si="311"/>
        <v>188.19190273972603</v>
      </c>
      <c r="R1996" s="18">
        <f t="shared" si="310"/>
        <v>188.19190273972603</v>
      </c>
      <c r="S1996" s="18">
        <f t="shared" si="314"/>
        <v>234.75749999999999</v>
      </c>
    </row>
    <row r="1997" spans="1:19" ht="15" customHeight="1" x14ac:dyDescent="0.2">
      <c r="A1997" s="14">
        <f t="shared" si="313"/>
        <v>1958</v>
      </c>
      <c r="B1997" s="28" t="s">
        <v>1700</v>
      </c>
      <c r="C1997" s="15" t="s">
        <v>3</v>
      </c>
      <c r="D1997" s="21" t="s">
        <v>1200</v>
      </c>
      <c r="E1997" s="21"/>
      <c r="F1997" s="70" t="s">
        <v>7</v>
      </c>
      <c r="G1997" s="25">
        <v>44211</v>
      </c>
      <c r="H1997" s="26">
        <v>0</v>
      </c>
      <c r="I1997" s="27">
        <v>215000</v>
      </c>
      <c r="J1997" s="17">
        <v>0</v>
      </c>
      <c r="K1997" s="17">
        <f t="shared" si="307"/>
        <v>215000</v>
      </c>
      <c r="L1997" s="23">
        <f t="shared" si="315"/>
        <v>10750</v>
      </c>
      <c r="M1997" s="34">
        <v>5</v>
      </c>
      <c r="N1997" s="18">
        <f t="shared" si="308"/>
        <v>0</v>
      </c>
      <c r="O1997" s="23">
        <f t="shared" si="316"/>
        <v>0</v>
      </c>
      <c r="P1997" s="18">
        <f t="shared" si="309"/>
        <v>0.21095890410958903</v>
      </c>
      <c r="Q1997" s="18">
        <f t="shared" si="311"/>
        <v>8617.6712328767135</v>
      </c>
      <c r="R1997" s="18">
        <f t="shared" si="310"/>
        <v>8617.6712328767135</v>
      </c>
      <c r="S1997" s="18">
        <f>K1997-R1997-200000</f>
        <v>6382.3287671232829</v>
      </c>
    </row>
    <row r="1998" spans="1:19" ht="15" customHeight="1" x14ac:dyDescent="0.2">
      <c r="A1998" s="14">
        <f t="shared" si="313"/>
        <v>1959</v>
      </c>
      <c r="B1998" s="28" t="s">
        <v>1701</v>
      </c>
      <c r="C1998" s="15" t="s">
        <v>3</v>
      </c>
      <c r="D1998" s="21" t="s">
        <v>1200</v>
      </c>
      <c r="E1998" s="21"/>
      <c r="F1998" s="69" t="s">
        <v>4</v>
      </c>
      <c r="G1998" s="25">
        <v>44211</v>
      </c>
      <c r="H1998" s="26">
        <v>0</v>
      </c>
      <c r="I1998" s="27">
        <v>2507.52</v>
      </c>
      <c r="J1998" s="17">
        <v>0</v>
      </c>
      <c r="K1998" s="17">
        <f t="shared" si="307"/>
        <v>2507.52</v>
      </c>
      <c r="L1998" s="23">
        <f t="shared" si="315"/>
        <v>125.376</v>
      </c>
      <c r="M1998" s="34">
        <v>5</v>
      </c>
      <c r="N1998" s="18">
        <f t="shared" si="308"/>
        <v>0</v>
      </c>
      <c r="O1998" s="23">
        <f t="shared" si="316"/>
        <v>0</v>
      </c>
      <c r="P1998" s="18">
        <f t="shared" si="309"/>
        <v>0.21095890410958903</v>
      </c>
      <c r="Q1998" s="18">
        <f t="shared" si="311"/>
        <v>100.50689753424658</v>
      </c>
      <c r="R1998" s="18">
        <f t="shared" si="310"/>
        <v>100.50689753424658</v>
      </c>
      <c r="S1998" s="18">
        <f t="shared" ref="S1998:S2003" si="317">K1998-R1998</f>
        <v>2407.0131024657535</v>
      </c>
    </row>
    <row r="1999" spans="1:19" ht="15" customHeight="1" x14ac:dyDescent="0.2">
      <c r="A1999" s="14">
        <f t="shared" si="313"/>
        <v>1960</v>
      </c>
      <c r="B1999" s="28" t="s">
        <v>1702</v>
      </c>
      <c r="C1999" s="15" t="s">
        <v>3</v>
      </c>
      <c r="D1999" s="21" t="s">
        <v>1200</v>
      </c>
      <c r="E1999" s="21"/>
      <c r="F1999" s="69" t="s">
        <v>4</v>
      </c>
      <c r="G1999" s="25">
        <v>44242</v>
      </c>
      <c r="H1999" s="26">
        <v>0</v>
      </c>
      <c r="I1999" s="27">
        <v>5000</v>
      </c>
      <c r="J1999" s="17">
        <v>0</v>
      </c>
      <c r="K1999" s="17">
        <f t="shared" si="307"/>
        <v>5000</v>
      </c>
      <c r="L1999" s="23">
        <f t="shared" si="315"/>
        <v>250</v>
      </c>
      <c r="M1999" s="34">
        <v>3</v>
      </c>
      <c r="N1999" s="18">
        <f t="shared" si="308"/>
        <v>0</v>
      </c>
      <c r="O1999" s="23">
        <f t="shared" si="316"/>
        <v>0</v>
      </c>
      <c r="P1999" s="18">
        <f t="shared" si="309"/>
        <v>0.12602739726027398</v>
      </c>
      <c r="Q1999" s="18">
        <f t="shared" si="311"/>
        <v>199.54337899543381</v>
      </c>
      <c r="R1999" s="18">
        <f t="shared" si="310"/>
        <v>199.54337899543381</v>
      </c>
      <c r="S1999" s="18">
        <f t="shared" si="317"/>
        <v>4800.4566210045659</v>
      </c>
    </row>
    <row r="2000" spans="1:19" ht="15" customHeight="1" x14ac:dyDescent="0.2">
      <c r="A2000" s="14">
        <f t="shared" si="313"/>
        <v>1961</v>
      </c>
      <c r="B2000" s="28" t="s">
        <v>1703</v>
      </c>
      <c r="C2000" s="15" t="s">
        <v>3</v>
      </c>
      <c r="D2000" s="21" t="s">
        <v>1200</v>
      </c>
      <c r="E2000" s="21"/>
      <c r="F2000" s="70" t="s">
        <v>7</v>
      </c>
      <c r="G2000" s="25">
        <v>44242</v>
      </c>
      <c r="H2000" s="26">
        <v>0</v>
      </c>
      <c r="I2000" s="27">
        <v>7500</v>
      </c>
      <c r="J2000" s="17">
        <v>0</v>
      </c>
      <c r="K2000" s="17">
        <f t="shared" si="307"/>
        <v>7500</v>
      </c>
      <c r="L2000" s="23">
        <f t="shared" si="315"/>
        <v>375</v>
      </c>
      <c r="M2000" s="34">
        <v>5</v>
      </c>
      <c r="N2000" s="18">
        <f t="shared" si="308"/>
        <v>0</v>
      </c>
      <c r="O2000" s="23">
        <f t="shared" si="316"/>
        <v>0</v>
      </c>
      <c r="P2000" s="18">
        <f t="shared" si="309"/>
        <v>0.12602739726027398</v>
      </c>
      <c r="Q2000" s="18">
        <f t="shared" si="311"/>
        <v>179.58904109589042</v>
      </c>
      <c r="R2000" s="18">
        <f t="shared" si="310"/>
        <v>179.58904109589042</v>
      </c>
      <c r="S2000" s="18">
        <f t="shared" si="317"/>
        <v>7320.41095890411</v>
      </c>
    </row>
    <row r="2001" spans="1:19" ht="15" customHeight="1" x14ac:dyDescent="0.2">
      <c r="A2001" s="14">
        <f t="shared" si="313"/>
        <v>1962</v>
      </c>
      <c r="B2001" s="28" t="s">
        <v>1704</v>
      </c>
      <c r="C2001" s="15" t="s">
        <v>3</v>
      </c>
      <c r="D2001" s="21" t="s">
        <v>1200</v>
      </c>
      <c r="E2001" s="21"/>
      <c r="F2001" s="69" t="s">
        <v>4</v>
      </c>
      <c r="G2001" s="25">
        <v>44270</v>
      </c>
      <c r="H2001" s="26">
        <v>0</v>
      </c>
      <c r="I2001" s="27">
        <v>5000</v>
      </c>
      <c r="J2001" s="17">
        <v>0</v>
      </c>
      <c r="K2001" s="17">
        <f t="shared" si="307"/>
        <v>5000</v>
      </c>
      <c r="L2001" s="23">
        <f t="shared" si="315"/>
        <v>250</v>
      </c>
      <c r="M2001" s="34">
        <v>3</v>
      </c>
      <c r="N2001" s="18">
        <f t="shared" si="308"/>
        <v>0</v>
      </c>
      <c r="O2001" s="23">
        <f t="shared" si="316"/>
        <v>0</v>
      </c>
      <c r="P2001" s="18">
        <f t="shared" si="309"/>
        <v>4.9315068493150684E-2</v>
      </c>
      <c r="Q2001" s="18">
        <f t="shared" si="311"/>
        <v>78.082191780821915</v>
      </c>
      <c r="R2001" s="18">
        <f t="shared" si="310"/>
        <v>78.082191780821915</v>
      </c>
      <c r="S2001" s="18">
        <f t="shared" si="317"/>
        <v>4921.9178082191784</v>
      </c>
    </row>
    <row r="2002" spans="1:19" ht="15" customHeight="1" x14ac:dyDescent="0.2">
      <c r="A2002" s="14">
        <f t="shared" si="313"/>
        <v>1963</v>
      </c>
      <c r="B2002" s="28" t="s">
        <v>1705</v>
      </c>
      <c r="C2002" s="15" t="s">
        <v>3</v>
      </c>
      <c r="D2002" s="21" t="s">
        <v>1200</v>
      </c>
      <c r="E2002" s="21"/>
      <c r="F2002" s="69" t="s">
        <v>4</v>
      </c>
      <c r="G2002" s="25">
        <v>44270</v>
      </c>
      <c r="H2002" s="26">
        <v>0</v>
      </c>
      <c r="I2002" s="27">
        <v>10000</v>
      </c>
      <c r="J2002" s="17">
        <v>0</v>
      </c>
      <c r="K2002" s="17">
        <f t="shared" si="307"/>
        <v>10000</v>
      </c>
      <c r="L2002" s="23">
        <f t="shared" si="315"/>
        <v>500</v>
      </c>
      <c r="M2002" s="34">
        <v>3</v>
      </c>
      <c r="N2002" s="18">
        <f t="shared" si="308"/>
        <v>0</v>
      </c>
      <c r="O2002" s="23">
        <f t="shared" si="316"/>
        <v>0</v>
      </c>
      <c r="P2002" s="18">
        <f t="shared" si="309"/>
        <v>4.9315068493150684E-2</v>
      </c>
      <c r="Q2002" s="18">
        <f t="shared" si="311"/>
        <v>156.16438356164383</v>
      </c>
      <c r="R2002" s="18">
        <f t="shared" si="310"/>
        <v>156.16438356164383</v>
      </c>
      <c r="S2002" s="18">
        <f t="shared" si="317"/>
        <v>9843.8356164383567</v>
      </c>
    </row>
    <row r="2003" spans="1:19" ht="15" customHeight="1" x14ac:dyDescent="0.2">
      <c r="A2003" s="14">
        <f t="shared" si="313"/>
        <v>1964</v>
      </c>
      <c r="B2003" s="28" t="s">
        <v>1706</v>
      </c>
      <c r="C2003" s="15" t="s">
        <v>3</v>
      </c>
      <c r="D2003" s="21" t="s">
        <v>1200</v>
      </c>
      <c r="E2003" s="21"/>
      <c r="F2003" s="69" t="s">
        <v>4</v>
      </c>
      <c r="G2003" s="25">
        <v>44270</v>
      </c>
      <c r="H2003" s="26">
        <v>0</v>
      </c>
      <c r="I2003" s="27">
        <v>10700</v>
      </c>
      <c r="J2003" s="17">
        <v>0</v>
      </c>
      <c r="K2003" s="17">
        <f t="shared" si="307"/>
        <v>10700</v>
      </c>
      <c r="L2003" s="23">
        <f t="shared" si="315"/>
        <v>535</v>
      </c>
      <c r="M2003" s="34">
        <v>5</v>
      </c>
      <c r="N2003" s="18">
        <f t="shared" si="308"/>
        <v>0</v>
      </c>
      <c r="O2003" s="23">
        <f t="shared" si="316"/>
        <v>0</v>
      </c>
      <c r="P2003" s="18">
        <f t="shared" si="309"/>
        <v>4.9315068493150684E-2</v>
      </c>
      <c r="Q2003" s="18">
        <f t="shared" si="311"/>
        <v>100.25753424657535</v>
      </c>
      <c r="R2003" s="18">
        <f t="shared" si="310"/>
        <v>100.25753424657535</v>
      </c>
      <c r="S2003" s="18">
        <f t="shared" si="317"/>
        <v>10599.742465753425</v>
      </c>
    </row>
    <row r="2004" spans="1:19" ht="15" customHeight="1" x14ac:dyDescent="0.2">
      <c r="A2004" s="14">
        <f t="shared" si="313"/>
        <v>1965</v>
      </c>
      <c r="B2004" s="31" t="s">
        <v>1707</v>
      </c>
      <c r="C2004" s="15" t="s">
        <v>3</v>
      </c>
      <c r="D2004" s="31" t="s">
        <v>1708</v>
      </c>
      <c r="E2004" s="31"/>
      <c r="F2004" s="73" t="s">
        <v>4</v>
      </c>
      <c r="G2004" s="32">
        <v>42109</v>
      </c>
      <c r="H2004" s="29">
        <v>5529.73</v>
      </c>
      <c r="I2004" s="17">
        <v>0</v>
      </c>
      <c r="J2004" s="17">
        <v>508.05341246575341</v>
      </c>
      <c r="K2004" s="17">
        <f t="shared" si="307"/>
        <v>5021.6765875342462</v>
      </c>
      <c r="L2004" s="23">
        <f>H2004*0.05</f>
        <v>276.48649999999998</v>
      </c>
      <c r="M2004" s="33">
        <v>10</v>
      </c>
      <c r="N2004" s="18">
        <f t="shared" si="308"/>
        <v>4.9698630136986299</v>
      </c>
      <c r="O2004" s="23">
        <f t="shared" ref="O2004:O2044" si="318">(H2004-L2004)/M2004*N2004-J2004</f>
        <v>2102.7366447945205</v>
      </c>
      <c r="P2004" s="18">
        <f t="shared" si="309"/>
        <v>5.9698630136986299</v>
      </c>
      <c r="Q2004" s="18">
        <f t="shared" si="311"/>
        <v>474.51900875342466</v>
      </c>
      <c r="R2004" s="18">
        <f t="shared" si="310"/>
        <v>2577.2556535479453</v>
      </c>
      <c r="S2004" s="18">
        <v>0</v>
      </c>
    </row>
    <row r="2005" spans="1:19" ht="15" customHeight="1" x14ac:dyDescent="0.2">
      <c r="A2005" s="14">
        <f t="shared" si="313"/>
        <v>1966</v>
      </c>
      <c r="B2005" s="31" t="s">
        <v>1707</v>
      </c>
      <c r="C2005" s="15" t="s">
        <v>3</v>
      </c>
      <c r="D2005" s="31" t="s">
        <v>1708</v>
      </c>
      <c r="E2005" s="31"/>
      <c r="F2005" s="73" t="s">
        <v>4</v>
      </c>
      <c r="G2005" s="32">
        <v>42139</v>
      </c>
      <c r="H2005" s="29">
        <v>3940.7799999999997</v>
      </c>
      <c r="I2005" s="17">
        <v>0</v>
      </c>
      <c r="J2005" s="17">
        <v>331.29543643835615</v>
      </c>
      <c r="K2005" s="17">
        <f t="shared" si="307"/>
        <v>3609.4845635616434</v>
      </c>
      <c r="L2005" s="23">
        <f t="shared" ref="L2005:L2068" si="319">H2005*0.05</f>
        <v>197.03899999999999</v>
      </c>
      <c r="M2005" s="33">
        <v>10</v>
      </c>
      <c r="N2005" s="18">
        <f t="shared" si="308"/>
        <v>4.8876712328767127</v>
      </c>
      <c r="O2005" s="23">
        <f t="shared" si="318"/>
        <v>1498.5220824657536</v>
      </c>
      <c r="P2005" s="18">
        <f t="shared" si="309"/>
        <v>5.8876712328767127</v>
      </c>
      <c r="Q2005" s="18">
        <f t="shared" si="311"/>
        <v>341.24455635616437</v>
      </c>
      <c r="R2005" s="18">
        <f t="shared" si="310"/>
        <v>1839.7666388219179</v>
      </c>
      <c r="S2005" s="18">
        <v>0</v>
      </c>
    </row>
    <row r="2006" spans="1:19" ht="15" customHeight="1" x14ac:dyDescent="0.2">
      <c r="A2006" s="14">
        <f t="shared" si="313"/>
        <v>1967</v>
      </c>
      <c r="B2006" s="31" t="s">
        <v>1709</v>
      </c>
      <c r="C2006" s="15" t="s">
        <v>3</v>
      </c>
      <c r="D2006" s="31" t="s">
        <v>1708</v>
      </c>
      <c r="E2006" s="31"/>
      <c r="F2006" s="73" t="s">
        <v>4</v>
      </c>
      <c r="G2006" s="32">
        <v>42139</v>
      </c>
      <c r="H2006" s="29">
        <v>680</v>
      </c>
      <c r="I2006" s="17">
        <v>0</v>
      </c>
      <c r="J2006" s="17">
        <v>57.166575342465748</v>
      </c>
      <c r="K2006" s="17">
        <f t="shared" si="307"/>
        <v>622.83342465753424</v>
      </c>
      <c r="L2006" s="23">
        <f t="shared" si="319"/>
        <v>34</v>
      </c>
      <c r="M2006" s="33">
        <v>10</v>
      </c>
      <c r="N2006" s="18">
        <f t="shared" si="308"/>
        <v>4.8876712328767127</v>
      </c>
      <c r="O2006" s="23">
        <f t="shared" si="318"/>
        <v>258.57698630136986</v>
      </c>
      <c r="P2006" s="18">
        <f t="shared" si="309"/>
        <v>5.8876712328767127</v>
      </c>
      <c r="Q2006" s="18">
        <f t="shared" si="311"/>
        <v>58.883342465753429</v>
      </c>
      <c r="R2006" s="18">
        <f t="shared" si="310"/>
        <v>317.46032876712331</v>
      </c>
      <c r="S2006" s="18">
        <v>0</v>
      </c>
    </row>
    <row r="2007" spans="1:19" ht="15" customHeight="1" x14ac:dyDescent="0.2">
      <c r="A2007" s="14">
        <f t="shared" si="313"/>
        <v>1968</v>
      </c>
      <c r="B2007" s="31" t="s">
        <v>1322</v>
      </c>
      <c r="C2007" s="15" t="s">
        <v>3</v>
      </c>
      <c r="D2007" s="31" t="s">
        <v>1708</v>
      </c>
      <c r="E2007" s="31"/>
      <c r="F2007" s="73" t="s">
        <v>4</v>
      </c>
      <c r="G2007" s="32">
        <v>42139</v>
      </c>
      <c r="H2007" s="29">
        <v>9400</v>
      </c>
      <c r="I2007" s="17">
        <v>0</v>
      </c>
      <c r="J2007" s="17">
        <v>1580.4876712328767</v>
      </c>
      <c r="K2007" s="17">
        <f t="shared" si="307"/>
        <v>7819.5123287671231</v>
      </c>
      <c r="L2007" s="23">
        <f t="shared" si="319"/>
        <v>470</v>
      </c>
      <c r="M2007" s="33">
        <v>5</v>
      </c>
      <c r="N2007" s="18">
        <f t="shared" si="308"/>
        <v>4.8876712328767127</v>
      </c>
      <c r="O2007" s="23">
        <f t="shared" si="318"/>
        <v>7148.8931506849312</v>
      </c>
      <c r="P2007" s="18">
        <f t="shared" si="309"/>
        <v>5.8876712328767127</v>
      </c>
      <c r="Q2007" s="18">
        <f t="shared" si="311"/>
        <v>1469.9024657534246</v>
      </c>
      <c r="R2007" s="18">
        <f t="shared" si="310"/>
        <v>8618.7956164383559</v>
      </c>
      <c r="S2007" s="18">
        <v>0</v>
      </c>
    </row>
    <row r="2008" spans="1:19" ht="15" customHeight="1" x14ac:dyDescent="0.2">
      <c r="A2008" s="14">
        <f t="shared" si="313"/>
        <v>1969</v>
      </c>
      <c r="B2008" s="31" t="s">
        <v>1710</v>
      </c>
      <c r="C2008" s="15" t="s">
        <v>3</v>
      </c>
      <c r="D2008" s="31" t="s">
        <v>1708</v>
      </c>
      <c r="E2008" s="31"/>
      <c r="F2008" s="73" t="s">
        <v>4</v>
      </c>
      <c r="G2008" s="32">
        <v>42139</v>
      </c>
      <c r="H2008" s="29">
        <v>3228</v>
      </c>
      <c r="I2008" s="17">
        <v>0</v>
      </c>
      <c r="J2008" s="17">
        <v>271.37309589041092</v>
      </c>
      <c r="K2008" s="17">
        <f t="shared" si="307"/>
        <v>2956.6269041095893</v>
      </c>
      <c r="L2008" s="23">
        <f t="shared" si="319"/>
        <v>161.4</v>
      </c>
      <c r="M2008" s="33">
        <v>10</v>
      </c>
      <c r="N2008" s="18">
        <f t="shared" si="308"/>
        <v>4.8876712328767127</v>
      </c>
      <c r="O2008" s="23">
        <f t="shared" si="318"/>
        <v>1227.4801643835617</v>
      </c>
      <c r="P2008" s="18">
        <f t="shared" si="309"/>
        <v>5.8876712328767127</v>
      </c>
      <c r="Q2008" s="18">
        <f t="shared" si="311"/>
        <v>279.52269041095894</v>
      </c>
      <c r="R2008" s="18">
        <f t="shared" si="310"/>
        <v>1507.0028547945208</v>
      </c>
      <c r="S2008" s="18">
        <v>0</v>
      </c>
    </row>
    <row r="2009" spans="1:19" ht="15" customHeight="1" x14ac:dyDescent="0.2">
      <c r="A2009" s="14">
        <f t="shared" si="313"/>
        <v>1970</v>
      </c>
      <c r="B2009" s="31" t="s">
        <v>1711</v>
      </c>
      <c r="C2009" s="15" t="s">
        <v>3</v>
      </c>
      <c r="D2009" s="31" t="s">
        <v>1708</v>
      </c>
      <c r="E2009" s="31"/>
      <c r="F2009" s="73" t="s">
        <v>4</v>
      </c>
      <c r="G2009" s="32">
        <v>42139</v>
      </c>
      <c r="H2009" s="29">
        <v>603.5</v>
      </c>
      <c r="I2009" s="17">
        <v>0</v>
      </c>
      <c r="J2009" s="17">
        <v>50.735335616438363</v>
      </c>
      <c r="K2009" s="17">
        <f t="shared" si="307"/>
        <v>552.76466438356169</v>
      </c>
      <c r="L2009" s="23">
        <f t="shared" si="319"/>
        <v>30.175000000000001</v>
      </c>
      <c r="M2009" s="33">
        <v>10</v>
      </c>
      <c r="N2009" s="18">
        <f t="shared" si="308"/>
        <v>4.8876712328767127</v>
      </c>
      <c r="O2009" s="23">
        <f t="shared" si="318"/>
        <v>229.4870753424658</v>
      </c>
      <c r="P2009" s="18">
        <f t="shared" si="309"/>
        <v>5.8876712328767127</v>
      </c>
      <c r="Q2009" s="18">
        <f t="shared" si="311"/>
        <v>52.258966438356175</v>
      </c>
      <c r="R2009" s="18">
        <f t="shared" si="310"/>
        <v>281.746041780822</v>
      </c>
      <c r="S2009" s="18">
        <v>0</v>
      </c>
    </row>
    <row r="2010" spans="1:19" ht="15" customHeight="1" x14ac:dyDescent="0.2">
      <c r="A2010" s="14">
        <f t="shared" si="313"/>
        <v>1971</v>
      </c>
      <c r="B2010" s="31" t="s">
        <v>1707</v>
      </c>
      <c r="C2010" s="15" t="s">
        <v>3</v>
      </c>
      <c r="D2010" s="31" t="s">
        <v>1708</v>
      </c>
      <c r="E2010" s="31"/>
      <c r="F2010" s="73" t="s">
        <v>4</v>
      </c>
      <c r="G2010" s="32">
        <v>42170</v>
      </c>
      <c r="H2010" s="29">
        <v>2842.98</v>
      </c>
      <c r="I2010" s="17">
        <v>0</v>
      </c>
      <c r="J2010" s="17">
        <v>216.06648000000001</v>
      </c>
      <c r="K2010" s="17">
        <f t="shared" si="307"/>
        <v>2626.9135200000001</v>
      </c>
      <c r="L2010" s="23">
        <f t="shared" si="319"/>
        <v>142.149</v>
      </c>
      <c r="M2010" s="33">
        <v>10</v>
      </c>
      <c r="N2010" s="18">
        <f t="shared" si="308"/>
        <v>4.8027397260273972</v>
      </c>
      <c r="O2010" s="23">
        <f t="shared" si="318"/>
        <v>1081.0723536986302</v>
      </c>
      <c r="P2010" s="18">
        <f t="shared" si="309"/>
        <v>5.8027397260273972</v>
      </c>
      <c r="Q2010" s="18">
        <f t="shared" si="311"/>
        <v>248.47645200000002</v>
      </c>
      <c r="R2010" s="18">
        <f t="shared" si="310"/>
        <v>1329.5488056986303</v>
      </c>
      <c r="S2010" s="18">
        <v>0</v>
      </c>
    </row>
    <row r="2011" spans="1:19" ht="15" customHeight="1" x14ac:dyDescent="0.2">
      <c r="A2011" s="14">
        <f t="shared" si="313"/>
        <v>1972</v>
      </c>
      <c r="B2011" s="31" t="s">
        <v>1287</v>
      </c>
      <c r="C2011" s="15" t="s">
        <v>3</v>
      </c>
      <c r="D2011" s="31" t="s">
        <v>1708</v>
      </c>
      <c r="E2011" s="31"/>
      <c r="F2011" s="73" t="s">
        <v>4</v>
      </c>
      <c r="G2011" s="32">
        <v>42200</v>
      </c>
      <c r="H2011" s="29">
        <v>2196.2600000000002</v>
      </c>
      <c r="I2011" s="17">
        <v>0</v>
      </c>
      <c r="J2011" s="17">
        <v>149.76688054794522</v>
      </c>
      <c r="K2011" s="17">
        <f t="shared" si="307"/>
        <v>2046.493119452055</v>
      </c>
      <c r="L2011" s="23">
        <f t="shared" si="319"/>
        <v>109.81300000000002</v>
      </c>
      <c r="M2011" s="33">
        <v>10</v>
      </c>
      <c r="N2011" s="18">
        <f t="shared" si="308"/>
        <v>4.720547945205479</v>
      </c>
      <c r="O2011" s="23">
        <f t="shared" si="318"/>
        <v>835.15042931506844</v>
      </c>
      <c r="P2011" s="18">
        <f t="shared" si="309"/>
        <v>5.720547945205479</v>
      </c>
      <c r="Q2011" s="18">
        <f t="shared" si="311"/>
        <v>193.66801194520551</v>
      </c>
      <c r="R2011" s="18">
        <f t="shared" si="310"/>
        <v>1028.8184412602739</v>
      </c>
      <c r="S2011" s="18">
        <v>0</v>
      </c>
    </row>
    <row r="2012" spans="1:19" ht="15" customHeight="1" x14ac:dyDescent="0.2">
      <c r="A2012" s="14">
        <f t="shared" si="313"/>
        <v>1973</v>
      </c>
      <c r="B2012" s="31" t="s">
        <v>1293</v>
      </c>
      <c r="C2012" s="15" t="s">
        <v>3</v>
      </c>
      <c r="D2012" s="31" t="s">
        <v>1708</v>
      </c>
      <c r="E2012" s="31"/>
      <c r="F2012" s="73" t="s">
        <v>4</v>
      </c>
      <c r="G2012" s="32">
        <v>42231</v>
      </c>
      <c r="H2012" s="29">
        <v>4163.1400000000003</v>
      </c>
      <c r="I2012" s="17">
        <v>0</v>
      </c>
      <c r="J2012" s="17">
        <v>250.30166383561644</v>
      </c>
      <c r="K2012" s="17">
        <f t="shared" si="307"/>
        <v>3912.8383361643837</v>
      </c>
      <c r="L2012" s="23">
        <f t="shared" si="319"/>
        <v>208.15700000000004</v>
      </c>
      <c r="M2012" s="33">
        <v>10</v>
      </c>
      <c r="N2012" s="18">
        <f t="shared" si="308"/>
        <v>4.6356164383561644</v>
      </c>
      <c r="O2012" s="23">
        <f t="shared" si="318"/>
        <v>1583.0767569863015</v>
      </c>
      <c r="P2012" s="18">
        <f t="shared" si="309"/>
        <v>5.6356164383561644</v>
      </c>
      <c r="Q2012" s="18">
        <f t="shared" si="311"/>
        <v>370.46813361643837</v>
      </c>
      <c r="R2012" s="18">
        <f t="shared" si="310"/>
        <v>1953.5448906027398</v>
      </c>
      <c r="S2012" s="18">
        <v>0</v>
      </c>
    </row>
    <row r="2013" spans="1:19" ht="15" customHeight="1" x14ac:dyDescent="0.2">
      <c r="A2013" s="14">
        <f t="shared" si="313"/>
        <v>1974</v>
      </c>
      <c r="B2013" s="31" t="s">
        <v>1287</v>
      </c>
      <c r="C2013" s="15" t="s">
        <v>3</v>
      </c>
      <c r="D2013" s="31" t="s">
        <v>1708</v>
      </c>
      <c r="E2013" s="31"/>
      <c r="F2013" s="73" t="s">
        <v>4</v>
      </c>
      <c r="G2013" s="32">
        <v>42231</v>
      </c>
      <c r="H2013" s="29">
        <v>904.1</v>
      </c>
      <c r="I2013" s="17">
        <v>0</v>
      </c>
      <c r="J2013" s="17">
        <v>54.357464383561641</v>
      </c>
      <c r="K2013" s="17">
        <f t="shared" si="307"/>
        <v>849.74253561643843</v>
      </c>
      <c r="L2013" s="23">
        <f t="shared" si="319"/>
        <v>45.205000000000005</v>
      </c>
      <c r="M2013" s="33">
        <v>10</v>
      </c>
      <c r="N2013" s="18">
        <f t="shared" si="308"/>
        <v>4.6356164383561644</v>
      </c>
      <c r="O2013" s="23">
        <f t="shared" si="318"/>
        <v>343.79331369863013</v>
      </c>
      <c r="P2013" s="18">
        <f t="shared" si="309"/>
        <v>5.6356164383561644</v>
      </c>
      <c r="Q2013" s="18">
        <f t="shared" si="311"/>
        <v>80.45375356164385</v>
      </c>
      <c r="R2013" s="18">
        <f t="shared" si="310"/>
        <v>424.24706726027398</v>
      </c>
      <c r="S2013" s="18">
        <v>0</v>
      </c>
    </row>
    <row r="2014" spans="1:19" ht="15" customHeight="1" x14ac:dyDescent="0.2">
      <c r="A2014" s="14">
        <f t="shared" si="313"/>
        <v>1975</v>
      </c>
      <c r="B2014" s="31" t="s">
        <v>1712</v>
      </c>
      <c r="C2014" s="15" t="s">
        <v>3</v>
      </c>
      <c r="D2014" s="31" t="s">
        <v>1708</v>
      </c>
      <c r="E2014" s="31"/>
      <c r="F2014" s="73" t="s">
        <v>4</v>
      </c>
      <c r="G2014" s="32">
        <v>42262</v>
      </c>
      <c r="H2014" s="29">
        <v>17915</v>
      </c>
      <c r="I2014" s="17">
        <v>0</v>
      </c>
      <c r="J2014" s="17">
        <v>932.56164383561634</v>
      </c>
      <c r="K2014" s="17">
        <f t="shared" si="307"/>
        <v>16982.438356164384</v>
      </c>
      <c r="L2014" s="23">
        <f t="shared" si="319"/>
        <v>895.75</v>
      </c>
      <c r="M2014" s="33">
        <v>10</v>
      </c>
      <c r="N2014" s="18">
        <f t="shared" si="308"/>
        <v>4.5506849315068489</v>
      </c>
      <c r="O2014" s="23">
        <f t="shared" si="318"/>
        <v>6812.3628082191772</v>
      </c>
      <c r="P2014" s="18">
        <f t="shared" si="309"/>
        <v>5.5506849315068489</v>
      </c>
      <c r="Q2014" s="18">
        <f t="shared" si="311"/>
        <v>1608.6688356164386</v>
      </c>
      <c r="R2014" s="18">
        <f t="shared" si="310"/>
        <v>8421.0316438356167</v>
      </c>
      <c r="S2014" s="18">
        <v>0</v>
      </c>
    </row>
    <row r="2015" spans="1:19" ht="15" customHeight="1" x14ac:dyDescent="0.2">
      <c r="A2015" s="14">
        <f t="shared" si="313"/>
        <v>1976</v>
      </c>
      <c r="B2015" s="31" t="s">
        <v>1522</v>
      </c>
      <c r="C2015" s="15" t="s">
        <v>3</v>
      </c>
      <c r="D2015" s="31" t="s">
        <v>1708</v>
      </c>
      <c r="E2015" s="31"/>
      <c r="F2015" s="73" t="s">
        <v>4</v>
      </c>
      <c r="G2015" s="32">
        <v>42292</v>
      </c>
      <c r="H2015" s="29">
        <v>1876.1</v>
      </c>
      <c r="I2015" s="17">
        <v>0</v>
      </c>
      <c r="J2015" s="17">
        <v>83.010999999999981</v>
      </c>
      <c r="K2015" s="17">
        <f t="shared" si="307"/>
        <v>1793.0889999999999</v>
      </c>
      <c r="L2015" s="23">
        <f t="shared" si="319"/>
        <v>93.805000000000007</v>
      </c>
      <c r="M2015" s="33">
        <v>10</v>
      </c>
      <c r="N2015" s="18">
        <f t="shared" si="308"/>
        <v>4.4684931506849317</v>
      </c>
      <c r="O2015" s="23">
        <f t="shared" si="318"/>
        <v>713.40629999999999</v>
      </c>
      <c r="P2015" s="18">
        <f t="shared" si="309"/>
        <v>5.4684931506849317</v>
      </c>
      <c r="Q2015" s="18">
        <f t="shared" si="311"/>
        <v>169.92840000000001</v>
      </c>
      <c r="R2015" s="18">
        <f t="shared" si="310"/>
        <v>883.3347</v>
      </c>
      <c r="S2015" s="18">
        <v>0</v>
      </c>
    </row>
    <row r="2016" spans="1:19" ht="15" customHeight="1" x14ac:dyDescent="0.2">
      <c r="A2016" s="14">
        <f t="shared" si="313"/>
        <v>1977</v>
      </c>
      <c r="B2016" s="31" t="s">
        <v>1713</v>
      </c>
      <c r="C2016" s="15" t="s">
        <v>3</v>
      </c>
      <c r="D2016" s="31" t="s">
        <v>1708</v>
      </c>
      <c r="E2016" s="31"/>
      <c r="F2016" s="73" t="s">
        <v>4</v>
      </c>
      <c r="G2016" s="32">
        <v>42323</v>
      </c>
      <c r="H2016" s="29">
        <v>7800</v>
      </c>
      <c r="I2016" s="17">
        <v>0</v>
      </c>
      <c r="J2016" s="17">
        <v>282.18904109589039</v>
      </c>
      <c r="K2016" s="17">
        <f t="shared" si="307"/>
        <v>7517.8109589041096</v>
      </c>
      <c r="L2016" s="23">
        <f t="shared" si="319"/>
        <v>390</v>
      </c>
      <c r="M2016" s="33">
        <v>10</v>
      </c>
      <c r="N2016" s="18">
        <f t="shared" si="308"/>
        <v>4.3835616438356162</v>
      </c>
      <c r="O2016" s="23">
        <f t="shared" si="318"/>
        <v>2966.0301369863014</v>
      </c>
      <c r="P2016" s="18">
        <f t="shared" si="309"/>
        <v>5.3835616438356162</v>
      </c>
      <c r="Q2016" s="18">
        <f t="shared" si="311"/>
        <v>712.78109589041105</v>
      </c>
      <c r="R2016" s="18">
        <f t="shared" si="310"/>
        <v>3678.8112328767124</v>
      </c>
      <c r="S2016" s="18">
        <v>0</v>
      </c>
    </row>
    <row r="2017" spans="1:19" ht="15" customHeight="1" x14ac:dyDescent="0.2">
      <c r="A2017" s="14">
        <f t="shared" si="313"/>
        <v>1978</v>
      </c>
      <c r="B2017" s="31" t="s">
        <v>1714</v>
      </c>
      <c r="C2017" s="15" t="s">
        <v>3</v>
      </c>
      <c r="D2017" s="31" t="s">
        <v>1708</v>
      </c>
      <c r="E2017" s="31"/>
      <c r="F2017" s="73" t="s">
        <v>4</v>
      </c>
      <c r="G2017" s="32">
        <v>42323</v>
      </c>
      <c r="H2017" s="29">
        <v>12376</v>
      </c>
      <c r="I2017" s="17">
        <v>0</v>
      </c>
      <c r="J2017" s="17">
        <v>447.73994520547944</v>
      </c>
      <c r="K2017" s="17">
        <f t="shared" si="307"/>
        <v>11928.26005479452</v>
      </c>
      <c r="L2017" s="23">
        <f t="shared" si="319"/>
        <v>618.80000000000007</v>
      </c>
      <c r="M2017" s="33">
        <v>10</v>
      </c>
      <c r="N2017" s="18">
        <f t="shared" si="308"/>
        <v>4.3835616438356162</v>
      </c>
      <c r="O2017" s="23">
        <f t="shared" si="318"/>
        <v>4706.1011506849309</v>
      </c>
      <c r="P2017" s="18">
        <f t="shared" si="309"/>
        <v>5.3835616438356162</v>
      </c>
      <c r="Q2017" s="18">
        <f t="shared" si="311"/>
        <v>1130.9460054794522</v>
      </c>
      <c r="R2017" s="18">
        <f t="shared" si="310"/>
        <v>5837.0471561643826</v>
      </c>
      <c r="S2017" s="18">
        <v>0</v>
      </c>
    </row>
    <row r="2018" spans="1:19" ht="15" customHeight="1" x14ac:dyDescent="0.2">
      <c r="A2018" s="14">
        <f t="shared" si="313"/>
        <v>1979</v>
      </c>
      <c r="B2018" s="31" t="s">
        <v>1715</v>
      </c>
      <c r="C2018" s="15" t="s">
        <v>3</v>
      </c>
      <c r="D2018" s="31" t="s">
        <v>1708</v>
      </c>
      <c r="E2018" s="31"/>
      <c r="F2018" s="73" t="s">
        <v>4</v>
      </c>
      <c r="G2018" s="32">
        <v>42353</v>
      </c>
      <c r="H2018" s="29">
        <v>20912</v>
      </c>
      <c r="I2018" s="17">
        <v>0</v>
      </c>
      <c r="J2018" s="17">
        <v>593.2705753424658</v>
      </c>
      <c r="K2018" s="17">
        <f t="shared" si="307"/>
        <v>20318.729424657533</v>
      </c>
      <c r="L2018" s="23">
        <f t="shared" si="319"/>
        <v>1045.6000000000001</v>
      </c>
      <c r="M2018" s="33">
        <v>10</v>
      </c>
      <c r="N2018" s="18">
        <f t="shared" si="308"/>
        <v>4.3013698630136989</v>
      </c>
      <c r="O2018" s="23">
        <f t="shared" si="318"/>
        <v>7952.0028493150685</v>
      </c>
      <c r="P2018" s="18">
        <f t="shared" si="309"/>
        <v>5.3013698630136989</v>
      </c>
      <c r="Q2018" s="18">
        <f t="shared" si="311"/>
        <v>1927.3129424657536</v>
      </c>
      <c r="R2018" s="18">
        <f t="shared" si="310"/>
        <v>9879.3157917808221</v>
      </c>
      <c r="S2018" s="18">
        <v>0</v>
      </c>
    </row>
    <row r="2019" spans="1:19" ht="15" customHeight="1" x14ac:dyDescent="0.2">
      <c r="A2019" s="14">
        <f t="shared" si="313"/>
        <v>1980</v>
      </c>
      <c r="B2019" s="31" t="s">
        <v>1716</v>
      </c>
      <c r="C2019" s="15" t="s">
        <v>3</v>
      </c>
      <c r="D2019" s="31" t="s">
        <v>1708</v>
      </c>
      <c r="E2019" s="31"/>
      <c r="F2019" s="73" t="s">
        <v>4</v>
      </c>
      <c r="G2019" s="32">
        <v>42353</v>
      </c>
      <c r="H2019" s="29">
        <v>21150</v>
      </c>
      <c r="I2019" s="17">
        <v>0</v>
      </c>
      <c r="J2019" s="17">
        <v>600.02260273972604</v>
      </c>
      <c r="K2019" s="17">
        <f t="shared" si="307"/>
        <v>20549.977397260274</v>
      </c>
      <c r="L2019" s="23">
        <f t="shared" si="319"/>
        <v>1057.5</v>
      </c>
      <c r="M2019" s="33">
        <v>10</v>
      </c>
      <c r="N2019" s="18">
        <f t="shared" si="308"/>
        <v>4.3013698630136989</v>
      </c>
      <c r="O2019" s="23">
        <f t="shared" si="318"/>
        <v>8042.5047945205497</v>
      </c>
      <c r="P2019" s="18">
        <f t="shared" si="309"/>
        <v>5.3013698630136989</v>
      </c>
      <c r="Q2019" s="18">
        <f t="shared" si="311"/>
        <v>1949.2477397260275</v>
      </c>
      <c r="R2019" s="18">
        <f t="shared" si="310"/>
        <v>9991.7525342465779</v>
      </c>
      <c r="S2019" s="18">
        <v>0</v>
      </c>
    </row>
    <row r="2020" spans="1:19" ht="15" customHeight="1" x14ac:dyDescent="0.2">
      <c r="A2020" s="14">
        <f t="shared" si="313"/>
        <v>1981</v>
      </c>
      <c r="B2020" s="31" t="s">
        <v>1717</v>
      </c>
      <c r="C2020" s="15" t="s">
        <v>3</v>
      </c>
      <c r="D2020" s="31" t="s">
        <v>1708</v>
      </c>
      <c r="E2020" s="31"/>
      <c r="F2020" s="73" t="s">
        <v>4</v>
      </c>
      <c r="G2020" s="32">
        <v>42353</v>
      </c>
      <c r="H2020" s="29">
        <v>40762.5</v>
      </c>
      <c r="I2020" s="17">
        <v>0</v>
      </c>
      <c r="J2020" s="17">
        <v>1156.4265410958903</v>
      </c>
      <c r="K2020" s="17">
        <f t="shared" si="307"/>
        <v>39606.073458904109</v>
      </c>
      <c r="L2020" s="23">
        <f t="shared" si="319"/>
        <v>2038.125</v>
      </c>
      <c r="M2020" s="33">
        <v>10</v>
      </c>
      <c r="N2020" s="18">
        <f t="shared" si="308"/>
        <v>4.3013698630136989</v>
      </c>
      <c r="O2020" s="23">
        <f t="shared" si="318"/>
        <v>15500.35941780822</v>
      </c>
      <c r="P2020" s="18">
        <f t="shared" si="309"/>
        <v>5.3013698630136989</v>
      </c>
      <c r="Q2020" s="18">
        <f t="shared" si="311"/>
        <v>3756.7948458904111</v>
      </c>
      <c r="R2020" s="18">
        <f t="shared" si="310"/>
        <v>19257.154263698631</v>
      </c>
      <c r="S2020" s="18">
        <v>0</v>
      </c>
    </row>
    <row r="2021" spans="1:19" ht="15" customHeight="1" x14ac:dyDescent="0.2">
      <c r="A2021" s="14">
        <f t="shared" si="313"/>
        <v>1982</v>
      </c>
      <c r="B2021" s="31" t="s">
        <v>1718</v>
      </c>
      <c r="C2021" s="15" t="s">
        <v>3</v>
      </c>
      <c r="D2021" s="31" t="s">
        <v>1708</v>
      </c>
      <c r="E2021" s="31"/>
      <c r="F2021" s="73" t="s">
        <v>4</v>
      </c>
      <c r="G2021" s="32">
        <v>42353</v>
      </c>
      <c r="H2021" s="29">
        <v>16445</v>
      </c>
      <c r="I2021" s="17">
        <v>0</v>
      </c>
      <c r="J2021" s="17">
        <v>466.54239726027402</v>
      </c>
      <c r="K2021" s="17">
        <f t="shared" si="307"/>
        <v>15978.457602739725</v>
      </c>
      <c r="L2021" s="23">
        <f t="shared" si="319"/>
        <v>822.25</v>
      </c>
      <c r="M2021" s="33">
        <v>10</v>
      </c>
      <c r="N2021" s="18">
        <f t="shared" si="308"/>
        <v>4.3013698630136989</v>
      </c>
      <c r="O2021" s="23">
        <f t="shared" si="318"/>
        <v>6253.3802054794533</v>
      </c>
      <c r="P2021" s="18">
        <f t="shared" si="309"/>
        <v>5.3013698630136989</v>
      </c>
      <c r="Q2021" s="18">
        <f t="shared" si="311"/>
        <v>1515.6207602739726</v>
      </c>
      <c r="R2021" s="18">
        <f t="shared" si="310"/>
        <v>7769.0009657534256</v>
      </c>
      <c r="S2021" s="18">
        <v>0</v>
      </c>
    </row>
    <row r="2022" spans="1:19" ht="15" customHeight="1" x14ac:dyDescent="0.2">
      <c r="A2022" s="14">
        <f t="shared" si="313"/>
        <v>1983</v>
      </c>
      <c r="B2022" s="31" t="s">
        <v>1719</v>
      </c>
      <c r="C2022" s="15" t="s">
        <v>3</v>
      </c>
      <c r="D2022" s="31" t="s">
        <v>1708</v>
      </c>
      <c r="E2022" s="31"/>
      <c r="F2022" s="73" t="s">
        <v>4</v>
      </c>
      <c r="G2022" s="32">
        <v>42353</v>
      </c>
      <c r="H2022" s="29">
        <v>5040</v>
      </c>
      <c r="I2022" s="17">
        <v>0</v>
      </c>
      <c r="J2022" s="17">
        <v>142.98410958904108</v>
      </c>
      <c r="K2022" s="17">
        <f t="shared" ref="K2022:K2085" si="320">H2022+I2022-J2022</f>
        <v>4897.0158904109585</v>
      </c>
      <c r="L2022" s="23">
        <f t="shared" si="319"/>
        <v>252</v>
      </c>
      <c r="M2022" s="33">
        <v>10</v>
      </c>
      <c r="N2022" s="18">
        <f t="shared" ref="N2022:N2085" si="321">IF(($N$35-G2022+1)/365&gt;0,($N$35-G2022+1)/365,0)</f>
        <v>4.3013698630136989</v>
      </c>
      <c r="O2022" s="23">
        <f t="shared" si="318"/>
        <v>1916.5117808219179</v>
      </c>
      <c r="P2022" s="18">
        <f t="shared" ref="P2022:P2085" si="322">($P$35-G2022+1)/365</f>
        <v>5.3013698630136989</v>
      </c>
      <c r="Q2022" s="18">
        <f t="shared" si="311"/>
        <v>464.50158904109588</v>
      </c>
      <c r="R2022" s="18">
        <f t="shared" ref="R2022:R2085" si="323">Q2022+O2022</f>
        <v>2381.0133698630138</v>
      </c>
      <c r="S2022" s="18">
        <v>0</v>
      </c>
    </row>
    <row r="2023" spans="1:19" ht="15" customHeight="1" x14ac:dyDescent="0.2">
      <c r="A2023" s="14">
        <f t="shared" si="313"/>
        <v>1984</v>
      </c>
      <c r="B2023" s="31" t="s">
        <v>1720</v>
      </c>
      <c r="C2023" s="15" t="s">
        <v>3</v>
      </c>
      <c r="D2023" s="31" t="s">
        <v>1708</v>
      </c>
      <c r="E2023" s="31"/>
      <c r="F2023" s="73" t="s">
        <v>4</v>
      </c>
      <c r="G2023" s="32">
        <v>42353</v>
      </c>
      <c r="H2023" s="29">
        <v>27330</v>
      </c>
      <c r="I2023" s="17">
        <v>0</v>
      </c>
      <c r="J2023" s="17">
        <v>775.34835616438352</v>
      </c>
      <c r="K2023" s="17">
        <f t="shared" si="320"/>
        <v>26554.651643835616</v>
      </c>
      <c r="L2023" s="23">
        <f t="shared" si="319"/>
        <v>1366.5</v>
      </c>
      <c r="M2023" s="33">
        <v>10</v>
      </c>
      <c r="N2023" s="18">
        <f t="shared" si="321"/>
        <v>4.3013698630136989</v>
      </c>
      <c r="O2023" s="23">
        <f t="shared" si="318"/>
        <v>10392.513287671232</v>
      </c>
      <c r="P2023" s="18">
        <f t="shared" si="322"/>
        <v>5.3013698630136989</v>
      </c>
      <c r="Q2023" s="18">
        <f t="shared" si="311"/>
        <v>2518.8151643835618</v>
      </c>
      <c r="R2023" s="18">
        <f t="shared" si="323"/>
        <v>12911.328452054793</v>
      </c>
      <c r="S2023" s="18">
        <v>0</v>
      </c>
    </row>
    <row r="2024" spans="1:19" ht="15" customHeight="1" x14ac:dyDescent="0.2">
      <c r="A2024" s="14">
        <f t="shared" si="313"/>
        <v>1985</v>
      </c>
      <c r="B2024" s="31" t="s">
        <v>1721</v>
      </c>
      <c r="C2024" s="15" t="s">
        <v>3</v>
      </c>
      <c r="D2024" s="31" t="s">
        <v>1708</v>
      </c>
      <c r="E2024" s="31"/>
      <c r="F2024" s="73" t="s">
        <v>4</v>
      </c>
      <c r="G2024" s="32">
        <v>42353</v>
      </c>
      <c r="H2024" s="29">
        <v>16968.900000000001</v>
      </c>
      <c r="I2024" s="17">
        <v>0</v>
      </c>
      <c r="J2024" s="17">
        <v>481.40536849315072</v>
      </c>
      <c r="K2024" s="17">
        <f t="shared" si="320"/>
        <v>16487.494631506852</v>
      </c>
      <c r="L2024" s="23">
        <f t="shared" si="319"/>
        <v>848.44500000000016</v>
      </c>
      <c r="M2024" s="33">
        <v>10</v>
      </c>
      <c r="N2024" s="18">
        <f t="shared" si="321"/>
        <v>4.3013698630136989</v>
      </c>
      <c r="O2024" s="23">
        <f t="shared" si="318"/>
        <v>6452.5985630137002</v>
      </c>
      <c r="P2024" s="18">
        <f t="shared" si="322"/>
        <v>5.3013698630136989</v>
      </c>
      <c r="Q2024" s="18">
        <f t="shared" ref="Q2024:Q2087" si="324">(P2024-N2024)/M2024*(K2024-L2024)</f>
        <v>1563.9049631506853</v>
      </c>
      <c r="R2024" s="18">
        <f t="shared" si="323"/>
        <v>8016.5035261643852</v>
      </c>
      <c r="S2024" s="18">
        <v>0</v>
      </c>
    </row>
    <row r="2025" spans="1:19" ht="15" customHeight="1" x14ac:dyDescent="0.2">
      <c r="A2025" s="14">
        <f t="shared" si="313"/>
        <v>1986</v>
      </c>
      <c r="B2025" s="31" t="s">
        <v>1722</v>
      </c>
      <c r="C2025" s="15" t="s">
        <v>3</v>
      </c>
      <c r="D2025" s="31" t="s">
        <v>1708</v>
      </c>
      <c r="E2025" s="31"/>
      <c r="F2025" s="73" t="s">
        <v>4</v>
      </c>
      <c r="G2025" s="32">
        <v>42353</v>
      </c>
      <c r="H2025" s="29">
        <v>7800</v>
      </c>
      <c r="I2025" s="17">
        <v>0</v>
      </c>
      <c r="J2025" s="17">
        <v>221.28493150684932</v>
      </c>
      <c r="K2025" s="17">
        <f t="shared" si="320"/>
        <v>7578.7150684931503</v>
      </c>
      <c r="L2025" s="23">
        <f t="shared" si="319"/>
        <v>390</v>
      </c>
      <c r="M2025" s="33">
        <v>10</v>
      </c>
      <c r="N2025" s="18">
        <f t="shared" si="321"/>
        <v>4.3013698630136989</v>
      </c>
      <c r="O2025" s="23">
        <f t="shared" si="318"/>
        <v>2966.0301369863018</v>
      </c>
      <c r="P2025" s="18">
        <f t="shared" si="322"/>
        <v>5.3013698630136989</v>
      </c>
      <c r="Q2025" s="18">
        <f t="shared" si="324"/>
        <v>718.8715068493151</v>
      </c>
      <c r="R2025" s="18">
        <f t="shared" si="323"/>
        <v>3684.9016438356171</v>
      </c>
      <c r="S2025" s="18">
        <v>0</v>
      </c>
    </row>
    <row r="2026" spans="1:19" ht="15" customHeight="1" x14ac:dyDescent="0.2">
      <c r="A2026" s="14">
        <f t="shared" si="313"/>
        <v>1987</v>
      </c>
      <c r="B2026" s="31" t="s">
        <v>1723</v>
      </c>
      <c r="C2026" s="15" t="s">
        <v>3</v>
      </c>
      <c r="D2026" s="31" t="s">
        <v>1708</v>
      </c>
      <c r="E2026" s="31"/>
      <c r="F2026" s="73" t="s">
        <v>4</v>
      </c>
      <c r="G2026" s="32">
        <v>42384</v>
      </c>
      <c r="H2026" s="29">
        <v>4409.1000000000004</v>
      </c>
      <c r="I2026" s="17">
        <v>0</v>
      </c>
      <c r="J2026" s="17">
        <v>89.510769863013707</v>
      </c>
      <c r="K2026" s="17">
        <f t="shared" si="320"/>
        <v>4319.5892301369868</v>
      </c>
      <c r="L2026" s="23">
        <f t="shared" si="319"/>
        <v>220.45500000000004</v>
      </c>
      <c r="M2026" s="33">
        <v>10</v>
      </c>
      <c r="N2026" s="18">
        <f t="shared" si="321"/>
        <v>4.2164383561643834</v>
      </c>
      <c r="O2026" s="23">
        <f t="shared" si="318"/>
        <v>1676.605573972603</v>
      </c>
      <c r="P2026" s="18">
        <f t="shared" si="322"/>
        <v>5.2164383561643834</v>
      </c>
      <c r="Q2026" s="18">
        <f t="shared" si="324"/>
        <v>409.91342301369872</v>
      </c>
      <c r="R2026" s="18">
        <f t="shared" si="323"/>
        <v>2086.5189969863018</v>
      </c>
      <c r="S2026" s="18">
        <v>0</v>
      </c>
    </row>
    <row r="2027" spans="1:19" ht="15" customHeight="1" x14ac:dyDescent="0.2">
      <c r="A2027" s="14">
        <f t="shared" ref="A2027:A2090" si="325">+A2026+1</f>
        <v>1988</v>
      </c>
      <c r="B2027" s="31" t="s">
        <v>1724</v>
      </c>
      <c r="C2027" s="15" t="s">
        <v>3</v>
      </c>
      <c r="D2027" s="31" t="s">
        <v>1708</v>
      </c>
      <c r="E2027" s="31"/>
      <c r="F2027" s="73" t="s">
        <v>4</v>
      </c>
      <c r="G2027" s="32">
        <v>42384</v>
      </c>
      <c r="H2027" s="29">
        <v>13700</v>
      </c>
      <c r="I2027" s="17">
        <v>0</v>
      </c>
      <c r="J2027" s="17">
        <v>278.12876712328767</v>
      </c>
      <c r="K2027" s="17">
        <f t="shared" si="320"/>
        <v>13421.871232876712</v>
      </c>
      <c r="L2027" s="23">
        <f t="shared" si="319"/>
        <v>685</v>
      </c>
      <c r="M2027" s="33">
        <v>10</v>
      </c>
      <c r="N2027" s="18">
        <f t="shared" si="321"/>
        <v>4.2164383561643834</v>
      </c>
      <c r="O2027" s="23">
        <f t="shared" si="318"/>
        <v>5209.5657534246575</v>
      </c>
      <c r="P2027" s="18">
        <f t="shared" si="322"/>
        <v>5.2164383561643834</v>
      </c>
      <c r="Q2027" s="18">
        <f t="shared" si="324"/>
        <v>1273.6871232876713</v>
      </c>
      <c r="R2027" s="18">
        <f t="shared" si="323"/>
        <v>6483.2528767123285</v>
      </c>
      <c r="S2027" s="18">
        <v>0</v>
      </c>
    </row>
    <row r="2028" spans="1:19" ht="15" customHeight="1" x14ac:dyDescent="0.2">
      <c r="A2028" s="14">
        <f t="shared" si="325"/>
        <v>1989</v>
      </c>
      <c r="B2028" s="31" t="s">
        <v>1725</v>
      </c>
      <c r="C2028" s="15" t="s">
        <v>3</v>
      </c>
      <c r="D2028" s="31" t="s">
        <v>1708</v>
      </c>
      <c r="E2028" s="31"/>
      <c r="F2028" s="73" t="s">
        <v>4</v>
      </c>
      <c r="G2028" s="32">
        <v>42384</v>
      </c>
      <c r="H2028" s="29">
        <v>7440</v>
      </c>
      <c r="I2028" s="17">
        <v>0</v>
      </c>
      <c r="J2028" s="17">
        <v>151.04219178082192</v>
      </c>
      <c r="K2028" s="17">
        <f t="shared" si="320"/>
        <v>7288.9578082191783</v>
      </c>
      <c r="L2028" s="23">
        <f t="shared" si="319"/>
        <v>372</v>
      </c>
      <c r="M2028" s="33">
        <v>10</v>
      </c>
      <c r="N2028" s="18">
        <f t="shared" si="321"/>
        <v>4.2164383561643834</v>
      </c>
      <c r="O2028" s="23">
        <f t="shared" si="318"/>
        <v>2829.136438356164</v>
      </c>
      <c r="P2028" s="18">
        <f t="shared" si="322"/>
        <v>5.2164383561643834</v>
      </c>
      <c r="Q2028" s="18">
        <f t="shared" si="324"/>
        <v>691.69578082191788</v>
      </c>
      <c r="R2028" s="18">
        <f t="shared" si="323"/>
        <v>3520.8322191780817</v>
      </c>
      <c r="S2028" s="18">
        <v>0</v>
      </c>
    </row>
    <row r="2029" spans="1:19" ht="15" customHeight="1" x14ac:dyDescent="0.2">
      <c r="A2029" s="14">
        <f t="shared" si="325"/>
        <v>1990</v>
      </c>
      <c r="B2029" s="31" t="s">
        <v>1726</v>
      </c>
      <c r="C2029" s="15" t="s">
        <v>3</v>
      </c>
      <c r="D2029" s="31" t="s">
        <v>1708</v>
      </c>
      <c r="E2029" s="31"/>
      <c r="F2029" s="73" t="s">
        <v>4</v>
      </c>
      <c r="G2029" s="32">
        <v>42384</v>
      </c>
      <c r="H2029" s="29">
        <v>16120</v>
      </c>
      <c r="I2029" s="17">
        <v>0</v>
      </c>
      <c r="J2029" s="17">
        <v>327.25808219178083</v>
      </c>
      <c r="K2029" s="17">
        <f t="shared" si="320"/>
        <v>15792.74191780822</v>
      </c>
      <c r="L2029" s="23">
        <f t="shared" si="319"/>
        <v>806</v>
      </c>
      <c r="M2029" s="33">
        <v>10</v>
      </c>
      <c r="N2029" s="18">
        <f t="shared" si="321"/>
        <v>4.2164383561643834</v>
      </c>
      <c r="O2029" s="23">
        <f t="shared" si="318"/>
        <v>6129.7956164383559</v>
      </c>
      <c r="P2029" s="18">
        <f t="shared" si="322"/>
        <v>5.2164383561643834</v>
      </c>
      <c r="Q2029" s="18">
        <f t="shared" si="324"/>
        <v>1498.6741917808222</v>
      </c>
      <c r="R2029" s="18">
        <f t="shared" si="323"/>
        <v>7628.469808219178</v>
      </c>
      <c r="S2029" s="18">
        <v>0</v>
      </c>
    </row>
    <row r="2030" spans="1:19" ht="15" customHeight="1" x14ac:dyDescent="0.2">
      <c r="A2030" s="14">
        <f t="shared" si="325"/>
        <v>1991</v>
      </c>
      <c r="B2030" s="31" t="s">
        <v>1727</v>
      </c>
      <c r="C2030" s="15" t="s">
        <v>3</v>
      </c>
      <c r="D2030" s="31" t="s">
        <v>1708</v>
      </c>
      <c r="E2030" s="31"/>
      <c r="F2030" s="73" t="s">
        <v>4</v>
      </c>
      <c r="G2030" s="32">
        <v>42384</v>
      </c>
      <c r="H2030" s="29">
        <v>3450</v>
      </c>
      <c r="I2030" s="17">
        <v>0</v>
      </c>
      <c r="J2030" s="17">
        <v>70.039726027397265</v>
      </c>
      <c r="K2030" s="17">
        <f t="shared" si="320"/>
        <v>3379.9602739726029</v>
      </c>
      <c r="L2030" s="23">
        <f t="shared" si="319"/>
        <v>172.5</v>
      </c>
      <c r="M2030" s="33">
        <v>10</v>
      </c>
      <c r="N2030" s="18">
        <f t="shared" si="321"/>
        <v>4.2164383561643834</v>
      </c>
      <c r="O2030" s="23">
        <f t="shared" si="318"/>
        <v>1311.8979452054793</v>
      </c>
      <c r="P2030" s="18">
        <f t="shared" si="322"/>
        <v>5.2164383561643834</v>
      </c>
      <c r="Q2030" s="18">
        <f t="shared" si="324"/>
        <v>320.74602739726032</v>
      </c>
      <c r="R2030" s="18">
        <f t="shared" si="323"/>
        <v>1632.6439726027397</v>
      </c>
      <c r="S2030" s="18">
        <v>0</v>
      </c>
    </row>
    <row r="2031" spans="1:19" ht="15" customHeight="1" x14ac:dyDescent="0.2">
      <c r="A2031" s="14">
        <f t="shared" si="325"/>
        <v>1992</v>
      </c>
      <c r="B2031" s="31" t="s">
        <v>1728</v>
      </c>
      <c r="C2031" s="15" t="s">
        <v>3</v>
      </c>
      <c r="D2031" s="31" t="s">
        <v>1708</v>
      </c>
      <c r="E2031" s="31"/>
      <c r="F2031" s="73" t="s">
        <v>4</v>
      </c>
      <c r="G2031" s="32">
        <v>42384</v>
      </c>
      <c r="H2031" s="29">
        <v>10271</v>
      </c>
      <c r="I2031" s="17">
        <v>0</v>
      </c>
      <c r="J2031" s="17">
        <v>208.51536986301375</v>
      </c>
      <c r="K2031" s="17">
        <f t="shared" si="320"/>
        <v>10062.484630136987</v>
      </c>
      <c r="L2031" s="23">
        <f t="shared" si="319"/>
        <v>513.55000000000007</v>
      </c>
      <c r="M2031" s="33">
        <v>10</v>
      </c>
      <c r="N2031" s="18">
        <f t="shared" si="321"/>
        <v>4.2164383561643834</v>
      </c>
      <c r="O2031" s="23">
        <f t="shared" si="318"/>
        <v>3905.6532739726026</v>
      </c>
      <c r="P2031" s="18">
        <f t="shared" si="322"/>
        <v>5.2164383561643834</v>
      </c>
      <c r="Q2031" s="18">
        <f t="shared" si="324"/>
        <v>954.89346301369881</v>
      </c>
      <c r="R2031" s="18">
        <f t="shared" si="323"/>
        <v>4860.5467369863018</v>
      </c>
      <c r="S2031" s="18">
        <v>0</v>
      </c>
    </row>
    <row r="2032" spans="1:19" ht="15" customHeight="1" x14ac:dyDescent="0.2">
      <c r="A2032" s="14">
        <f t="shared" si="325"/>
        <v>1993</v>
      </c>
      <c r="B2032" s="31" t="s">
        <v>1729</v>
      </c>
      <c r="C2032" s="15" t="s">
        <v>3</v>
      </c>
      <c r="D2032" s="31" t="s">
        <v>1708</v>
      </c>
      <c r="E2032" s="31"/>
      <c r="F2032" s="73" t="s">
        <v>4</v>
      </c>
      <c r="G2032" s="32">
        <v>42415</v>
      </c>
      <c r="H2032" s="29">
        <v>901.1</v>
      </c>
      <c r="I2032" s="17">
        <v>0</v>
      </c>
      <c r="J2032" s="17">
        <v>11.023045205479452</v>
      </c>
      <c r="K2032" s="17">
        <f t="shared" si="320"/>
        <v>890.07695479452059</v>
      </c>
      <c r="L2032" s="23">
        <f t="shared" si="319"/>
        <v>45.055000000000007</v>
      </c>
      <c r="M2032" s="33">
        <v>10</v>
      </c>
      <c r="N2032" s="18">
        <f t="shared" si="321"/>
        <v>4.1315068493150688</v>
      </c>
      <c r="O2032" s="23">
        <f t="shared" si="318"/>
        <v>342.65253287671237</v>
      </c>
      <c r="P2032" s="18">
        <f t="shared" si="322"/>
        <v>5.1315068493150688</v>
      </c>
      <c r="Q2032" s="18">
        <f t="shared" si="324"/>
        <v>84.502195479452055</v>
      </c>
      <c r="R2032" s="18">
        <f t="shared" si="323"/>
        <v>427.15472835616441</v>
      </c>
      <c r="S2032" s="18">
        <v>0</v>
      </c>
    </row>
    <row r="2033" spans="1:19" ht="15" customHeight="1" x14ac:dyDescent="0.2">
      <c r="A2033" s="14">
        <f t="shared" si="325"/>
        <v>1994</v>
      </c>
      <c r="B2033" s="31" t="s">
        <v>1730</v>
      </c>
      <c r="C2033" s="15" t="s">
        <v>3</v>
      </c>
      <c r="D2033" s="31" t="s">
        <v>1708</v>
      </c>
      <c r="E2033" s="31"/>
      <c r="F2033" s="73" t="s">
        <v>4</v>
      </c>
      <c r="G2033" s="32">
        <v>42415</v>
      </c>
      <c r="H2033" s="29">
        <v>116500</v>
      </c>
      <c r="I2033" s="17">
        <v>0</v>
      </c>
      <c r="J2033" s="17">
        <v>1425.1301369863013</v>
      </c>
      <c r="K2033" s="17">
        <f t="shared" si="320"/>
        <v>115074.86986301369</v>
      </c>
      <c r="L2033" s="23">
        <f t="shared" si="319"/>
        <v>5825</v>
      </c>
      <c r="M2033" s="33">
        <v>10</v>
      </c>
      <c r="N2033" s="18">
        <f t="shared" si="321"/>
        <v>4.1315068493150688</v>
      </c>
      <c r="O2033" s="23">
        <f>(H2033-L2033)/M2033*N2033-J2033</f>
        <v>44300.321917808222</v>
      </c>
      <c r="P2033" s="18">
        <f t="shared" si="322"/>
        <v>5.1315068493150688</v>
      </c>
      <c r="Q2033" s="18">
        <f t="shared" si="324"/>
        <v>10924.98698630137</v>
      </c>
      <c r="R2033" s="18">
        <f t="shared" si="323"/>
        <v>55225.308904109595</v>
      </c>
      <c r="S2033" s="18">
        <v>0</v>
      </c>
    </row>
    <row r="2034" spans="1:19" ht="15" customHeight="1" x14ac:dyDescent="0.2">
      <c r="A2034" s="14">
        <f t="shared" si="325"/>
        <v>1995</v>
      </c>
      <c r="B2034" s="31" t="s">
        <v>1731</v>
      </c>
      <c r="C2034" s="15" t="s">
        <v>3</v>
      </c>
      <c r="D2034" s="31" t="s">
        <v>1708</v>
      </c>
      <c r="E2034" s="31"/>
      <c r="F2034" s="73" t="s">
        <v>4</v>
      </c>
      <c r="G2034" s="32">
        <v>42444</v>
      </c>
      <c r="H2034" s="29">
        <v>1150</v>
      </c>
      <c r="I2034" s="17">
        <v>0</v>
      </c>
      <c r="J2034" s="17">
        <v>5.3876712328767118</v>
      </c>
      <c r="K2034" s="17">
        <f t="shared" si="320"/>
        <v>1144.6123287671232</v>
      </c>
      <c r="L2034" s="23">
        <f t="shared" si="319"/>
        <v>57.5</v>
      </c>
      <c r="M2034" s="33">
        <v>10</v>
      </c>
      <c r="N2034" s="18">
        <f t="shared" si="321"/>
        <v>4.0520547945205481</v>
      </c>
      <c r="O2034" s="23">
        <f t="shared" si="318"/>
        <v>437.29931506849317</v>
      </c>
      <c r="P2034" s="18">
        <f t="shared" si="322"/>
        <v>5.0520547945205481</v>
      </c>
      <c r="Q2034" s="18">
        <f t="shared" si="324"/>
        <v>108.71123287671233</v>
      </c>
      <c r="R2034" s="18">
        <f t="shared" si="323"/>
        <v>546.01054794520553</v>
      </c>
      <c r="S2034" s="18">
        <v>0</v>
      </c>
    </row>
    <row r="2035" spans="1:19" ht="15" customHeight="1" x14ac:dyDescent="0.2">
      <c r="A2035" s="14">
        <f t="shared" si="325"/>
        <v>1996</v>
      </c>
      <c r="B2035" s="31" t="s">
        <v>1732</v>
      </c>
      <c r="C2035" s="15" t="s">
        <v>3</v>
      </c>
      <c r="D2035" s="31" t="s">
        <v>1708</v>
      </c>
      <c r="E2035" s="31"/>
      <c r="F2035" s="73" t="s">
        <v>4</v>
      </c>
      <c r="G2035" s="32">
        <v>42444</v>
      </c>
      <c r="H2035" s="29">
        <v>1580.89</v>
      </c>
      <c r="I2035" s="17">
        <v>0</v>
      </c>
      <c r="J2035" s="17">
        <v>7.4063613698630135</v>
      </c>
      <c r="K2035" s="17">
        <f t="shared" si="320"/>
        <v>1573.4836386301372</v>
      </c>
      <c r="L2035" s="23">
        <f t="shared" si="319"/>
        <v>79.044500000000014</v>
      </c>
      <c r="M2035" s="33">
        <v>10</v>
      </c>
      <c r="N2035" s="18">
        <f t="shared" si="321"/>
        <v>4.0520547945205481</v>
      </c>
      <c r="O2035" s="23">
        <f t="shared" si="318"/>
        <v>601.14966452054796</v>
      </c>
      <c r="P2035" s="18">
        <f t="shared" si="322"/>
        <v>5.0520547945205481</v>
      </c>
      <c r="Q2035" s="18">
        <f t="shared" si="324"/>
        <v>149.44391386301373</v>
      </c>
      <c r="R2035" s="18">
        <f t="shared" si="323"/>
        <v>750.59357838356163</v>
      </c>
      <c r="S2035" s="18">
        <v>0</v>
      </c>
    </row>
    <row r="2036" spans="1:19" ht="15" customHeight="1" x14ac:dyDescent="0.2">
      <c r="A2036" s="14">
        <f t="shared" si="325"/>
        <v>1997</v>
      </c>
      <c r="B2036" s="31" t="s">
        <v>1733</v>
      </c>
      <c r="C2036" s="15" t="s">
        <v>3</v>
      </c>
      <c r="D2036" s="31" t="s">
        <v>1708</v>
      </c>
      <c r="E2036" s="31"/>
      <c r="F2036" s="73" t="s">
        <v>4</v>
      </c>
      <c r="G2036" s="32">
        <v>42444</v>
      </c>
      <c r="H2036" s="29">
        <v>2703.3</v>
      </c>
      <c r="I2036" s="17">
        <v>0</v>
      </c>
      <c r="J2036" s="17">
        <v>12.664775342465754</v>
      </c>
      <c r="K2036" s="17">
        <f t="shared" si="320"/>
        <v>2690.6352246575343</v>
      </c>
      <c r="L2036" s="23">
        <f t="shared" si="319"/>
        <v>135.16500000000002</v>
      </c>
      <c r="M2036" s="33">
        <v>10</v>
      </c>
      <c r="N2036" s="18">
        <f t="shared" si="321"/>
        <v>4.0520547945205481</v>
      </c>
      <c r="O2036" s="23">
        <f t="shared" si="318"/>
        <v>1027.9575986301372</v>
      </c>
      <c r="P2036" s="18">
        <f t="shared" si="322"/>
        <v>5.0520547945205481</v>
      </c>
      <c r="Q2036" s="18">
        <f t="shared" si="324"/>
        <v>255.54702246575346</v>
      </c>
      <c r="R2036" s="18">
        <f t="shared" si="323"/>
        <v>1283.5046210958908</v>
      </c>
      <c r="S2036" s="18">
        <v>0</v>
      </c>
    </row>
    <row r="2037" spans="1:19" ht="15" customHeight="1" x14ac:dyDescent="0.2">
      <c r="A2037" s="14">
        <f t="shared" si="325"/>
        <v>1998</v>
      </c>
      <c r="B2037" s="31" t="s">
        <v>1734</v>
      </c>
      <c r="C2037" s="15" t="s">
        <v>3</v>
      </c>
      <c r="D2037" s="31" t="s">
        <v>1708</v>
      </c>
      <c r="E2037" s="31"/>
      <c r="F2037" s="73" t="s">
        <v>4</v>
      </c>
      <c r="G2037" s="32">
        <v>42444</v>
      </c>
      <c r="H2037" s="29">
        <v>7070</v>
      </c>
      <c r="I2037" s="17">
        <v>0</v>
      </c>
      <c r="J2037" s="17">
        <v>33.122465753424656</v>
      </c>
      <c r="K2037" s="17">
        <f t="shared" si="320"/>
        <v>7036.8775342465751</v>
      </c>
      <c r="L2037" s="23">
        <f t="shared" si="319"/>
        <v>353.5</v>
      </c>
      <c r="M2037" s="33">
        <v>10</v>
      </c>
      <c r="N2037" s="18">
        <f t="shared" si="321"/>
        <v>4.0520547945205481</v>
      </c>
      <c r="O2037" s="23">
        <f t="shared" si="318"/>
        <v>2688.4401369863012</v>
      </c>
      <c r="P2037" s="18">
        <f t="shared" si="322"/>
        <v>5.0520547945205481</v>
      </c>
      <c r="Q2037" s="18">
        <f t="shared" si="324"/>
        <v>668.33775342465754</v>
      </c>
      <c r="R2037" s="18">
        <f t="shared" si="323"/>
        <v>3356.7778904109587</v>
      </c>
      <c r="S2037" s="18">
        <v>0</v>
      </c>
    </row>
    <row r="2038" spans="1:19" ht="15" customHeight="1" x14ac:dyDescent="0.2">
      <c r="A2038" s="14">
        <f t="shared" si="325"/>
        <v>1999</v>
      </c>
      <c r="B2038" s="31" t="s">
        <v>1735</v>
      </c>
      <c r="C2038" s="15" t="s">
        <v>3</v>
      </c>
      <c r="D2038" s="31" t="s">
        <v>1708</v>
      </c>
      <c r="E2038" s="31"/>
      <c r="F2038" s="73" t="s">
        <v>4</v>
      </c>
      <c r="G2038" s="32">
        <v>42444</v>
      </c>
      <c r="H2038" s="29">
        <v>11312.6</v>
      </c>
      <c r="I2038" s="17">
        <v>0</v>
      </c>
      <c r="J2038" s="17">
        <v>52.998756164383565</v>
      </c>
      <c r="K2038" s="17">
        <f t="shared" si="320"/>
        <v>11259.601243835617</v>
      </c>
      <c r="L2038" s="23">
        <f t="shared" si="319"/>
        <v>565.63</v>
      </c>
      <c r="M2038" s="33">
        <v>10</v>
      </c>
      <c r="N2038" s="18">
        <f t="shared" si="321"/>
        <v>4.0520547945205481</v>
      </c>
      <c r="O2038" s="23">
        <f t="shared" si="318"/>
        <v>4301.7323753424662</v>
      </c>
      <c r="P2038" s="18">
        <f t="shared" si="322"/>
        <v>5.0520547945205481</v>
      </c>
      <c r="Q2038" s="18">
        <f t="shared" si="324"/>
        <v>1069.397124383562</v>
      </c>
      <c r="R2038" s="18">
        <f t="shared" si="323"/>
        <v>5371.1294997260284</v>
      </c>
      <c r="S2038" s="18">
        <v>0</v>
      </c>
    </row>
    <row r="2039" spans="1:19" ht="15" customHeight="1" x14ac:dyDescent="0.2">
      <c r="A2039" s="14">
        <f t="shared" si="325"/>
        <v>2000</v>
      </c>
      <c r="B2039" s="31" t="s">
        <v>1736</v>
      </c>
      <c r="C2039" s="15" t="s">
        <v>3</v>
      </c>
      <c r="D2039" s="31" t="s">
        <v>1708</v>
      </c>
      <c r="E2039" s="31"/>
      <c r="F2039" s="73" t="s">
        <v>4</v>
      </c>
      <c r="G2039" s="32">
        <v>42444</v>
      </c>
      <c r="H2039" s="29">
        <v>12180</v>
      </c>
      <c r="I2039" s="17">
        <v>0</v>
      </c>
      <c r="J2039" s="17">
        <v>57.062465753424654</v>
      </c>
      <c r="K2039" s="17">
        <f t="shared" si="320"/>
        <v>12122.937534246576</v>
      </c>
      <c r="L2039" s="23">
        <f t="shared" si="319"/>
        <v>609</v>
      </c>
      <c r="M2039" s="33">
        <v>10</v>
      </c>
      <c r="N2039" s="18">
        <f t="shared" si="321"/>
        <v>4.0520547945205481</v>
      </c>
      <c r="O2039" s="23">
        <f t="shared" si="318"/>
        <v>4631.5701369863009</v>
      </c>
      <c r="P2039" s="18">
        <f t="shared" si="322"/>
        <v>5.0520547945205481</v>
      </c>
      <c r="Q2039" s="18">
        <f t="shared" si="324"/>
        <v>1151.3937534246577</v>
      </c>
      <c r="R2039" s="18">
        <f t="shared" si="323"/>
        <v>5782.9638904109588</v>
      </c>
      <c r="S2039" s="18">
        <v>0</v>
      </c>
    </row>
    <row r="2040" spans="1:19" ht="15" customHeight="1" x14ac:dyDescent="0.2">
      <c r="A2040" s="14">
        <f t="shared" si="325"/>
        <v>2001</v>
      </c>
      <c r="B2040" s="31" t="s">
        <v>1737</v>
      </c>
      <c r="C2040" s="15" t="s">
        <v>3</v>
      </c>
      <c r="D2040" s="31" t="s">
        <v>1708</v>
      </c>
      <c r="E2040" s="31"/>
      <c r="F2040" s="73" t="s">
        <v>4</v>
      </c>
      <c r="G2040" s="32">
        <v>42444</v>
      </c>
      <c r="H2040" s="29">
        <v>46000</v>
      </c>
      <c r="I2040" s="17">
        <v>0</v>
      </c>
      <c r="J2040" s="17">
        <v>215.50684931506848</v>
      </c>
      <c r="K2040" s="17">
        <f t="shared" si="320"/>
        <v>45784.493150684932</v>
      </c>
      <c r="L2040" s="23">
        <f t="shared" si="319"/>
        <v>2300</v>
      </c>
      <c r="M2040" s="33">
        <v>10</v>
      </c>
      <c r="N2040" s="18">
        <f t="shared" si="321"/>
        <v>4.0520547945205481</v>
      </c>
      <c r="O2040" s="23">
        <f t="shared" si="318"/>
        <v>17491.972602739726</v>
      </c>
      <c r="P2040" s="18">
        <f t="shared" si="322"/>
        <v>5.0520547945205481</v>
      </c>
      <c r="Q2040" s="18">
        <f t="shared" si="324"/>
        <v>4348.449315068493</v>
      </c>
      <c r="R2040" s="18">
        <f t="shared" si="323"/>
        <v>21840.42191780822</v>
      </c>
      <c r="S2040" s="18">
        <v>0</v>
      </c>
    </row>
    <row r="2041" spans="1:19" ht="15" customHeight="1" x14ac:dyDescent="0.2">
      <c r="A2041" s="14">
        <f t="shared" si="325"/>
        <v>2002</v>
      </c>
      <c r="B2041" s="31" t="s">
        <v>1738</v>
      </c>
      <c r="C2041" s="15" t="s">
        <v>3</v>
      </c>
      <c r="D2041" s="31" t="s">
        <v>1708</v>
      </c>
      <c r="E2041" s="31"/>
      <c r="F2041" s="73" t="s">
        <v>4</v>
      </c>
      <c r="G2041" s="32">
        <v>42444</v>
      </c>
      <c r="H2041" s="29">
        <v>1850</v>
      </c>
      <c r="I2041" s="17">
        <v>0</v>
      </c>
      <c r="J2041" s="17">
        <v>8.6671232876712327</v>
      </c>
      <c r="K2041" s="17">
        <f t="shared" si="320"/>
        <v>1841.3328767123287</v>
      </c>
      <c r="L2041" s="23">
        <f t="shared" si="319"/>
        <v>92.5</v>
      </c>
      <c r="M2041" s="33">
        <v>10</v>
      </c>
      <c r="N2041" s="18">
        <f t="shared" si="321"/>
        <v>4.0520547945205481</v>
      </c>
      <c r="O2041" s="23">
        <f t="shared" si="318"/>
        <v>703.48150684931511</v>
      </c>
      <c r="P2041" s="18">
        <f t="shared" si="322"/>
        <v>5.0520547945205481</v>
      </c>
      <c r="Q2041" s="18">
        <f t="shared" si="324"/>
        <v>174.88328767123289</v>
      </c>
      <c r="R2041" s="18">
        <f t="shared" si="323"/>
        <v>878.364794520548</v>
      </c>
      <c r="S2041" s="18">
        <v>0</v>
      </c>
    </row>
    <row r="2042" spans="1:19" ht="15" customHeight="1" x14ac:dyDescent="0.2">
      <c r="A2042" s="14">
        <f t="shared" si="325"/>
        <v>2003</v>
      </c>
      <c r="B2042" s="31" t="s">
        <v>1739</v>
      </c>
      <c r="C2042" s="15" t="s">
        <v>3</v>
      </c>
      <c r="D2042" s="31" t="s">
        <v>1708</v>
      </c>
      <c r="E2042" s="31"/>
      <c r="F2042" s="73" t="s">
        <v>4</v>
      </c>
      <c r="G2042" s="32">
        <v>42444</v>
      </c>
      <c r="H2042" s="29">
        <v>1080</v>
      </c>
      <c r="I2042" s="17">
        <v>0</v>
      </c>
      <c r="J2042" s="17">
        <v>5.05972602739726</v>
      </c>
      <c r="K2042" s="17">
        <f t="shared" si="320"/>
        <v>1074.9402739726027</v>
      </c>
      <c r="L2042" s="23">
        <f t="shared" si="319"/>
        <v>54</v>
      </c>
      <c r="M2042" s="33">
        <v>10</v>
      </c>
      <c r="N2042" s="18">
        <f t="shared" si="321"/>
        <v>4.0520547945205481</v>
      </c>
      <c r="O2042" s="23">
        <f t="shared" si="318"/>
        <v>410.68109589041097</v>
      </c>
      <c r="P2042" s="18">
        <f t="shared" si="322"/>
        <v>5.0520547945205481</v>
      </c>
      <c r="Q2042" s="18">
        <f t="shared" si="324"/>
        <v>102.09402739726028</v>
      </c>
      <c r="R2042" s="18">
        <f t="shared" si="323"/>
        <v>512.77512328767125</v>
      </c>
      <c r="S2042" s="18">
        <v>0</v>
      </c>
    </row>
    <row r="2043" spans="1:19" ht="15" customHeight="1" x14ac:dyDescent="0.2">
      <c r="A2043" s="14">
        <f t="shared" si="325"/>
        <v>2004</v>
      </c>
      <c r="B2043" s="31" t="s">
        <v>1740</v>
      </c>
      <c r="C2043" s="15" t="s">
        <v>3</v>
      </c>
      <c r="D2043" s="31" t="s">
        <v>1708</v>
      </c>
      <c r="E2043" s="31"/>
      <c r="F2043" s="73" t="s">
        <v>4</v>
      </c>
      <c r="G2043" s="32">
        <v>42444</v>
      </c>
      <c r="H2043" s="29">
        <v>6000</v>
      </c>
      <c r="I2043" s="17">
        <v>0</v>
      </c>
      <c r="J2043" s="17">
        <v>28.109589041095891</v>
      </c>
      <c r="K2043" s="17">
        <f t="shared" si="320"/>
        <v>5971.8904109589039</v>
      </c>
      <c r="L2043" s="23">
        <f t="shared" si="319"/>
        <v>300</v>
      </c>
      <c r="M2043" s="33">
        <v>10</v>
      </c>
      <c r="N2043" s="18">
        <f t="shared" si="321"/>
        <v>4.0520547945205481</v>
      </c>
      <c r="O2043" s="23">
        <f t="shared" si="318"/>
        <v>2281.5616438356165</v>
      </c>
      <c r="P2043" s="18">
        <f t="shared" si="322"/>
        <v>5.0520547945205481</v>
      </c>
      <c r="Q2043" s="18">
        <f t="shared" si="324"/>
        <v>567.18904109589039</v>
      </c>
      <c r="R2043" s="18">
        <f t="shared" si="323"/>
        <v>2848.7506849315068</v>
      </c>
      <c r="S2043" s="18">
        <v>0</v>
      </c>
    </row>
    <row r="2044" spans="1:19" ht="15" customHeight="1" x14ac:dyDescent="0.2">
      <c r="A2044" s="14">
        <f t="shared" si="325"/>
        <v>2005</v>
      </c>
      <c r="B2044" s="31" t="s">
        <v>1741</v>
      </c>
      <c r="C2044" s="15" t="s">
        <v>3</v>
      </c>
      <c r="D2044" s="31" t="s">
        <v>1708</v>
      </c>
      <c r="E2044" s="31"/>
      <c r="F2044" s="73" t="s">
        <v>4</v>
      </c>
      <c r="G2044" s="32">
        <v>42444</v>
      </c>
      <c r="H2044" s="29">
        <v>80800</v>
      </c>
      <c r="I2044" s="17">
        <v>0</v>
      </c>
      <c r="J2044" s="17">
        <v>378.54246575342466</v>
      </c>
      <c r="K2044" s="17">
        <f t="shared" si="320"/>
        <v>80421.457534246569</v>
      </c>
      <c r="L2044" s="23">
        <f t="shared" si="319"/>
        <v>4040</v>
      </c>
      <c r="M2044" s="33">
        <v>10</v>
      </c>
      <c r="N2044" s="18">
        <f t="shared" si="321"/>
        <v>4.0520547945205481</v>
      </c>
      <c r="O2044" s="23">
        <f t="shared" si="318"/>
        <v>30725.030136986305</v>
      </c>
      <c r="P2044" s="18">
        <f t="shared" si="322"/>
        <v>5.0520547945205481</v>
      </c>
      <c r="Q2044" s="18">
        <f t="shared" si="324"/>
        <v>7638.1457534246574</v>
      </c>
      <c r="R2044" s="18">
        <f t="shared" si="323"/>
        <v>38363.175890410959</v>
      </c>
      <c r="S2044" s="18">
        <v>0</v>
      </c>
    </row>
    <row r="2045" spans="1:19" ht="15" customHeight="1" x14ac:dyDescent="0.2">
      <c r="A2045" s="14">
        <f t="shared" si="325"/>
        <v>2006</v>
      </c>
      <c r="B2045" s="31" t="s">
        <v>1742</v>
      </c>
      <c r="C2045" s="15" t="s">
        <v>3</v>
      </c>
      <c r="D2045" s="31" t="s">
        <v>1708</v>
      </c>
      <c r="E2045" s="31"/>
      <c r="F2045" s="73" t="s">
        <v>4</v>
      </c>
      <c r="G2045" s="32">
        <v>42078</v>
      </c>
      <c r="H2045" s="29">
        <f>624321.2-107420</f>
        <v>516901.19999999995</v>
      </c>
      <c r="I2045" s="17">
        <v>0</v>
      </c>
      <c r="J2045" s="17">
        <f>62397.9106191781-18641+152979</f>
        <v>196735.91061917809</v>
      </c>
      <c r="K2045" s="17">
        <f t="shared" si="320"/>
        <v>320165.28938082187</v>
      </c>
      <c r="L2045" s="23">
        <f t="shared" si="319"/>
        <v>25845.059999999998</v>
      </c>
      <c r="M2045" s="33">
        <v>10</v>
      </c>
      <c r="N2045" s="18">
        <f t="shared" si="321"/>
        <v>5.0547945205479454</v>
      </c>
      <c r="O2045" s="23">
        <f>(H2045-L2045)/M2045*N2045-J2045+107420</f>
        <v>158902.87795616436</v>
      </c>
      <c r="P2045" s="18">
        <f t="shared" si="322"/>
        <v>6.0547945205479454</v>
      </c>
      <c r="Q2045" s="18">
        <f t="shared" si="324"/>
        <v>29432.022938082187</v>
      </c>
      <c r="R2045" s="18">
        <f t="shared" si="323"/>
        <v>188334.90089424656</v>
      </c>
      <c r="S2045" s="18">
        <v>0</v>
      </c>
    </row>
    <row r="2046" spans="1:19" ht="15" customHeight="1" x14ac:dyDescent="0.2">
      <c r="A2046" s="14">
        <f t="shared" si="325"/>
        <v>2007</v>
      </c>
      <c r="B2046" s="31" t="s">
        <v>1743</v>
      </c>
      <c r="C2046" s="15" t="s">
        <v>3</v>
      </c>
      <c r="D2046" s="31" t="s">
        <v>1708</v>
      </c>
      <c r="E2046" s="31"/>
      <c r="F2046" s="73" t="s">
        <v>4</v>
      </c>
      <c r="G2046" s="32">
        <v>42078</v>
      </c>
      <c r="H2046" s="29">
        <v>520852.26</v>
      </c>
      <c r="I2046" s="17">
        <v>0</v>
      </c>
      <c r="J2046" s="17">
        <f>52056.686150137-15000</f>
        <v>37056.686150137</v>
      </c>
      <c r="K2046" s="17">
        <f t="shared" si="320"/>
        <v>483795.57384986302</v>
      </c>
      <c r="L2046" s="23">
        <f t="shared" si="319"/>
        <v>26042.613000000001</v>
      </c>
      <c r="M2046" s="33">
        <v>10</v>
      </c>
      <c r="N2046" s="18">
        <f t="shared" si="321"/>
        <v>5.0547945205479454</v>
      </c>
      <c r="O2046" s="23">
        <f>(H2046-L2046)/M2046*N2046-J2046+142726</f>
        <v>355785.42308684927</v>
      </c>
      <c r="P2046" s="18">
        <f t="shared" si="322"/>
        <v>6.0547945205479454</v>
      </c>
      <c r="Q2046" s="18">
        <f t="shared" si="324"/>
        <v>45775.296084986301</v>
      </c>
      <c r="R2046" s="18">
        <f t="shared" si="323"/>
        <v>401560.71917183558</v>
      </c>
      <c r="S2046" s="18">
        <v>0</v>
      </c>
    </row>
    <row r="2047" spans="1:19" ht="15" customHeight="1" x14ac:dyDescent="0.2">
      <c r="A2047" s="14">
        <f t="shared" si="325"/>
        <v>2008</v>
      </c>
      <c r="B2047" s="31" t="s">
        <v>1744</v>
      </c>
      <c r="C2047" s="15" t="s">
        <v>3</v>
      </c>
      <c r="D2047" s="31" t="s">
        <v>1708</v>
      </c>
      <c r="E2047" s="31"/>
      <c r="F2047" s="73" t="s">
        <v>4</v>
      </c>
      <c r="G2047" s="32">
        <v>42078</v>
      </c>
      <c r="H2047" s="29">
        <v>506425.13</v>
      </c>
      <c r="I2047" s="17">
        <v>0</v>
      </c>
      <c r="J2047" s="17">
        <v>50614.763677808209</v>
      </c>
      <c r="K2047" s="17">
        <f t="shared" si="320"/>
        <v>455810.36632219178</v>
      </c>
      <c r="L2047" s="23">
        <f t="shared" si="319"/>
        <v>25321.256500000003</v>
      </c>
      <c r="M2047" s="33">
        <v>10</v>
      </c>
      <c r="N2047" s="18">
        <f t="shared" si="321"/>
        <v>5.0547945205479454</v>
      </c>
      <c r="O2047" s="23">
        <f>(H2047-L2047)/M2047*N2047-J2047+131361</f>
        <v>323934.35868041095</v>
      </c>
      <c r="P2047" s="18">
        <f t="shared" si="322"/>
        <v>6.0547945205479454</v>
      </c>
      <c r="Q2047" s="18">
        <f t="shared" si="324"/>
        <v>43048.910982219182</v>
      </c>
      <c r="R2047" s="18">
        <f t="shared" si="323"/>
        <v>366983.26966263016</v>
      </c>
      <c r="S2047" s="18">
        <v>0</v>
      </c>
    </row>
    <row r="2048" spans="1:19" ht="15" customHeight="1" x14ac:dyDescent="0.2">
      <c r="A2048" s="14">
        <f t="shared" si="325"/>
        <v>2009</v>
      </c>
      <c r="B2048" s="31" t="s">
        <v>1745</v>
      </c>
      <c r="C2048" s="15" t="s">
        <v>3</v>
      </c>
      <c r="D2048" s="31" t="s">
        <v>1708</v>
      </c>
      <c r="E2048" s="31"/>
      <c r="F2048" s="73" t="s">
        <v>4</v>
      </c>
      <c r="G2048" s="32">
        <v>42078</v>
      </c>
      <c r="H2048" s="29">
        <v>377054.44</v>
      </c>
      <c r="I2048" s="17">
        <v>0</v>
      </c>
      <c r="J2048" s="17">
        <v>37684.783482739716</v>
      </c>
      <c r="K2048" s="17">
        <f t="shared" si="320"/>
        <v>339369.6565172603</v>
      </c>
      <c r="L2048" s="23">
        <f t="shared" si="319"/>
        <v>18852.722000000002</v>
      </c>
      <c r="M2048" s="33">
        <v>10</v>
      </c>
      <c r="N2048" s="18">
        <f t="shared" si="321"/>
        <v>5.0547945205479454</v>
      </c>
      <c r="O2048" s="23">
        <f t="shared" ref="O2048:O2062" si="326">(H2048-L2048)/M2048*N2048-J2048</f>
        <v>143378.82465698628</v>
      </c>
      <c r="P2048" s="18">
        <f t="shared" si="322"/>
        <v>6.0547945205479454</v>
      </c>
      <c r="Q2048" s="18">
        <f t="shared" si="324"/>
        <v>32051.693451726031</v>
      </c>
      <c r="R2048" s="18">
        <f t="shared" si="323"/>
        <v>175430.51810871231</v>
      </c>
      <c r="S2048" s="18">
        <v>0</v>
      </c>
    </row>
    <row r="2049" spans="1:19" ht="15" customHeight="1" x14ac:dyDescent="0.2">
      <c r="A2049" s="14">
        <f t="shared" si="325"/>
        <v>2010</v>
      </c>
      <c r="B2049" s="31" t="s">
        <v>1746</v>
      </c>
      <c r="C2049" s="15" t="s">
        <v>3</v>
      </c>
      <c r="D2049" s="31" t="s">
        <v>1708</v>
      </c>
      <c r="E2049" s="31"/>
      <c r="F2049" s="73" t="s">
        <v>4</v>
      </c>
      <c r="G2049" s="32">
        <v>42078</v>
      </c>
      <c r="H2049" s="29">
        <v>314846.63</v>
      </c>
      <c r="I2049" s="17">
        <v>0</v>
      </c>
      <c r="J2049" s="17">
        <v>31467.411129863016</v>
      </c>
      <c r="K2049" s="17">
        <f t="shared" si="320"/>
        <v>283379.218870137</v>
      </c>
      <c r="L2049" s="23">
        <f t="shared" si="319"/>
        <v>15742.3315</v>
      </c>
      <c r="M2049" s="33">
        <v>10</v>
      </c>
      <c r="N2049" s="18">
        <f t="shared" si="321"/>
        <v>5.0547945205479454</v>
      </c>
      <c r="O2049" s="23">
        <f t="shared" si="326"/>
        <v>119723.66578315072</v>
      </c>
      <c r="P2049" s="18">
        <f t="shared" si="322"/>
        <v>6.0547945205479454</v>
      </c>
      <c r="Q2049" s="18">
        <f t="shared" si="324"/>
        <v>26763.688737013705</v>
      </c>
      <c r="R2049" s="18">
        <f t="shared" si="323"/>
        <v>146487.35452016443</v>
      </c>
      <c r="S2049" s="18">
        <v>0</v>
      </c>
    </row>
    <row r="2050" spans="1:19" ht="15" customHeight="1" x14ac:dyDescent="0.2">
      <c r="A2050" s="14">
        <f t="shared" si="325"/>
        <v>2011</v>
      </c>
      <c r="B2050" s="31" t="s">
        <v>1747</v>
      </c>
      <c r="C2050" s="15" t="s">
        <v>3</v>
      </c>
      <c r="D2050" s="31" t="s">
        <v>1708</v>
      </c>
      <c r="E2050" s="31"/>
      <c r="F2050" s="73" t="s">
        <v>4</v>
      </c>
      <c r="G2050" s="32">
        <v>42078</v>
      </c>
      <c r="H2050" s="29">
        <v>277518.46000000002</v>
      </c>
      <c r="I2050" s="17">
        <v>0</v>
      </c>
      <c r="J2050" s="17">
        <v>27736.639509041095</v>
      </c>
      <c r="K2050" s="17">
        <f t="shared" si="320"/>
        <v>249781.82049095893</v>
      </c>
      <c r="L2050" s="23">
        <f t="shared" si="319"/>
        <v>13875.923000000003</v>
      </c>
      <c r="M2050" s="33">
        <v>10</v>
      </c>
      <c r="N2050" s="18">
        <f t="shared" si="321"/>
        <v>5.0547945205479454</v>
      </c>
      <c r="O2050" s="23">
        <f t="shared" si="326"/>
        <v>105529.24563205481</v>
      </c>
      <c r="P2050" s="18">
        <f t="shared" si="322"/>
        <v>6.0547945205479454</v>
      </c>
      <c r="Q2050" s="18">
        <f t="shared" si="324"/>
        <v>23590.589749095892</v>
      </c>
      <c r="R2050" s="18">
        <f t="shared" si="323"/>
        <v>129119.8353811507</v>
      </c>
      <c r="S2050" s="18">
        <v>0</v>
      </c>
    </row>
    <row r="2051" spans="1:19" ht="15" customHeight="1" x14ac:dyDescent="0.2">
      <c r="A2051" s="14">
        <f t="shared" si="325"/>
        <v>2012</v>
      </c>
      <c r="B2051" s="31" t="s">
        <v>1748</v>
      </c>
      <c r="C2051" s="15" t="s">
        <v>3</v>
      </c>
      <c r="D2051" s="31" t="s">
        <v>1708</v>
      </c>
      <c r="E2051" s="31"/>
      <c r="F2051" s="73" t="s">
        <v>4</v>
      </c>
      <c r="G2051" s="32">
        <v>42078</v>
      </c>
      <c r="H2051" s="29">
        <v>236040.29</v>
      </c>
      <c r="I2051" s="17">
        <v>0</v>
      </c>
      <c r="J2051" s="17">
        <v>23591.095285479452</v>
      </c>
      <c r="K2051" s="17">
        <f t="shared" si="320"/>
        <v>212449.19471452056</v>
      </c>
      <c r="L2051" s="23">
        <f t="shared" si="319"/>
        <v>11802.014500000001</v>
      </c>
      <c r="M2051" s="33">
        <v>10</v>
      </c>
      <c r="N2051" s="18">
        <f t="shared" si="321"/>
        <v>5.0547945205479454</v>
      </c>
      <c r="O2051" s="23">
        <f>(H2051-L2051)/M2051*N2051-J2051</f>
        <v>89756.745343972609</v>
      </c>
      <c r="P2051" s="18">
        <f t="shared" si="322"/>
        <v>6.0547945205479454</v>
      </c>
      <c r="Q2051" s="18">
        <f t="shared" si="324"/>
        <v>20064.718021452059</v>
      </c>
      <c r="R2051" s="18">
        <f t="shared" si="323"/>
        <v>109821.46336542467</v>
      </c>
      <c r="S2051" s="18">
        <v>0</v>
      </c>
    </row>
    <row r="2052" spans="1:19" ht="15" customHeight="1" x14ac:dyDescent="0.2">
      <c r="A2052" s="14">
        <f t="shared" si="325"/>
        <v>2013</v>
      </c>
      <c r="B2052" s="31" t="s">
        <v>1749</v>
      </c>
      <c r="C2052" s="15" t="s">
        <v>3</v>
      </c>
      <c r="D2052" s="31" t="s">
        <v>1708</v>
      </c>
      <c r="E2052" s="31"/>
      <c r="F2052" s="73" t="s">
        <v>4</v>
      </c>
      <c r="G2052" s="32">
        <v>42078</v>
      </c>
      <c r="H2052" s="29">
        <v>133492.29999999999</v>
      </c>
      <c r="I2052" s="17">
        <v>0</v>
      </c>
      <c r="J2052" s="17">
        <v>13341.915353424654</v>
      </c>
      <c r="K2052" s="17">
        <f t="shared" si="320"/>
        <v>120150.38464657533</v>
      </c>
      <c r="L2052" s="23">
        <f t="shared" si="319"/>
        <v>6674.6149999999998</v>
      </c>
      <c r="M2052" s="33">
        <v>10</v>
      </c>
      <c r="N2052" s="18">
        <f t="shared" si="321"/>
        <v>5.0547945205479454</v>
      </c>
      <c r="O2052" s="23">
        <f t="shared" si="326"/>
        <v>50761.81857123287</v>
      </c>
      <c r="P2052" s="18">
        <f t="shared" si="322"/>
        <v>6.0547945205479454</v>
      </c>
      <c r="Q2052" s="18">
        <f t="shared" si="324"/>
        <v>11347.576964657534</v>
      </c>
      <c r="R2052" s="18">
        <f t="shared" si="323"/>
        <v>62109.395535890406</v>
      </c>
      <c r="S2052" s="18">
        <v>0</v>
      </c>
    </row>
    <row r="2053" spans="1:19" ht="15" customHeight="1" x14ac:dyDescent="0.2">
      <c r="A2053" s="14">
        <f t="shared" si="325"/>
        <v>2014</v>
      </c>
      <c r="B2053" s="31" t="s">
        <v>1750</v>
      </c>
      <c r="C2053" s="15" t="s">
        <v>3</v>
      </c>
      <c r="D2053" s="31" t="s">
        <v>1708</v>
      </c>
      <c r="E2053" s="31"/>
      <c r="F2053" s="73" t="s">
        <v>4</v>
      </c>
      <c r="G2053" s="32">
        <v>42078</v>
      </c>
      <c r="H2053" s="29">
        <v>111075.79000000001</v>
      </c>
      <c r="I2053" s="17">
        <v>0</v>
      </c>
      <c r="J2053" s="17">
        <v>11101.492655342467</v>
      </c>
      <c r="K2053" s="17">
        <f t="shared" si="320"/>
        <v>99974.297344657534</v>
      </c>
      <c r="L2053" s="23">
        <f t="shared" si="319"/>
        <v>5553.7895000000008</v>
      </c>
      <c r="M2053" s="33">
        <v>10</v>
      </c>
      <c r="N2053" s="18">
        <f t="shared" si="321"/>
        <v>5.0547945205479454</v>
      </c>
      <c r="O2053" s="23">
        <f t="shared" si="326"/>
        <v>42237.710337123295</v>
      </c>
      <c r="P2053" s="18">
        <f t="shared" si="322"/>
        <v>6.0547945205479454</v>
      </c>
      <c r="Q2053" s="18">
        <f t="shared" si="324"/>
        <v>9442.0507844657532</v>
      </c>
      <c r="R2053" s="18">
        <f t="shared" si="323"/>
        <v>51679.76112158905</v>
      </c>
      <c r="S2053" s="18">
        <v>0</v>
      </c>
    </row>
    <row r="2054" spans="1:19" ht="15" customHeight="1" x14ac:dyDescent="0.2">
      <c r="A2054" s="14">
        <f t="shared" si="325"/>
        <v>2015</v>
      </c>
      <c r="B2054" s="31" t="s">
        <v>1751</v>
      </c>
      <c r="C2054" s="15" t="s">
        <v>3</v>
      </c>
      <c r="D2054" s="31" t="s">
        <v>1708</v>
      </c>
      <c r="E2054" s="31"/>
      <c r="F2054" s="73" t="s">
        <v>4</v>
      </c>
      <c r="G2054" s="32">
        <v>42078</v>
      </c>
      <c r="H2054" s="29">
        <v>100000</v>
      </c>
      <c r="I2054" s="17">
        <v>0</v>
      </c>
      <c r="J2054" s="17">
        <v>9994.5205479452052</v>
      </c>
      <c r="K2054" s="17">
        <f t="shared" si="320"/>
        <v>90005.479452054802</v>
      </c>
      <c r="L2054" s="23">
        <f t="shared" si="319"/>
        <v>5000</v>
      </c>
      <c r="M2054" s="33">
        <v>10</v>
      </c>
      <c r="N2054" s="18">
        <f t="shared" si="321"/>
        <v>5.0547945205479454</v>
      </c>
      <c r="O2054" s="23">
        <f t="shared" si="326"/>
        <v>38026.027397260274</v>
      </c>
      <c r="P2054" s="18">
        <f t="shared" si="322"/>
        <v>6.0547945205479454</v>
      </c>
      <c r="Q2054" s="18">
        <f t="shared" si="324"/>
        <v>8500.5479452054806</v>
      </c>
      <c r="R2054" s="18">
        <f t="shared" si="323"/>
        <v>46526.575342465752</v>
      </c>
      <c r="S2054" s="18">
        <v>0</v>
      </c>
    </row>
    <row r="2055" spans="1:19" ht="15" customHeight="1" x14ac:dyDescent="0.2">
      <c r="A2055" s="14">
        <f t="shared" si="325"/>
        <v>2016</v>
      </c>
      <c r="B2055" s="31" t="s">
        <v>1752</v>
      </c>
      <c r="C2055" s="15" t="s">
        <v>3</v>
      </c>
      <c r="D2055" s="31" t="s">
        <v>1708</v>
      </c>
      <c r="E2055" s="31"/>
      <c r="F2055" s="73" t="s">
        <v>4</v>
      </c>
      <c r="G2055" s="32">
        <v>42078</v>
      </c>
      <c r="H2055" s="29">
        <v>98909.52</v>
      </c>
      <c r="I2055" s="17">
        <v>0</v>
      </c>
      <c r="J2055" s="17">
        <v>9885.5323002739733</v>
      </c>
      <c r="K2055" s="17">
        <f t="shared" si="320"/>
        <v>89023.987699726029</v>
      </c>
      <c r="L2055" s="23">
        <f t="shared" si="319"/>
        <v>4945.4760000000006</v>
      </c>
      <c r="M2055" s="33">
        <v>10</v>
      </c>
      <c r="N2055" s="18">
        <f t="shared" si="321"/>
        <v>5.0547945205479454</v>
      </c>
      <c r="O2055" s="23">
        <f t="shared" si="326"/>
        <v>37611.361173698635</v>
      </c>
      <c r="P2055" s="18">
        <f t="shared" si="322"/>
        <v>6.0547945205479454</v>
      </c>
      <c r="Q2055" s="18">
        <f t="shared" si="324"/>
        <v>8407.8511699726041</v>
      </c>
      <c r="R2055" s="18">
        <f t="shared" si="323"/>
        <v>46019.212343671243</v>
      </c>
      <c r="S2055" s="18">
        <v>0</v>
      </c>
    </row>
    <row r="2056" spans="1:19" ht="15" customHeight="1" x14ac:dyDescent="0.2">
      <c r="A2056" s="14">
        <f t="shared" si="325"/>
        <v>2017</v>
      </c>
      <c r="B2056" s="31" t="s">
        <v>1753</v>
      </c>
      <c r="C2056" s="15" t="s">
        <v>3</v>
      </c>
      <c r="D2056" s="31" t="s">
        <v>1708</v>
      </c>
      <c r="E2056" s="31"/>
      <c r="F2056" s="73" t="s">
        <v>4</v>
      </c>
      <c r="G2056" s="32">
        <v>42078</v>
      </c>
      <c r="H2056" s="29">
        <v>90877.06</v>
      </c>
      <c r="I2056" s="17">
        <v>0</v>
      </c>
      <c r="J2056" s="17">
        <v>9082.7264350684927</v>
      </c>
      <c r="K2056" s="17">
        <f t="shared" si="320"/>
        <v>81794.333564931498</v>
      </c>
      <c r="L2056" s="23">
        <f t="shared" si="319"/>
        <v>4543.8530000000001</v>
      </c>
      <c r="M2056" s="33">
        <v>10</v>
      </c>
      <c r="N2056" s="18">
        <f t="shared" si="321"/>
        <v>5.0547945205479454</v>
      </c>
      <c r="O2056" s="23">
        <f t="shared" si="326"/>
        <v>34556.93573342466</v>
      </c>
      <c r="P2056" s="18">
        <f t="shared" si="322"/>
        <v>6.0547945205479454</v>
      </c>
      <c r="Q2056" s="18">
        <f t="shared" si="324"/>
        <v>7725.0480564931495</v>
      </c>
      <c r="R2056" s="18">
        <f t="shared" si="323"/>
        <v>42281.983789917809</v>
      </c>
      <c r="S2056" s="18">
        <v>0</v>
      </c>
    </row>
    <row r="2057" spans="1:19" ht="15" customHeight="1" x14ac:dyDescent="0.2">
      <c r="A2057" s="14">
        <f t="shared" si="325"/>
        <v>2018</v>
      </c>
      <c r="B2057" s="31" t="s">
        <v>1754</v>
      </c>
      <c r="C2057" s="15" t="s">
        <v>3</v>
      </c>
      <c r="D2057" s="31" t="s">
        <v>1708</v>
      </c>
      <c r="E2057" s="31"/>
      <c r="F2057" s="73" t="s">
        <v>4</v>
      </c>
      <c r="G2057" s="32">
        <v>42078</v>
      </c>
      <c r="H2057" s="29">
        <v>51817.25</v>
      </c>
      <c r="I2057" s="17">
        <v>0</v>
      </c>
      <c r="J2057" s="17">
        <v>5178.8856986301362</v>
      </c>
      <c r="K2057" s="17">
        <f t="shared" si="320"/>
        <v>46638.36430136986</v>
      </c>
      <c r="L2057" s="23">
        <f t="shared" si="319"/>
        <v>2590.8625000000002</v>
      </c>
      <c r="M2057" s="33">
        <v>10</v>
      </c>
      <c r="N2057" s="18">
        <f t="shared" si="321"/>
        <v>5.0547945205479454</v>
      </c>
      <c r="O2057" s="23">
        <f t="shared" si="326"/>
        <v>19704.041681506853</v>
      </c>
      <c r="P2057" s="18">
        <f t="shared" si="322"/>
        <v>6.0547945205479454</v>
      </c>
      <c r="Q2057" s="18">
        <f t="shared" si="324"/>
        <v>4404.7501801369863</v>
      </c>
      <c r="R2057" s="18">
        <f t="shared" si="323"/>
        <v>24108.79186164384</v>
      </c>
      <c r="S2057" s="18">
        <v>0</v>
      </c>
    </row>
    <row r="2058" spans="1:19" ht="15" customHeight="1" x14ac:dyDescent="0.2">
      <c r="A2058" s="14">
        <f t="shared" si="325"/>
        <v>2019</v>
      </c>
      <c r="B2058" s="31" t="s">
        <v>1755</v>
      </c>
      <c r="C2058" s="15" t="s">
        <v>3</v>
      </c>
      <c r="D2058" s="31" t="s">
        <v>1708</v>
      </c>
      <c r="E2058" s="31"/>
      <c r="F2058" s="73" t="s">
        <v>4</v>
      </c>
      <c r="G2058" s="32">
        <v>41988</v>
      </c>
      <c r="H2058" s="29">
        <v>38293</v>
      </c>
      <c r="I2058" s="17">
        <v>0</v>
      </c>
      <c r="J2058" s="17">
        <v>4724.2021643835615</v>
      </c>
      <c r="K2058" s="17">
        <f t="shared" si="320"/>
        <v>33568.797835616439</v>
      </c>
      <c r="L2058" s="23">
        <f t="shared" si="319"/>
        <v>1914.65</v>
      </c>
      <c r="M2058" s="33">
        <v>10</v>
      </c>
      <c r="N2058" s="18">
        <f t="shared" si="321"/>
        <v>5.3013698630136989</v>
      </c>
      <c r="O2058" s="23">
        <f t="shared" si="326"/>
        <v>14561.30667123288</v>
      </c>
      <c r="P2058" s="18">
        <f t="shared" si="322"/>
        <v>6.3013698630136989</v>
      </c>
      <c r="Q2058" s="18">
        <f t="shared" si="324"/>
        <v>3165.4147835616441</v>
      </c>
      <c r="R2058" s="18">
        <f t="shared" si="323"/>
        <v>17726.721454794526</v>
      </c>
      <c r="S2058" s="18">
        <v>0</v>
      </c>
    </row>
    <row r="2059" spans="1:19" ht="15" customHeight="1" x14ac:dyDescent="0.2">
      <c r="A2059" s="14">
        <f t="shared" si="325"/>
        <v>2020</v>
      </c>
      <c r="B2059" s="31" t="s">
        <v>1756</v>
      </c>
      <c r="C2059" s="15" t="s">
        <v>3</v>
      </c>
      <c r="D2059" s="31" t="s">
        <v>1708</v>
      </c>
      <c r="E2059" s="31"/>
      <c r="F2059" s="73" t="s">
        <v>4</v>
      </c>
      <c r="G2059" s="32">
        <v>42078</v>
      </c>
      <c r="H2059" s="29">
        <v>32000</v>
      </c>
      <c r="I2059" s="17">
        <v>0</v>
      </c>
      <c r="J2059" s="17">
        <v>3198.2465753424653</v>
      </c>
      <c r="K2059" s="17">
        <f t="shared" si="320"/>
        <v>28801.753424657534</v>
      </c>
      <c r="L2059" s="23">
        <f t="shared" si="319"/>
        <v>1600</v>
      </c>
      <c r="M2059" s="33">
        <v>10</v>
      </c>
      <c r="N2059" s="18">
        <f t="shared" si="321"/>
        <v>5.0547945205479454</v>
      </c>
      <c r="O2059" s="23">
        <f t="shared" si="326"/>
        <v>12168.328767123288</v>
      </c>
      <c r="P2059" s="18">
        <f t="shared" si="322"/>
        <v>6.0547945205479454</v>
      </c>
      <c r="Q2059" s="18">
        <f t="shared" si="324"/>
        <v>2720.1753424657536</v>
      </c>
      <c r="R2059" s="18">
        <f t="shared" si="323"/>
        <v>14888.504109589041</v>
      </c>
      <c r="S2059" s="18">
        <v>0</v>
      </c>
    </row>
    <row r="2060" spans="1:19" ht="15" customHeight="1" x14ac:dyDescent="0.2">
      <c r="A2060" s="14">
        <f t="shared" si="325"/>
        <v>2021</v>
      </c>
      <c r="B2060" s="31" t="s">
        <v>1757</v>
      </c>
      <c r="C2060" s="15" t="s">
        <v>3</v>
      </c>
      <c r="D2060" s="31" t="s">
        <v>1708</v>
      </c>
      <c r="E2060" s="31"/>
      <c r="F2060" s="73" t="s">
        <v>4</v>
      </c>
      <c r="G2060" s="32">
        <v>42050</v>
      </c>
      <c r="H2060" s="29">
        <v>26019.57</v>
      </c>
      <c r="I2060" s="17">
        <v>0</v>
      </c>
      <c r="J2060" s="17">
        <v>2790.1533419178081</v>
      </c>
      <c r="K2060" s="17">
        <f t="shared" si="320"/>
        <v>23229.416658082191</v>
      </c>
      <c r="L2060" s="23">
        <f t="shared" si="319"/>
        <v>1300.9785000000002</v>
      </c>
      <c r="M2060" s="33">
        <v>10</v>
      </c>
      <c r="N2060" s="18">
        <f t="shared" si="321"/>
        <v>5.1315068493150688</v>
      </c>
      <c r="O2060" s="23">
        <f t="shared" si="326"/>
        <v>9894.2088168493137</v>
      </c>
      <c r="P2060" s="18">
        <f t="shared" si="322"/>
        <v>6.1315068493150688</v>
      </c>
      <c r="Q2060" s="18">
        <f t="shared" si="324"/>
        <v>2192.843815808219</v>
      </c>
      <c r="R2060" s="18">
        <f t="shared" si="323"/>
        <v>12087.052632657533</v>
      </c>
      <c r="S2060" s="18">
        <v>0</v>
      </c>
    </row>
    <row r="2061" spans="1:19" ht="15" customHeight="1" x14ac:dyDescent="0.2">
      <c r="A2061" s="14">
        <f t="shared" si="325"/>
        <v>2022</v>
      </c>
      <c r="B2061" s="31" t="s">
        <v>1758</v>
      </c>
      <c r="C2061" s="15" t="s">
        <v>3</v>
      </c>
      <c r="D2061" s="31" t="s">
        <v>1708</v>
      </c>
      <c r="E2061" s="31"/>
      <c r="F2061" s="73" t="s">
        <v>4</v>
      </c>
      <c r="G2061" s="32">
        <v>42078</v>
      </c>
      <c r="H2061" s="29">
        <v>15960</v>
      </c>
      <c r="I2061" s="17">
        <v>0</v>
      </c>
      <c r="J2061" s="17">
        <v>1595.1254794520546</v>
      </c>
      <c r="K2061" s="17">
        <f t="shared" si="320"/>
        <v>14364.874520547946</v>
      </c>
      <c r="L2061" s="23">
        <f t="shared" si="319"/>
        <v>798</v>
      </c>
      <c r="M2061" s="33">
        <v>10</v>
      </c>
      <c r="N2061" s="18">
        <f t="shared" si="321"/>
        <v>5.0547945205479454</v>
      </c>
      <c r="O2061" s="23">
        <f t="shared" si="326"/>
        <v>6068.9539726027406</v>
      </c>
      <c r="P2061" s="18">
        <f t="shared" si="322"/>
        <v>6.0547945205479454</v>
      </c>
      <c r="Q2061" s="18">
        <f t="shared" si="324"/>
        <v>1356.6874520547947</v>
      </c>
      <c r="R2061" s="18">
        <f t="shared" si="323"/>
        <v>7425.641424657535</v>
      </c>
      <c r="S2061" s="18">
        <v>0</v>
      </c>
    </row>
    <row r="2062" spans="1:19" ht="15" customHeight="1" x14ac:dyDescent="0.2">
      <c r="A2062" s="14">
        <f t="shared" si="325"/>
        <v>2023</v>
      </c>
      <c r="B2062" s="31" t="s">
        <v>1759</v>
      </c>
      <c r="C2062" s="15" t="s">
        <v>3</v>
      </c>
      <c r="D2062" s="31" t="s">
        <v>1708</v>
      </c>
      <c r="E2062" s="31"/>
      <c r="F2062" s="73" t="s">
        <v>4</v>
      </c>
      <c r="G2062" s="32">
        <v>42019</v>
      </c>
      <c r="H2062" s="29">
        <v>55564.27</v>
      </c>
      <c r="I2062" s="17">
        <v>0</v>
      </c>
      <c r="J2062" s="17">
        <v>6406.636446438356</v>
      </c>
      <c r="K2062" s="17">
        <f t="shared" si="320"/>
        <v>49157.633553561638</v>
      </c>
      <c r="L2062" s="23">
        <f t="shared" si="319"/>
        <v>2778.2134999999998</v>
      </c>
      <c r="M2062" s="33">
        <v>10</v>
      </c>
      <c r="N2062" s="18">
        <f t="shared" si="321"/>
        <v>5.2164383561643834</v>
      </c>
      <c r="O2062" s="23">
        <f t="shared" si="326"/>
        <v>21128.88453328767</v>
      </c>
      <c r="P2062" s="18">
        <f t="shared" si="322"/>
        <v>6.2164383561643834</v>
      </c>
      <c r="Q2062" s="18">
        <f t="shared" si="324"/>
        <v>4637.9420053561644</v>
      </c>
      <c r="R2062" s="18">
        <f t="shared" si="323"/>
        <v>25766.826538643836</v>
      </c>
      <c r="S2062" s="18">
        <v>0</v>
      </c>
    </row>
    <row r="2063" spans="1:19" ht="15" customHeight="1" x14ac:dyDescent="0.2">
      <c r="A2063" s="14">
        <f t="shared" si="325"/>
        <v>2024</v>
      </c>
      <c r="B2063" s="31" t="s">
        <v>1760</v>
      </c>
      <c r="C2063" s="15" t="s">
        <v>3</v>
      </c>
      <c r="D2063" s="31" t="s">
        <v>1708</v>
      </c>
      <c r="E2063" s="31"/>
      <c r="F2063" s="73" t="s">
        <v>4</v>
      </c>
      <c r="G2063" s="32">
        <v>41805</v>
      </c>
      <c r="H2063" s="29">
        <v>22897.200000000001</v>
      </c>
      <c r="I2063" s="17">
        <v>0</v>
      </c>
      <c r="J2063" s="17">
        <f t="shared" ref="J2063:J2065" si="327">H2063-L2063</f>
        <v>21752.34</v>
      </c>
      <c r="K2063" s="17">
        <f t="shared" si="320"/>
        <v>1144.8600000000006</v>
      </c>
      <c r="L2063" s="23">
        <f t="shared" si="319"/>
        <v>1144.8600000000001</v>
      </c>
      <c r="M2063" s="33">
        <v>5</v>
      </c>
      <c r="N2063" s="18">
        <f t="shared" si="321"/>
        <v>5.8027397260273972</v>
      </c>
      <c r="O2063" s="23">
        <f>(H2063-K2063)/2</f>
        <v>10876.17</v>
      </c>
      <c r="P2063" s="18">
        <f t="shared" si="322"/>
        <v>6.8027397260273972</v>
      </c>
      <c r="Q2063" s="18">
        <f t="shared" si="324"/>
        <v>9.0949470177292829E-14</v>
      </c>
      <c r="R2063" s="18">
        <f t="shared" si="323"/>
        <v>10876.17</v>
      </c>
      <c r="S2063" s="18">
        <v>0</v>
      </c>
    </row>
    <row r="2064" spans="1:19" ht="15" customHeight="1" x14ac:dyDescent="0.2">
      <c r="A2064" s="14">
        <f t="shared" si="325"/>
        <v>2025</v>
      </c>
      <c r="B2064" s="31" t="s">
        <v>1761</v>
      </c>
      <c r="C2064" s="15" t="s">
        <v>3</v>
      </c>
      <c r="D2064" s="31" t="s">
        <v>1708</v>
      </c>
      <c r="E2064" s="31"/>
      <c r="F2064" s="73" t="s">
        <v>4</v>
      </c>
      <c r="G2064" s="32">
        <v>41774</v>
      </c>
      <c r="H2064" s="29">
        <v>36784.730000000003</v>
      </c>
      <c r="I2064" s="17">
        <v>0</v>
      </c>
      <c r="J2064" s="17">
        <f t="shared" si="327"/>
        <v>34945.493500000004</v>
      </c>
      <c r="K2064" s="17">
        <f t="shared" si="320"/>
        <v>1839.2364999999991</v>
      </c>
      <c r="L2064" s="23">
        <f t="shared" si="319"/>
        <v>1839.2365000000002</v>
      </c>
      <c r="M2064" s="33">
        <v>5</v>
      </c>
      <c r="N2064" s="18">
        <f t="shared" si="321"/>
        <v>5.8876712328767127</v>
      </c>
      <c r="O2064" s="23">
        <f t="shared" ref="O2064:O2065" si="328">(H2064-K2064)/2</f>
        <v>17472.746750000002</v>
      </c>
      <c r="P2064" s="18">
        <f t="shared" si="322"/>
        <v>6.8876712328767127</v>
      </c>
      <c r="Q2064" s="18">
        <f t="shared" si="324"/>
        <v>-2.2737367544323206E-13</v>
      </c>
      <c r="R2064" s="18">
        <f t="shared" si="323"/>
        <v>17472.746750000002</v>
      </c>
      <c r="S2064" s="18">
        <v>0</v>
      </c>
    </row>
    <row r="2065" spans="1:19" ht="15" customHeight="1" x14ac:dyDescent="0.2">
      <c r="A2065" s="14">
        <f t="shared" si="325"/>
        <v>2026</v>
      </c>
      <c r="B2065" s="31" t="s">
        <v>1762</v>
      </c>
      <c r="C2065" s="15" t="s">
        <v>3</v>
      </c>
      <c r="D2065" s="31" t="s">
        <v>1708</v>
      </c>
      <c r="E2065" s="31"/>
      <c r="F2065" s="73" t="s">
        <v>4</v>
      </c>
      <c r="G2065" s="32">
        <v>41608</v>
      </c>
      <c r="H2065" s="29">
        <v>28550</v>
      </c>
      <c r="I2065" s="17">
        <v>0</v>
      </c>
      <c r="J2065" s="17">
        <f t="shared" si="327"/>
        <v>27122.5</v>
      </c>
      <c r="K2065" s="17">
        <f t="shared" si="320"/>
        <v>1427.5</v>
      </c>
      <c r="L2065" s="23">
        <f t="shared" si="319"/>
        <v>1427.5</v>
      </c>
      <c r="M2065" s="33">
        <v>5</v>
      </c>
      <c r="N2065" s="18">
        <f t="shared" si="321"/>
        <v>6.3424657534246576</v>
      </c>
      <c r="O2065" s="23">
        <f t="shared" si="328"/>
        <v>13561.25</v>
      </c>
      <c r="P2065" s="18">
        <f t="shared" si="322"/>
        <v>7.3424657534246576</v>
      </c>
      <c r="Q2065" s="18">
        <f t="shared" si="324"/>
        <v>0</v>
      </c>
      <c r="R2065" s="18">
        <f t="shared" si="323"/>
        <v>13561.25</v>
      </c>
      <c r="S2065" s="18">
        <v>0</v>
      </c>
    </row>
    <row r="2066" spans="1:19" ht="15" customHeight="1" x14ac:dyDescent="0.2">
      <c r="A2066" s="14">
        <f t="shared" si="325"/>
        <v>2027</v>
      </c>
      <c r="B2066" s="31" t="s">
        <v>1763</v>
      </c>
      <c r="C2066" s="15" t="s">
        <v>3</v>
      </c>
      <c r="D2066" s="31" t="s">
        <v>1708</v>
      </c>
      <c r="E2066" s="31"/>
      <c r="F2066" s="73" t="s">
        <v>4</v>
      </c>
      <c r="G2066" s="32">
        <v>42019</v>
      </c>
      <c r="H2066" s="29">
        <v>43156.36</v>
      </c>
      <c r="I2066" s="17">
        <v>0</v>
      </c>
      <c r="J2066" s="17">
        <v>4975.9874263013699</v>
      </c>
      <c r="K2066" s="17">
        <f t="shared" si="320"/>
        <v>38180.372573698631</v>
      </c>
      <c r="L2066" s="23">
        <f t="shared" si="319"/>
        <v>2157.8180000000002</v>
      </c>
      <c r="M2066" s="33">
        <v>10</v>
      </c>
      <c r="N2066" s="18">
        <f t="shared" si="321"/>
        <v>5.2164383561643834</v>
      </c>
      <c r="O2066" s="23">
        <f t="shared" ref="O2066:O2071" si="329">(H2066-L2066)/M2066*N2066-J2066</f>
        <v>16410.649277260272</v>
      </c>
      <c r="P2066" s="18">
        <f t="shared" si="322"/>
        <v>6.2164383561643834</v>
      </c>
      <c r="Q2066" s="18">
        <f t="shared" si="324"/>
        <v>3602.2554573698635</v>
      </c>
      <c r="R2066" s="18">
        <f t="shared" si="323"/>
        <v>20012.904734630138</v>
      </c>
      <c r="S2066" s="18">
        <v>0</v>
      </c>
    </row>
    <row r="2067" spans="1:19" ht="15" customHeight="1" x14ac:dyDescent="0.2">
      <c r="A2067" s="14">
        <f t="shared" si="325"/>
        <v>2028</v>
      </c>
      <c r="B2067" s="31" t="s">
        <v>1764</v>
      </c>
      <c r="C2067" s="15" t="s">
        <v>3</v>
      </c>
      <c r="D2067" s="31" t="s">
        <v>1708</v>
      </c>
      <c r="E2067" s="31"/>
      <c r="F2067" s="73" t="s">
        <v>4</v>
      </c>
      <c r="G2067" s="32">
        <v>42078</v>
      </c>
      <c r="H2067" s="29">
        <v>8797.07</v>
      </c>
      <c r="I2067" s="17">
        <v>0</v>
      </c>
      <c r="J2067" s="17">
        <v>879.2249687671233</v>
      </c>
      <c r="K2067" s="17">
        <f t="shared" si="320"/>
        <v>7917.8450312328769</v>
      </c>
      <c r="L2067" s="23">
        <f t="shared" si="319"/>
        <v>439.8535</v>
      </c>
      <c r="M2067" s="33">
        <v>10</v>
      </c>
      <c r="N2067" s="18">
        <f t="shared" si="321"/>
        <v>5.0547945205479454</v>
      </c>
      <c r="O2067" s="23">
        <f t="shared" si="329"/>
        <v>3345.1762483561647</v>
      </c>
      <c r="P2067" s="18">
        <f t="shared" si="322"/>
        <v>6.0547945205479454</v>
      </c>
      <c r="Q2067" s="18">
        <f t="shared" si="324"/>
        <v>747.79915312328774</v>
      </c>
      <c r="R2067" s="18">
        <f t="shared" si="323"/>
        <v>4092.9754014794526</v>
      </c>
      <c r="S2067" s="18">
        <v>0</v>
      </c>
    </row>
    <row r="2068" spans="1:19" ht="15" customHeight="1" x14ac:dyDescent="0.2">
      <c r="A2068" s="14">
        <f t="shared" si="325"/>
        <v>2029</v>
      </c>
      <c r="B2068" s="31" t="s">
        <v>1765</v>
      </c>
      <c r="C2068" s="15" t="s">
        <v>3</v>
      </c>
      <c r="D2068" s="31" t="s">
        <v>1708</v>
      </c>
      <c r="E2068" s="31"/>
      <c r="F2068" s="73" t="s">
        <v>4</v>
      </c>
      <c r="G2068" s="32">
        <v>42019</v>
      </c>
      <c r="H2068" s="29">
        <v>34304</v>
      </c>
      <c r="I2068" s="17">
        <v>0</v>
      </c>
      <c r="J2068" s="17">
        <v>3955.298191780822</v>
      </c>
      <c r="K2068" s="17">
        <f t="shared" si="320"/>
        <v>30348.701808219179</v>
      </c>
      <c r="L2068" s="23">
        <f t="shared" si="319"/>
        <v>1715.2</v>
      </c>
      <c r="M2068" s="33">
        <v>10</v>
      </c>
      <c r="N2068" s="18">
        <f t="shared" si="321"/>
        <v>5.2164383561643834</v>
      </c>
      <c r="O2068" s="23">
        <f t="shared" si="329"/>
        <v>13044.448438356165</v>
      </c>
      <c r="P2068" s="18">
        <f t="shared" si="322"/>
        <v>6.2164383561643834</v>
      </c>
      <c r="Q2068" s="18">
        <f t="shared" si="324"/>
        <v>2863.350180821918</v>
      </c>
      <c r="R2068" s="18">
        <f t="shared" si="323"/>
        <v>15907.798619178084</v>
      </c>
      <c r="S2068" s="18">
        <v>0</v>
      </c>
    </row>
    <row r="2069" spans="1:19" ht="15" customHeight="1" x14ac:dyDescent="0.2">
      <c r="A2069" s="14">
        <f t="shared" si="325"/>
        <v>2030</v>
      </c>
      <c r="B2069" s="31" t="s">
        <v>1766</v>
      </c>
      <c r="C2069" s="15" t="s">
        <v>3</v>
      </c>
      <c r="D2069" s="31" t="s">
        <v>1708</v>
      </c>
      <c r="E2069" s="31"/>
      <c r="F2069" s="73" t="s">
        <v>4</v>
      </c>
      <c r="G2069" s="32">
        <v>42019</v>
      </c>
      <c r="H2069" s="29">
        <v>34031.57</v>
      </c>
      <c r="I2069" s="17">
        <v>0</v>
      </c>
      <c r="J2069" s="17">
        <v>3923.8866395890414</v>
      </c>
      <c r="K2069" s="17">
        <f t="shared" si="320"/>
        <v>30107.68336041096</v>
      </c>
      <c r="L2069" s="23">
        <f t="shared" ref="L2069:L2132" si="330">H2069*0.05</f>
        <v>1701.5785000000001</v>
      </c>
      <c r="M2069" s="33">
        <v>10</v>
      </c>
      <c r="N2069" s="18">
        <f t="shared" si="321"/>
        <v>5.2164383561643834</v>
      </c>
      <c r="O2069" s="23">
        <f t="shared" si="329"/>
        <v>12940.854131917809</v>
      </c>
      <c r="P2069" s="18">
        <f t="shared" si="322"/>
        <v>6.2164383561643834</v>
      </c>
      <c r="Q2069" s="18">
        <f t="shared" si="324"/>
        <v>2840.610486041096</v>
      </c>
      <c r="R2069" s="18">
        <f t="shared" si="323"/>
        <v>15781.464617958905</v>
      </c>
      <c r="S2069" s="18">
        <v>0</v>
      </c>
    </row>
    <row r="2070" spans="1:19" ht="15" customHeight="1" x14ac:dyDescent="0.2">
      <c r="A2070" s="14">
        <f t="shared" si="325"/>
        <v>2031</v>
      </c>
      <c r="B2070" s="31" t="s">
        <v>1767</v>
      </c>
      <c r="C2070" s="15" t="s">
        <v>3</v>
      </c>
      <c r="D2070" s="31" t="s">
        <v>1708</v>
      </c>
      <c r="E2070" s="31"/>
      <c r="F2070" s="73" t="s">
        <v>4</v>
      </c>
      <c r="G2070" s="32">
        <v>42019</v>
      </c>
      <c r="H2070" s="29">
        <v>32759</v>
      </c>
      <c r="I2070" s="17">
        <v>0</v>
      </c>
      <c r="J2070" s="17">
        <v>3777.1575753424659</v>
      </c>
      <c r="K2070" s="17">
        <f t="shared" si="320"/>
        <v>28981.842424657534</v>
      </c>
      <c r="L2070" s="23">
        <f t="shared" si="330"/>
        <v>1637.95</v>
      </c>
      <c r="M2070" s="33">
        <v>10</v>
      </c>
      <c r="N2070" s="18">
        <f t="shared" si="321"/>
        <v>5.2164383561643834</v>
      </c>
      <c r="O2070" s="23">
        <f t="shared" si="329"/>
        <v>12456.946315068493</v>
      </c>
      <c r="P2070" s="18">
        <f t="shared" si="322"/>
        <v>6.2164383561643834</v>
      </c>
      <c r="Q2070" s="18">
        <f t="shared" si="324"/>
        <v>2734.3892424657533</v>
      </c>
      <c r="R2070" s="18">
        <f t="shared" si="323"/>
        <v>15191.335557534247</v>
      </c>
      <c r="S2070" s="18">
        <v>0</v>
      </c>
    </row>
    <row r="2071" spans="1:19" ht="15" customHeight="1" x14ac:dyDescent="0.2">
      <c r="A2071" s="14">
        <f t="shared" si="325"/>
        <v>2032</v>
      </c>
      <c r="B2071" s="31" t="s">
        <v>1274</v>
      </c>
      <c r="C2071" s="15" t="s">
        <v>3</v>
      </c>
      <c r="D2071" s="31" t="s">
        <v>1708</v>
      </c>
      <c r="E2071" s="31"/>
      <c r="F2071" s="73" t="s">
        <v>4</v>
      </c>
      <c r="G2071" s="32">
        <v>42019</v>
      </c>
      <c r="H2071" s="29">
        <v>30400</v>
      </c>
      <c r="I2071" s="17">
        <v>0</v>
      </c>
      <c r="J2071" s="17">
        <v>3505.1616438356164</v>
      </c>
      <c r="K2071" s="17">
        <f t="shared" si="320"/>
        <v>26894.838356164382</v>
      </c>
      <c r="L2071" s="23">
        <f t="shared" si="330"/>
        <v>1520</v>
      </c>
      <c r="M2071" s="33">
        <v>10</v>
      </c>
      <c r="N2071" s="18">
        <f t="shared" si="321"/>
        <v>5.2164383561643834</v>
      </c>
      <c r="O2071" s="23">
        <f t="shared" si="329"/>
        <v>11559.912328767123</v>
      </c>
      <c r="P2071" s="18">
        <f t="shared" si="322"/>
        <v>6.2164383561643834</v>
      </c>
      <c r="Q2071" s="18">
        <f t="shared" si="324"/>
        <v>2537.4838356164382</v>
      </c>
      <c r="R2071" s="18">
        <f t="shared" si="323"/>
        <v>14097.396164383561</v>
      </c>
      <c r="S2071" s="18">
        <v>0</v>
      </c>
    </row>
    <row r="2072" spans="1:19" ht="15" customHeight="1" x14ac:dyDescent="0.2">
      <c r="A2072" s="14">
        <f t="shared" si="325"/>
        <v>2033</v>
      </c>
      <c r="B2072" s="31" t="s">
        <v>1768</v>
      </c>
      <c r="C2072" s="15" t="s">
        <v>3</v>
      </c>
      <c r="D2072" s="31" t="s">
        <v>1708</v>
      </c>
      <c r="E2072" s="31"/>
      <c r="F2072" s="73" t="s">
        <v>4</v>
      </c>
      <c r="G2072" s="32">
        <v>41608</v>
      </c>
      <c r="H2072" s="29">
        <v>16198</v>
      </c>
      <c r="I2072" s="17">
        <v>0</v>
      </c>
      <c r="J2072" s="17">
        <f t="shared" ref="J2072" si="331">H2072-L2072</f>
        <v>15388.1</v>
      </c>
      <c r="K2072" s="17">
        <f t="shared" si="320"/>
        <v>809.89999999999964</v>
      </c>
      <c r="L2072" s="23">
        <f t="shared" si="330"/>
        <v>809.90000000000009</v>
      </c>
      <c r="M2072" s="33">
        <v>5</v>
      </c>
      <c r="N2072" s="18">
        <f t="shared" si="321"/>
        <v>6.3424657534246576</v>
      </c>
      <c r="O2072" s="23">
        <f>(H2072-K2072)/2</f>
        <v>7694.05</v>
      </c>
      <c r="P2072" s="18">
        <f t="shared" si="322"/>
        <v>7.3424657534246576</v>
      </c>
      <c r="Q2072" s="18">
        <f t="shared" si="324"/>
        <v>-9.0949470177292829E-14</v>
      </c>
      <c r="R2072" s="18">
        <f t="shared" si="323"/>
        <v>7694.05</v>
      </c>
      <c r="S2072" s="18">
        <v>0</v>
      </c>
    </row>
    <row r="2073" spans="1:19" ht="15" customHeight="1" x14ac:dyDescent="0.2">
      <c r="A2073" s="14">
        <f t="shared" si="325"/>
        <v>2034</v>
      </c>
      <c r="B2073" s="31" t="s">
        <v>1769</v>
      </c>
      <c r="C2073" s="15" t="s">
        <v>3</v>
      </c>
      <c r="D2073" s="31" t="s">
        <v>1708</v>
      </c>
      <c r="E2073" s="31"/>
      <c r="F2073" s="73" t="s">
        <v>4</v>
      </c>
      <c r="G2073" s="32">
        <v>42019</v>
      </c>
      <c r="H2073" s="29">
        <v>23940</v>
      </c>
      <c r="I2073" s="17">
        <v>0</v>
      </c>
      <c r="J2073" s="17">
        <v>2760.3147945205483</v>
      </c>
      <c r="K2073" s="17">
        <f t="shared" si="320"/>
        <v>21179.685205479451</v>
      </c>
      <c r="L2073" s="23">
        <f t="shared" si="330"/>
        <v>1197</v>
      </c>
      <c r="M2073" s="33">
        <v>10</v>
      </c>
      <c r="N2073" s="18">
        <f t="shared" si="321"/>
        <v>5.2164383561643834</v>
      </c>
      <c r="O2073" s="23">
        <f>(H2073-L2073)/M2073*N2073-J2073</f>
        <v>9103.4309589041113</v>
      </c>
      <c r="P2073" s="18">
        <f t="shared" si="322"/>
        <v>6.2164383561643834</v>
      </c>
      <c r="Q2073" s="18">
        <f t="shared" si="324"/>
        <v>1998.2685205479452</v>
      </c>
      <c r="R2073" s="18">
        <f t="shared" si="323"/>
        <v>11101.699479452056</v>
      </c>
      <c r="S2073" s="18">
        <v>0</v>
      </c>
    </row>
    <row r="2074" spans="1:19" ht="15" customHeight="1" x14ac:dyDescent="0.2">
      <c r="A2074" s="14">
        <f t="shared" si="325"/>
        <v>2035</v>
      </c>
      <c r="B2074" s="31" t="s">
        <v>1770</v>
      </c>
      <c r="C2074" s="15" t="s">
        <v>3</v>
      </c>
      <c r="D2074" s="31" t="s">
        <v>1708</v>
      </c>
      <c r="E2074" s="31"/>
      <c r="F2074" s="73" t="s">
        <v>4</v>
      </c>
      <c r="G2074" s="32">
        <v>42019</v>
      </c>
      <c r="H2074" s="29">
        <v>23447.24</v>
      </c>
      <c r="I2074" s="17">
        <v>0</v>
      </c>
      <c r="J2074" s="17">
        <v>2703.4988915068493</v>
      </c>
      <c r="K2074" s="17">
        <f t="shared" si="320"/>
        <v>20743.741108493152</v>
      </c>
      <c r="L2074" s="23">
        <f t="shared" si="330"/>
        <v>1172.3620000000001</v>
      </c>
      <c r="M2074" s="33">
        <v>10</v>
      </c>
      <c r="N2074" s="18">
        <f t="shared" si="321"/>
        <v>5.2164383561643834</v>
      </c>
      <c r="O2074" s="23">
        <f>(H2074-L2074)/M2074*N2074-J2074</f>
        <v>8916.0539063013694</v>
      </c>
      <c r="P2074" s="18">
        <f t="shared" si="322"/>
        <v>6.2164383561643834</v>
      </c>
      <c r="Q2074" s="18">
        <f t="shared" si="324"/>
        <v>1957.1379108493152</v>
      </c>
      <c r="R2074" s="18">
        <f t="shared" si="323"/>
        <v>10873.191817150684</v>
      </c>
      <c r="S2074" s="18">
        <v>0</v>
      </c>
    </row>
    <row r="2075" spans="1:19" ht="15" customHeight="1" x14ac:dyDescent="0.2">
      <c r="A2075" s="14">
        <f t="shared" si="325"/>
        <v>2036</v>
      </c>
      <c r="B2075" s="31" t="s">
        <v>1771</v>
      </c>
      <c r="C2075" s="15" t="s">
        <v>3</v>
      </c>
      <c r="D2075" s="31" t="s">
        <v>1708</v>
      </c>
      <c r="E2075" s="31"/>
      <c r="F2075" s="73" t="s">
        <v>4</v>
      </c>
      <c r="G2075" s="32">
        <v>42019</v>
      </c>
      <c r="H2075" s="29">
        <v>22875</v>
      </c>
      <c r="I2075" s="17">
        <v>0</v>
      </c>
      <c r="J2075" s="17">
        <v>2637.5188356164385</v>
      </c>
      <c r="K2075" s="17">
        <f t="shared" si="320"/>
        <v>20237.48116438356</v>
      </c>
      <c r="L2075" s="23">
        <f t="shared" si="330"/>
        <v>1143.75</v>
      </c>
      <c r="M2075" s="33">
        <v>10</v>
      </c>
      <c r="N2075" s="18">
        <f t="shared" si="321"/>
        <v>5.2164383561643834</v>
      </c>
      <c r="O2075" s="23">
        <f>(H2075-L2075)/M2075*N2075-J2075</f>
        <v>8698.4537671232883</v>
      </c>
      <c r="P2075" s="18">
        <f t="shared" si="322"/>
        <v>6.2164383561643834</v>
      </c>
      <c r="Q2075" s="18">
        <f t="shared" si="324"/>
        <v>1909.3731164383562</v>
      </c>
      <c r="R2075" s="18">
        <f t="shared" si="323"/>
        <v>10607.826883561644</v>
      </c>
      <c r="S2075" s="18">
        <v>0</v>
      </c>
    </row>
    <row r="2076" spans="1:19" ht="15" customHeight="1" x14ac:dyDescent="0.2">
      <c r="A2076" s="14">
        <f t="shared" si="325"/>
        <v>2037</v>
      </c>
      <c r="B2076" s="31" t="s">
        <v>1772</v>
      </c>
      <c r="C2076" s="15" t="s">
        <v>3</v>
      </c>
      <c r="D2076" s="31" t="s">
        <v>1708</v>
      </c>
      <c r="E2076" s="31"/>
      <c r="F2076" s="73" t="s">
        <v>4</v>
      </c>
      <c r="G2076" s="32">
        <v>42050</v>
      </c>
      <c r="H2076" s="29">
        <v>6840.07</v>
      </c>
      <c r="I2076" s="17">
        <v>0</v>
      </c>
      <c r="J2076" s="17">
        <v>733.48038301369866</v>
      </c>
      <c r="K2076" s="17">
        <f t="shared" si="320"/>
        <v>6106.5896169863008</v>
      </c>
      <c r="L2076" s="23">
        <f t="shared" si="330"/>
        <v>342.00350000000003</v>
      </c>
      <c r="M2076" s="33">
        <v>10</v>
      </c>
      <c r="N2076" s="18">
        <f t="shared" si="321"/>
        <v>5.1315068493150688</v>
      </c>
      <c r="O2076" s="23">
        <f>(H2076-L2076)/M2076*N2076-J2076</f>
        <v>2601.0068921917809</v>
      </c>
      <c r="P2076" s="18">
        <f t="shared" si="322"/>
        <v>6.1315068493150688</v>
      </c>
      <c r="Q2076" s="18">
        <f t="shared" si="324"/>
        <v>576.45861169863008</v>
      </c>
      <c r="R2076" s="18">
        <f t="shared" si="323"/>
        <v>3177.4655038904111</v>
      </c>
      <c r="S2076" s="18">
        <v>0</v>
      </c>
    </row>
    <row r="2077" spans="1:19" ht="15" customHeight="1" x14ac:dyDescent="0.2">
      <c r="A2077" s="14">
        <f t="shared" si="325"/>
        <v>2038</v>
      </c>
      <c r="B2077" s="31" t="s">
        <v>1773</v>
      </c>
      <c r="C2077" s="15" t="s">
        <v>3</v>
      </c>
      <c r="D2077" s="31" t="s">
        <v>1708</v>
      </c>
      <c r="E2077" s="31"/>
      <c r="F2077" s="73" t="s">
        <v>4</v>
      </c>
      <c r="G2077" s="32">
        <v>41659</v>
      </c>
      <c r="H2077" s="29">
        <v>12885</v>
      </c>
      <c r="I2077" s="17">
        <v>0</v>
      </c>
      <c r="J2077" s="17">
        <f t="shared" ref="J2077" si="332">H2077-L2077</f>
        <v>12240.75</v>
      </c>
      <c r="K2077" s="17">
        <f t="shared" si="320"/>
        <v>644.25</v>
      </c>
      <c r="L2077" s="23">
        <f t="shared" si="330"/>
        <v>644.25</v>
      </c>
      <c r="M2077" s="33">
        <v>5</v>
      </c>
      <c r="N2077" s="18">
        <f t="shared" si="321"/>
        <v>6.2027397260273975</v>
      </c>
      <c r="O2077" s="23">
        <f>(H2077-K2077)/2</f>
        <v>6120.375</v>
      </c>
      <c r="P2077" s="18">
        <f t="shared" si="322"/>
        <v>7.2027397260273975</v>
      </c>
      <c r="Q2077" s="18">
        <f t="shared" si="324"/>
        <v>0</v>
      </c>
      <c r="R2077" s="18">
        <f t="shared" si="323"/>
        <v>6120.375</v>
      </c>
      <c r="S2077" s="18">
        <v>0</v>
      </c>
    </row>
    <row r="2078" spans="1:19" ht="15" customHeight="1" x14ac:dyDescent="0.2">
      <c r="A2078" s="14">
        <f t="shared" si="325"/>
        <v>2039</v>
      </c>
      <c r="B2078" s="31" t="s">
        <v>1774</v>
      </c>
      <c r="C2078" s="15" t="s">
        <v>3</v>
      </c>
      <c r="D2078" s="31" t="s">
        <v>1708</v>
      </c>
      <c r="E2078" s="31"/>
      <c r="F2078" s="73" t="s">
        <v>4</v>
      </c>
      <c r="G2078" s="32">
        <v>42050</v>
      </c>
      <c r="H2078" s="29">
        <v>6597.8</v>
      </c>
      <c r="I2078" s="17">
        <v>0</v>
      </c>
      <c r="J2078" s="17">
        <v>707.50107397260274</v>
      </c>
      <c r="K2078" s="17">
        <f t="shared" si="320"/>
        <v>5890.2989260273971</v>
      </c>
      <c r="L2078" s="23">
        <f t="shared" si="330"/>
        <v>329.89000000000004</v>
      </c>
      <c r="M2078" s="33">
        <v>10</v>
      </c>
      <c r="N2078" s="18">
        <f t="shared" si="321"/>
        <v>5.1315068493150688</v>
      </c>
      <c r="O2078" s="23">
        <f>(H2078-L2078)/M2078*N2078-J2078</f>
        <v>2508.8812356164385</v>
      </c>
      <c r="P2078" s="18">
        <f t="shared" si="322"/>
        <v>6.1315068493150688</v>
      </c>
      <c r="Q2078" s="18">
        <f t="shared" si="324"/>
        <v>556.04089260273975</v>
      </c>
      <c r="R2078" s="18">
        <f t="shared" si="323"/>
        <v>3064.9221282191784</v>
      </c>
      <c r="S2078" s="18">
        <v>0</v>
      </c>
    </row>
    <row r="2079" spans="1:19" ht="15" customHeight="1" x14ac:dyDescent="0.2">
      <c r="A2079" s="14">
        <f t="shared" si="325"/>
        <v>2040</v>
      </c>
      <c r="B2079" s="31" t="s">
        <v>1775</v>
      </c>
      <c r="C2079" s="15" t="s">
        <v>3</v>
      </c>
      <c r="D2079" s="31" t="s">
        <v>1708</v>
      </c>
      <c r="E2079" s="31"/>
      <c r="F2079" s="73" t="s">
        <v>4</v>
      </c>
      <c r="G2079" s="32">
        <v>42019</v>
      </c>
      <c r="H2079" s="29">
        <v>16550</v>
      </c>
      <c r="I2079" s="17">
        <v>0</v>
      </c>
      <c r="J2079" s="17">
        <v>1908.2376712328767</v>
      </c>
      <c r="K2079" s="17">
        <f t="shared" si="320"/>
        <v>14641.762328767123</v>
      </c>
      <c r="L2079" s="23">
        <f t="shared" si="330"/>
        <v>827.5</v>
      </c>
      <c r="M2079" s="33">
        <v>10</v>
      </c>
      <c r="N2079" s="18">
        <f t="shared" si="321"/>
        <v>5.2164383561643834</v>
      </c>
      <c r="O2079" s="23">
        <f>(H2079-L2079)/M2079*N2079-J2079</f>
        <v>6293.3075342465745</v>
      </c>
      <c r="P2079" s="18">
        <f t="shared" si="322"/>
        <v>6.2164383561643834</v>
      </c>
      <c r="Q2079" s="18">
        <f t="shared" si="324"/>
        <v>1381.4262328767124</v>
      </c>
      <c r="R2079" s="18">
        <f t="shared" si="323"/>
        <v>7674.7337671232872</v>
      </c>
      <c r="S2079" s="18">
        <v>0</v>
      </c>
    </row>
    <row r="2080" spans="1:19" ht="15" customHeight="1" x14ac:dyDescent="0.2">
      <c r="A2080" s="14">
        <f t="shared" si="325"/>
        <v>2041</v>
      </c>
      <c r="B2080" s="31" t="s">
        <v>1776</v>
      </c>
      <c r="C2080" s="15" t="s">
        <v>3</v>
      </c>
      <c r="D2080" s="31" t="s">
        <v>1708</v>
      </c>
      <c r="E2080" s="31"/>
      <c r="F2080" s="73" t="s">
        <v>4</v>
      </c>
      <c r="G2080" s="32">
        <v>41654</v>
      </c>
      <c r="H2080" s="29">
        <v>9700</v>
      </c>
      <c r="I2080" s="17">
        <v>0</v>
      </c>
      <c r="J2080" s="17">
        <f t="shared" ref="J2080:J2081" si="333">H2080-L2080</f>
        <v>9215</v>
      </c>
      <c r="K2080" s="17">
        <f t="shared" si="320"/>
        <v>485</v>
      </c>
      <c r="L2080" s="23">
        <f t="shared" si="330"/>
        <v>485</v>
      </c>
      <c r="M2080" s="33">
        <v>5</v>
      </c>
      <c r="N2080" s="18">
        <f t="shared" si="321"/>
        <v>6.2164383561643834</v>
      </c>
      <c r="O2080" s="23">
        <f t="shared" ref="O2080:O2081" si="334">(H2080-K2080)/2</f>
        <v>4607.5</v>
      </c>
      <c r="P2080" s="18">
        <f t="shared" si="322"/>
        <v>7.2164383561643834</v>
      </c>
      <c r="Q2080" s="18">
        <f t="shared" si="324"/>
        <v>0</v>
      </c>
      <c r="R2080" s="18">
        <f t="shared" si="323"/>
        <v>4607.5</v>
      </c>
      <c r="S2080" s="18">
        <v>0</v>
      </c>
    </row>
    <row r="2081" spans="1:19" ht="15" customHeight="1" x14ac:dyDescent="0.2">
      <c r="A2081" s="14">
        <f t="shared" si="325"/>
        <v>2042</v>
      </c>
      <c r="B2081" s="31" t="s">
        <v>1777</v>
      </c>
      <c r="C2081" s="15" t="s">
        <v>3</v>
      </c>
      <c r="D2081" s="31" t="s">
        <v>1708</v>
      </c>
      <c r="E2081" s="31"/>
      <c r="F2081" s="73" t="s">
        <v>4</v>
      </c>
      <c r="G2081" s="32">
        <v>41639</v>
      </c>
      <c r="H2081" s="29">
        <v>9500</v>
      </c>
      <c r="I2081" s="17">
        <v>0</v>
      </c>
      <c r="J2081" s="17">
        <f t="shared" si="333"/>
        <v>9025</v>
      </c>
      <c r="K2081" s="17">
        <f t="shared" si="320"/>
        <v>475</v>
      </c>
      <c r="L2081" s="23">
        <f t="shared" si="330"/>
        <v>475</v>
      </c>
      <c r="M2081" s="33">
        <v>5</v>
      </c>
      <c r="N2081" s="18">
        <f t="shared" si="321"/>
        <v>6.2575342465753421</v>
      </c>
      <c r="O2081" s="23">
        <f t="shared" si="334"/>
        <v>4512.5</v>
      </c>
      <c r="P2081" s="18">
        <f t="shared" si="322"/>
        <v>7.2575342465753421</v>
      </c>
      <c r="Q2081" s="18">
        <f t="shared" si="324"/>
        <v>0</v>
      </c>
      <c r="R2081" s="18">
        <f t="shared" si="323"/>
        <v>4512.5</v>
      </c>
      <c r="S2081" s="18">
        <v>0</v>
      </c>
    </row>
    <row r="2082" spans="1:19" ht="15" customHeight="1" x14ac:dyDescent="0.2">
      <c r="A2082" s="14">
        <f t="shared" si="325"/>
        <v>2043</v>
      </c>
      <c r="B2082" s="31" t="s">
        <v>1778</v>
      </c>
      <c r="C2082" s="15" t="s">
        <v>3</v>
      </c>
      <c r="D2082" s="31" t="s">
        <v>1708</v>
      </c>
      <c r="E2082" s="31"/>
      <c r="F2082" s="73" t="s">
        <v>4</v>
      </c>
      <c r="G2082" s="32">
        <v>42078</v>
      </c>
      <c r="H2082" s="29">
        <v>2400</v>
      </c>
      <c r="I2082" s="17">
        <v>0</v>
      </c>
      <c r="J2082" s="17">
        <v>239.86849315068491</v>
      </c>
      <c r="K2082" s="17">
        <f t="shared" si="320"/>
        <v>2160.131506849315</v>
      </c>
      <c r="L2082" s="23">
        <f t="shared" si="330"/>
        <v>120</v>
      </c>
      <c r="M2082" s="33">
        <v>10</v>
      </c>
      <c r="N2082" s="18">
        <f t="shared" si="321"/>
        <v>5.0547945205479454</v>
      </c>
      <c r="O2082" s="23">
        <f>(H2082-L2082)/M2082*N2082-J2082</f>
        <v>912.62465753424669</v>
      </c>
      <c r="P2082" s="18">
        <f t="shared" si="322"/>
        <v>6.0547945205479454</v>
      </c>
      <c r="Q2082" s="18">
        <f t="shared" si="324"/>
        <v>204.0131506849315</v>
      </c>
      <c r="R2082" s="18">
        <f t="shared" si="323"/>
        <v>1116.6378082191782</v>
      </c>
      <c r="S2082" s="18">
        <v>0</v>
      </c>
    </row>
    <row r="2083" spans="1:19" ht="15" customHeight="1" x14ac:dyDescent="0.2">
      <c r="A2083" s="14">
        <f t="shared" si="325"/>
        <v>2044</v>
      </c>
      <c r="B2083" s="31" t="s">
        <v>1779</v>
      </c>
      <c r="C2083" s="15" t="s">
        <v>3</v>
      </c>
      <c r="D2083" s="31" t="s">
        <v>1708</v>
      </c>
      <c r="E2083" s="31"/>
      <c r="F2083" s="73" t="s">
        <v>4</v>
      </c>
      <c r="G2083" s="32">
        <v>42019</v>
      </c>
      <c r="H2083" s="29">
        <v>10507.33</v>
      </c>
      <c r="I2083" s="17">
        <v>0</v>
      </c>
      <c r="J2083" s="17">
        <v>1211.5095426027397</v>
      </c>
      <c r="K2083" s="17">
        <f t="shared" si="320"/>
        <v>9295.8204573972598</v>
      </c>
      <c r="L2083" s="23">
        <f t="shared" si="330"/>
        <v>525.36649999999997</v>
      </c>
      <c r="M2083" s="33">
        <v>10</v>
      </c>
      <c r="N2083" s="18">
        <f t="shared" si="321"/>
        <v>5.2164383561643834</v>
      </c>
      <c r="O2083" s="23">
        <f>(H2083-L2083)/M2083*N2083-J2083</f>
        <v>3995.5201845205479</v>
      </c>
      <c r="P2083" s="18">
        <f t="shared" si="322"/>
        <v>6.2164383561643834</v>
      </c>
      <c r="Q2083" s="18">
        <f t="shared" si="324"/>
        <v>877.04539573972602</v>
      </c>
      <c r="R2083" s="18">
        <f t="shared" si="323"/>
        <v>4872.5655802602741</v>
      </c>
      <c r="S2083" s="18">
        <v>0</v>
      </c>
    </row>
    <row r="2084" spans="1:19" ht="15" customHeight="1" x14ac:dyDescent="0.2">
      <c r="A2084" s="14">
        <f t="shared" si="325"/>
        <v>2045</v>
      </c>
      <c r="B2084" s="31" t="s">
        <v>1780</v>
      </c>
      <c r="C2084" s="15" t="s">
        <v>3</v>
      </c>
      <c r="D2084" s="31" t="s">
        <v>1708</v>
      </c>
      <c r="E2084" s="31"/>
      <c r="F2084" s="73" t="s">
        <v>4</v>
      </c>
      <c r="G2084" s="32">
        <v>41687</v>
      </c>
      <c r="H2084" s="29">
        <v>6600</v>
      </c>
      <c r="I2084" s="17">
        <v>0</v>
      </c>
      <c r="J2084" s="17">
        <f t="shared" ref="J2084" si="335">H2084-L2084</f>
        <v>6270</v>
      </c>
      <c r="K2084" s="17">
        <f t="shared" si="320"/>
        <v>330</v>
      </c>
      <c r="L2084" s="23">
        <f t="shared" si="330"/>
        <v>330</v>
      </c>
      <c r="M2084" s="33">
        <v>5</v>
      </c>
      <c r="N2084" s="18">
        <f t="shared" si="321"/>
        <v>6.1260273972602741</v>
      </c>
      <c r="O2084" s="23">
        <f>(H2084-K2084)/2</f>
        <v>3135</v>
      </c>
      <c r="P2084" s="18">
        <f t="shared" si="322"/>
        <v>7.1260273972602741</v>
      </c>
      <c r="Q2084" s="18">
        <f t="shared" si="324"/>
        <v>0</v>
      </c>
      <c r="R2084" s="18">
        <f t="shared" si="323"/>
        <v>3135</v>
      </c>
      <c r="S2084" s="18">
        <v>0</v>
      </c>
    </row>
    <row r="2085" spans="1:19" ht="15" customHeight="1" x14ac:dyDescent="0.2">
      <c r="A2085" s="14">
        <f t="shared" si="325"/>
        <v>2046</v>
      </c>
      <c r="B2085" s="31" t="s">
        <v>1781</v>
      </c>
      <c r="C2085" s="15" t="s">
        <v>3</v>
      </c>
      <c r="D2085" s="31" t="s">
        <v>1708</v>
      </c>
      <c r="E2085" s="31"/>
      <c r="F2085" s="73" t="s">
        <v>4</v>
      </c>
      <c r="G2085" s="32">
        <v>42019</v>
      </c>
      <c r="H2085" s="29">
        <v>7413.23</v>
      </c>
      <c r="I2085" s="17">
        <v>0</v>
      </c>
      <c r="J2085" s="17">
        <v>854.75557410958902</v>
      </c>
      <c r="K2085" s="17">
        <f t="shared" si="320"/>
        <v>6558.4744258904102</v>
      </c>
      <c r="L2085" s="23">
        <f t="shared" si="330"/>
        <v>370.66149999999999</v>
      </c>
      <c r="M2085" s="33">
        <v>10</v>
      </c>
      <c r="N2085" s="18">
        <f t="shared" si="321"/>
        <v>5.2164383561643834</v>
      </c>
      <c r="O2085" s="23">
        <f>(H2085-L2085)/M2085*N2085-J2085</f>
        <v>2818.9568708219176</v>
      </c>
      <c r="P2085" s="18">
        <f t="shared" si="322"/>
        <v>6.2164383561643834</v>
      </c>
      <c r="Q2085" s="18">
        <f t="shared" si="324"/>
        <v>618.78129258904107</v>
      </c>
      <c r="R2085" s="18">
        <f t="shared" si="323"/>
        <v>3437.7381634109588</v>
      </c>
      <c r="S2085" s="18">
        <v>0</v>
      </c>
    </row>
    <row r="2086" spans="1:19" ht="15" customHeight="1" x14ac:dyDescent="0.2">
      <c r="A2086" s="14">
        <f t="shared" si="325"/>
        <v>2047</v>
      </c>
      <c r="B2086" s="31" t="s">
        <v>1435</v>
      </c>
      <c r="C2086" s="15" t="s">
        <v>3</v>
      </c>
      <c r="D2086" s="31" t="s">
        <v>1708</v>
      </c>
      <c r="E2086" s="31"/>
      <c r="F2086" s="73" t="s">
        <v>4</v>
      </c>
      <c r="G2086" s="32">
        <v>42019</v>
      </c>
      <c r="H2086" s="29">
        <v>7400</v>
      </c>
      <c r="I2086" s="17">
        <v>0</v>
      </c>
      <c r="J2086" s="17">
        <v>853.23013698630143</v>
      </c>
      <c r="K2086" s="17">
        <f t="shared" ref="K2086:K2149" si="336">H2086+I2086-J2086</f>
        <v>6546.7698630136983</v>
      </c>
      <c r="L2086" s="23">
        <f t="shared" si="330"/>
        <v>370</v>
      </c>
      <c r="M2086" s="33">
        <v>10</v>
      </c>
      <c r="N2086" s="18">
        <f t="shared" ref="N2086:N2149" si="337">IF(($N$35-G2086+1)/365&gt;0,($N$35-G2086+1)/365,0)</f>
        <v>5.2164383561643834</v>
      </c>
      <c r="O2086" s="23">
        <f>(H2086-L2086)/M2086*N2086-J2086</f>
        <v>2813.9260273972604</v>
      </c>
      <c r="P2086" s="18">
        <f t="shared" ref="P2086:P2149" si="338">($P$35-G2086+1)/365</f>
        <v>6.2164383561643834</v>
      </c>
      <c r="Q2086" s="18">
        <f t="shared" si="324"/>
        <v>617.67698630136988</v>
      </c>
      <c r="R2086" s="18">
        <f t="shared" ref="R2086:R2149" si="339">Q2086+O2086</f>
        <v>3431.6030136986301</v>
      </c>
      <c r="S2086" s="18">
        <v>0</v>
      </c>
    </row>
    <row r="2087" spans="1:19" ht="15" customHeight="1" x14ac:dyDescent="0.2">
      <c r="A2087" s="14">
        <f t="shared" si="325"/>
        <v>2048</v>
      </c>
      <c r="B2087" s="31" t="s">
        <v>1782</v>
      </c>
      <c r="C2087" s="15" t="s">
        <v>3</v>
      </c>
      <c r="D2087" s="31" t="s">
        <v>1708</v>
      </c>
      <c r="E2087" s="31"/>
      <c r="F2087" s="73" t="s">
        <v>4</v>
      </c>
      <c r="G2087" s="32">
        <v>41744</v>
      </c>
      <c r="H2087" s="29">
        <v>10392.83</v>
      </c>
      <c r="I2087" s="17">
        <v>0</v>
      </c>
      <c r="J2087" s="17">
        <f t="shared" ref="J2087:J2091" si="340">H2087-L2087</f>
        <v>9873.1885000000002</v>
      </c>
      <c r="K2087" s="17">
        <f t="shared" si="336"/>
        <v>519.64149999999972</v>
      </c>
      <c r="L2087" s="23">
        <f t="shared" si="330"/>
        <v>519.64150000000006</v>
      </c>
      <c r="M2087" s="33">
        <v>5</v>
      </c>
      <c r="N2087" s="18">
        <f t="shared" si="337"/>
        <v>5.9698630136986299</v>
      </c>
      <c r="O2087" s="23">
        <f t="shared" ref="O2087:O2089" si="341">(H2087-K2087)/2</f>
        <v>4936.5942500000001</v>
      </c>
      <c r="P2087" s="18">
        <f t="shared" si="338"/>
        <v>6.9698630136986299</v>
      </c>
      <c r="Q2087" s="18">
        <f t="shared" si="324"/>
        <v>-6.8212102632969628E-14</v>
      </c>
      <c r="R2087" s="18">
        <f t="shared" si="339"/>
        <v>4936.5942500000001</v>
      </c>
      <c r="S2087" s="18">
        <v>0</v>
      </c>
    </row>
    <row r="2088" spans="1:19" ht="15" customHeight="1" x14ac:dyDescent="0.2">
      <c r="A2088" s="14">
        <f t="shared" si="325"/>
        <v>2049</v>
      </c>
      <c r="B2088" s="31" t="s">
        <v>1336</v>
      </c>
      <c r="C2088" s="15" t="s">
        <v>3</v>
      </c>
      <c r="D2088" s="31" t="s">
        <v>1708</v>
      </c>
      <c r="E2088" s="31"/>
      <c r="F2088" s="73" t="s">
        <v>4</v>
      </c>
      <c r="G2088" s="32">
        <v>41774</v>
      </c>
      <c r="H2088" s="29">
        <v>2199.27</v>
      </c>
      <c r="I2088" s="17">
        <v>0</v>
      </c>
      <c r="J2088" s="17">
        <f t="shared" si="340"/>
        <v>2089.3065000000001</v>
      </c>
      <c r="K2088" s="17">
        <f t="shared" si="336"/>
        <v>109.96349999999984</v>
      </c>
      <c r="L2088" s="23">
        <f t="shared" si="330"/>
        <v>109.96350000000001</v>
      </c>
      <c r="M2088" s="33">
        <v>5</v>
      </c>
      <c r="N2088" s="18">
        <f t="shared" si="337"/>
        <v>5.8876712328767127</v>
      </c>
      <c r="O2088" s="23">
        <f t="shared" si="341"/>
        <v>1044.6532500000001</v>
      </c>
      <c r="P2088" s="18">
        <f t="shared" si="338"/>
        <v>6.8876712328767127</v>
      </c>
      <c r="Q2088" s="18">
        <f t="shared" ref="Q2088:Q2151" si="342">(P2088-N2088)/M2088*(K2088-L2088)</f>
        <v>-3.4106051316484814E-14</v>
      </c>
      <c r="R2088" s="18">
        <f t="shared" si="339"/>
        <v>1044.6532500000001</v>
      </c>
      <c r="S2088" s="18">
        <v>0</v>
      </c>
    </row>
    <row r="2089" spans="1:19" ht="15" customHeight="1" x14ac:dyDescent="0.2">
      <c r="A2089" s="14">
        <f t="shared" si="325"/>
        <v>2050</v>
      </c>
      <c r="B2089" s="31" t="s">
        <v>1782</v>
      </c>
      <c r="C2089" s="15" t="s">
        <v>3</v>
      </c>
      <c r="D2089" s="31" t="s">
        <v>1708</v>
      </c>
      <c r="E2089" s="31"/>
      <c r="F2089" s="73" t="s">
        <v>4</v>
      </c>
      <c r="G2089" s="32">
        <v>41805</v>
      </c>
      <c r="H2089" s="29">
        <v>1040.78</v>
      </c>
      <c r="I2089" s="17">
        <v>0</v>
      </c>
      <c r="J2089" s="17">
        <f t="shared" si="340"/>
        <v>988.74099999999999</v>
      </c>
      <c r="K2089" s="17">
        <f t="shared" si="336"/>
        <v>52.038999999999987</v>
      </c>
      <c r="L2089" s="23">
        <f t="shared" si="330"/>
        <v>52.039000000000001</v>
      </c>
      <c r="M2089" s="33">
        <v>5</v>
      </c>
      <c r="N2089" s="18">
        <f t="shared" si="337"/>
        <v>5.8027397260273972</v>
      </c>
      <c r="O2089" s="23">
        <f t="shared" si="341"/>
        <v>494.37049999999999</v>
      </c>
      <c r="P2089" s="18">
        <f t="shared" si="338"/>
        <v>6.8027397260273972</v>
      </c>
      <c r="Q2089" s="18">
        <f t="shared" si="342"/>
        <v>-2.8421709430404009E-15</v>
      </c>
      <c r="R2089" s="18">
        <f t="shared" si="339"/>
        <v>494.37049999999999</v>
      </c>
      <c r="S2089" s="18">
        <v>0</v>
      </c>
    </row>
    <row r="2090" spans="1:19" ht="15" customHeight="1" x14ac:dyDescent="0.2">
      <c r="A2090" s="14">
        <f t="shared" si="325"/>
        <v>2051</v>
      </c>
      <c r="B2090" s="31" t="s">
        <v>1783</v>
      </c>
      <c r="C2090" s="15" t="s">
        <v>3</v>
      </c>
      <c r="D2090" s="31" t="s">
        <v>1708</v>
      </c>
      <c r="E2090" s="31"/>
      <c r="F2090" s="73" t="s">
        <v>4</v>
      </c>
      <c r="G2090" s="32">
        <v>41228</v>
      </c>
      <c r="H2090" s="29">
        <v>463420.03</v>
      </c>
      <c r="I2090" s="17">
        <v>0</v>
      </c>
      <c r="J2090" s="17">
        <f>148840.356484658-50000</f>
        <v>98840.356484657997</v>
      </c>
      <c r="K2090" s="17">
        <f t="shared" si="336"/>
        <v>364579.67351534206</v>
      </c>
      <c r="L2090" s="23">
        <f t="shared" si="330"/>
        <v>23171.001500000002</v>
      </c>
      <c r="M2090" s="33">
        <v>10</v>
      </c>
      <c r="N2090" s="18">
        <f t="shared" si="337"/>
        <v>7.3835616438356162</v>
      </c>
      <c r="O2090" s="23">
        <f>(H2090-L2090)/M2090*N2090-J2090</f>
        <v>226220.2275721913</v>
      </c>
      <c r="P2090" s="18">
        <f t="shared" si="338"/>
        <v>8.3835616438356162</v>
      </c>
      <c r="Q2090" s="18">
        <f t="shared" si="342"/>
        <v>34140.867201534209</v>
      </c>
      <c r="R2090" s="18">
        <f t="shared" si="339"/>
        <v>260361.09477372552</v>
      </c>
      <c r="S2090" s="18">
        <v>0</v>
      </c>
    </row>
    <row r="2091" spans="1:19" ht="15" customHeight="1" x14ac:dyDescent="0.2">
      <c r="A2091" s="14">
        <f t="shared" ref="A2091:A2154" si="343">+A2090+1</f>
        <v>2052</v>
      </c>
      <c r="B2091" s="31" t="s">
        <v>1336</v>
      </c>
      <c r="C2091" s="15" t="s">
        <v>3</v>
      </c>
      <c r="D2091" s="31" t="s">
        <v>1708</v>
      </c>
      <c r="E2091" s="31"/>
      <c r="F2091" s="73" t="s">
        <v>4</v>
      </c>
      <c r="G2091" s="32">
        <v>41774</v>
      </c>
      <c r="H2091" s="29">
        <v>901.1</v>
      </c>
      <c r="I2091" s="17">
        <v>0</v>
      </c>
      <c r="J2091" s="17">
        <f t="shared" si="340"/>
        <v>856.04500000000007</v>
      </c>
      <c r="K2091" s="17">
        <f t="shared" si="336"/>
        <v>45.05499999999995</v>
      </c>
      <c r="L2091" s="23">
        <f t="shared" si="330"/>
        <v>45.055000000000007</v>
      </c>
      <c r="M2091" s="33">
        <v>5</v>
      </c>
      <c r="N2091" s="18">
        <f t="shared" si="337"/>
        <v>5.8876712328767127</v>
      </c>
      <c r="O2091" s="23">
        <f>(H2091-K2091)/2</f>
        <v>428.02250000000004</v>
      </c>
      <c r="P2091" s="18">
        <f t="shared" si="338"/>
        <v>6.8876712328767127</v>
      </c>
      <c r="Q2091" s="18">
        <f t="shared" si="342"/>
        <v>-1.1368683772161604E-14</v>
      </c>
      <c r="R2091" s="18">
        <f t="shared" si="339"/>
        <v>428.02250000000004</v>
      </c>
      <c r="S2091" s="18">
        <v>0</v>
      </c>
    </row>
    <row r="2092" spans="1:19" ht="15" customHeight="1" x14ac:dyDescent="0.2">
      <c r="A2092" s="14">
        <f t="shared" si="343"/>
        <v>2053</v>
      </c>
      <c r="B2092" s="31" t="s">
        <v>1784</v>
      </c>
      <c r="C2092" s="15" t="s">
        <v>3</v>
      </c>
      <c r="D2092" s="31" t="s">
        <v>1708</v>
      </c>
      <c r="E2092" s="31"/>
      <c r="F2092" s="73" t="s">
        <v>4</v>
      </c>
      <c r="G2092" s="32">
        <v>41409</v>
      </c>
      <c r="H2092" s="29">
        <v>214130.6</v>
      </c>
      <c r="I2092" s="17">
        <v>0</v>
      </c>
      <c r="J2092" s="17">
        <v>58686.450879452052</v>
      </c>
      <c r="K2092" s="17">
        <f t="shared" si="336"/>
        <v>155444.14912054795</v>
      </c>
      <c r="L2092" s="23">
        <f t="shared" si="330"/>
        <v>10706.53</v>
      </c>
      <c r="M2092" s="33">
        <v>10</v>
      </c>
      <c r="N2092" s="18">
        <f t="shared" si="337"/>
        <v>6.8876712328767127</v>
      </c>
      <c r="O2092" s="23">
        <f>(H2092-L2092)/M2092*N2092-J2092</f>
        <v>81425.360621917818</v>
      </c>
      <c r="P2092" s="18">
        <f t="shared" si="338"/>
        <v>7.8876712328767127</v>
      </c>
      <c r="Q2092" s="18">
        <f t="shared" si="342"/>
        <v>14473.761912054797</v>
      </c>
      <c r="R2092" s="18">
        <f t="shared" si="339"/>
        <v>95899.122533972608</v>
      </c>
      <c r="S2092" s="18">
        <v>0</v>
      </c>
    </row>
    <row r="2093" spans="1:19" ht="15" customHeight="1" x14ac:dyDescent="0.2">
      <c r="A2093" s="14">
        <f t="shared" si="343"/>
        <v>2054</v>
      </c>
      <c r="B2093" s="31" t="s">
        <v>1785</v>
      </c>
      <c r="C2093" s="15" t="s">
        <v>3</v>
      </c>
      <c r="D2093" s="31" t="s">
        <v>1708</v>
      </c>
      <c r="E2093" s="31"/>
      <c r="F2093" s="73" t="s">
        <v>4</v>
      </c>
      <c r="G2093" s="32">
        <v>41348</v>
      </c>
      <c r="H2093" s="29">
        <v>43320</v>
      </c>
      <c r="I2093" s="17">
        <v>0</v>
      </c>
      <c r="J2093" s="17">
        <v>12560.426301369862</v>
      </c>
      <c r="K2093" s="17">
        <f t="shared" si="336"/>
        <v>30759.573698630138</v>
      </c>
      <c r="L2093" s="23">
        <f t="shared" si="330"/>
        <v>2166</v>
      </c>
      <c r="M2093" s="33">
        <v>10</v>
      </c>
      <c r="N2093" s="18">
        <f t="shared" si="337"/>
        <v>7.0547945205479454</v>
      </c>
      <c r="O2093" s="23">
        <f>(H2093-L2093)/M2093*N2093-J2093</f>
        <v>16472.875068493151</v>
      </c>
      <c r="P2093" s="18">
        <f t="shared" si="338"/>
        <v>8.0547945205479454</v>
      </c>
      <c r="Q2093" s="18">
        <f t="shared" si="342"/>
        <v>2859.3573698630139</v>
      </c>
      <c r="R2093" s="18">
        <f t="shared" si="339"/>
        <v>19332.232438356164</v>
      </c>
      <c r="S2093" s="18">
        <v>0</v>
      </c>
    </row>
    <row r="2094" spans="1:19" ht="15" customHeight="1" x14ac:dyDescent="0.2">
      <c r="A2094" s="14">
        <f t="shared" si="343"/>
        <v>2055</v>
      </c>
      <c r="B2094" s="31" t="s">
        <v>1204</v>
      </c>
      <c r="C2094" s="15" t="s">
        <v>3</v>
      </c>
      <c r="D2094" s="31" t="s">
        <v>1708</v>
      </c>
      <c r="E2094" s="31"/>
      <c r="F2094" s="73" t="s">
        <v>4</v>
      </c>
      <c r="G2094" s="32">
        <v>41379</v>
      </c>
      <c r="H2094" s="29">
        <v>47691</v>
      </c>
      <c r="I2094" s="17">
        <v>0</v>
      </c>
      <c r="J2094" s="17">
        <f t="shared" ref="J2094:J2096" si="344">H2094-L2094</f>
        <v>45306.45</v>
      </c>
      <c r="K2094" s="17">
        <f t="shared" si="336"/>
        <v>2384.5500000000029</v>
      </c>
      <c r="L2094" s="23">
        <f t="shared" si="330"/>
        <v>2384.5500000000002</v>
      </c>
      <c r="M2094" s="33">
        <v>5</v>
      </c>
      <c r="N2094" s="18">
        <f t="shared" si="337"/>
        <v>6.9698630136986299</v>
      </c>
      <c r="O2094" s="23">
        <f>(H2094-K2094)/2</f>
        <v>22653.224999999999</v>
      </c>
      <c r="P2094" s="18">
        <f t="shared" si="338"/>
        <v>7.9698630136986299</v>
      </c>
      <c r="Q2094" s="18">
        <f t="shared" si="342"/>
        <v>5.4569682106375702E-13</v>
      </c>
      <c r="R2094" s="18">
        <f t="shared" si="339"/>
        <v>22653.224999999999</v>
      </c>
      <c r="S2094" s="18">
        <v>0</v>
      </c>
    </row>
    <row r="2095" spans="1:19" ht="15" customHeight="1" x14ac:dyDescent="0.2">
      <c r="A2095" s="14">
        <f t="shared" si="343"/>
        <v>2056</v>
      </c>
      <c r="B2095" s="31" t="s">
        <v>1786</v>
      </c>
      <c r="C2095" s="15" t="s">
        <v>3</v>
      </c>
      <c r="D2095" s="31" t="s">
        <v>1708</v>
      </c>
      <c r="E2095" s="31"/>
      <c r="F2095" s="73" t="s">
        <v>4</v>
      </c>
      <c r="G2095" s="32">
        <v>41409</v>
      </c>
      <c r="H2095" s="29">
        <v>21000</v>
      </c>
      <c r="I2095" s="17">
        <v>0</v>
      </c>
      <c r="J2095" s="17">
        <v>5755.4383561643835</v>
      </c>
      <c r="K2095" s="17">
        <f t="shared" si="336"/>
        <v>15244.561643835616</v>
      </c>
      <c r="L2095" s="23">
        <f t="shared" si="330"/>
        <v>1050</v>
      </c>
      <c r="M2095" s="33">
        <v>10</v>
      </c>
      <c r="N2095" s="18">
        <f t="shared" si="337"/>
        <v>6.8876712328767127</v>
      </c>
      <c r="O2095" s="23">
        <f>(H2095-L2095)/M2095*N2095-J2095</f>
        <v>7985.4657534246589</v>
      </c>
      <c r="P2095" s="18">
        <f t="shared" si="338"/>
        <v>7.8876712328767127</v>
      </c>
      <c r="Q2095" s="18">
        <f t="shared" si="342"/>
        <v>1419.4561643835616</v>
      </c>
      <c r="R2095" s="18">
        <f t="shared" si="339"/>
        <v>9404.9219178082203</v>
      </c>
      <c r="S2095" s="18">
        <v>0</v>
      </c>
    </row>
    <row r="2096" spans="1:19" ht="15" customHeight="1" x14ac:dyDescent="0.2">
      <c r="A2096" s="14">
        <f t="shared" si="343"/>
        <v>2057</v>
      </c>
      <c r="B2096" s="31" t="s">
        <v>1787</v>
      </c>
      <c r="C2096" s="15" t="s">
        <v>3</v>
      </c>
      <c r="D2096" s="31" t="s">
        <v>1708</v>
      </c>
      <c r="E2096" s="31"/>
      <c r="F2096" s="73" t="s">
        <v>4</v>
      </c>
      <c r="G2096" s="32">
        <v>41379</v>
      </c>
      <c r="H2096" s="29">
        <v>19482.16</v>
      </c>
      <c r="I2096" s="17">
        <v>0</v>
      </c>
      <c r="J2096" s="17">
        <f t="shared" si="344"/>
        <v>18508.052</v>
      </c>
      <c r="K2096" s="17">
        <f t="shared" si="336"/>
        <v>974.10800000000017</v>
      </c>
      <c r="L2096" s="23">
        <f t="shared" si="330"/>
        <v>974.10800000000006</v>
      </c>
      <c r="M2096" s="33">
        <v>5</v>
      </c>
      <c r="N2096" s="18">
        <f t="shared" si="337"/>
        <v>6.9698630136986299</v>
      </c>
      <c r="O2096" s="23">
        <f>(H2096-K2096)/2</f>
        <v>9254.0259999999998</v>
      </c>
      <c r="P2096" s="18">
        <f t="shared" si="338"/>
        <v>7.9698630136986299</v>
      </c>
      <c r="Q2096" s="18">
        <f t="shared" si="342"/>
        <v>2.2737367544323207E-14</v>
      </c>
      <c r="R2096" s="18">
        <f t="shared" si="339"/>
        <v>9254.0259999999998</v>
      </c>
      <c r="S2096" s="18">
        <v>0</v>
      </c>
    </row>
    <row r="2097" spans="1:19" ht="15" customHeight="1" x14ac:dyDescent="0.2">
      <c r="A2097" s="14">
        <f t="shared" si="343"/>
        <v>2058</v>
      </c>
      <c r="B2097" s="31" t="s">
        <v>1788</v>
      </c>
      <c r="C2097" s="15" t="s">
        <v>3</v>
      </c>
      <c r="D2097" s="31" t="s">
        <v>1708</v>
      </c>
      <c r="E2097" s="31"/>
      <c r="F2097" s="73" t="s">
        <v>4</v>
      </c>
      <c r="G2097" s="32">
        <v>41623</v>
      </c>
      <c r="H2097" s="29">
        <v>15520</v>
      </c>
      <c r="I2097" s="17">
        <v>0</v>
      </c>
      <c r="J2097" s="17">
        <v>3389.1002739726032</v>
      </c>
      <c r="K2097" s="17">
        <f t="shared" si="336"/>
        <v>12130.899726027397</v>
      </c>
      <c r="L2097" s="23">
        <f t="shared" si="330"/>
        <v>776</v>
      </c>
      <c r="M2097" s="33">
        <v>10</v>
      </c>
      <c r="N2097" s="18">
        <f t="shared" si="337"/>
        <v>6.3013698630136989</v>
      </c>
      <c r="O2097" s="23">
        <f>(H2097-L2097)/M2097*N2097-J2097</f>
        <v>5901.6394520547947</v>
      </c>
      <c r="P2097" s="18">
        <f t="shared" si="338"/>
        <v>7.3013698630136989</v>
      </c>
      <c r="Q2097" s="18">
        <f t="shared" si="342"/>
        <v>1135.4899726027397</v>
      </c>
      <c r="R2097" s="18">
        <f t="shared" si="339"/>
        <v>7037.1294246575344</v>
      </c>
      <c r="S2097" s="18">
        <v>0</v>
      </c>
    </row>
    <row r="2098" spans="1:19" ht="15" customHeight="1" x14ac:dyDescent="0.2">
      <c r="A2098" s="14">
        <f t="shared" si="343"/>
        <v>2059</v>
      </c>
      <c r="B2098" s="31" t="s">
        <v>1789</v>
      </c>
      <c r="C2098" s="15" t="s">
        <v>3</v>
      </c>
      <c r="D2098" s="31" t="s">
        <v>1708</v>
      </c>
      <c r="E2098" s="31"/>
      <c r="F2098" s="73" t="s">
        <v>4</v>
      </c>
      <c r="G2098" s="32">
        <v>41685</v>
      </c>
      <c r="H2098" s="29">
        <v>14348.48</v>
      </c>
      <c r="I2098" s="17">
        <v>0</v>
      </c>
      <c r="J2098" s="17">
        <v>2901.7343868493149</v>
      </c>
      <c r="K2098" s="17">
        <f t="shared" si="336"/>
        <v>11446.745613150684</v>
      </c>
      <c r="L2098" s="23">
        <f t="shared" si="330"/>
        <v>717.42399999999998</v>
      </c>
      <c r="M2098" s="33">
        <v>10</v>
      </c>
      <c r="N2098" s="18">
        <f t="shared" si="337"/>
        <v>6.1315068493150688</v>
      </c>
      <c r="O2098" s="23">
        <f>(H2098-L2098)/M2098*N2098-J2098</f>
        <v>5456.1569358904126</v>
      </c>
      <c r="P2098" s="18">
        <f t="shared" si="338"/>
        <v>7.1315068493150688</v>
      </c>
      <c r="Q2098" s="18">
        <f t="shared" si="342"/>
        <v>1072.9321613150685</v>
      </c>
      <c r="R2098" s="18">
        <f t="shared" si="339"/>
        <v>6529.0890972054813</v>
      </c>
      <c r="S2098" s="18">
        <v>0</v>
      </c>
    </row>
    <row r="2099" spans="1:19" ht="15" customHeight="1" x14ac:dyDescent="0.2">
      <c r="A2099" s="14">
        <f t="shared" si="343"/>
        <v>2060</v>
      </c>
      <c r="B2099" s="31" t="s">
        <v>1790</v>
      </c>
      <c r="C2099" s="15" t="s">
        <v>3</v>
      </c>
      <c r="D2099" s="31" t="s">
        <v>1708</v>
      </c>
      <c r="E2099" s="31"/>
      <c r="F2099" s="73" t="s">
        <v>4</v>
      </c>
      <c r="G2099" s="32">
        <v>40949</v>
      </c>
      <c r="H2099" s="29">
        <v>21900</v>
      </c>
      <c r="I2099" s="17">
        <v>0</v>
      </c>
      <c r="J2099" s="17">
        <f t="shared" ref="J2099:J2106" si="345">H2099-L2099</f>
        <v>20805</v>
      </c>
      <c r="K2099" s="17">
        <f t="shared" si="336"/>
        <v>1095</v>
      </c>
      <c r="L2099" s="23">
        <f t="shared" si="330"/>
        <v>1095</v>
      </c>
      <c r="M2099" s="33">
        <v>5</v>
      </c>
      <c r="N2099" s="18">
        <f t="shared" si="337"/>
        <v>8.1479452054794521</v>
      </c>
      <c r="O2099" s="23">
        <f>(H2099-K2099)/2</f>
        <v>10402.5</v>
      </c>
      <c r="P2099" s="18">
        <f t="shared" si="338"/>
        <v>9.1479452054794521</v>
      </c>
      <c r="Q2099" s="18">
        <f t="shared" si="342"/>
        <v>0</v>
      </c>
      <c r="R2099" s="18">
        <f t="shared" si="339"/>
        <v>10402.5</v>
      </c>
      <c r="S2099" s="18">
        <v>0</v>
      </c>
    </row>
    <row r="2100" spans="1:19" ht="15" customHeight="1" x14ac:dyDescent="0.2">
      <c r="A2100" s="14">
        <f t="shared" si="343"/>
        <v>2061</v>
      </c>
      <c r="B2100" s="31" t="s">
        <v>1791</v>
      </c>
      <c r="C2100" s="15" t="s">
        <v>3</v>
      </c>
      <c r="D2100" s="31" t="s">
        <v>1708</v>
      </c>
      <c r="E2100" s="31"/>
      <c r="F2100" s="73" t="s">
        <v>4</v>
      </c>
      <c r="G2100" s="32">
        <v>41258</v>
      </c>
      <c r="H2100" s="29">
        <v>14000</v>
      </c>
      <c r="I2100" s="17">
        <v>0</v>
      </c>
      <c r="J2100" s="17">
        <v>4387.178082191781</v>
      </c>
      <c r="K2100" s="17">
        <f t="shared" si="336"/>
        <v>9612.8219178082181</v>
      </c>
      <c r="L2100" s="23">
        <f t="shared" si="330"/>
        <v>700</v>
      </c>
      <c r="M2100" s="33">
        <v>10</v>
      </c>
      <c r="N2100" s="18">
        <f t="shared" si="337"/>
        <v>7.3013698630136989</v>
      </c>
      <c r="O2100" s="23">
        <f>(H2100-L2100)/M2100*N2100-J2100</f>
        <v>5323.643835616439</v>
      </c>
      <c r="P2100" s="18">
        <f t="shared" si="338"/>
        <v>8.3013698630136989</v>
      </c>
      <c r="Q2100" s="18">
        <f t="shared" si="342"/>
        <v>891.2821917808219</v>
      </c>
      <c r="R2100" s="18">
        <f t="shared" si="339"/>
        <v>6214.9260273972614</v>
      </c>
      <c r="S2100" s="18">
        <v>0</v>
      </c>
    </row>
    <row r="2101" spans="1:19" ht="15" customHeight="1" x14ac:dyDescent="0.2">
      <c r="A2101" s="14">
        <f t="shared" si="343"/>
        <v>2062</v>
      </c>
      <c r="B2101" s="31" t="s">
        <v>1792</v>
      </c>
      <c r="C2101" s="15" t="s">
        <v>3</v>
      </c>
      <c r="D2101" s="31" t="s">
        <v>1708</v>
      </c>
      <c r="E2101" s="31"/>
      <c r="F2101" s="73" t="s">
        <v>4</v>
      </c>
      <c r="G2101" s="32">
        <v>38807</v>
      </c>
      <c r="H2101" s="29">
        <v>41600.03</v>
      </c>
      <c r="I2101" s="17">
        <v>0</v>
      </c>
      <c r="J2101" s="17">
        <f t="shared" si="345"/>
        <v>39520.0285</v>
      </c>
      <c r="K2101" s="17">
        <f t="shared" si="336"/>
        <v>2080.0014999999985</v>
      </c>
      <c r="L2101" s="23">
        <f t="shared" si="330"/>
        <v>2080.0014999999999</v>
      </c>
      <c r="M2101" s="33">
        <v>10</v>
      </c>
      <c r="N2101" s="18">
        <f t="shared" si="337"/>
        <v>14.016438356164384</v>
      </c>
      <c r="O2101" s="23">
        <f>(H2101-K2101)/2</f>
        <v>19760.01425</v>
      </c>
      <c r="P2101" s="18">
        <f t="shared" si="338"/>
        <v>15.016438356164384</v>
      </c>
      <c r="Q2101" s="18">
        <f t="shared" si="342"/>
        <v>-1.3642420526593926E-13</v>
      </c>
      <c r="R2101" s="18">
        <f t="shared" si="339"/>
        <v>19760.01425</v>
      </c>
      <c r="S2101" s="18">
        <v>0</v>
      </c>
    </row>
    <row r="2102" spans="1:19" ht="15" customHeight="1" x14ac:dyDescent="0.2">
      <c r="A2102" s="14">
        <f t="shared" si="343"/>
        <v>2063</v>
      </c>
      <c r="B2102" s="31" t="s">
        <v>1793</v>
      </c>
      <c r="C2102" s="15" t="s">
        <v>3</v>
      </c>
      <c r="D2102" s="31" t="s">
        <v>1708</v>
      </c>
      <c r="E2102" s="31"/>
      <c r="F2102" s="73" t="s">
        <v>4</v>
      </c>
      <c r="G2102" s="32">
        <v>41608</v>
      </c>
      <c r="H2102" s="29">
        <v>12731.94</v>
      </c>
      <c r="I2102" s="17">
        <v>0</v>
      </c>
      <c r="J2102" s="17">
        <v>2829.978882739726</v>
      </c>
      <c r="K2102" s="17">
        <f t="shared" si="336"/>
        <v>9901.9611172602745</v>
      </c>
      <c r="L2102" s="23">
        <f t="shared" si="330"/>
        <v>636.59700000000009</v>
      </c>
      <c r="M2102" s="33">
        <v>10</v>
      </c>
      <c r="N2102" s="18">
        <f t="shared" si="337"/>
        <v>6.3424657534246576</v>
      </c>
      <c r="O2102" s="23">
        <v>1372.1560860273976</v>
      </c>
      <c r="P2102" s="18">
        <f t="shared" si="338"/>
        <v>7.3424657534246576</v>
      </c>
      <c r="Q2102" s="18">
        <f t="shared" si="342"/>
        <v>926.5364117260275</v>
      </c>
      <c r="R2102" s="18">
        <f t="shared" si="339"/>
        <v>2298.692497753425</v>
      </c>
      <c r="S2102" s="18">
        <v>0</v>
      </c>
    </row>
    <row r="2103" spans="1:19" ht="15" customHeight="1" x14ac:dyDescent="0.2">
      <c r="A2103" s="14">
        <f t="shared" si="343"/>
        <v>2064</v>
      </c>
      <c r="B2103" s="31" t="s">
        <v>1714</v>
      </c>
      <c r="C2103" s="15" t="s">
        <v>3</v>
      </c>
      <c r="D2103" s="31" t="s">
        <v>1708</v>
      </c>
      <c r="E2103" s="31"/>
      <c r="F2103" s="73" t="s">
        <v>4</v>
      </c>
      <c r="G2103" s="32">
        <v>40252</v>
      </c>
      <c r="H2103" s="29">
        <v>16995</v>
      </c>
      <c r="I2103" s="17">
        <v>0</v>
      </c>
      <c r="J2103" s="17">
        <f t="shared" si="345"/>
        <v>16145.25</v>
      </c>
      <c r="K2103" s="17">
        <f t="shared" si="336"/>
        <v>849.75</v>
      </c>
      <c r="L2103" s="23">
        <f t="shared" si="330"/>
        <v>849.75</v>
      </c>
      <c r="M2103" s="33">
        <v>10</v>
      </c>
      <c r="N2103" s="18">
        <f t="shared" si="337"/>
        <v>10.057534246575342</v>
      </c>
      <c r="O2103" s="23">
        <f t="shared" ref="O2103:O2106" si="346">(H2103-K2103)/2</f>
        <v>8072.625</v>
      </c>
      <c r="P2103" s="18">
        <f t="shared" si="338"/>
        <v>11.057534246575342</v>
      </c>
      <c r="Q2103" s="18">
        <f t="shared" si="342"/>
        <v>0</v>
      </c>
      <c r="R2103" s="18">
        <f t="shared" si="339"/>
        <v>8072.625</v>
      </c>
      <c r="S2103" s="18">
        <v>0</v>
      </c>
    </row>
    <row r="2104" spans="1:19" ht="15" customHeight="1" x14ac:dyDescent="0.2">
      <c r="A2104" s="14">
        <f t="shared" si="343"/>
        <v>2065</v>
      </c>
      <c r="B2104" s="31" t="s">
        <v>1794</v>
      </c>
      <c r="C2104" s="15" t="s">
        <v>3</v>
      </c>
      <c r="D2104" s="31" t="s">
        <v>1708</v>
      </c>
      <c r="E2104" s="31"/>
      <c r="F2104" s="73" t="s">
        <v>4</v>
      </c>
      <c r="G2104" s="32">
        <v>41379</v>
      </c>
      <c r="H2104" s="29">
        <v>14450</v>
      </c>
      <c r="I2104" s="17">
        <v>0</v>
      </c>
      <c r="J2104" s="17">
        <f t="shared" si="345"/>
        <v>13727.5</v>
      </c>
      <c r="K2104" s="17">
        <f t="shared" si="336"/>
        <v>722.5</v>
      </c>
      <c r="L2104" s="23">
        <f t="shared" si="330"/>
        <v>722.5</v>
      </c>
      <c r="M2104" s="33">
        <v>5</v>
      </c>
      <c r="N2104" s="18">
        <f t="shared" si="337"/>
        <v>6.9698630136986299</v>
      </c>
      <c r="O2104" s="23">
        <f t="shared" si="346"/>
        <v>6863.75</v>
      </c>
      <c r="P2104" s="18">
        <f t="shared" si="338"/>
        <v>7.9698630136986299</v>
      </c>
      <c r="Q2104" s="18">
        <f t="shared" si="342"/>
        <v>0</v>
      </c>
      <c r="R2104" s="18">
        <f t="shared" si="339"/>
        <v>6863.75</v>
      </c>
      <c r="S2104" s="18">
        <v>0</v>
      </c>
    </row>
    <row r="2105" spans="1:19" ht="15" customHeight="1" x14ac:dyDescent="0.2">
      <c r="A2105" s="14">
        <f t="shared" si="343"/>
        <v>2066</v>
      </c>
      <c r="B2105" s="31" t="s">
        <v>1795</v>
      </c>
      <c r="C2105" s="15" t="s">
        <v>3</v>
      </c>
      <c r="D2105" s="31" t="s">
        <v>1708</v>
      </c>
      <c r="E2105" s="31"/>
      <c r="F2105" s="73" t="s">
        <v>4</v>
      </c>
      <c r="G2105" s="32">
        <v>41623</v>
      </c>
      <c r="H2105" s="29">
        <v>12837.31</v>
      </c>
      <c r="I2105" s="17">
        <v>0</v>
      </c>
      <c r="J2105" s="17">
        <f t="shared" si="345"/>
        <v>12195.4445</v>
      </c>
      <c r="K2105" s="17">
        <f t="shared" si="336"/>
        <v>641.86549999999988</v>
      </c>
      <c r="L2105" s="23">
        <f t="shared" si="330"/>
        <v>641.8655</v>
      </c>
      <c r="M2105" s="33">
        <v>5</v>
      </c>
      <c r="N2105" s="18">
        <f t="shared" si="337"/>
        <v>6.3013698630136989</v>
      </c>
      <c r="O2105" s="23">
        <f t="shared" si="346"/>
        <v>6097.7222499999998</v>
      </c>
      <c r="P2105" s="18">
        <f t="shared" si="338"/>
        <v>7.3013698630136989</v>
      </c>
      <c r="Q2105" s="18">
        <f t="shared" si="342"/>
        <v>-2.2737367544323207E-14</v>
      </c>
      <c r="R2105" s="18">
        <f t="shared" si="339"/>
        <v>6097.7222499999998</v>
      </c>
      <c r="S2105" s="18">
        <v>0</v>
      </c>
    </row>
    <row r="2106" spans="1:19" ht="15" customHeight="1" x14ac:dyDescent="0.2">
      <c r="A2106" s="14">
        <f t="shared" si="343"/>
        <v>2067</v>
      </c>
      <c r="B2106" s="31" t="s">
        <v>1796</v>
      </c>
      <c r="C2106" s="15" t="s">
        <v>3</v>
      </c>
      <c r="D2106" s="31" t="s">
        <v>1708</v>
      </c>
      <c r="E2106" s="31"/>
      <c r="F2106" s="73" t="s">
        <v>4</v>
      </c>
      <c r="G2106" s="32">
        <v>41685</v>
      </c>
      <c r="H2106" s="29">
        <v>12360.2</v>
      </c>
      <c r="I2106" s="17">
        <v>0</v>
      </c>
      <c r="J2106" s="17">
        <f t="shared" si="345"/>
        <v>11742.19</v>
      </c>
      <c r="K2106" s="17">
        <f t="shared" si="336"/>
        <v>618.01000000000022</v>
      </c>
      <c r="L2106" s="23">
        <f t="shared" si="330"/>
        <v>618.0100000000001</v>
      </c>
      <c r="M2106" s="33">
        <v>5</v>
      </c>
      <c r="N2106" s="18">
        <f t="shared" si="337"/>
        <v>6.1315068493150688</v>
      </c>
      <c r="O2106" s="23">
        <f t="shared" si="346"/>
        <v>5871.0950000000003</v>
      </c>
      <c r="P2106" s="18">
        <f t="shared" si="338"/>
        <v>7.1315068493150688</v>
      </c>
      <c r="Q2106" s="18">
        <f t="shared" si="342"/>
        <v>2.2737367544323207E-14</v>
      </c>
      <c r="R2106" s="18">
        <f t="shared" si="339"/>
        <v>5871.0950000000003</v>
      </c>
      <c r="S2106" s="18">
        <v>0</v>
      </c>
    </row>
    <row r="2107" spans="1:19" ht="15" customHeight="1" x14ac:dyDescent="0.2">
      <c r="A2107" s="14">
        <f t="shared" si="343"/>
        <v>2068</v>
      </c>
      <c r="B2107" s="31" t="s">
        <v>1797</v>
      </c>
      <c r="C2107" s="15" t="s">
        <v>3</v>
      </c>
      <c r="D2107" s="31" t="s">
        <v>1708</v>
      </c>
      <c r="E2107" s="31"/>
      <c r="F2107" s="73" t="s">
        <v>4</v>
      </c>
      <c r="G2107" s="32">
        <v>41547</v>
      </c>
      <c r="H2107" s="29">
        <v>10000</v>
      </c>
      <c r="I2107" s="17">
        <v>0</v>
      </c>
      <c r="J2107" s="17">
        <v>2381.5068493150684</v>
      </c>
      <c r="K2107" s="17">
        <f t="shared" si="336"/>
        <v>7618.4931506849316</v>
      </c>
      <c r="L2107" s="23">
        <f t="shared" si="330"/>
        <v>500</v>
      </c>
      <c r="M2107" s="33">
        <v>10</v>
      </c>
      <c r="N2107" s="18">
        <f t="shared" si="337"/>
        <v>6.5095890410958903</v>
      </c>
      <c r="O2107" s="23">
        <v>36204.630136986299</v>
      </c>
      <c r="P2107" s="18">
        <f t="shared" si="338"/>
        <v>7.5095890410958903</v>
      </c>
      <c r="Q2107" s="18">
        <f t="shared" si="342"/>
        <v>711.84931506849318</v>
      </c>
      <c r="R2107" s="18">
        <f t="shared" si="339"/>
        <v>36916.479452054795</v>
      </c>
      <c r="S2107" s="18">
        <v>0</v>
      </c>
    </row>
    <row r="2108" spans="1:19" ht="15" customHeight="1" x14ac:dyDescent="0.2">
      <c r="A2108" s="14">
        <f t="shared" si="343"/>
        <v>2069</v>
      </c>
      <c r="B2108" s="31" t="s">
        <v>1798</v>
      </c>
      <c r="C2108" s="15" t="s">
        <v>3</v>
      </c>
      <c r="D2108" s="31" t="s">
        <v>1708</v>
      </c>
      <c r="E2108" s="31"/>
      <c r="F2108" s="73" t="s">
        <v>4</v>
      </c>
      <c r="G2108" s="32">
        <v>40678</v>
      </c>
      <c r="H2108" s="29">
        <v>12020</v>
      </c>
      <c r="I2108" s="17">
        <v>0</v>
      </c>
      <c r="J2108" s="17">
        <v>5581.2317808219186</v>
      </c>
      <c r="K2108" s="17">
        <f t="shared" si="336"/>
        <v>6438.7682191780814</v>
      </c>
      <c r="L2108" s="23">
        <f t="shared" si="330"/>
        <v>601</v>
      </c>
      <c r="M2108" s="33">
        <v>10</v>
      </c>
      <c r="N2108" s="18">
        <f t="shared" si="337"/>
        <v>8.8904109589041092</v>
      </c>
      <c r="O2108" s="23">
        <v>11069.126712328769</v>
      </c>
      <c r="P2108" s="18">
        <f t="shared" si="338"/>
        <v>9.8904109589041092</v>
      </c>
      <c r="Q2108" s="18">
        <f t="shared" si="342"/>
        <v>583.77682191780821</v>
      </c>
      <c r="R2108" s="18">
        <f t="shared" si="339"/>
        <v>11652.903534246578</v>
      </c>
      <c r="S2108" s="18">
        <v>0</v>
      </c>
    </row>
    <row r="2109" spans="1:19" ht="15" customHeight="1" x14ac:dyDescent="0.2">
      <c r="A2109" s="14">
        <f t="shared" si="343"/>
        <v>2070</v>
      </c>
      <c r="B2109" s="31" t="s">
        <v>1799</v>
      </c>
      <c r="C2109" s="15" t="s">
        <v>3</v>
      </c>
      <c r="D2109" s="31" t="s">
        <v>1708</v>
      </c>
      <c r="E2109" s="31"/>
      <c r="F2109" s="73" t="s">
        <v>4</v>
      </c>
      <c r="G2109" s="32">
        <v>40954</v>
      </c>
      <c r="H2109" s="29">
        <v>11000</v>
      </c>
      <c r="I2109" s="17">
        <v>0</v>
      </c>
      <c r="J2109" s="17">
        <v>4317.4246575342468</v>
      </c>
      <c r="K2109" s="17">
        <f t="shared" si="336"/>
        <v>6682.5753424657532</v>
      </c>
      <c r="L2109" s="23">
        <f t="shared" si="330"/>
        <v>550</v>
      </c>
      <c r="M2109" s="33">
        <v>10</v>
      </c>
      <c r="N2109" s="18">
        <f t="shared" si="337"/>
        <v>8.1342465753424662</v>
      </c>
      <c r="O2109" s="23">
        <v>4853.8493150684935</v>
      </c>
      <c r="P2109" s="18">
        <f t="shared" si="338"/>
        <v>9.1342465753424662</v>
      </c>
      <c r="Q2109" s="18">
        <f t="shared" si="342"/>
        <v>613.25753424657535</v>
      </c>
      <c r="R2109" s="18">
        <f t="shared" si="339"/>
        <v>5467.1068493150688</v>
      </c>
      <c r="S2109" s="18">
        <v>0</v>
      </c>
    </row>
    <row r="2110" spans="1:19" ht="15" customHeight="1" x14ac:dyDescent="0.2">
      <c r="A2110" s="14">
        <f t="shared" si="343"/>
        <v>2071</v>
      </c>
      <c r="B2110" s="31" t="s">
        <v>1800</v>
      </c>
      <c r="C2110" s="15" t="s">
        <v>3</v>
      </c>
      <c r="D2110" s="31" t="s">
        <v>1708</v>
      </c>
      <c r="E2110" s="31"/>
      <c r="F2110" s="73" t="s">
        <v>4</v>
      </c>
      <c r="G2110" s="32">
        <v>41289</v>
      </c>
      <c r="H2110" s="29">
        <v>8672</v>
      </c>
      <c r="I2110" s="17">
        <v>0</v>
      </c>
      <c r="J2110" s="17">
        <v>2647.5734794520545</v>
      </c>
      <c r="K2110" s="17">
        <f t="shared" si="336"/>
        <v>6024.426520547946</v>
      </c>
      <c r="L2110" s="23">
        <f t="shared" si="330"/>
        <v>433.6</v>
      </c>
      <c r="M2110" s="33">
        <v>10</v>
      </c>
      <c r="N2110" s="18">
        <f t="shared" si="337"/>
        <v>7.2164383561643834</v>
      </c>
      <c r="O2110" s="23">
        <v>4354.4056849315057</v>
      </c>
      <c r="P2110" s="18">
        <f t="shared" si="338"/>
        <v>8.2164383561643834</v>
      </c>
      <c r="Q2110" s="18">
        <f t="shared" si="342"/>
        <v>559.08265205479461</v>
      </c>
      <c r="R2110" s="18">
        <f t="shared" si="339"/>
        <v>4913.4883369863001</v>
      </c>
      <c r="S2110" s="18">
        <v>0</v>
      </c>
    </row>
    <row r="2111" spans="1:19" ht="15" customHeight="1" x14ac:dyDescent="0.2">
      <c r="A2111" s="14">
        <f t="shared" si="343"/>
        <v>2072</v>
      </c>
      <c r="B2111" s="31" t="s">
        <v>1800</v>
      </c>
      <c r="C2111" s="15" t="s">
        <v>3</v>
      </c>
      <c r="D2111" s="31" t="s">
        <v>1708</v>
      </c>
      <c r="E2111" s="31"/>
      <c r="F2111" s="73" t="s">
        <v>4</v>
      </c>
      <c r="G2111" s="32">
        <v>41258</v>
      </c>
      <c r="H2111" s="29">
        <v>8672</v>
      </c>
      <c r="I2111" s="17">
        <v>0</v>
      </c>
      <c r="J2111" s="17">
        <v>2717.5434520547942</v>
      </c>
      <c r="K2111" s="17">
        <f t="shared" si="336"/>
        <v>5954.4565479452058</v>
      </c>
      <c r="L2111" s="23">
        <f t="shared" si="330"/>
        <v>433.6</v>
      </c>
      <c r="M2111" s="33">
        <v>10</v>
      </c>
      <c r="N2111" s="18">
        <f t="shared" si="337"/>
        <v>7.3013698630136989</v>
      </c>
      <c r="O2111" s="23">
        <v>13859.784246575342</v>
      </c>
      <c r="P2111" s="18">
        <f t="shared" si="338"/>
        <v>8.3013698630136989</v>
      </c>
      <c r="Q2111" s="18">
        <f t="shared" si="342"/>
        <v>552.08565479452056</v>
      </c>
      <c r="R2111" s="18">
        <f t="shared" si="339"/>
        <v>14411.869901369862</v>
      </c>
      <c r="S2111" s="18">
        <v>0</v>
      </c>
    </row>
    <row r="2112" spans="1:19" ht="15" customHeight="1" x14ac:dyDescent="0.2">
      <c r="A2112" s="14">
        <f t="shared" si="343"/>
        <v>2073</v>
      </c>
      <c r="B2112" s="31" t="s">
        <v>1322</v>
      </c>
      <c r="C2112" s="15" t="s">
        <v>3</v>
      </c>
      <c r="D2112" s="31" t="s">
        <v>1708</v>
      </c>
      <c r="E2112" s="31"/>
      <c r="F2112" s="73" t="s">
        <v>4</v>
      </c>
      <c r="G2112" s="32">
        <v>41379</v>
      </c>
      <c r="H2112" s="29">
        <v>8780</v>
      </c>
      <c r="I2112" s="17">
        <v>0</v>
      </c>
      <c r="J2112" s="17">
        <f t="shared" ref="J2112" si="347">H2112-L2112</f>
        <v>8341</v>
      </c>
      <c r="K2112" s="17">
        <f t="shared" si="336"/>
        <v>439</v>
      </c>
      <c r="L2112" s="23">
        <f t="shared" si="330"/>
        <v>439</v>
      </c>
      <c r="M2112" s="33">
        <v>5</v>
      </c>
      <c r="N2112" s="18">
        <f t="shared" si="337"/>
        <v>6.9698630136986299</v>
      </c>
      <c r="O2112" s="23">
        <f>(H2112-K2112)/2</f>
        <v>4170.5</v>
      </c>
      <c r="P2112" s="18">
        <f t="shared" si="338"/>
        <v>7.9698630136986299</v>
      </c>
      <c r="Q2112" s="18">
        <f t="shared" si="342"/>
        <v>0</v>
      </c>
      <c r="R2112" s="18">
        <f t="shared" si="339"/>
        <v>4170.5</v>
      </c>
      <c r="S2112" s="18">
        <v>0</v>
      </c>
    </row>
    <row r="2113" spans="1:19" ht="15" customHeight="1" x14ac:dyDescent="0.2">
      <c r="A2113" s="14">
        <f t="shared" si="343"/>
        <v>2074</v>
      </c>
      <c r="B2113" s="31" t="s">
        <v>1801</v>
      </c>
      <c r="C2113" s="15" t="s">
        <v>3</v>
      </c>
      <c r="D2113" s="31" t="s">
        <v>1708</v>
      </c>
      <c r="E2113" s="31"/>
      <c r="F2113" s="73" t="s">
        <v>4</v>
      </c>
      <c r="G2113" s="32">
        <v>41348</v>
      </c>
      <c r="H2113" s="29">
        <v>7000</v>
      </c>
      <c r="I2113" s="17">
        <v>0</v>
      </c>
      <c r="J2113" s="17">
        <v>2029.6164383561645</v>
      </c>
      <c r="K2113" s="17">
        <f t="shared" si="336"/>
        <v>4970.3835616438355</v>
      </c>
      <c r="L2113" s="23">
        <f t="shared" si="330"/>
        <v>350</v>
      </c>
      <c r="M2113" s="33">
        <v>10</v>
      </c>
      <c r="N2113" s="18">
        <f t="shared" si="337"/>
        <v>7.0547945205479454</v>
      </c>
      <c r="O2113" s="23">
        <v>5962.263376712328</v>
      </c>
      <c r="P2113" s="18">
        <f t="shared" si="338"/>
        <v>8.0547945205479454</v>
      </c>
      <c r="Q2113" s="18">
        <f t="shared" si="342"/>
        <v>462.03835616438357</v>
      </c>
      <c r="R2113" s="18">
        <f t="shared" si="339"/>
        <v>6424.3017328767119</v>
      </c>
      <c r="S2113" s="18">
        <v>0</v>
      </c>
    </row>
    <row r="2114" spans="1:19" ht="15" customHeight="1" x14ac:dyDescent="0.2">
      <c r="A2114" s="14">
        <f t="shared" si="343"/>
        <v>2075</v>
      </c>
      <c r="B2114" s="31" t="s">
        <v>1802</v>
      </c>
      <c r="C2114" s="15" t="s">
        <v>3</v>
      </c>
      <c r="D2114" s="31" t="s">
        <v>1708</v>
      </c>
      <c r="E2114" s="31"/>
      <c r="F2114" s="73" t="s">
        <v>4</v>
      </c>
      <c r="G2114" s="32">
        <v>41289</v>
      </c>
      <c r="H2114" s="29">
        <v>7000</v>
      </c>
      <c r="I2114" s="17">
        <v>0</v>
      </c>
      <c r="J2114" s="17">
        <v>2137.1095890410957</v>
      </c>
      <c r="K2114" s="17">
        <f t="shared" si="336"/>
        <v>4862.8904109589039</v>
      </c>
      <c r="L2114" s="23">
        <f t="shared" si="330"/>
        <v>350</v>
      </c>
      <c r="M2114" s="33">
        <v>10</v>
      </c>
      <c r="N2114" s="18">
        <f t="shared" si="337"/>
        <v>7.2164383561643834</v>
      </c>
      <c r="O2114" s="23">
        <v>4724.2849315068497</v>
      </c>
      <c r="P2114" s="18">
        <f t="shared" si="338"/>
        <v>8.2164383561643834</v>
      </c>
      <c r="Q2114" s="18">
        <f t="shared" si="342"/>
        <v>451.28904109589041</v>
      </c>
      <c r="R2114" s="18">
        <f t="shared" si="339"/>
        <v>5175.5739726027405</v>
      </c>
      <c r="S2114" s="18">
        <v>0</v>
      </c>
    </row>
    <row r="2115" spans="1:19" ht="15" customHeight="1" x14ac:dyDescent="0.2">
      <c r="A2115" s="14">
        <f t="shared" si="343"/>
        <v>2076</v>
      </c>
      <c r="B2115" s="31" t="s">
        <v>1798</v>
      </c>
      <c r="C2115" s="15" t="s">
        <v>3</v>
      </c>
      <c r="D2115" s="31" t="s">
        <v>1708</v>
      </c>
      <c r="E2115" s="31"/>
      <c r="F2115" s="73" t="s">
        <v>4</v>
      </c>
      <c r="G2115" s="32">
        <v>39401</v>
      </c>
      <c r="H2115" s="29">
        <v>12091.67</v>
      </c>
      <c r="I2115" s="17">
        <v>0</v>
      </c>
      <c r="J2115" s="17">
        <f t="shared" ref="J2115:J2117" si="348">H2115-L2115</f>
        <v>11487.086499999999</v>
      </c>
      <c r="K2115" s="17">
        <f t="shared" si="336"/>
        <v>604.58350000000064</v>
      </c>
      <c r="L2115" s="23">
        <f t="shared" si="330"/>
        <v>604.58350000000007</v>
      </c>
      <c r="M2115" s="33">
        <v>10</v>
      </c>
      <c r="N2115" s="18">
        <f t="shared" si="337"/>
        <v>12.389041095890411</v>
      </c>
      <c r="O2115" s="23">
        <f t="shared" ref="O2115:O2117" si="349">(H2115-K2115)/2</f>
        <v>5743.5432499999997</v>
      </c>
      <c r="P2115" s="18">
        <f t="shared" si="338"/>
        <v>13.389041095890411</v>
      </c>
      <c r="Q2115" s="18">
        <f t="shared" si="342"/>
        <v>5.6843418860808015E-14</v>
      </c>
      <c r="R2115" s="18">
        <f t="shared" si="339"/>
        <v>5743.5432499999997</v>
      </c>
      <c r="S2115" s="18">
        <v>0</v>
      </c>
    </row>
    <row r="2116" spans="1:19" ht="15" customHeight="1" x14ac:dyDescent="0.2">
      <c r="A2116" s="14">
        <f t="shared" si="343"/>
        <v>2077</v>
      </c>
      <c r="B2116" s="31" t="s">
        <v>1798</v>
      </c>
      <c r="C2116" s="15" t="s">
        <v>3</v>
      </c>
      <c r="D2116" s="31" t="s">
        <v>1708</v>
      </c>
      <c r="E2116" s="31"/>
      <c r="F2116" s="73" t="s">
        <v>4</v>
      </c>
      <c r="G2116" s="32">
        <v>38975</v>
      </c>
      <c r="H2116" s="29">
        <v>15958.06</v>
      </c>
      <c r="I2116" s="17">
        <v>0</v>
      </c>
      <c r="J2116" s="17">
        <f t="shared" si="348"/>
        <v>15160.156999999999</v>
      </c>
      <c r="K2116" s="17">
        <f t="shared" si="336"/>
        <v>797.90300000000025</v>
      </c>
      <c r="L2116" s="23">
        <f t="shared" si="330"/>
        <v>797.90300000000002</v>
      </c>
      <c r="M2116" s="33">
        <v>10</v>
      </c>
      <c r="N2116" s="18">
        <f t="shared" si="337"/>
        <v>13.556164383561644</v>
      </c>
      <c r="O2116" s="23">
        <f t="shared" si="349"/>
        <v>7580.0784999999996</v>
      </c>
      <c r="P2116" s="18">
        <f t="shared" si="338"/>
        <v>14.556164383561644</v>
      </c>
      <c r="Q2116" s="18">
        <f t="shared" si="342"/>
        <v>2.2737367544323207E-14</v>
      </c>
      <c r="R2116" s="18">
        <f t="shared" si="339"/>
        <v>7580.0784999999996</v>
      </c>
      <c r="S2116" s="18">
        <v>0</v>
      </c>
    </row>
    <row r="2117" spans="1:19" ht="15" customHeight="1" x14ac:dyDescent="0.2">
      <c r="A2117" s="14">
        <f t="shared" si="343"/>
        <v>2078</v>
      </c>
      <c r="B2117" s="31" t="s">
        <v>1803</v>
      </c>
      <c r="C2117" s="15" t="s">
        <v>3</v>
      </c>
      <c r="D2117" s="31" t="s">
        <v>1708</v>
      </c>
      <c r="E2117" s="31"/>
      <c r="F2117" s="73" t="s">
        <v>4</v>
      </c>
      <c r="G2117" s="32">
        <v>41608</v>
      </c>
      <c r="H2117" s="29">
        <v>6497.03</v>
      </c>
      <c r="I2117" s="17">
        <v>0</v>
      </c>
      <c r="J2117" s="17">
        <f t="shared" si="348"/>
        <v>6172.1785</v>
      </c>
      <c r="K2117" s="17">
        <f t="shared" si="336"/>
        <v>324.85149999999976</v>
      </c>
      <c r="L2117" s="23">
        <f t="shared" si="330"/>
        <v>324.85149999999999</v>
      </c>
      <c r="M2117" s="33">
        <v>5</v>
      </c>
      <c r="N2117" s="18">
        <f t="shared" si="337"/>
        <v>6.3424657534246576</v>
      </c>
      <c r="O2117" s="23">
        <f t="shared" si="349"/>
        <v>3086.08925</v>
      </c>
      <c r="P2117" s="18">
        <f t="shared" si="338"/>
        <v>7.3424657534246576</v>
      </c>
      <c r="Q2117" s="18">
        <f t="shared" si="342"/>
        <v>-4.5474735088646414E-14</v>
      </c>
      <c r="R2117" s="18">
        <f t="shared" si="339"/>
        <v>3086.08925</v>
      </c>
      <c r="S2117" s="18">
        <v>0</v>
      </c>
    </row>
    <row r="2118" spans="1:19" ht="15" customHeight="1" x14ac:dyDescent="0.2">
      <c r="A2118" s="14">
        <f t="shared" si="343"/>
        <v>2079</v>
      </c>
      <c r="B2118" s="31" t="s">
        <v>1714</v>
      </c>
      <c r="C2118" s="15" t="s">
        <v>3</v>
      </c>
      <c r="D2118" s="31" t="s">
        <v>1708</v>
      </c>
      <c r="E2118" s="31"/>
      <c r="F2118" s="73" t="s">
        <v>4</v>
      </c>
      <c r="G2118" s="32">
        <v>40589</v>
      </c>
      <c r="H2118" s="29">
        <v>7055</v>
      </c>
      <c r="I2118" s="17">
        <v>0</v>
      </c>
      <c r="J2118" s="17">
        <v>3439.2641780821923</v>
      </c>
      <c r="K2118" s="17">
        <f t="shared" si="336"/>
        <v>3615.7358219178077</v>
      </c>
      <c r="L2118" s="23">
        <f t="shared" si="330"/>
        <v>352.75</v>
      </c>
      <c r="M2118" s="33">
        <v>10</v>
      </c>
      <c r="N2118" s="18">
        <f t="shared" si="337"/>
        <v>9.1342465753424662</v>
      </c>
      <c r="O2118" s="23">
        <v>4314.3971506849321</v>
      </c>
      <c r="P2118" s="18">
        <f t="shared" si="338"/>
        <v>10.134246575342466</v>
      </c>
      <c r="Q2118" s="18">
        <f t="shared" si="342"/>
        <v>326.29858219178078</v>
      </c>
      <c r="R2118" s="18">
        <f t="shared" si="339"/>
        <v>4640.695732876713</v>
      </c>
      <c r="S2118" s="18">
        <v>0</v>
      </c>
    </row>
    <row r="2119" spans="1:19" ht="15" customHeight="1" x14ac:dyDescent="0.2">
      <c r="A2119" s="14">
        <f t="shared" si="343"/>
        <v>2080</v>
      </c>
      <c r="B2119" s="31" t="s">
        <v>1714</v>
      </c>
      <c r="C2119" s="15" t="s">
        <v>3</v>
      </c>
      <c r="D2119" s="31" t="s">
        <v>1708</v>
      </c>
      <c r="E2119" s="31"/>
      <c r="F2119" s="73" t="s">
        <v>4</v>
      </c>
      <c r="G2119" s="32">
        <v>40648</v>
      </c>
      <c r="H2119" s="29">
        <v>6487.5</v>
      </c>
      <c r="I2119" s="17">
        <v>0</v>
      </c>
      <c r="J2119" s="17">
        <v>3062.9886986301367</v>
      </c>
      <c r="K2119" s="17">
        <f t="shared" si="336"/>
        <v>3424.5113013698633</v>
      </c>
      <c r="L2119" s="23">
        <f t="shared" si="330"/>
        <v>324.375</v>
      </c>
      <c r="M2119" s="33">
        <v>10</v>
      </c>
      <c r="N2119" s="18">
        <f t="shared" si="337"/>
        <v>8.9726027397260282</v>
      </c>
      <c r="O2119" s="23">
        <v>3535.82191780822</v>
      </c>
      <c r="P2119" s="18">
        <f t="shared" si="338"/>
        <v>9.9726027397260282</v>
      </c>
      <c r="Q2119" s="18">
        <f t="shared" si="342"/>
        <v>310.01363013698636</v>
      </c>
      <c r="R2119" s="18">
        <f t="shared" si="339"/>
        <v>3845.8355479452061</v>
      </c>
      <c r="S2119" s="18">
        <v>0</v>
      </c>
    </row>
    <row r="2120" spans="1:19" ht="15" customHeight="1" x14ac:dyDescent="0.2">
      <c r="A2120" s="14">
        <f t="shared" si="343"/>
        <v>2081</v>
      </c>
      <c r="B2120" s="31" t="s">
        <v>1798</v>
      </c>
      <c r="C2120" s="15" t="s">
        <v>3</v>
      </c>
      <c r="D2120" s="31" t="s">
        <v>1708</v>
      </c>
      <c r="E2120" s="31"/>
      <c r="F2120" s="73" t="s">
        <v>4</v>
      </c>
      <c r="G2120" s="32">
        <v>39431</v>
      </c>
      <c r="H2120" s="29">
        <v>7582.5</v>
      </c>
      <c r="I2120" s="17">
        <v>0</v>
      </c>
      <c r="J2120" s="17">
        <f t="shared" ref="J2120:J2183" si="350">H2120-L2120</f>
        <v>7203.375</v>
      </c>
      <c r="K2120" s="17">
        <f t="shared" si="336"/>
        <v>379.125</v>
      </c>
      <c r="L2120" s="23">
        <f t="shared" si="330"/>
        <v>379.125</v>
      </c>
      <c r="M2120" s="33">
        <v>10</v>
      </c>
      <c r="N2120" s="18">
        <f t="shared" si="337"/>
        <v>12.306849315068494</v>
      </c>
      <c r="O2120" s="23">
        <f t="shared" ref="O2120:O2158" si="351">(H2120-K2120)/2</f>
        <v>3601.6875</v>
      </c>
      <c r="P2120" s="18">
        <f t="shared" si="338"/>
        <v>13.306849315068494</v>
      </c>
      <c r="Q2120" s="18">
        <f t="shared" si="342"/>
        <v>0</v>
      </c>
      <c r="R2120" s="18">
        <f t="shared" si="339"/>
        <v>3601.6875</v>
      </c>
      <c r="S2120" s="18">
        <v>0</v>
      </c>
    </row>
    <row r="2121" spans="1:19" ht="15" customHeight="1" x14ac:dyDescent="0.2">
      <c r="A2121" s="14">
        <f t="shared" si="343"/>
        <v>2082</v>
      </c>
      <c r="B2121" s="31" t="s">
        <v>1804</v>
      </c>
      <c r="C2121" s="15" t="s">
        <v>3</v>
      </c>
      <c r="D2121" s="31" t="s">
        <v>1708</v>
      </c>
      <c r="E2121" s="31"/>
      <c r="F2121" s="73" t="s">
        <v>4</v>
      </c>
      <c r="G2121" s="32">
        <v>38883</v>
      </c>
      <c r="H2121" s="29">
        <v>13000</v>
      </c>
      <c r="I2121" s="17">
        <v>0</v>
      </c>
      <c r="J2121" s="17">
        <f t="shared" si="350"/>
        <v>12350</v>
      </c>
      <c r="K2121" s="17">
        <f t="shared" si="336"/>
        <v>650</v>
      </c>
      <c r="L2121" s="23">
        <f t="shared" si="330"/>
        <v>650</v>
      </c>
      <c r="M2121" s="33">
        <v>10</v>
      </c>
      <c r="N2121" s="18">
        <f t="shared" si="337"/>
        <v>13.808219178082192</v>
      </c>
      <c r="O2121" s="23">
        <f t="shared" si="351"/>
        <v>6175</v>
      </c>
      <c r="P2121" s="18">
        <f t="shared" si="338"/>
        <v>14.808219178082192</v>
      </c>
      <c r="Q2121" s="18">
        <f t="shared" si="342"/>
        <v>0</v>
      </c>
      <c r="R2121" s="18">
        <f t="shared" si="339"/>
        <v>6175</v>
      </c>
      <c r="S2121" s="18">
        <v>0</v>
      </c>
    </row>
    <row r="2122" spans="1:19" ht="15" customHeight="1" x14ac:dyDescent="0.2">
      <c r="A2122" s="14">
        <f t="shared" si="343"/>
        <v>2083</v>
      </c>
      <c r="B2122" s="31" t="s">
        <v>1714</v>
      </c>
      <c r="C2122" s="15" t="s">
        <v>3</v>
      </c>
      <c r="D2122" s="31" t="s">
        <v>1708</v>
      </c>
      <c r="E2122" s="31"/>
      <c r="F2122" s="73" t="s">
        <v>4</v>
      </c>
      <c r="G2122" s="32">
        <v>40193</v>
      </c>
      <c r="H2122" s="29">
        <v>6077</v>
      </c>
      <c r="I2122" s="17">
        <v>0</v>
      </c>
      <c r="J2122" s="17">
        <f t="shared" si="350"/>
        <v>5773.15</v>
      </c>
      <c r="K2122" s="17">
        <f t="shared" si="336"/>
        <v>303.85000000000036</v>
      </c>
      <c r="L2122" s="23">
        <f t="shared" si="330"/>
        <v>303.85000000000002</v>
      </c>
      <c r="M2122" s="33">
        <v>10</v>
      </c>
      <c r="N2122" s="18">
        <f t="shared" si="337"/>
        <v>10.219178082191782</v>
      </c>
      <c r="O2122" s="23">
        <f t="shared" si="351"/>
        <v>2886.5749999999998</v>
      </c>
      <c r="P2122" s="18">
        <f t="shared" si="338"/>
        <v>11.219178082191782</v>
      </c>
      <c r="Q2122" s="18">
        <f t="shared" si="342"/>
        <v>3.4106051316484814E-14</v>
      </c>
      <c r="R2122" s="18">
        <f t="shared" si="339"/>
        <v>2886.5749999999998</v>
      </c>
      <c r="S2122" s="18">
        <v>0</v>
      </c>
    </row>
    <row r="2123" spans="1:19" ht="15" customHeight="1" x14ac:dyDescent="0.2">
      <c r="A2123" s="14">
        <f t="shared" si="343"/>
        <v>2084</v>
      </c>
      <c r="B2123" s="31" t="s">
        <v>1803</v>
      </c>
      <c r="C2123" s="15" t="s">
        <v>3</v>
      </c>
      <c r="D2123" s="31" t="s">
        <v>1708</v>
      </c>
      <c r="E2123" s="31"/>
      <c r="F2123" s="73" t="s">
        <v>4</v>
      </c>
      <c r="G2123" s="32">
        <v>41320</v>
      </c>
      <c r="H2123" s="29">
        <v>5005.2299999999996</v>
      </c>
      <c r="I2123" s="17">
        <v>0</v>
      </c>
      <c r="J2123" s="17">
        <f t="shared" si="350"/>
        <v>4754.9684999999999</v>
      </c>
      <c r="K2123" s="17">
        <f t="shared" si="336"/>
        <v>250.26149999999961</v>
      </c>
      <c r="L2123" s="23">
        <f t="shared" si="330"/>
        <v>250.26149999999998</v>
      </c>
      <c r="M2123" s="33">
        <v>5</v>
      </c>
      <c r="N2123" s="18">
        <f t="shared" si="337"/>
        <v>7.1315068493150688</v>
      </c>
      <c r="O2123" s="23">
        <f t="shared" si="351"/>
        <v>2377.48425</v>
      </c>
      <c r="P2123" s="18">
        <f t="shared" si="338"/>
        <v>8.131506849315068</v>
      </c>
      <c r="Q2123" s="18">
        <f t="shared" si="342"/>
        <v>-7.3896444519050346E-14</v>
      </c>
      <c r="R2123" s="18">
        <f t="shared" si="339"/>
        <v>2377.48425</v>
      </c>
      <c r="S2123" s="18">
        <v>0</v>
      </c>
    </row>
    <row r="2124" spans="1:19" ht="15" customHeight="1" x14ac:dyDescent="0.2">
      <c r="A2124" s="14">
        <f t="shared" si="343"/>
        <v>2085</v>
      </c>
      <c r="B2124" s="31" t="s">
        <v>1714</v>
      </c>
      <c r="C2124" s="15" t="s">
        <v>3</v>
      </c>
      <c r="D2124" s="31" t="s">
        <v>1708</v>
      </c>
      <c r="E2124" s="31"/>
      <c r="F2124" s="73" t="s">
        <v>4</v>
      </c>
      <c r="G2124" s="32">
        <v>40252</v>
      </c>
      <c r="H2124" s="29">
        <v>5658</v>
      </c>
      <c r="I2124" s="17">
        <v>0</v>
      </c>
      <c r="J2124" s="17">
        <f t="shared" si="350"/>
        <v>5375.1</v>
      </c>
      <c r="K2124" s="17">
        <f t="shared" si="336"/>
        <v>282.89999999999964</v>
      </c>
      <c r="L2124" s="23">
        <f t="shared" si="330"/>
        <v>282.90000000000003</v>
      </c>
      <c r="M2124" s="33">
        <v>10</v>
      </c>
      <c r="N2124" s="18">
        <f t="shared" si="337"/>
        <v>10.057534246575342</v>
      </c>
      <c r="O2124" s="23">
        <f t="shared" si="351"/>
        <v>2687.55</v>
      </c>
      <c r="P2124" s="18">
        <f t="shared" si="338"/>
        <v>11.057534246575342</v>
      </c>
      <c r="Q2124" s="18">
        <f t="shared" si="342"/>
        <v>-3.9790393202565614E-14</v>
      </c>
      <c r="R2124" s="18">
        <f t="shared" si="339"/>
        <v>2687.55</v>
      </c>
      <c r="S2124" s="18">
        <v>0</v>
      </c>
    </row>
    <row r="2125" spans="1:19" ht="15" customHeight="1" x14ac:dyDescent="0.2">
      <c r="A2125" s="14">
        <f t="shared" si="343"/>
        <v>2086</v>
      </c>
      <c r="B2125" s="31" t="s">
        <v>1803</v>
      </c>
      <c r="C2125" s="15" t="s">
        <v>3</v>
      </c>
      <c r="D2125" s="31" t="s">
        <v>1708</v>
      </c>
      <c r="E2125" s="31"/>
      <c r="F2125" s="73" t="s">
        <v>4</v>
      </c>
      <c r="G2125" s="32">
        <v>41289</v>
      </c>
      <c r="H2125" s="29">
        <v>5005.22</v>
      </c>
      <c r="I2125" s="17">
        <v>0</v>
      </c>
      <c r="J2125" s="17">
        <f t="shared" si="350"/>
        <v>4754.9589999999998</v>
      </c>
      <c r="K2125" s="17">
        <f t="shared" si="336"/>
        <v>250.26100000000042</v>
      </c>
      <c r="L2125" s="23">
        <f t="shared" si="330"/>
        <v>250.26100000000002</v>
      </c>
      <c r="M2125" s="33">
        <v>5</v>
      </c>
      <c r="N2125" s="18">
        <f t="shared" si="337"/>
        <v>7.2164383561643834</v>
      </c>
      <c r="O2125" s="23">
        <f t="shared" si="351"/>
        <v>2377.4794999999999</v>
      </c>
      <c r="P2125" s="18">
        <f t="shared" si="338"/>
        <v>8.2164383561643834</v>
      </c>
      <c r="Q2125" s="18">
        <f t="shared" si="342"/>
        <v>7.9580786405131228E-14</v>
      </c>
      <c r="R2125" s="18">
        <f t="shared" si="339"/>
        <v>2377.4794999999999</v>
      </c>
      <c r="S2125" s="18">
        <v>0</v>
      </c>
    </row>
    <row r="2126" spans="1:19" ht="15" customHeight="1" x14ac:dyDescent="0.2">
      <c r="A2126" s="14">
        <f t="shared" si="343"/>
        <v>2087</v>
      </c>
      <c r="B2126" s="31" t="s">
        <v>1714</v>
      </c>
      <c r="C2126" s="15" t="s">
        <v>3</v>
      </c>
      <c r="D2126" s="31" t="s">
        <v>1708</v>
      </c>
      <c r="E2126" s="31"/>
      <c r="F2126" s="73" t="s">
        <v>4</v>
      </c>
      <c r="G2126" s="32">
        <v>39979</v>
      </c>
      <c r="H2126" s="29">
        <v>5623</v>
      </c>
      <c r="I2126" s="17">
        <v>0</v>
      </c>
      <c r="J2126" s="17">
        <f t="shared" si="350"/>
        <v>5341.85</v>
      </c>
      <c r="K2126" s="17">
        <f t="shared" si="336"/>
        <v>281.14999999999964</v>
      </c>
      <c r="L2126" s="23">
        <f t="shared" si="330"/>
        <v>281.15000000000003</v>
      </c>
      <c r="M2126" s="33">
        <v>10</v>
      </c>
      <c r="N2126" s="18">
        <f t="shared" si="337"/>
        <v>10.805479452054794</v>
      </c>
      <c r="O2126" s="23">
        <f t="shared" si="351"/>
        <v>2670.9250000000002</v>
      </c>
      <c r="P2126" s="18">
        <f t="shared" si="338"/>
        <v>11.805479452054794</v>
      </c>
      <c r="Q2126" s="18">
        <f t="shared" si="342"/>
        <v>-3.9790393202565614E-14</v>
      </c>
      <c r="R2126" s="18">
        <f t="shared" si="339"/>
        <v>2670.9250000000002</v>
      </c>
      <c r="S2126" s="18">
        <v>0</v>
      </c>
    </row>
    <row r="2127" spans="1:19" ht="15" customHeight="1" x14ac:dyDescent="0.2">
      <c r="A2127" s="14">
        <f t="shared" si="343"/>
        <v>2088</v>
      </c>
      <c r="B2127" s="31" t="s">
        <v>1714</v>
      </c>
      <c r="C2127" s="15" t="s">
        <v>3</v>
      </c>
      <c r="D2127" s="31" t="s">
        <v>1708</v>
      </c>
      <c r="E2127" s="31"/>
      <c r="F2127" s="73" t="s">
        <v>4</v>
      </c>
      <c r="G2127" s="32">
        <v>39948</v>
      </c>
      <c r="H2127" s="29">
        <v>5575</v>
      </c>
      <c r="I2127" s="17">
        <v>0</v>
      </c>
      <c r="J2127" s="17">
        <f t="shared" si="350"/>
        <v>5296.25</v>
      </c>
      <c r="K2127" s="17">
        <f t="shared" si="336"/>
        <v>278.75</v>
      </c>
      <c r="L2127" s="23">
        <f t="shared" si="330"/>
        <v>278.75</v>
      </c>
      <c r="M2127" s="33">
        <v>10</v>
      </c>
      <c r="N2127" s="18">
        <f t="shared" si="337"/>
        <v>10.890410958904109</v>
      </c>
      <c r="O2127" s="23">
        <f t="shared" si="351"/>
        <v>2648.125</v>
      </c>
      <c r="P2127" s="18">
        <f t="shared" si="338"/>
        <v>11.890410958904109</v>
      </c>
      <c r="Q2127" s="18">
        <f t="shared" si="342"/>
        <v>0</v>
      </c>
      <c r="R2127" s="18">
        <f t="shared" si="339"/>
        <v>2648.125</v>
      </c>
      <c r="S2127" s="18">
        <v>0</v>
      </c>
    </row>
    <row r="2128" spans="1:19" ht="15" customHeight="1" x14ac:dyDescent="0.2">
      <c r="A2128" s="14">
        <f t="shared" si="343"/>
        <v>2089</v>
      </c>
      <c r="B2128" s="31" t="s">
        <v>1798</v>
      </c>
      <c r="C2128" s="15" t="s">
        <v>3</v>
      </c>
      <c r="D2128" s="31" t="s">
        <v>1708</v>
      </c>
      <c r="E2128" s="31"/>
      <c r="F2128" s="73" t="s">
        <v>4</v>
      </c>
      <c r="G2128" s="32">
        <v>39493</v>
      </c>
      <c r="H2128" s="29">
        <v>6700</v>
      </c>
      <c r="I2128" s="17">
        <v>0</v>
      </c>
      <c r="J2128" s="17">
        <f t="shared" si="350"/>
        <v>6365</v>
      </c>
      <c r="K2128" s="17">
        <f t="shared" si="336"/>
        <v>335</v>
      </c>
      <c r="L2128" s="23">
        <f t="shared" si="330"/>
        <v>335</v>
      </c>
      <c r="M2128" s="33">
        <v>10</v>
      </c>
      <c r="N2128" s="18">
        <f t="shared" si="337"/>
        <v>12.136986301369863</v>
      </c>
      <c r="O2128" s="23">
        <f t="shared" si="351"/>
        <v>3182.5</v>
      </c>
      <c r="P2128" s="18">
        <f t="shared" si="338"/>
        <v>13.136986301369863</v>
      </c>
      <c r="Q2128" s="18">
        <f t="shared" si="342"/>
        <v>0</v>
      </c>
      <c r="R2128" s="18">
        <f t="shared" si="339"/>
        <v>3182.5</v>
      </c>
      <c r="S2128" s="18">
        <v>0</v>
      </c>
    </row>
    <row r="2129" spans="1:19" ht="15" customHeight="1" x14ac:dyDescent="0.2">
      <c r="A2129" s="14">
        <f t="shared" si="343"/>
        <v>2090</v>
      </c>
      <c r="B2129" s="31" t="s">
        <v>1805</v>
      </c>
      <c r="C2129" s="15" t="s">
        <v>3</v>
      </c>
      <c r="D2129" s="31" t="s">
        <v>1708</v>
      </c>
      <c r="E2129" s="31"/>
      <c r="F2129" s="73" t="s">
        <v>4</v>
      </c>
      <c r="G2129" s="32">
        <v>35764</v>
      </c>
      <c r="H2129" s="29">
        <v>52900</v>
      </c>
      <c r="I2129" s="17">
        <v>0</v>
      </c>
      <c r="J2129" s="17">
        <f t="shared" si="350"/>
        <v>50255</v>
      </c>
      <c r="K2129" s="17">
        <f t="shared" si="336"/>
        <v>2645</v>
      </c>
      <c r="L2129" s="23">
        <f t="shared" si="330"/>
        <v>2645</v>
      </c>
      <c r="M2129" s="33">
        <v>10</v>
      </c>
      <c r="N2129" s="18">
        <f t="shared" si="337"/>
        <v>22.353424657534248</v>
      </c>
      <c r="O2129" s="23">
        <f t="shared" si="351"/>
        <v>25127.5</v>
      </c>
      <c r="P2129" s="18">
        <f t="shared" si="338"/>
        <v>23.353424657534248</v>
      </c>
      <c r="Q2129" s="18">
        <f t="shared" si="342"/>
        <v>0</v>
      </c>
      <c r="R2129" s="18">
        <f t="shared" si="339"/>
        <v>25127.5</v>
      </c>
      <c r="S2129" s="18">
        <v>0</v>
      </c>
    </row>
    <row r="2130" spans="1:19" ht="15" customHeight="1" x14ac:dyDescent="0.2">
      <c r="A2130" s="14">
        <f t="shared" si="343"/>
        <v>2091</v>
      </c>
      <c r="B2130" s="31" t="s">
        <v>1806</v>
      </c>
      <c r="C2130" s="15" t="s">
        <v>3</v>
      </c>
      <c r="D2130" s="31" t="s">
        <v>1708</v>
      </c>
      <c r="E2130" s="31"/>
      <c r="F2130" s="73" t="s">
        <v>4</v>
      </c>
      <c r="G2130" s="32">
        <v>38913</v>
      </c>
      <c r="H2130" s="29">
        <v>7032.19</v>
      </c>
      <c r="I2130" s="17">
        <v>0</v>
      </c>
      <c r="J2130" s="17">
        <f t="shared" si="350"/>
        <v>6680.5805</v>
      </c>
      <c r="K2130" s="17">
        <f t="shared" si="336"/>
        <v>351.60949999999957</v>
      </c>
      <c r="L2130" s="23">
        <f t="shared" si="330"/>
        <v>351.60950000000003</v>
      </c>
      <c r="M2130" s="33">
        <v>10</v>
      </c>
      <c r="N2130" s="18">
        <f t="shared" si="337"/>
        <v>13.726027397260275</v>
      </c>
      <c r="O2130" s="23">
        <f t="shared" si="351"/>
        <v>3340.29025</v>
      </c>
      <c r="P2130" s="18">
        <f t="shared" si="338"/>
        <v>14.726027397260275</v>
      </c>
      <c r="Q2130" s="18">
        <f t="shared" si="342"/>
        <v>-4.5474735088646414E-14</v>
      </c>
      <c r="R2130" s="18">
        <f t="shared" si="339"/>
        <v>3340.29025</v>
      </c>
      <c r="S2130" s="18">
        <v>0</v>
      </c>
    </row>
    <row r="2131" spans="1:19" ht="15" customHeight="1" x14ac:dyDescent="0.2">
      <c r="A2131" s="14">
        <f t="shared" si="343"/>
        <v>2092</v>
      </c>
      <c r="B2131" s="31" t="s">
        <v>1798</v>
      </c>
      <c r="C2131" s="15" t="s">
        <v>3</v>
      </c>
      <c r="D2131" s="31" t="s">
        <v>1708</v>
      </c>
      <c r="E2131" s="31"/>
      <c r="F2131" s="73" t="s">
        <v>4</v>
      </c>
      <c r="G2131" s="32">
        <v>38944</v>
      </c>
      <c r="H2131" s="29">
        <v>6706.12</v>
      </c>
      <c r="I2131" s="17">
        <v>0</v>
      </c>
      <c r="J2131" s="17">
        <f t="shared" si="350"/>
        <v>6370.8140000000003</v>
      </c>
      <c r="K2131" s="17">
        <f t="shared" si="336"/>
        <v>335.30599999999959</v>
      </c>
      <c r="L2131" s="23">
        <f t="shared" si="330"/>
        <v>335.30600000000004</v>
      </c>
      <c r="M2131" s="33">
        <v>10</v>
      </c>
      <c r="N2131" s="18">
        <f t="shared" si="337"/>
        <v>13.641095890410959</v>
      </c>
      <c r="O2131" s="23">
        <f t="shared" si="351"/>
        <v>3185.4070000000002</v>
      </c>
      <c r="P2131" s="18">
        <f t="shared" si="338"/>
        <v>14.641095890410959</v>
      </c>
      <c r="Q2131" s="18">
        <f t="shared" si="342"/>
        <v>-4.5474735088646414E-14</v>
      </c>
      <c r="R2131" s="18">
        <f t="shared" si="339"/>
        <v>3185.4070000000002</v>
      </c>
      <c r="S2131" s="18">
        <v>0</v>
      </c>
    </row>
    <row r="2132" spans="1:19" ht="15" customHeight="1" x14ac:dyDescent="0.2">
      <c r="A2132" s="14">
        <f t="shared" si="343"/>
        <v>2093</v>
      </c>
      <c r="B2132" s="31" t="s">
        <v>1807</v>
      </c>
      <c r="C2132" s="15" t="s">
        <v>3</v>
      </c>
      <c r="D2132" s="31" t="s">
        <v>1708</v>
      </c>
      <c r="E2132" s="31"/>
      <c r="F2132" s="73" t="s">
        <v>4</v>
      </c>
      <c r="G2132" s="32">
        <v>36113</v>
      </c>
      <c r="H2132" s="29">
        <v>40825</v>
      </c>
      <c r="I2132" s="17">
        <v>0</v>
      </c>
      <c r="J2132" s="17">
        <f t="shared" si="350"/>
        <v>38783.75</v>
      </c>
      <c r="K2132" s="17">
        <f t="shared" si="336"/>
        <v>2041.25</v>
      </c>
      <c r="L2132" s="23">
        <f t="shared" si="330"/>
        <v>2041.25</v>
      </c>
      <c r="M2132" s="33">
        <v>10</v>
      </c>
      <c r="N2132" s="18">
        <f t="shared" si="337"/>
        <v>21.397260273972602</v>
      </c>
      <c r="O2132" s="23">
        <f t="shared" si="351"/>
        <v>19391.875</v>
      </c>
      <c r="P2132" s="18">
        <f t="shared" si="338"/>
        <v>22.397260273972602</v>
      </c>
      <c r="Q2132" s="18">
        <f t="shared" si="342"/>
        <v>0</v>
      </c>
      <c r="R2132" s="18">
        <f t="shared" si="339"/>
        <v>19391.875</v>
      </c>
      <c r="S2132" s="18">
        <v>0</v>
      </c>
    </row>
    <row r="2133" spans="1:19" ht="15" customHeight="1" x14ac:dyDescent="0.2">
      <c r="A2133" s="14">
        <f t="shared" si="343"/>
        <v>2094</v>
      </c>
      <c r="B2133" s="31" t="s">
        <v>1808</v>
      </c>
      <c r="C2133" s="15" t="s">
        <v>3</v>
      </c>
      <c r="D2133" s="31" t="s">
        <v>1708</v>
      </c>
      <c r="E2133" s="31"/>
      <c r="F2133" s="73" t="s">
        <v>4</v>
      </c>
      <c r="G2133" s="32">
        <v>35764</v>
      </c>
      <c r="H2133" s="29">
        <v>26220</v>
      </c>
      <c r="I2133" s="17">
        <v>0</v>
      </c>
      <c r="J2133" s="17">
        <f t="shared" si="350"/>
        <v>24909</v>
      </c>
      <c r="K2133" s="17">
        <f t="shared" si="336"/>
        <v>1311</v>
      </c>
      <c r="L2133" s="23">
        <f t="shared" ref="L2133:L2196" si="352">H2133*0.05</f>
        <v>1311</v>
      </c>
      <c r="M2133" s="33">
        <v>10</v>
      </c>
      <c r="N2133" s="18">
        <f t="shared" si="337"/>
        <v>22.353424657534248</v>
      </c>
      <c r="O2133" s="23">
        <f t="shared" si="351"/>
        <v>12454.5</v>
      </c>
      <c r="P2133" s="18">
        <f t="shared" si="338"/>
        <v>23.353424657534248</v>
      </c>
      <c r="Q2133" s="18">
        <f t="shared" si="342"/>
        <v>0</v>
      </c>
      <c r="R2133" s="18">
        <f t="shared" si="339"/>
        <v>12454.5</v>
      </c>
      <c r="S2133" s="18">
        <v>0</v>
      </c>
    </row>
    <row r="2134" spans="1:19" ht="15" customHeight="1" x14ac:dyDescent="0.2">
      <c r="A2134" s="14">
        <f t="shared" si="343"/>
        <v>2095</v>
      </c>
      <c r="B2134" s="31" t="s">
        <v>1809</v>
      </c>
      <c r="C2134" s="15" t="s">
        <v>3</v>
      </c>
      <c r="D2134" s="31" t="s">
        <v>1708</v>
      </c>
      <c r="E2134" s="31"/>
      <c r="F2134" s="73" t="s">
        <v>4</v>
      </c>
      <c r="G2134" s="32">
        <v>35764</v>
      </c>
      <c r="H2134" s="29">
        <v>25165</v>
      </c>
      <c r="I2134" s="17">
        <v>0</v>
      </c>
      <c r="J2134" s="17">
        <f t="shared" si="350"/>
        <v>23906.75</v>
      </c>
      <c r="K2134" s="17">
        <f t="shared" si="336"/>
        <v>1258.25</v>
      </c>
      <c r="L2134" s="23">
        <f t="shared" si="352"/>
        <v>1258.25</v>
      </c>
      <c r="M2134" s="33">
        <v>10</v>
      </c>
      <c r="N2134" s="18">
        <f t="shared" si="337"/>
        <v>22.353424657534248</v>
      </c>
      <c r="O2134" s="23">
        <f t="shared" si="351"/>
        <v>11953.375</v>
      </c>
      <c r="P2134" s="18">
        <f t="shared" si="338"/>
        <v>23.353424657534248</v>
      </c>
      <c r="Q2134" s="18">
        <f t="shared" si="342"/>
        <v>0</v>
      </c>
      <c r="R2134" s="18">
        <f t="shared" si="339"/>
        <v>11953.375</v>
      </c>
      <c r="S2134" s="18">
        <v>0</v>
      </c>
    </row>
    <row r="2135" spans="1:19" ht="15" customHeight="1" x14ac:dyDescent="0.2">
      <c r="A2135" s="14">
        <f t="shared" si="343"/>
        <v>2096</v>
      </c>
      <c r="B2135" s="31" t="s">
        <v>1810</v>
      </c>
      <c r="C2135" s="15" t="s">
        <v>3</v>
      </c>
      <c r="D2135" s="31" t="s">
        <v>1708</v>
      </c>
      <c r="E2135" s="31"/>
      <c r="F2135" s="73" t="s">
        <v>4</v>
      </c>
      <c r="G2135" s="32">
        <v>36115</v>
      </c>
      <c r="H2135" s="29">
        <v>18975</v>
      </c>
      <c r="I2135" s="17">
        <v>0</v>
      </c>
      <c r="J2135" s="17">
        <f t="shared" si="350"/>
        <v>18026.25</v>
      </c>
      <c r="K2135" s="17">
        <f t="shared" si="336"/>
        <v>948.75</v>
      </c>
      <c r="L2135" s="23">
        <f t="shared" si="352"/>
        <v>948.75</v>
      </c>
      <c r="M2135" s="33">
        <v>10</v>
      </c>
      <c r="N2135" s="18">
        <f t="shared" si="337"/>
        <v>21.391780821917809</v>
      </c>
      <c r="O2135" s="23">
        <f t="shared" si="351"/>
        <v>9013.125</v>
      </c>
      <c r="P2135" s="18">
        <f t="shared" si="338"/>
        <v>22.391780821917809</v>
      </c>
      <c r="Q2135" s="18">
        <f t="shared" si="342"/>
        <v>0</v>
      </c>
      <c r="R2135" s="18">
        <f t="shared" si="339"/>
        <v>9013.125</v>
      </c>
      <c r="S2135" s="18">
        <v>0</v>
      </c>
    </row>
    <row r="2136" spans="1:19" ht="15" customHeight="1" x14ac:dyDescent="0.2">
      <c r="A2136" s="14">
        <f t="shared" si="343"/>
        <v>2097</v>
      </c>
      <c r="B2136" s="31" t="s">
        <v>1811</v>
      </c>
      <c r="C2136" s="15" t="s">
        <v>3</v>
      </c>
      <c r="D2136" s="31" t="s">
        <v>1708</v>
      </c>
      <c r="E2136" s="31"/>
      <c r="F2136" s="73" t="s">
        <v>4</v>
      </c>
      <c r="G2136" s="32">
        <v>35764</v>
      </c>
      <c r="H2136" s="29">
        <v>18710</v>
      </c>
      <c r="I2136" s="17">
        <v>0</v>
      </c>
      <c r="J2136" s="17">
        <f t="shared" si="350"/>
        <v>17774.5</v>
      </c>
      <c r="K2136" s="17">
        <f t="shared" si="336"/>
        <v>935.5</v>
      </c>
      <c r="L2136" s="23">
        <f t="shared" si="352"/>
        <v>935.5</v>
      </c>
      <c r="M2136" s="33">
        <v>10</v>
      </c>
      <c r="N2136" s="18">
        <f t="shared" si="337"/>
        <v>22.353424657534248</v>
      </c>
      <c r="O2136" s="23">
        <f t="shared" si="351"/>
        <v>8887.25</v>
      </c>
      <c r="P2136" s="18">
        <f t="shared" si="338"/>
        <v>23.353424657534248</v>
      </c>
      <c r="Q2136" s="18">
        <f t="shared" si="342"/>
        <v>0</v>
      </c>
      <c r="R2136" s="18">
        <f t="shared" si="339"/>
        <v>8887.25</v>
      </c>
      <c r="S2136" s="18">
        <v>0</v>
      </c>
    </row>
    <row r="2137" spans="1:19" ht="15" customHeight="1" x14ac:dyDescent="0.2">
      <c r="A2137" s="14">
        <f t="shared" si="343"/>
        <v>2098</v>
      </c>
      <c r="B2137" s="31" t="s">
        <v>1812</v>
      </c>
      <c r="C2137" s="15" t="s">
        <v>3</v>
      </c>
      <c r="D2137" s="31" t="s">
        <v>1708</v>
      </c>
      <c r="E2137" s="31"/>
      <c r="F2137" s="73" t="s">
        <v>4</v>
      </c>
      <c r="G2137" s="32">
        <v>34334</v>
      </c>
      <c r="H2137" s="29">
        <v>18000</v>
      </c>
      <c r="I2137" s="17">
        <v>0</v>
      </c>
      <c r="J2137" s="17">
        <f t="shared" si="350"/>
        <v>17100</v>
      </c>
      <c r="K2137" s="17">
        <f t="shared" si="336"/>
        <v>900</v>
      </c>
      <c r="L2137" s="23">
        <f t="shared" si="352"/>
        <v>900</v>
      </c>
      <c r="M2137" s="33">
        <v>10</v>
      </c>
      <c r="N2137" s="18">
        <f t="shared" si="337"/>
        <v>26.271232876712329</v>
      </c>
      <c r="O2137" s="23">
        <f t="shared" si="351"/>
        <v>8550</v>
      </c>
      <c r="P2137" s="18">
        <f t="shared" si="338"/>
        <v>27.271232876712329</v>
      </c>
      <c r="Q2137" s="18">
        <f t="shared" si="342"/>
        <v>0</v>
      </c>
      <c r="R2137" s="18">
        <f t="shared" si="339"/>
        <v>8550</v>
      </c>
      <c r="S2137" s="18">
        <v>0</v>
      </c>
    </row>
    <row r="2138" spans="1:19" ht="15" customHeight="1" x14ac:dyDescent="0.2">
      <c r="A2138" s="14">
        <f t="shared" si="343"/>
        <v>2099</v>
      </c>
      <c r="B2138" s="31" t="s">
        <v>1204</v>
      </c>
      <c r="C2138" s="15" t="s">
        <v>3</v>
      </c>
      <c r="D2138" s="31" t="s">
        <v>1708</v>
      </c>
      <c r="E2138" s="31"/>
      <c r="F2138" s="73" t="s">
        <v>4</v>
      </c>
      <c r="G2138" s="32">
        <v>38842</v>
      </c>
      <c r="H2138" s="29">
        <v>17375</v>
      </c>
      <c r="I2138" s="17">
        <v>0</v>
      </c>
      <c r="J2138" s="17">
        <f t="shared" si="350"/>
        <v>16506.25</v>
      </c>
      <c r="K2138" s="17">
        <f t="shared" si="336"/>
        <v>868.75</v>
      </c>
      <c r="L2138" s="23">
        <f t="shared" si="352"/>
        <v>868.75</v>
      </c>
      <c r="M2138" s="33">
        <v>5</v>
      </c>
      <c r="N2138" s="18">
        <f t="shared" si="337"/>
        <v>13.920547945205479</v>
      </c>
      <c r="O2138" s="23">
        <f t="shared" si="351"/>
        <v>8253.125</v>
      </c>
      <c r="P2138" s="18">
        <f t="shared" si="338"/>
        <v>14.920547945205479</v>
      </c>
      <c r="Q2138" s="18">
        <f t="shared" si="342"/>
        <v>0</v>
      </c>
      <c r="R2138" s="18">
        <f t="shared" si="339"/>
        <v>8253.125</v>
      </c>
      <c r="S2138" s="18">
        <v>0</v>
      </c>
    </row>
    <row r="2139" spans="1:19" ht="15" customHeight="1" x14ac:dyDescent="0.2">
      <c r="A2139" s="14">
        <f t="shared" si="343"/>
        <v>2100</v>
      </c>
      <c r="B2139" s="31" t="s">
        <v>1813</v>
      </c>
      <c r="C2139" s="15" t="s">
        <v>3</v>
      </c>
      <c r="D2139" s="31" t="s">
        <v>1708</v>
      </c>
      <c r="E2139" s="31"/>
      <c r="F2139" s="73" t="s">
        <v>4</v>
      </c>
      <c r="G2139" s="32">
        <v>33238</v>
      </c>
      <c r="H2139" s="29">
        <v>15700</v>
      </c>
      <c r="I2139" s="17">
        <v>0</v>
      </c>
      <c r="J2139" s="17">
        <f t="shared" si="350"/>
        <v>14915</v>
      </c>
      <c r="K2139" s="17">
        <f t="shared" si="336"/>
        <v>785</v>
      </c>
      <c r="L2139" s="23">
        <f t="shared" si="352"/>
        <v>785</v>
      </c>
      <c r="M2139" s="33">
        <v>5</v>
      </c>
      <c r="N2139" s="18">
        <f t="shared" si="337"/>
        <v>29.273972602739725</v>
      </c>
      <c r="O2139" s="23">
        <f t="shared" si="351"/>
        <v>7457.5</v>
      </c>
      <c r="P2139" s="18">
        <f t="shared" si="338"/>
        <v>30.273972602739725</v>
      </c>
      <c r="Q2139" s="18">
        <f t="shared" si="342"/>
        <v>0</v>
      </c>
      <c r="R2139" s="18">
        <f t="shared" si="339"/>
        <v>7457.5</v>
      </c>
      <c r="S2139" s="18">
        <v>0</v>
      </c>
    </row>
    <row r="2140" spans="1:19" ht="15" customHeight="1" x14ac:dyDescent="0.2">
      <c r="A2140" s="14">
        <f t="shared" si="343"/>
        <v>2101</v>
      </c>
      <c r="B2140" s="31" t="s">
        <v>1814</v>
      </c>
      <c r="C2140" s="15" t="s">
        <v>3</v>
      </c>
      <c r="D2140" s="31" t="s">
        <v>1708</v>
      </c>
      <c r="E2140" s="31"/>
      <c r="F2140" s="73" t="s">
        <v>4</v>
      </c>
      <c r="G2140" s="32">
        <v>34316</v>
      </c>
      <c r="H2140" s="29">
        <v>13800</v>
      </c>
      <c r="I2140" s="17">
        <v>0</v>
      </c>
      <c r="J2140" s="17">
        <f t="shared" si="350"/>
        <v>13110</v>
      </c>
      <c r="K2140" s="17">
        <f t="shared" si="336"/>
        <v>690</v>
      </c>
      <c r="L2140" s="23">
        <f t="shared" si="352"/>
        <v>690</v>
      </c>
      <c r="M2140" s="33">
        <v>10</v>
      </c>
      <c r="N2140" s="18">
        <f t="shared" si="337"/>
        <v>26.32054794520548</v>
      </c>
      <c r="O2140" s="23">
        <f t="shared" si="351"/>
        <v>6555</v>
      </c>
      <c r="P2140" s="18">
        <f t="shared" si="338"/>
        <v>27.32054794520548</v>
      </c>
      <c r="Q2140" s="18">
        <f t="shared" si="342"/>
        <v>0</v>
      </c>
      <c r="R2140" s="18">
        <f t="shared" si="339"/>
        <v>6555</v>
      </c>
      <c r="S2140" s="18">
        <v>0</v>
      </c>
    </row>
    <row r="2141" spans="1:19" ht="15" customHeight="1" x14ac:dyDescent="0.2">
      <c r="A2141" s="14">
        <f t="shared" si="343"/>
        <v>2102</v>
      </c>
      <c r="B2141" s="31" t="s">
        <v>1815</v>
      </c>
      <c r="C2141" s="15" t="s">
        <v>3</v>
      </c>
      <c r="D2141" s="31" t="s">
        <v>1708</v>
      </c>
      <c r="E2141" s="31"/>
      <c r="F2141" s="73" t="s">
        <v>4</v>
      </c>
      <c r="G2141" s="32">
        <v>39005</v>
      </c>
      <c r="H2141" s="29">
        <v>13750</v>
      </c>
      <c r="I2141" s="17">
        <v>0</v>
      </c>
      <c r="J2141" s="17">
        <f t="shared" si="350"/>
        <v>13062.5</v>
      </c>
      <c r="K2141" s="17">
        <f t="shared" si="336"/>
        <v>687.5</v>
      </c>
      <c r="L2141" s="23">
        <f t="shared" si="352"/>
        <v>687.5</v>
      </c>
      <c r="M2141" s="33">
        <v>5</v>
      </c>
      <c r="N2141" s="18">
        <f t="shared" si="337"/>
        <v>13.473972602739726</v>
      </c>
      <c r="O2141" s="23">
        <f t="shared" si="351"/>
        <v>6531.25</v>
      </c>
      <c r="P2141" s="18">
        <f t="shared" si="338"/>
        <v>14.473972602739726</v>
      </c>
      <c r="Q2141" s="18">
        <f t="shared" si="342"/>
        <v>0</v>
      </c>
      <c r="R2141" s="18">
        <f t="shared" si="339"/>
        <v>6531.25</v>
      </c>
      <c r="S2141" s="18">
        <v>0</v>
      </c>
    </row>
    <row r="2142" spans="1:19" ht="15" customHeight="1" x14ac:dyDescent="0.2">
      <c r="A2142" s="14">
        <f t="shared" si="343"/>
        <v>2103</v>
      </c>
      <c r="B2142" s="31" t="s">
        <v>1816</v>
      </c>
      <c r="C2142" s="15" t="s">
        <v>3</v>
      </c>
      <c r="D2142" s="31" t="s">
        <v>1708</v>
      </c>
      <c r="E2142" s="31"/>
      <c r="F2142" s="73" t="s">
        <v>4</v>
      </c>
      <c r="G2142" s="32">
        <v>32874</v>
      </c>
      <c r="H2142" s="29">
        <v>9773</v>
      </c>
      <c r="I2142" s="17">
        <v>0</v>
      </c>
      <c r="J2142" s="17">
        <f t="shared" si="350"/>
        <v>9284.35</v>
      </c>
      <c r="K2142" s="17">
        <f t="shared" si="336"/>
        <v>488.64999999999964</v>
      </c>
      <c r="L2142" s="23">
        <f t="shared" si="352"/>
        <v>488.65000000000003</v>
      </c>
      <c r="M2142" s="33">
        <v>5</v>
      </c>
      <c r="N2142" s="18">
        <f t="shared" si="337"/>
        <v>30.271232876712329</v>
      </c>
      <c r="O2142" s="23">
        <f t="shared" si="351"/>
        <v>4642.1750000000002</v>
      </c>
      <c r="P2142" s="18">
        <f t="shared" si="338"/>
        <v>31.271232876712329</v>
      </c>
      <c r="Q2142" s="18">
        <f t="shared" si="342"/>
        <v>-7.9580786405131228E-14</v>
      </c>
      <c r="R2142" s="18">
        <f t="shared" si="339"/>
        <v>4642.1750000000002</v>
      </c>
      <c r="S2142" s="18">
        <v>0</v>
      </c>
    </row>
    <row r="2143" spans="1:19" ht="15" customHeight="1" x14ac:dyDescent="0.2">
      <c r="A2143" s="14">
        <f t="shared" si="343"/>
        <v>2104</v>
      </c>
      <c r="B2143" s="31" t="s">
        <v>1817</v>
      </c>
      <c r="C2143" s="15" t="s">
        <v>3</v>
      </c>
      <c r="D2143" s="31" t="s">
        <v>1708</v>
      </c>
      <c r="E2143" s="31"/>
      <c r="F2143" s="73" t="s">
        <v>4</v>
      </c>
      <c r="G2143" s="32">
        <v>35885</v>
      </c>
      <c r="H2143" s="29">
        <v>8500</v>
      </c>
      <c r="I2143" s="17">
        <v>0</v>
      </c>
      <c r="J2143" s="17">
        <f t="shared" si="350"/>
        <v>8075</v>
      </c>
      <c r="K2143" s="17">
        <f t="shared" si="336"/>
        <v>425</v>
      </c>
      <c r="L2143" s="23">
        <f t="shared" si="352"/>
        <v>425</v>
      </c>
      <c r="M2143" s="33">
        <v>10</v>
      </c>
      <c r="N2143" s="18">
        <f t="shared" si="337"/>
        <v>22.021917808219179</v>
      </c>
      <c r="O2143" s="23">
        <f t="shared" si="351"/>
        <v>4037.5</v>
      </c>
      <c r="P2143" s="18">
        <f t="shared" si="338"/>
        <v>23.021917808219179</v>
      </c>
      <c r="Q2143" s="18">
        <f t="shared" si="342"/>
        <v>0</v>
      </c>
      <c r="R2143" s="18">
        <f t="shared" si="339"/>
        <v>4037.5</v>
      </c>
      <c r="S2143" s="18">
        <v>0</v>
      </c>
    </row>
    <row r="2144" spans="1:19" ht="15" customHeight="1" x14ac:dyDescent="0.2">
      <c r="A2144" s="14">
        <f t="shared" si="343"/>
        <v>2105</v>
      </c>
      <c r="B2144" s="31" t="s">
        <v>1818</v>
      </c>
      <c r="C2144" s="15" t="s">
        <v>3</v>
      </c>
      <c r="D2144" s="31" t="s">
        <v>1708</v>
      </c>
      <c r="E2144" s="31"/>
      <c r="F2144" s="73" t="s">
        <v>4</v>
      </c>
      <c r="G2144" s="32">
        <v>36175</v>
      </c>
      <c r="H2144" s="29">
        <v>8165</v>
      </c>
      <c r="I2144" s="17">
        <v>0</v>
      </c>
      <c r="J2144" s="17">
        <f t="shared" si="350"/>
        <v>7756.75</v>
      </c>
      <c r="K2144" s="17">
        <f t="shared" si="336"/>
        <v>408.25</v>
      </c>
      <c r="L2144" s="23">
        <f t="shared" si="352"/>
        <v>408.25</v>
      </c>
      <c r="M2144" s="33">
        <v>10</v>
      </c>
      <c r="N2144" s="18">
        <f t="shared" si="337"/>
        <v>21.227397260273971</v>
      </c>
      <c r="O2144" s="23">
        <f t="shared" si="351"/>
        <v>3878.375</v>
      </c>
      <c r="P2144" s="18">
        <f t="shared" si="338"/>
        <v>22.227397260273971</v>
      </c>
      <c r="Q2144" s="18">
        <f t="shared" si="342"/>
        <v>0</v>
      </c>
      <c r="R2144" s="18">
        <f t="shared" si="339"/>
        <v>3878.375</v>
      </c>
      <c r="S2144" s="18">
        <v>0</v>
      </c>
    </row>
    <row r="2145" spans="1:19" ht="15" customHeight="1" x14ac:dyDescent="0.2">
      <c r="A2145" s="14">
        <f t="shared" si="343"/>
        <v>2106</v>
      </c>
      <c r="B2145" s="31" t="s">
        <v>1819</v>
      </c>
      <c r="C2145" s="15" t="s">
        <v>3</v>
      </c>
      <c r="D2145" s="31" t="s">
        <v>1708</v>
      </c>
      <c r="E2145" s="31"/>
      <c r="F2145" s="73" t="s">
        <v>4</v>
      </c>
      <c r="G2145" s="32">
        <v>38859</v>
      </c>
      <c r="H2145" s="29">
        <v>8050</v>
      </c>
      <c r="I2145" s="17">
        <v>0</v>
      </c>
      <c r="J2145" s="17">
        <f t="shared" si="350"/>
        <v>7647.5</v>
      </c>
      <c r="K2145" s="17">
        <f t="shared" si="336"/>
        <v>402.5</v>
      </c>
      <c r="L2145" s="23">
        <f t="shared" si="352"/>
        <v>402.5</v>
      </c>
      <c r="M2145" s="33">
        <v>3</v>
      </c>
      <c r="N2145" s="18">
        <f t="shared" si="337"/>
        <v>13.873972602739727</v>
      </c>
      <c r="O2145" s="23">
        <f t="shared" si="351"/>
        <v>3823.75</v>
      </c>
      <c r="P2145" s="18">
        <f t="shared" si="338"/>
        <v>14.873972602739727</v>
      </c>
      <c r="Q2145" s="18">
        <f t="shared" si="342"/>
        <v>0</v>
      </c>
      <c r="R2145" s="18">
        <f t="shared" si="339"/>
        <v>3823.75</v>
      </c>
      <c r="S2145" s="18">
        <v>0</v>
      </c>
    </row>
    <row r="2146" spans="1:19" ht="15" customHeight="1" x14ac:dyDescent="0.2">
      <c r="A2146" s="14">
        <f t="shared" si="343"/>
        <v>2107</v>
      </c>
      <c r="B2146" s="31" t="s">
        <v>1817</v>
      </c>
      <c r="C2146" s="15" t="s">
        <v>3</v>
      </c>
      <c r="D2146" s="31" t="s">
        <v>1708</v>
      </c>
      <c r="E2146" s="31"/>
      <c r="F2146" s="73" t="s">
        <v>4</v>
      </c>
      <c r="G2146" s="32">
        <v>34895</v>
      </c>
      <c r="H2146" s="29">
        <v>7724</v>
      </c>
      <c r="I2146" s="17">
        <v>0</v>
      </c>
      <c r="J2146" s="17">
        <f t="shared" si="350"/>
        <v>7337.8</v>
      </c>
      <c r="K2146" s="17">
        <f t="shared" si="336"/>
        <v>386.19999999999982</v>
      </c>
      <c r="L2146" s="23">
        <f t="shared" si="352"/>
        <v>386.20000000000005</v>
      </c>
      <c r="M2146" s="33">
        <v>10</v>
      </c>
      <c r="N2146" s="18">
        <f t="shared" si="337"/>
        <v>24.734246575342464</v>
      </c>
      <c r="O2146" s="23">
        <f t="shared" si="351"/>
        <v>3668.9</v>
      </c>
      <c r="P2146" s="18">
        <f t="shared" si="338"/>
        <v>25.734246575342464</v>
      </c>
      <c r="Q2146" s="18">
        <f t="shared" si="342"/>
        <v>-2.2737367544323207E-14</v>
      </c>
      <c r="R2146" s="18">
        <f t="shared" si="339"/>
        <v>3668.9</v>
      </c>
      <c r="S2146" s="18">
        <v>0</v>
      </c>
    </row>
    <row r="2147" spans="1:19" ht="15" customHeight="1" x14ac:dyDescent="0.2">
      <c r="A2147" s="14">
        <f t="shared" si="343"/>
        <v>2108</v>
      </c>
      <c r="B2147" s="31" t="s">
        <v>1820</v>
      </c>
      <c r="C2147" s="15" t="s">
        <v>3</v>
      </c>
      <c r="D2147" s="31" t="s">
        <v>1708</v>
      </c>
      <c r="E2147" s="31"/>
      <c r="F2147" s="73" t="s">
        <v>4</v>
      </c>
      <c r="G2147" s="32">
        <v>34316</v>
      </c>
      <c r="H2147" s="29">
        <v>7691</v>
      </c>
      <c r="I2147" s="17">
        <v>0</v>
      </c>
      <c r="J2147" s="17">
        <f t="shared" si="350"/>
        <v>7306.45</v>
      </c>
      <c r="K2147" s="17">
        <f t="shared" si="336"/>
        <v>384.55000000000018</v>
      </c>
      <c r="L2147" s="23">
        <f t="shared" si="352"/>
        <v>384.55</v>
      </c>
      <c r="M2147" s="33">
        <v>10</v>
      </c>
      <c r="N2147" s="18">
        <f t="shared" si="337"/>
        <v>26.32054794520548</v>
      </c>
      <c r="O2147" s="23">
        <f t="shared" si="351"/>
        <v>3653.2249999999999</v>
      </c>
      <c r="P2147" s="18">
        <f t="shared" si="338"/>
        <v>27.32054794520548</v>
      </c>
      <c r="Q2147" s="18">
        <f t="shared" si="342"/>
        <v>1.7053025658242407E-14</v>
      </c>
      <c r="R2147" s="18">
        <f t="shared" si="339"/>
        <v>3653.2249999999999</v>
      </c>
      <c r="S2147" s="18">
        <v>0</v>
      </c>
    </row>
    <row r="2148" spans="1:19" ht="15" customHeight="1" x14ac:dyDescent="0.2">
      <c r="A2148" s="14">
        <f t="shared" si="343"/>
        <v>2109</v>
      </c>
      <c r="B2148" s="31" t="s">
        <v>1817</v>
      </c>
      <c r="C2148" s="15" t="s">
        <v>3</v>
      </c>
      <c r="D2148" s="31" t="s">
        <v>1708</v>
      </c>
      <c r="E2148" s="31"/>
      <c r="F2148" s="73" t="s">
        <v>4</v>
      </c>
      <c r="G2148" s="32">
        <v>35231</v>
      </c>
      <c r="H2148" s="29">
        <v>7200</v>
      </c>
      <c r="I2148" s="17">
        <v>0</v>
      </c>
      <c r="J2148" s="17">
        <f t="shared" si="350"/>
        <v>6840</v>
      </c>
      <c r="K2148" s="17">
        <f t="shared" si="336"/>
        <v>360</v>
      </c>
      <c r="L2148" s="23">
        <f t="shared" si="352"/>
        <v>360</v>
      </c>
      <c r="M2148" s="33">
        <v>10</v>
      </c>
      <c r="N2148" s="18">
        <f t="shared" si="337"/>
        <v>23.813698630136987</v>
      </c>
      <c r="O2148" s="23">
        <f t="shared" si="351"/>
        <v>3420</v>
      </c>
      <c r="P2148" s="18">
        <f t="shared" si="338"/>
        <v>24.813698630136987</v>
      </c>
      <c r="Q2148" s="18">
        <f t="shared" si="342"/>
        <v>0</v>
      </c>
      <c r="R2148" s="18">
        <f t="shared" si="339"/>
        <v>3420</v>
      </c>
      <c r="S2148" s="18">
        <v>0</v>
      </c>
    </row>
    <row r="2149" spans="1:19" ht="15" customHeight="1" x14ac:dyDescent="0.2">
      <c r="A2149" s="14">
        <f t="shared" si="343"/>
        <v>2110</v>
      </c>
      <c r="B2149" s="31" t="s">
        <v>1821</v>
      </c>
      <c r="C2149" s="15" t="s">
        <v>3</v>
      </c>
      <c r="D2149" s="31" t="s">
        <v>1708</v>
      </c>
      <c r="E2149" s="31"/>
      <c r="F2149" s="73" t="s">
        <v>4</v>
      </c>
      <c r="G2149" s="32">
        <v>37346</v>
      </c>
      <c r="H2149" s="29">
        <v>6477</v>
      </c>
      <c r="I2149" s="17">
        <v>0</v>
      </c>
      <c r="J2149" s="17">
        <f t="shared" si="350"/>
        <v>6153.15</v>
      </c>
      <c r="K2149" s="17">
        <f t="shared" si="336"/>
        <v>323.85000000000036</v>
      </c>
      <c r="L2149" s="23">
        <f t="shared" si="352"/>
        <v>323.85000000000002</v>
      </c>
      <c r="M2149" s="33">
        <v>10</v>
      </c>
      <c r="N2149" s="18">
        <f t="shared" si="337"/>
        <v>18.019178082191782</v>
      </c>
      <c r="O2149" s="23">
        <f t="shared" si="351"/>
        <v>3076.5749999999998</v>
      </c>
      <c r="P2149" s="18">
        <f t="shared" si="338"/>
        <v>19.019178082191782</v>
      </c>
      <c r="Q2149" s="18">
        <f t="shared" si="342"/>
        <v>3.4106051316484814E-14</v>
      </c>
      <c r="R2149" s="18">
        <f t="shared" si="339"/>
        <v>3076.5749999999998</v>
      </c>
      <c r="S2149" s="18">
        <v>0</v>
      </c>
    </row>
    <row r="2150" spans="1:19" ht="15" customHeight="1" x14ac:dyDescent="0.2">
      <c r="A2150" s="14">
        <f t="shared" si="343"/>
        <v>2111</v>
      </c>
      <c r="B2150" s="31" t="s">
        <v>1817</v>
      </c>
      <c r="C2150" s="15" t="s">
        <v>3</v>
      </c>
      <c r="D2150" s="31" t="s">
        <v>1708</v>
      </c>
      <c r="E2150" s="31"/>
      <c r="F2150" s="73" t="s">
        <v>4</v>
      </c>
      <c r="G2150" s="32">
        <v>35139</v>
      </c>
      <c r="H2150" s="29">
        <v>6000</v>
      </c>
      <c r="I2150" s="17">
        <v>0</v>
      </c>
      <c r="J2150" s="17">
        <f t="shared" si="350"/>
        <v>5700</v>
      </c>
      <c r="K2150" s="17">
        <f t="shared" ref="K2150:K2213" si="353">H2150+I2150-J2150</f>
        <v>300</v>
      </c>
      <c r="L2150" s="23">
        <f t="shared" si="352"/>
        <v>300</v>
      </c>
      <c r="M2150" s="33">
        <v>10</v>
      </c>
      <c r="N2150" s="18">
        <f t="shared" ref="N2150:N2213" si="354">IF(($N$35-G2150+1)/365&gt;0,($N$35-G2150+1)/365,0)</f>
        <v>24.065753424657533</v>
      </c>
      <c r="O2150" s="23">
        <f t="shared" si="351"/>
        <v>2850</v>
      </c>
      <c r="P2150" s="18">
        <f t="shared" ref="P2150:P2213" si="355">($P$35-G2150+1)/365</f>
        <v>25.065753424657533</v>
      </c>
      <c r="Q2150" s="18">
        <f t="shared" si="342"/>
        <v>0</v>
      </c>
      <c r="R2150" s="18">
        <f t="shared" ref="R2150:R2213" si="356">Q2150+O2150</f>
        <v>2850</v>
      </c>
      <c r="S2150" s="18">
        <v>0</v>
      </c>
    </row>
    <row r="2151" spans="1:19" ht="15" customHeight="1" x14ac:dyDescent="0.2">
      <c r="A2151" s="14">
        <f t="shared" si="343"/>
        <v>2112</v>
      </c>
      <c r="B2151" s="31" t="s">
        <v>1822</v>
      </c>
      <c r="C2151" s="15" t="s">
        <v>3</v>
      </c>
      <c r="D2151" s="31" t="s">
        <v>1708</v>
      </c>
      <c r="E2151" s="31"/>
      <c r="F2151" s="73" t="s">
        <v>4</v>
      </c>
      <c r="G2151" s="32">
        <v>35764</v>
      </c>
      <c r="H2151" s="29">
        <v>5690</v>
      </c>
      <c r="I2151" s="17">
        <v>0</v>
      </c>
      <c r="J2151" s="17">
        <f t="shared" si="350"/>
        <v>5405.5</v>
      </c>
      <c r="K2151" s="17">
        <f t="shared" si="353"/>
        <v>284.5</v>
      </c>
      <c r="L2151" s="23">
        <f t="shared" si="352"/>
        <v>284.5</v>
      </c>
      <c r="M2151" s="33">
        <v>5</v>
      </c>
      <c r="N2151" s="18">
        <f t="shared" si="354"/>
        <v>22.353424657534248</v>
      </c>
      <c r="O2151" s="23">
        <f t="shared" si="351"/>
        <v>2702.75</v>
      </c>
      <c r="P2151" s="18">
        <f t="shared" si="355"/>
        <v>23.353424657534248</v>
      </c>
      <c r="Q2151" s="18">
        <f t="shared" si="342"/>
        <v>0</v>
      </c>
      <c r="R2151" s="18">
        <f t="shared" si="356"/>
        <v>2702.75</v>
      </c>
      <c r="S2151" s="18">
        <v>0</v>
      </c>
    </row>
    <row r="2152" spans="1:19" ht="15" customHeight="1" x14ac:dyDescent="0.2">
      <c r="A2152" s="14">
        <f t="shared" si="343"/>
        <v>2113</v>
      </c>
      <c r="B2152" s="31" t="s">
        <v>1823</v>
      </c>
      <c r="C2152" s="15" t="s">
        <v>3</v>
      </c>
      <c r="D2152" s="31" t="s">
        <v>1708</v>
      </c>
      <c r="E2152" s="31"/>
      <c r="F2152" s="73" t="s">
        <v>4</v>
      </c>
      <c r="G2152" s="32">
        <v>33969</v>
      </c>
      <c r="H2152" s="29">
        <v>5259</v>
      </c>
      <c r="I2152" s="17">
        <v>0</v>
      </c>
      <c r="J2152" s="17">
        <f t="shared" si="350"/>
        <v>4996.05</v>
      </c>
      <c r="K2152" s="17">
        <f t="shared" si="353"/>
        <v>262.94999999999982</v>
      </c>
      <c r="L2152" s="23">
        <f t="shared" si="352"/>
        <v>262.95</v>
      </c>
      <c r="M2152" s="33">
        <v>10</v>
      </c>
      <c r="N2152" s="18">
        <f t="shared" si="354"/>
        <v>27.271232876712329</v>
      </c>
      <c r="O2152" s="23">
        <f t="shared" si="351"/>
        <v>2498.0250000000001</v>
      </c>
      <c r="P2152" s="18">
        <f t="shared" si="355"/>
        <v>28.271232876712329</v>
      </c>
      <c r="Q2152" s="18">
        <f t="shared" ref="Q2152:Q2215" si="357">(P2152-N2152)/M2152*(K2152-L2152)</f>
        <v>-1.7053025658242407E-14</v>
      </c>
      <c r="R2152" s="18">
        <f t="shared" si="356"/>
        <v>2498.0250000000001</v>
      </c>
      <c r="S2152" s="18">
        <v>0</v>
      </c>
    </row>
    <row r="2153" spans="1:19" ht="15" customHeight="1" x14ac:dyDescent="0.2">
      <c r="A2153" s="14">
        <f t="shared" si="343"/>
        <v>2114</v>
      </c>
      <c r="B2153" s="31" t="s">
        <v>1811</v>
      </c>
      <c r="C2153" s="15" t="s">
        <v>3</v>
      </c>
      <c r="D2153" s="31" t="s">
        <v>1708</v>
      </c>
      <c r="E2153" s="31"/>
      <c r="F2153" s="73" t="s">
        <v>4</v>
      </c>
      <c r="G2153" s="32">
        <v>35048</v>
      </c>
      <c r="H2153" s="29">
        <v>5200</v>
      </c>
      <c r="I2153" s="17">
        <v>0</v>
      </c>
      <c r="J2153" s="17">
        <f t="shared" si="350"/>
        <v>4940</v>
      </c>
      <c r="K2153" s="17">
        <f t="shared" si="353"/>
        <v>260</v>
      </c>
      <c r="L2153" s="23">
        <f t="shared" si="352"/>
        <v>260</v>
      </c>
      <c r="M2153" s="33">
        <v>10</v>
      </c>
      <c r="N2153" s="18">
        <f t="shared" si="354"/>
        <v>24.315068493150687</v>
      </c>
      <c r="O2153" s="23">
        <f t="shared" si="351"/>
        <v>2470</v>
      </c>
      <c r="P2153" s="18">
        <f t="shared" si="355"/>
        <v>25.315068493150687</v>
      </c>
      <c r="Q2153" s="18">
        <f t="shared" si="357"/>
        <v>0</v>
      </c>
      <c r="R2153" s="18">
        <f t="shared" si="356"/>
        <v>2470</v>
      </c>
      <c r="S2153" s="18">
        <v>0</v>
      </c>
    </row>
    <row r="2154" spans="1:19" ht="15" customHeight="1" x14ac:dyDescent="0.2">
      <c r="A2154" s="14">
        <f t="shared" si="343"/>
        <v>2115</v>
      </c>
      <c r="B2154" s="31" t="s">
        <v>1824</v>
      </c>
      <c r="C2154" s="15" t="s">
        <v>3</v>
      </c>
      <c r="D2154" s="31" t="s">
        <v>1708</v>
      </c>
      <c r="E2154" s="31"/>
      <c r="F2154" s="73" t="s">
        <v>4</v>
      </c>
      <c r="G2154" s="32">
        <v>36090</v>
      </c>
      <c r="H2154" s="29">
        <v>5100</v>
      </c>
      <c r="I2154" s="17">
        <v>0</v>
      </c>
      <c r="J2154" s="17">
        <f t="shared" si="350"/>
        <v>4845</v>
      </c>
      <c r="K2154" s="17">
        <f t="shared" si="353"/>
        <v>255</v>
      </c>
      <c r="L2154" s="23">
        <f t="shared" si="352"/>
        <v>255</v>
      </c>
      <c r="M2154" s="33">
        <v>10</v>
      </c>
      <c r="N2154" s="18">
        <f t="shared" si="354"/>
        <v>21.460273972602739</v>
      </c>
      <c r="O2154" s="23">
        <f t="shared" si="351"/>
        <v>2422.5</v>
      </c>
      <c r="P2154" s="18">
        <f t="shared" si="355"/>
        <v>22.460273972602739</v>
      </c>
      <c r="Q2154" s="18">
        <f t="shared" si="357"/>
        <v>0</v>
      </c>
      <c r="R2154" s="18">
        <f t="shared" si="356"/>
        <v>2422.5</v>
      </c>
      <c r="S2154" s="18">
        <v>0</v>
      </c>
    </row>
    <row r="2155" spans="1:19" ht="15" customHeight="1" x14ac:dyDescent="0.2">
      <c r="A2155" s="14">
        <f t="shared" ref="A2155:A2218" si="358">+A2154+1</f>
        <v>2116</v>
      </c>
      <c r="B2155" s="31" t="s">
        <v>1825</v>
      </c>
      <c r="C2155" s="15" t="s">
        <v>3</v>
      </c>
      <c r="D2155" s="31" t="s">
        <v>1708</v>
      </c>
      <c r="E2155" s="31"/>
      <c r="F2155" s="73" t="s">
        <v>4</v>
      </c>
      <c r="G2155" s="32">
        <v>29587</v>
      </c>
      <c r="H2155" s="29">
        <v>1050</v>
      </c>
      <c r="I2155" s="17">
        <v>0</v>
      </c>
      <c r="J2155" s="17">
        <f t="shared" si="350"/>
        <v>997.5</v>
      </c>
      <c r="K2155" s="17">
        <f t="shared" si="353"/>
        <v>52.5</v>
      </c>
      <c r="L2155" s="23">
        <f t="shared" si="352"/>
        <v>52.5</v>
      </c>
      <c r="M2155" s="33">
        <v>10</v>
      </c>
      <c r="N2155" s="18">
        <f t="shared" si="354"/>
        <v>39.276712328767125</v>
      </c>
      <c r="O2155" s="23">
        <f t="shared" si="351"/>
        <v>498.75</v>
      </c>
      <c r="P2155" s="18">
        <f t="shared" si="355"/>
        <v>40.276712328767125</v>
      </c>
      <c r="Q2155" s="18">
        <f t="shared" si="357"/>
        <v>0</v>
      </c>
      <c r="R2155" s="18">
        <f t="shared" si="356"/>
        <v>498.75</v>
      </c>
      <c r="S2155" s="18">
        <v>0</v>
      </c>
    </row>
    <row r="2156" spans="1:19" ht="15" customHeight="1" x14ac:dyDescent="0.2">
      <c r="A2156" s="14">
        <f t="shared" si="358"/>
        <v>2117</v>
      </c>
      <c r="B2156" s="31" t="s">
        <v>1826</v>
      </c>
      <c r="C2156" s="15" t="s">
        <v>3</v>
      </c>
      <c r="D2156" s="31" t="s">
        <v>1708</v>
      </c>
      <c r="E2156" s="31"/>
      <c r="F2156" s="73" t="s">
        <v>4</v>
      </c>
      <c r="G2156" s="32">
        <v>38718</v>
      </c>
      <c r="H2156" s="29">
        <v>95000</v>
      </c>
      <c r="I2156" s="17">
        <v>0</v>
      </c>
      <c r="J2156" s="17">
        <f t="shared" si="350"/>
        <v>90250</v>
      </c>
      <c r="K2156" s="17">
        <f t="shared" si="353"/>
        <v>4750</v>
      </c>
      <c r="L2156" s="23">
        <f t="shared" si="352"/>
        <v>4750</v>
      </c>
      <c r="M2156" s="33">
        <v>10</v>
      </c>
      <c r="N2156" s="18">
        <f t="shared" si="354"/>
        <v>14.260273972602739</v>
      </c>
      <c r="O2156" s="23">
        <f t="shared" si="351"/>
        <v>45125</v>
      </c>
      <c r="P2156" s="18">
        <f t="shared" si="355"/>
        <v>15.260273972602739</v>
      </c>
      <c r="Q2156" s="18">
        <f t="shared" si="357"/>
        <v>0</v>
      </c>
      <c r="R2156" s="18">
        <f t="shared" si="356"/>
        <v>45125</v>
      </c>
      <c r="S2156" s="18">
        <v>0</v>
      </c>
    </row>
    <row r="2157" spans="1:19" ht="15" customHeight="1" x14ac:dyDescent="0.2">
      <c r="A2157" s="14">
        <f t="shared" si="358"/>
        <v>2118</v>
      </c>
      <c r="B2157" s="31" t="s">
        <v>1827</v>
      </c>
      <c r="C2157" s="15" t="s">
        <v>3</v>
      </c>
      <c r="D2157" s="31" t="s">
        <v>1708</v>
      </c>
      <c r="E2157" s="31"/>
      <c r="F2157" s="73" t="s">
        <v>4</v>
      </c>
      <c r="G2157" s="32">
        <v>39083</v>
      </c>
      <c r="H2157" s="29">
        <v>86106.74</v>
      </c>
      <c r="I2157" s="17">
        <v>0</v>
      </c>
      <c r="J2157" s="17">
        <f t="shared" si="350"/>
        <v>81801.403000000006</v>
      </c>
      <c r="K2157" s="17">
        <f t="shared" si="353"/>
        <v>4305.3369999999995</v>
      </c>
      <c r="L2157" s="23">
        <f t="shared" si="352"/>
        <v>4305.3370000000004</v>
      </c>
      <c r="M2157" s="33">
        <v>10</v>
      </c>
      <c r="N2157" s="18">
        <f t="shared" si="354"/>
        <v>13.260273972602739</v>
      </c>
      <c r="O2157" s="23">
        <f t="shared" si="351"/>
        <v>40900.701500000003</v>
      </c>
      <c r="P2157" s="18">
        <f t="shared" si="355"/>
        <v>14.260273972602739</v>
      </c>
      <c r="Q2157" s="18">
        <f t="shared" si="357"/>
        <v>-9.0949470177292829E-14</v>
      </c>
      <c r="R2157" s="18">
        <f t="shared" si="356"/>
        <v>40900.701500000003</v>
      </c>
      <c r="S2157" s="18">
        <v>0</v>
      </c>
    </row>
    <row r="2158" spans="1:19" ht="15" customHeight="1" x14ac:dyDescent="0.2">
      <c r="A2158" s="14">
        <f t="shared" si="358"/>
        <v>2119</v>
      </c>
      <c r="B2158" s="31" t="s">
        <v>1778</v>
      </c>
      <c r="C2158" s="15" t="s">
        <v>3</v>
      </c>
      <c r="D2158" s="31" t="s">
        <v>1708</v>
      </c>
      <c r="E2158" s="31"/>
      <c r="F2158" s="73" t="s">
        <v>4</v>
      </c>
      <c r="G2158" s="32">
        <v>39083</v>
      </c>
      <c r="H2158" s="29">
        <v>73748.97</v>
      </c>
      <c r="I2158" s="17">
        <v>0</v>
      </c>
      <c r="J2158" s="17">
        <f t="shared" si="350"/>
        <v>70061.521500000003</v>
      </c>
      <c r="K2158" s="17">
        <f t="shared" si="353"/>
        <v>3687.4484999999986</v>
      </c>
      <c r="L2158" s="23">
        <f t="shared" si="352"/>
        <v>3687.4485000000004</v>
      </c>
      <c r="M2158" s="33">
        <v>10</v>
      </c>
      <c r="N2158" s="18">
        <f t="shared" si="354"/>
        <v>13.260273972602739</v>
      </c>
      <c r="O2158" s="23">
        <f t="shared" si="351"/>
        <v>35030.760750000001</v>
      </c>
      <c r="P2158" s="18">
        <f t="shared" si="355"/>
        <v>14.260273972602739</v>
      </c>
      <c r="Q2158" s="18">
        <f t="shared" si="357"/>
        <v>-1.8189894035458566E-13</v>
      </c>
      <c r="R2158" s="18">
        <f t="shared" si="356"/>
        <v>35030.760750000001</v>
      </c>
      <c r="S2158" s="18">
        <v>0</v>
      </c>
    </row>
    <row r="2159" spans="1:19" ht="15" customHeight="1" x14ac:dyDescent="0.2">
      <c r="A2159" s="14">
        <f t="shared" si="358"/>
        <v>2120</v>
      </c>
      <c r="B2159" s="31" t="s">
        <v>1828</v>
      </c>
      <c r="C2159" s="15" t="s">
        <v>3</v>
      </c>
      <c r="D2159" s="31" t="s">
        <v>1708</v>
      </c>
      <c r="E2159" s="31"/>
      <c r="F2159" s="73" t="s">
        <v>4</v>
      </c>
      <c r="G2159" s="32">
        <v>41623</v>
      </c>
      <c r="H2159" s="29">
        <v>60146.2</v>
      </c>
      <c r="I2159" s="17">
        <v>0</v>
      </c>
      <c r="J2159" s="17">
        <v>13134.117454794523</v>
      </c>
      <c r="K2159" s="17">
        <f t="shared" si="353"/>
        <v>47012.082545205471</v>
      </c>
      <c r="L2159" s="23">
        <f t="shared" si="352"/>
        <v>3007.31</v>
      </c>
      <c r="M2159" s="33">
        <v>10</v>
      </c>
      <c r="N2159" s="18">
        <f t="shared" si="354"/>
        <v>6.3013698630136989</v>
      </c>
      <c r="O2159" s="23">
        <v>2269.8817191780818</v>
      </c>
      <c r="P2159" s="18">
        <f t="shared" si="355"/>
        <v>7.3013698630136989</v>
      </c>
      <c r="Q2159" s="18">
        <f t="shared" si="357"/>
        <v>4400.4772545205478</v>
      </c>
      <c r="R2159" s="18">
        <f t="shared" si="356"/>
        <v>6670.3589736986296</v>
      </c>
      <c r="S2159" s="18">
        <v>0</v>
      </c>
    </row>
    <row r="2160" spans="1:19" ht="15" customHeight="1" x14ac:dyDescent="0.2">
      <c r="A2160" s="14">
        <f t="shared" si="358"/>
        <v>2121</v>
      </c>
      <c r="B2160" s="31" t="s">
        <v>1772</v>
      </c>
      <c r="C2160" s="15" t="s">
        <v>3</v>
      </c>
      <c r="D2160" s="31" t="s">
        <v>1708</v>
      </c>
      <c r="E2160" s="31"/>
      <c r="F2160" s="73" t="s">
        <v>4</v>
      </c>
      <c r="G2160" s="32">
        <v>39083</v>
      </c>
      <c r="H2160" s="29">
        <v>56342.3</v>
      </c>
      <c r="I2160" s="17">
        <v>0</v>
      </c>
      <c r="J2160" s="17">
        <f t="shared" si="350"/>
        <v>53525.185000000005</v>
      </c>
      <c r="K2160" s="17">
        <f t="shared" si="353"/>
        <v>2817.114999999998</v>
      </c>
      <c r="L2160" s="23">
        <f t="shared" si="352"/>
        <v>2817.1150000000002</v>
      </c>
      <c r="M2160" s="33">
        <v>10</v>
      </c>
      <c r="N2160" s="18">
        <f t="shared" si="354"/>
        <v>13.260273972602739</v>
      </c>
      <c r="O2160" s="23">
        <f t="shared" ref="O2160:O2178" si="359">(H2160-K2160)/2</f>
        <v>26762.592500000002</v>
      </c>
      <c r="P2160" s="18">
        <f t="shared" si="355"/>
        <v>14.260273972602739</v>
      </c>
      <c r="Q2160" s="18">
        <f t="shared" si="357"/>
        <v>-2.2737367544323206E-13</v>
      </c>
      <c r="R2160" s="18">
        <f t="shared" si="356"/>
        <v>26762.592500000002</v>
      </c>
      <c r="S2160" s="18">
        <v>0</v>
      </c>
    </row>
    <row r="2161" spans="1:19" ht="15" customHeight="1" x14ac:dyDescent="0.2">
      <c r="A2161" s="14">
        <f t="shared" si="358"/>
        <v>2122</v>
      </c>
      <c r="B2161" s="31" t="s">
        <v>1829</v>
      </c>
      <c r="C2161" s="15" t="s">
        <v>3</v>
      </c>
      <c r="D2161" s="31" t="s">
        <v>1708</v>
      </c>
      <c r="E2161" s="31"/>
      <c r="F2161" s="73" t="s">
        <v>4</v>
      </c>
      <c r="G2161" s="32">
        <v>29587</v>
      </c>
      <c r="H2161" s="29">
        <v>306</v>
      </c>
      <c r="I2161" s="17">
        <v>0</v>
      </c>
      <c r="J2161" s="17">
        <f t="shared" si="350"/>
        <v>290.7</v>
      </c>
      <c r="K2161" s="17">
        <f t="shared" si="353"/>
        <v>15.300000000000011</v>
      </c>
      <c r="L2161" s="23">
        <f t="shared" si="352"/>
        <v>15.3</v>
      </c>
      <c r="M2161" s="33">
        <v>10</v>
      </c>
      <c r="N2161" s="18">
        <f t="shared" si="354"/>
        <v>39.276712328767125</v>
      </c>
      <c r="O2161" s="23">
        <f t="shared" si="359"/>
        <v>145.35</v>
      </c>
      <c r="P2161" s="18">
        <f t="shared" si="355"/>
        <v>40.276712328767125</v>
      </c>
      <c r="Q2161" s="18">
        <f t="shared" si="357"/>
        <v>1.0658141036401504E-15</v>
      </c>
      <c r="R2161" s="18">
        <f t="shared" si="356"/>
        <v>145.35</v>
      </c>
      <c r="S2161" s="18">
        <v>0</v>
      </c>
    </row>
    <row r="2162" spans="1:19" ht="15" customHeight="1" x14ac:dyDescent="0.2">
      <c r="A2162" s="14">
        <f t="shared" si="358"/>
        <v>2123</v>
      </c>
      <c r="B2162" s="31" t="s">
        <v>1830</v>
      </c>
      <c r="C2162" s="15" t="s">
        <v>3</v>
      </c>
      <c r="D2162" s="31" t="s">
        <v>1708</v>
      </c>
      <c r="E2162" s="31"/>
      <c r="F2162" s="73" t="s">
        <v>4</v>
      </c>
      <c r="G2162" s="32">
        <v>29587</v>
      </c>
      <c r="H2162" s="29">
        <v>165</v>
      </c>
      <c r="I2162" s="17">
        <v>0</v>
      </c>
      <c r="J2162" s="17">
        <f t="shared" si="350"/>
        <v>156.75</v>
      </c>
      <c r="K2162" s="17">
        <f t="shared" si="353"/>
        <v>8.25</v>
      </c>
      <c r="L2162" s="23">
        <f t="shared" si="352"/>
        <v>8.25</v>
      </c>
      <c r="M2162" s="33">
        <v>10</v>
      </c>
      <c r="N2162" s="18">
        <f t="shared" si="354"/>
        <v>39.276712328767125</v>
      </c>
      <c r="O2162" s="23">
        <f t="shared" si="359"/>
        <v>78.375</v>
      </c>
      <c r="P2162" s="18">
        <f t="shared" si="355"/>
        <v>40.276712328767125</v>
      </c>
      <c r="Q2162" s="18">
        <f t="shared" si="357"/>
        <v>0</v>
      </c>
      <c r="R2162" s="18">
        <f t="shared" si="356"/>
        <v>78.375</v>
      </c>
      <c r="S2162" s="18">
        <v>0</v>
      </c>
    </row>
    <row r="2163" spans="1:19" ht="15" customHeight="1" x14ac:dyDescent="0.2">
      <c r="A2163" s="14">
        <f t="shared" si="358"/>
        <v>2124</v>
      </c>
      <c r="B2163" s="31" t="s">
        <v>1831</v>
      </c>
      <c r="C2163" s="15" t="s">
        <v>3</v>
      </c>
      <c r="D2163" s="31" t="s">
        <v>1708</v>
      </c>
      <c r="E2163" s="31"/>
      <c r="F2163" s="73" t="s">
        <v>4</v>
      </c>
      <c r="G2163" s="32">
        <v>38718</v>
      </c>
      <c r="H2163" s="29">
        <v>45000</v>
      </c>
      <c r="I2163" s="17">
        <v>0</v>
      </c>
      <c r="J2163" s="17">
        <f t="shared" si="350"/>
        <v>42750</v>
      </c>
      <c r="K2163" s="17">
        <f t="shared" si="353"/>
        <v>2250</v>
      </c>
      <c r="L2163" s="23">
        <f t="shared" si="352"/>
        <v>2250</v>
      </c>
      <c r="M2163" s="33">
        <v>10</v>
      </c>
      <c r="N2163" s="18">
        <f t="shared" si="354"/>
        <v>14.260273972602739</v>
      </c>
      <c r="O2163" s="23">
        <f t="shared" si="359"/>
        <v>21375</v>
      </c>
      <c r="P2163" s="18">
        <f t="shared" si="355"/>
        <v>15.260273972602739</v>
      </c>
      <c r="Q2163" s="18">
        <f t="shared" si="357"/>
        <v>0</v>
      </c>
      <c r="R2163" s="18">
        <f t="shared" si="356"/>
        <v>21375</v>
      </c>
      <c r="S2163" s="18">
        <v>0</v>
      </c>
    </row>
    <row r="2164" spans="1:19" ht="15" customHeight="1" x14ac:dyDescent="0.2">
      <c r="A2164" s="14">
        <f t="shared" si="358"/>
        <v>2125</v>
      </c>
      <c r="B2164" s="31" t="s">
        <v>1832</v>
      </c>
      <c r="C2164" s="15" t="s">
        <v>3</v>
      </c>
      <c r="D2164" s="31" t="s">
        <v>1708</v>
      </c>
      <c r="E2164" s="31"/>
      <c r="F2164" s="73" t="s">
        <v>4</v>
      </c>
      <c r="G2164" s="32">
        <v>29587</v>
      </c>
      <c r="H2164" s="29">
        <v>136</v>
      </c>
      <c r="I2164" s="17">
        <v>0</v>
      </c>
      <c r="J2164" s="17">
        <f t="shared" si="350"/>
        <v>129.19999999999999</v>
      </c>
      <c r="K2164" s="17">
        <f t="shared" si="353"/>
        <v>6.8000000000000114</v>
      </c>
      <c r="L2164" s="23">
        <f t="shared" si="352"/>
        <v>6.8000000000000007</v>
      </c>
      <c r="M2164" s="33">
        <v>10</v>
      </c>
      <c r="N2164" s="18">
        <f t="shared" si="354"/>
        <v>39.276712328767125</v>
      </c>
      <c r="O2164" s="23">
        <f t="shared" si="359"/>
        <v>64.599999999999994</v>
      </c>
      <c r="P2164" s="18">
        <f t="shared" si="355"/>
        <v>40.276712328767125</v>
      </c>
      <c r="Q2164" s="18">
        <f t="shared" si="357"/>
        <v>1.0658141036401504E-15</v>
      </c>
      <c r="R2164" s="18">
        <f t="shared" si="356"/>
        <v>64.599999999999994</v>
      </c>
      <c r="S2164" s="18">
        <v>0</v>
      </c>
    </row>
    <row r="2165" spans="1:19" ht="15" customHeight="1" x14ac:dyDescent="0.2">
      <c r="A2165" s="14">
        <f t="shared" si="358"/>
        <v>2126</v>
      </c>
      <c r="B2165" s="31" t="s">
        <v>1833</v>
      </c>
      <c r="C2165" s="15" t="s">
        <v>3</v>
      </c>
      <c r="D2165" s="31" t="s">
        <v>1708</v>
      </c>
      <c r="E2165" s="31"/>
      <c r="F2165" s="73" t="s">
        <v>4</v>
      </c>
      <c r="G2165" s="32">
        <v>29587</v>
      </c>
      <c r="H2165" s="29">
        <v>55</v>
      </c>
      <c r="I2165" s="17">
        <v>0</v>
      </c>
      <c r="J2165" s="17">
        <f t="shared" si="350"/>
        <v>52.25</v>
      </c>
      <c r="K2165" s="17">
        <f t="shared" si="353"/>
        <v>2.75</v>
      </c>
      <c r="L2165" s="23">
        <f t="shared" si="352"/>
        <v>2.75</v>
      </c>
      <c r="M2165" s="33">
        <v>10</v>
      </c>
      <c r="N2165" s="18">
        <f t="shared" si="354"/>
        <v>39.276712328767125</v>
      </c>
      <c r="O2165" s="23">
        <f t="shared" si="359"/>
        <v>26.125</v>
      </c>
      <c r="P2165" s="18">
        <f t="shared" si="355"/>
        <v>40.276712328767125</v>
      </c>
      <c r="Q2165" s="18">
        <f t="shared" si="357"/>
        <v>0</v>
      </c>
      <c r="R2165" s="18">
        <f t="shared" si="356"/>
        <v>26.125</v>
      </c>
      <c r="S2165" s="18">
        <v>0</v>
      </c>
    </row>
    <row r="2166" spans="1:19" ht="15" customHeight="1" x14ac:dyDescent="0.2">
      <c r="A2166" s="14">
        <f t="shared" si="358"/>
        <v>2127</v>
      </c>
      <c r="B2166" s="31" t="s">
        <v>1834</v>
      </c>
      <c r="C2166" s="15" t="s">
        <v>3</v>
      </c>
      <c r="D2166" s="31" t="s">
        <v>1708</v>
      </c>
      <c r="E2166" s="31"/>
      <c r="F2166" s="73" t="s">
        <v>4</v>
      </c>
      <c r="G2166" s="32">
        <v>29952</v>
      </c>
      <c r="H2166" s="29">
        <v>850</v>
      </c>
      <c r="I2166" s="17">
        <v>0</v>
      </c>
      <c r="J2166" s="17">
        <f t="shared" si="350"/>
        <v>807.5</v>
      </c>
      <c r="K2166" s="17">
        <f t="shared" si="353"/>
        <v>42.5</v>
      </c>
      <c r="L2166" s="23">
        <f t="shared" si="352"/>
        <v>42.5</v>
      </c>
      <c r="M2166" s="33">
        <v>10</v>
      </c>
      <c r="N2166" s="18">
        <f t="shared" si="354"/>
        <v>38.276712328767125</v>
      </c>
      <c r="O2166" s="23">
        <f t="shared" si="359"/>
        <v>403.75</v>
      </c>
      <c r="P2166" s="18">
        <f t="shared" si="355"/>
        <v>39.276712328767125</v>
      </c>
      <c r="Q2166" s="18">
        <f t="shared" si="357"/>
        <v>0</v>
      </c>
      <c r="R2166" s="18">
        <f t="shared" si="356"/>
        <v>403.75</v>
      </c>
      <c r="S2166" s="18">
        <v>0</v>
      </c>
    </row>
    <row r="2167" spans="1:19" ht="15" customHeight="1" x14ac:dyDescent="0.2">
      <c r="A2167" s="14">
        <f t="shared" si="358"/>
        <v>2128</v>
      </c>
      <c r="B2167" s="31" t="s">
        <v>1835</v>
      </c>
      <c r="C2167" s="15" t="s">
        <v>3</v>
      </c>
      <c r="D2167" s="31" t="s">
        <v>1708</v>
      </c>
      <c r="E2167" s="31"/>
      <c r="F2167" s="73" t="s">
        <v>4</v>
      </c>
      <c r="G2167" s="32">
        <v>29952</v>
      </c>
      <c r="H2167" s="29">
        <v>715</v>
      </c>
      <c r="I2167" s="17">
        <v>0</v>
      </c>
      <c r="J2167" s="17">
        <f t="shared" si="350"/>
        <v>679.25</v>
      </c>
      <c r="K2167" s="17">
        <f t="shared" si="353"/>
        <v>35.75</v>
      </c>
      <c r="L2167" s="23">
        <f t="shared" si="352"/>
        <v>35.75</v>
      </c>
      <c r="M2167" s="33">
        <v>10</v>
      </c>
      <c r="N2167" s="18">
        <f t="shared" si="354"/>
        <v>38.276712328767125</v>
      </c>
      <c r="O2167" s="23">
        <f t="shared" si="359"/>
        <v>339.625</v>
      </c>
      <c r="P2167" s="18">
        <f t="shared" si="355"/>
        <v>39.276712328767125</v>
      </c>
      <c r="Q2167" s="18">
        <f t="shared" si="357"/>
        <v>0</v>
      </c>
      <c r="R2167" s="18">
        <f t="shared" si="356"/>
        <v>339.625</v>
      </c>
      <c r="S2167" s="18">
        <v>0</v>
      </c>
    </row>
    <row r="2168" spans="1:19" ht="15" customHeight="1" x14ac:dyDescent="0.2">
      <c r="A2168" s="14">
        <f t="shared" si="358"/>
        <v>2129</v>
      </c>
      <c r="B2168" s="31" t="s">
        <v>1836</v>
      </c>
      <c r="C2168" s="15" t="s">
        <v>3</v>
      </c>
      <c r="D2168" s="31" t="s">
        <v>1708</v>
      </c>
      <c r="E2168" s="31"/>
      <c r="F2168" s="73" t="s">
        <v>4</v>
      </c>
      <c r="G2168" s="32">
        <v>29952</v>
      </c>
      <c r="H2168" s="29">
        <v>575</v>
      </c>
      <c r="I2168" s="17">
        <v>0</v>
      </c>
      <c r="J2168" s="17">
        <f t="shared" si="350"/>
        <v>546.25</v>
      </c>
      <c r="K2168" s="17">
        <f t="shared" si="353"/>
        <v>28.75</v>
      </c>
      <c r="L2168" s="23">
        <f t="shared" si="352"/>
        <v>28.75</v>
      </c>
      <c r="M2168" s="33">
        <v>10</v>
      </c>
      <c r="N2168" s="18">
        <f t="shared" si="354"/>
        <v>38.276712328767125</v>
      </c>
      <c r="O2168" s="23">
        <f t="shared" si="359"/>
        <v>273.125</v>
      </c>
      <c r="P2168" s="18">
        <f t="shared" si="355"/>
        <v>39.276712328767125</v>
      </c>
      <c r="Q2168" s="18">
        <f t="shared" si="357"/>
        <v>0</v>
      </c>
      <c r="R2168" s="18">
        <f t="shared" si="356"/>
        <v>273.125</v>
      </c>
      <c r="S2168" s="18">
        <v>0</v>
      </c>
    </row>
    <row r="2169" spans="1:19" ht="15" customHeight="1" x14ac:dyDescent="0.2">
      <c r="A2169" s="14">
        <f t="shared" si="358"/>
        <v>2130</v>
      </c>
      <c r="B2169" s="31" t="s">
        <v>1837</v>
      </c>
      <c r="C2169" s="15" t="s">
        <v>3</v>
      </c>
      <c r="D2169" s="31" t="s">
        <v>1708</v>
      </c>
      <c r="E2169" s="31"/>
      <c r="F2169" s="73" t="s">
        <v>4</v>
      </c>
      <c r="G2169" s="32">
        <v>29952</v>
      </c>
      <c r="H2169" s="29">
        <v>141</v>
      </c>
      <c r="I2169" s="17">
        <v>0</v>
      </c>
      <c r="J2169" s="17">
        <f t="shared" si="350"/>
        <v>133.94999999999999</v>
      </c>
      <c r="K2169" s="17">
        <f t="shared" si="353"/>
        <v>7.0500000000000114</v>
      </c>
      <c r="L2169" s="23">
        <f t="shared" si="352"/>
        <v>7.0500000000000007</v>
      </c>
      <c r="M2169" s="33">
        <v>10</v>
      </c>
      <c r="N2169" s="18">
        <f t="shared" si="354"/>
        <v>38.276712328767125</v>
      </c>
      <c r="O2169" s="23">
        <f t="shared" si="359"/>
        <v>66.974999999999994</v>
      </c>
      <c r="P2169" s="18">
        <f t="shared" si="355"/>
        <v>39.276712328767125</v>
      </c>
      <c r="Q2169" s="18">
        <f t="shared" si="357"/>
        <v>1.0658141036401504E-15</v>
      </c>
      <c r="R2169" s="18">
        <f t="shared" si="356"/>
        <v>66.974999999999994</v>
      </c>
      <c r="S2169" s="18">
        <v>0</v>
      </c>
    </row>
    <row r="2170" spans="1:19" ht="15" customHeight="1" x14ac:dyDescent="0.2">
      <c r="A2170" s="14">
        <f t="shared" si="358"/>
        <v>2131</v>
      </c>
      <c r="B2170" s="31" t="s">
        <v>1838</v>
      </c>
      <c r="C2170" s="15" t="s">
        <v>3</v>
      </c>
      <c r="D2170" s="31" t="s">
        <v>1708</v>
      </c>
      <c r="E2170" s="31"/>
      <c r="F2170" s="73" t="s">
        <v>4</v>
      </c>
      <c r="G2170" s="32">
        <v>30317</v>
      </c>
      <c r="H2170" s="29">
        <v>1500</v>
      </c>
      <c r="I2170" s="17">
        <v>0</v>
      </c>
      <c r="J2170" s="17">
        <f t="shared" si="350"/>
        <v>1425</v>
      </c>
      <c r="K2170" s="17">
        <f t="shared" si="353"/>
        <v>75</v>
      </c>
      <c r="L2170" s="23">
        <f t="shared" si="352"/>
        <v>75</v>
      </c>
      <c r="M2170" s="33">
        <v>10</v>
      </c>
      <c r="N2170" s="18">
        <f t="shared" si="354"/>
        <v>37.276712328767125</v>
      </c>
      <c r="O2170" s="23">
        <f t="shared" si="359"/>
        <v>712.5</v>
      </c>
      <c r="P2170" s="18">
        <f t="shared" si="355"/>
        <v>38.276712328767125</v>
      </c>
      <c r="Q2170" s="18">
        <f t="shared" si="357"/>
        <v>0</v>
      </c>
      <c r="R2170" s="18">
        <f t="shared" si="356"/>
        <v>712.5</v>
      </c>
      <c r="S2170" s="18">
        <v>0</v>
      </c>
    </row>
    <row r="2171" spans="1:19" ht="15" customHeight="1" x14ac:dyDescent="0.2">
      <c r="A2171" s="14">
        <f t="shared" si="358"/>
        <v>2132</v>
      </c>
      <c r="B2171" s="31" t="s">
        <v>1839</v>
      </c>
      <c r="C2171" s="15" t="s">
        <v>3</v>
      </c>
      <c r="D2171" s="31" t="s">
        <v>1708</v>
      </c>
      <c r="E2171" s="31"/>
      <c r="F2171" s="73" t="s">
        <v>4</v>
      </c>
      <c r="G2171" s="32">
        <v>30317</v>
      </c>
      <c r="H2171" s="29">
        <v>1150</v>
      </c>
      <c r="I2171" s="17">
        <v>0</v>
      </c>
      <c r="J2171" s="17">
        <f t="shared" si="350"/>
        <v>1092.5</v>
      </c>
      <c r="K2171" s="17">
        <f t="shared" si="353"/>
        <v>57.5</v>
      </c>
      <c r="L2171" s="23">
        <f t="shared" si="352"/>
        <v>57.5</v>
      </c>
      <c r="M2171" s="33">
        <v>10</v>
      </c>
      <c r="N2171" s="18">
        <f t="shared" si="354"/>
        <v>37.276712328767125</v>
      </c>
      <c r="O2171" s="23">
        <f t="shared" si="359"/>
        <v>546.25</v>
      </c>
      <c r="P2171" s="18">
        <f t="shared" si="355"/>
        <v>38.276712328767125</v>
      </c>
      <c r="Q2171" s="18">
        <f t="shared" si="357"/>
        <v>0</v>
      </c>
      <c r="R2171" s="18">
        <f t="shared" si="356"/>
        <v>546.25</v>
      </c>
      <c r="S2171" s="18">
        <v>0</v>
      </c>
    </row>
    <row r="2172" spans="1:19" ht="15" customHeight="1" x14ac:dyDescent="0.2">
      <c r="A2172" s="14">
        <f t="shared" si="358"/>
        <v>2133</v>
      </c>
      <c r="B2172" s="31" t="s">
        <v>1611</v>
      </c>
      <c r="C2172" s="15" t="s">
        <v>3</v>
      </c>
      <c r="D2172" s="31" t="s">
        <v>1708</v>
      </c>
      <c r="E2172" s="31"/>
      <c r="F2172" s="73" t="s">
        <v>4</v>
      </c>
      <c r="G2172" s="32">
        <v>30317</v>
      </c>
      <c r="H2172" s="29">
        <v>1120</v>
      </c>
      <c r="I2172" s="17">
        <v>0</v>
      </c>
      <c r="J2172" s="17">
        <f t="shared" si="350"/>
        <v>1064</v>
      </c>
      <c r="K2172" s="17">
        <f t="shared" si="353"/>
        <v>56</v>
      </c>
      <c r="L2172" s="23">
        <f t="shared" si="352"/>
        <v>56</v>
      </c>
      <c r="M2172" s="33">
        <v>10</v>
      </c>
      <c r="N2172" s="18">
        <f t="shared" si="354"/>
        <v>37.276712328767125</v>
      </c>
      <c r="O2172" s="23">
        <f t="shared" si="359"/>
        <v>532</v>
      </c>
      <c r="P2172" s="18">
        <f t="shared" si="355"/>
        <v>38.276712328767125</v>
      </c>
      <c r="Q2172" s="18">
        <f t="shared" si="357"/>
        <v>0</v>
      </c>
      <c r="R2172" s="18">
        <f t="shared" si="356"/>
        <v>532</v>
      </c>
      <c r="S2172" s="18">
        <v>0</v>
      </c>
    </row>
    <row r="2173" spans="1:19" ht="15" customHeight="1" x14ac:dyDescent="0.2">
      <c r="A2173" s="14">
        <f t="shared" si="358"/>
        <v>2134</v>
      </c>
      <c r="B2173" s="31" t="s">
        <v>1793</v>
      </c>
      <c r="C2173" s="15" t="s">
        <v>3</v>
      </c>
      <c r="D2173" s="31" t="s">
        <v>1708</v>
      </c>
      <c r="E2173" s="31"/>
      <c r="F2173" s="73" t="s">
        <v>4</v>
      </c>
      <c r="G2173" s="32">
        <v>30317</v>
      </c>
      <c r="H2173" s="29">
        <v>699</v>
      </c>
      <c r="I2173" s="17">
        <v>0</v>
      </c>
      <c r="J2173" s="17">
        <f t="shared" si="350"/>
        <v>664.05</v>
      </c>
      <c r="K2173" s="17">
        <f t="shared" si="353"/>
        <v>34.950000000000045</v>
      </c>
      <c r="L2173" s="23">
        <f t="shared" si="352"/>
        <v>34.950000000000003</v>
      </c>
      <c r="M2173" s="33">
        <v>10</v>
      </c>
      <c r="N2173" s="18">
        <f t="shared" si="354"/>
        <v>37.276712328767125</v>
      </c>
      <c r="O2173" s="23">
        <f t="shared" si="359"/>
        <v>332.02499999999998</v>
      </c>
      <c r="P2173" s="18">
        <f t="shared" si="355"/>
        <v>38.276712328767125</v>
      </c>
      <c r="Q2173" s="18">
        <f t="shared" si="357"/>
        <v>4.2632564145606017E-15</v>
      </c>
      <c r="R2173" s="18">
        <f t="shared" si="356"/>
        <v>332.02499999999998</v>
      </c>
      <c r="S2173" s="18">
        <v>0</v>
      </c>
    </row>
    <row r="2174" spans="1:19" ht="15" customHeight="1" x14ac:dyDescent="0.2">
      <c r="A2174" s="14">
        <f t="shared" si="358"/>
        <v>2135</v>
      </c>
      <c r="B2174" s="31" t="s">
        <v>1611</v>
      </c>
      <c r="C2174" s="15" t="s">
        <v>3</v>
      </c>
      <c r="D2174" s="31" t="s">
        <v>1708</v>
      </c>
      <c r="E2174" s="31"/>
      <c r="F2174" s="73" t="s">
        <v>4</v>
      </c>
      <c r="G2174" s="32">
        <v>30682</v>
      </c>
      <c r="H2174" s="29">
        <v>6916</v>
      </c>
      <c r="I2174" s="17">
        <v>0</v>
      </c>
      <c r="J2174" s="17">
        <f t="shared" si="350"/>
        <v>6570.2</v>
      </c>
      <c r="K2174" s="17">
        <f t="shared" si="353"/>
        <v>345.80000000000018</v>
      </c>
      <c r="L2174" s="23">
        <f t="shared" si="352"/>
        <v>345.8</v>
      </c>
      <c r="M2174" s="33">
        <v>10</v>
      </c>
      <c r="N2174" s="18">
        <f t="shared" si="354"/>
        <v>36.276712328767125</v>
      </c>
      <c r="O2174" s="23">
        <f t="shared" si="359"/>
        <v>3285.1</v>
      </c>
      <c r="P2174" s="18">
        <f t="shared" si="355"/>
        <v>37.276712328767125</v>
      </c>
      <c r="Q2174" s="18">
        <f t="shared" si="357"/>
        <v>1.7053025658242407E-14</v>
      </c>
      <c r="R2174" s="18">
        <f t="shared" si="356"/>
        <v>3285.1</v>
      </c>
      <c r="S2174" s="18">
        <v>0</v>
      </c>
    </row>
    <row r="2175" spans="1:19" ht="15" customHeight="1" x14ac:dyDescent="0.2">
      <c r="A2175" s="14">
        <f t="shared" si="358"/>
        <v>2136</v>
      </c>
      <c r="B2175" s="31" t="s">
        <v>1840</v>
      </c>
      <c r="C2175" s="15" t="s">
        <v>3</v>
      </c>
      <c r="D2175" s="31" t="s">
        <v>1708</v>
      </c>
      <c r="E2175" s="31"/>
      <c r="F2175" s="73" t="s">
        <v>4</v>
      </c>
      <c r="G2175" s="32">
        <v>39448</v>
      </c>
      <c r="H2175" s="29">
        <v>35693.24</v>
      </c>
      <c r="I2175" s="17">
        <v>0</v>
      </c>
      <c r="J2175" s="17">
        <f t="shared" si="350"/>
        <v>33908.578000000001</v>
      </c>
      <c r="K2175" s="17">
        <f t="shared" si="353"/>
        <v>1784.6619999999966</v>
      </c>
      <c r="L2175" s="23">
        <f t="shared" si="352"/>
        <v>1784.662</v>
      </c>
      <c r="M2175" s="33">
        <v>10</v>
      </c>
      <c r="N2175" s="18">
        <f t="shared" si="354"/>
        <v>12.260273972602739</v>
      </c>
      <c r="O2175" s="23">
        <f t="shared" si="359"/>
        <v>16954.289000000001</v>
      </c>
      <c r="P2175" s="18">
        <f t="shared" si="355"/>
        <v>13.260273972602739</v>
      </c>
      <c r="Q2175" s="18">
        <f t="shared" si="357"/>
        <v>-3.4106051316484809E-13</v>
      </c>
      <c r="R2175" s="18">
        <f t="shared" si="356"/>
        <v>16954.289000000001</v>
      </c>
      <c r="S2175" s="18">
        <v>0</v>
      </c>
    </row>
    <row r="2176" spans="1:19" ht="15" customHeight="1" x14ac:dyDescent="0.2">
      <c r="A2176" s="14">
        <f t="shared" si="358"/>
        <v>2137</v>
      </c>
      <c r="B2176" s="31" t="s">
        <v>1841</v>
      </c>
      <c r="C2176" s="15" t="s">
        <v>3</v>
      </c>
      <c r="D2176" s="31" t="s">
        <v>1708</v>
      </c>
      <c r="E2176" s="31"/>
      <c r="F2176" s="73" t="s">
        <v>4</v>
      </c>
      <c r="G2176" s="32">
        <v>30682</v>
      </c>
      <c r="H2176" s="29">
        <v>1888</v>
      </c>
      <c r="I2176" s="17">
        <v>0</v>
      </c>
      <c r="J2176" s="17">
        <f t="shared" si="350"/>
        <v>1793.6</v>
      </c>
      <c r="K2176" s="17">
        <f t="shared" si="353"/>
        <v>94.400000000000091</v>
      </c>
      <c r="L2176" s="23">
        <f t="shared" si="352"/>
        <v>94.4</v>
      </c>
      <c r="M2176" s="33">
        <v>10</v>
      </c>
      <c r="N2176" s="18">
        <f t="shared" si="354"/>
        <v>36.276712328767125</v>
      </c>
      <c r="O2176" s="23">
        <f t="shared" si="359"/>
        <v>896.8</v>
      </c>
      <c r="P2176" s="18">
        <f t="shared" si="355"/>
        <v>37.276712328767125</v>
      </c>
      <c r="Q2176" s="18">
        <f t="shared" si="357"/>
        <v>8.5265128291212035E-15</v>
      </c>
      <c r="R2176" s="18">
        <f t="shared" si="356"/>
        <v>896.8</v>
      </c>
      <c r="S2176" s="18">
        <v>0</v>
      </c>
    </row>
    <row r="2177" spans="1:19" ht="15" customHeight="1" x14ac:dyDescent="0.2">
      <c r="A2177" s="14">
        <f t="shared" si="358"/>
        <v>2138</v>
      </c>
      <c r="B2177" s="31" t="s">
        <v>1772</v>
      </c>
      <c r="C2177" s="15" t="s">
        <v>3</v>
      </c>
      <c r="D2177" s="31" t="s">
        <v>1708</v>
      </c>
      <c r="E2177" s="31"/>
      <c r="F2177" s="73" t="s">
        <v>4</v>
      </c>
      <c r="G2177" s="32">
        <v>39448</v>
      </c>
      <c r="H2177" s="29">
        <v>32904.959999999999</v>
      </c>
      <c r="I2177" s="17">
        <v>0</v>
      </c>
      <c r="J2177" s="17">
        <f t="shared" si="350"/>
        <v>31259.712</v>
      </c>
      <c r="K2177" s="17">
        <f t="shared" si="353"/>
        <v>1645.2479999999996</v>
      </c>
      <c r="L2177" s="23">
        <f t="shared" si="352"/>
        <v>1645.248</v>
      </c>
      <c r="M2177" s="33">
        <v>10</v>
      </c>
      <c r="N2177" s="18">
        <f t="shared" si="354"/>
        <v>12.260273972602739</v>
      </c>
      <c r="O2177" s="23">
        <f t="shared" si="359"/>
        <v>15629.856</v>
      </c>
      <c r="P2177" s="18">
        <f t="shared" si="355"/>
        <v>13.260273972602739</v>
      </c>
      <c r="Q2177" s="18">
        <f t="shared" si="357"/>
        <v>-4.5474735088646414E-14</v>
      </c>
      <c r="R2177" s="18">
        <f t="shared" si="356"/>
        <v>15629.856</v>
      </c>
      <c r="S2177" s="18">
        <v>0</v>
      </c>
    </row>
    <row r="2178" spans="1:19" ht="15" customHeight="1" x14ac:dyDescent="0.2">
      <c r="A2178" s="14">
        <f t="shared" si="358"/>
        <v>2139</v>
      </c>
      <c r="B2178" s="31" t="s">
        <v>1842</v>
      </c>
      <c r="C2178" s="15" t="s">
        <v>3</v>
      </c>
      <c r="D2178" s="31" t="s">
        <v>1708</v>
      </c>
      <c r="E2178" s="31"/>
      <c r="F2178" s="73" t="s">
        <v>4</v>
      </c>
      <c r="G2178" s="32">
        <v>30682</v>
      </c>
      <c r="H2178" s="29">
        <v>690</v>
      </c>
      <c r="I2178" s="17">
        <v>0</v>
      </c>
      <c r="J2178" s="17">
        <f t="shared" si="350"/>
        <v>655.5</v>
      </c>
      <c r="K2178" s="17">
        <f t="shared" si="353"/>
        <v>34.5</v>
      </c>
      <c r="L2178" s="23">
        <f t="shared" si="352"/>
        <v>34.5</v>
      </c>
      <c r="M2178" s="33">
        <v>10</v>
      </c>
      <c r="N2178" s="18">
        <f t="shared" si="354"/>
        <v>36.276712328767125</v>
      </c>
      <c r="O2178" s="23">
        <f t="shared" si="359"/>
        <v>327.75</v>
      </c>
      <c r="P2178" s="18">
        <f t="shared" si="355"/>
        <v>37.276712328767125</v>
      </c>
      <c r="Q2178" s="18">
        <f t="shared" si="357"/>
        <v>0</v>
      </c>
      <c r="R2178" s="18">
        <f t="shared" si="356"/>
        <v>327.75</v>
      </c>
      <c r="S2178" s="18">
        <v>0</v>
      </c>
    </row>
    <row r="2179" spans="1:19" ht="15" customHeight="1" x14ac:dyDescent="0.2">
      <c r="A2179" s="14">
        <f t="shared" si="358"/>
        <v>2140</v>
      </c>
      <c r="B2179" s="31" t="s">
        <v>1843</v>
      </c>
      <c r="C2179" s="15" t="s">
        <v>3</v>
      </c>
      <c r="D2179" s="31" t="s">
        <v>1708</v>
      </c>
      <c r="E2179" s="31"/>
      <c r="F2179" s="73" t="s">
        <v>4</v>
      </c>
      <c r="G2179" s="32">
        <v>41289</v>
      </c>
      <c r="H2179" s="29">
        <v>32000</v>
      </c>
      <c r="I2179" s="17">
        <v>0</v>
      </c>
      <c r="J2179" s="17">
        <v>9769.6438356164381</v>
      </c>
      <c r="K2179" s="17">
        <f t="shared" si="353"/>
        <v>22230.356164383564</v>
      </c>
      <c r="L2179" s="23">
        <f t="shared" si="352"/>
        <v>1600</v>
      </c>
      <c r="M2179" s="33">
        <v>10</v>
      </c>
      <c r="N2179" s="18">
        <f t="shared" si="354"/>
        <v>7.2164383561643834</v>
      </c>
      <c r="O2179" s="23">
        <v>1046.9214726027396</v>
      </c>
      <c r="P2179" s="18">
        <f t="shared" si="355"/>
        <v>8.2164383561643834</v>
      </c>
      <c r="Q2179" s="18">
        <f t="shared" si="357"/>
        <v>2063.0356164383566</v>
      </c>
      <c r="R2179" s="18">
        <f t="shared" si="356"/>
        <v>3109.957089041096</v>
      </c>
      <c r="S2179" s="18">
        <v>0</v>
      </c>
    </row>
    <row r="2180" spans="1:19" ht="15" customHeight="1" x14ac:dyDescent="0.2">
      <c r="A2180" s="14">
        <f t="shared" si="358"/>
        <v>2141</v>
      </c>
      <c r="B2180" s="31" t="s">
        <v>1840</v>
      </c>
      <c r="C2180" s="15" t="s">
        <v>3</v>
      </c>
      <c r="D2180" s="31" t="s">
        <v>1708</v>
      </c>
      <c r="E2180" s="31"/>
      <c r="F2180" s="73" t="s">
        <v>4</v>
      </c>
      <c r="G2180" s="32">
        <v>39083</v>
      </c>
      <c r="H2180" s="29">
        <v>31402.42</v>
      </c>
      <c r="I2180" s="17">
        <v>0</v>
      </c>
      <c r="J2180" s="17">
        <f t="shared" si="350"/>
        <v>29832.298999999999</v>
      </c>
      <c r="K2180" s="17">
        <f t="shared" si="353"/>
        <v>1570.1209999999992</v>
      </c>
      <c r="L2180" s="23">
        <f t="shared" si="352"/>
        <v>1570.1210000000001</v>
      </c>
      <c r="M2180" s="33">
        <v>10</v>
      </c>
      <c r="N2180" s="18">
        <f t="shared" si="354"/>
        <v>13.260273972602739</v>
      </c>
      <c r="O2180" s="23">
        <f t="shared" ref="O2180:O2185" si="360">(H2180-K2180)/2</f>
        <v>14916.1495</v>
      </c>
      <c r="P2180" s="18">
        <f t="shared" si="355"/>
        <v>14.260273972602739</v>
      </c>
      <c r="Q2180" s="18">
        <f t="shared" si="357"/>
        <v>-9.0949470177292829E-14</v>
      </c>
      <c r="R2180" s="18">
        <f t="shared" si="356"/>
        <v>14916.1495</v>
      </c>
      <c r="S2180" s="18">
        <v>0</v>
      </c>
    </row>
    <row r="2181" spans="1:19" ht="15" customHeight="1" x14ac:dyDescent="0.2">
      <c r="A2181" s="14">
        <f t="shared" si="358"/>
        <v>2142</v>
      </c>
      <c r="B2181" s="31" t="s">
        <v>1844</v>
      </c>
      <c r="C2181" s="15" t="s">
        <v>3</v>
      </c>
      <c r="D2181" s="31" t="s">
        <v>1708</v>
      </c>
      <c r="E2181" s="31"/>
      <c r="F2181" s="73" t="s">
        <v>4</v>
      </c>
      <c r="G2181" s="32">
        <v>30682</v>
      </c>
      <c r="H2181" s="29">
        <v>450</v>
      </c>
      <c r="I2181" s="17">
        <v>0</v>
      </c>
      <c r="J2181" s="17">
        <f t="shared" si="350"/>
        <v>427.5</v>
      </c>
      <c r="K2181" s="17">
        <f t="shared" si="353"/>
        <v>22.5</v>
      </c>
      <c r="L2181" s="23">
        <f t="shared" si="352"/>
        <v>22.5</v>
      </c>
      <c r="M2181" s="33">
        <v>10</v>
      </c>
      <c r="N2181" s="18">
        <f t="shared" si="354"/>
        <v>36.276712328767125</v>
      </c>
      <c r="O2181" s="23">
        <f t="shared" si="360"/>
        <v>213.75</v>
      </c>
      <c r="P2181" s="18">
        <f t="shared" si="355"/>
        <v>37.276712328767125</v>
      </c>
      <c r="Q2181" s="18">
        <f t="shared" si="357"/>
        <v>0</v>
      </c>
      <c r="R2181" s="18">
        <f t="shared" si="356"/>
        <v>213.75</v>
      </c>
      <c r="S2181" s="18">
        <v>0</v>
      </c>
    </row>
    <row r="2182" spans="1:19" ht="15" customHeight="1" x14ac:dyDescent="0.2">
      <c r="A2182" s="14">
        <f t="shared" si="358"/>
        <v>2143</v>
      </c>
      <c r="B2182" s="31" t="s">
        <v>1845</v>
      </c>
      <c r="C2182" s="15" t="s">
        <v>3</v>
      </c>
      <c r="D2182" s="31" t="s">
        <v>1708</v>
      </c>
      <c r="E2182" s="31"/>
      <c r="F2182" s="73" t="s">
        <v>4</v>
      </c>
      <c r="G2182" s="32">
        <v>31048</v>
      </c>
      <c r="H2182" s="29">
        <v>2550</v>
      </c>
      <c r="I2182" s="17">
        <v>0</v>
      </c>
      <c r="J2182" s="17">
        <f t="shared" si="350"/>
        <v>2422.5</v>
      </c>
      <c r="K2182" s="17">
        <f t="shared" si="353"/>
        <v>127.5</v>
      </c>
      <c r="L2182" s="23">
        <f t="shared" si="352"/>
        <v>127.5</v>
      </c>
      <c r="M2182" s="33">
        <v>10</v>
      </c>
      <c r="N2182" s="18">
        <f t="shared" si="354"/>
        <v>35.273972602739725</v>
      </c>
      <c r="O2182" s="23">
        <f t="shared" si="360"/>
        <v>1211.25</v>
      </c>
      <c r="P2182" s="18">
        <f t="shared" si="355"/>
        <v>36.273972602739725</v>
      </c>
      <c r="Q2182" s="18">
        <f t="shared" si="357"/>
        <v>0</v>
      </c>
      <c r="R2182" s="18">
        <f t="shared" si="356"/>
        <v>1211.25</v>
      </c>
      <c r="S2182" s="18">
        <v>0</v>
      </c>
    </row>
    <row r="2183" spans="1:19" ht="15" customHeight="1" x14ac:dyDescent="0.2">
      <c r="A2183" s="14">
        <f t="shared" si="358"/>
        <v>2144</v>
      </c>
      <c r="B2183" s="31" t="s">
        <v>1846</v>
      </c>
      <c r="C2183" s="15" t="s">
        <v>3</v>
      </c>
      <c r="D2183" s="31" t="s">
        <v>1708</v>
      </c>
      <c r="E2183" s="31"/>
      <c r="F2183" s="73" t="s">
        <v>4</v>
      </c>
      <c r="G2183" s="32">
        <v>39083</v>
      </c>
      <c r="H2183" s="29">
        <v>30051.62</v>
      </c>
      <c r="I2183" s="17">
        <v>0</v>
      </c>
      <c r="J2183" s="17">
        <f t="shared" si="350"/>
        <v>28549.038999999997</v>
      </c>
      <c r="K2183" s="17">
        <f t="shared" si="353"/>
        <v>1502.5810000000019</v>
      </c>
      <c r="L2183" s="23">
        <f t="shared" si="352"/>
        <v>1502.5810000000001</v>
      </c>
      <c r="M2183" s="33">
        <v>10</v>
      </c>
      <c r="N2183" s="18">
        <f t="shared" si="354"/>
        <v>13.260273972602739</v>
      </c>
      <c r="O2183" s="23">
        <f t="shared" si="360"/>
        <v>14274.519499999999</v>
      </c>
      <c r="P2183" s="18">
        <f t="shared" si="355"/>
        <v>14.260273972602739</v>
      </c>
      <c r="Q2183" s="18">
        <f t="shared" si="357"/>
        <v>1.8189894035458566E-13</v>
      </c>
      <c r="R2183" s="18">
        <f t="shared" si="356"/>
        <v>14274.519499999999</v>
      </c>
      <c r="S2183" s="18">
        <v>0</v>
      </c>
    </row>
    <row r="2184" spans="1:19" ht="15" customHeight="1" x14ac:dyDescent="0.2">
      <c r="A2184" s="14">
        <f t="shared" si="358"/>
        <v>2145</v>
      </c>
      <c r="B2184" s="31" t="s">
        <v>1841</v>
      </c>
      <c r="C2184" s="15" t="s">
        <v>3</v>
      </c>
      <c r="D2184" s="31" t="s">
        <v>1708</v>
      </c>
      <c r="E2184" s="31"/>
      <c r="F2184" s="73" t="s">
        <v>4</v>
      </c>
      <c r="G2184" s="32">
        <v>38718</v>
      </c>
      <c r="H2184" s="29">
        <v>30000</v>
      </c>
      <c r="I2184" s="17">
        <v>0</v>
      </c>
      <c r="J2184" s="17">
        <f t="shared" ref="J2184:J2215" si="361">H2184-L2184</f>
        <v>28500</v>
      </c>
      <c r="K2184" s="17">
        <f t="shared" si="353"/>
        <v>1500</v>
      </c>
      <c r="L2184" s="23">
        <f t="shared" si="352"/>
        <v>1500</v>
      </c>
      <c r="M2184" s="33">
        <v>10</v>
      </c>
      <c r="N2184" s="18">
        <f t="shared" si="354"/>
        <v>14.260273972602739</v>
      </c>
      <c r="O2184" s="23">
        <f t="shared" si="360"/>
        <v>14250</v>
      </c>
      <c r="P2184" s="18">
        <f t="shared" si="355"/>
        <v>15.260273972602739</v>
      </c>
      <c r="Q2184" s="18">
        <f t="shared" si="357"/>
        <v>0</v>
      </c>
      <c r="R2184" s="18">
        <f t="shared" si="356"/>
        <v>14250</v>
      </c>
      <c r="S2184" s="18">
        <v>0</v>
      </c>
    </row>
    <row r="2185" spans="1:19" ht="15" customHeight="1" x14ac:dyDescent="0.2">
      <c r="A2185" s="14">
        <f t="shared" si="358"/>
        <v>2146</v>
      </c>
      <c r="B2185" s="31" t="s">
        <v>1847</v>
      </c>
      <c r="C2185" s="15" t="s">
        <v>3</v>
      </c>
      <c r="D2185" s="31" t="s">
        <v>1708</v>
      </c>
      <c r="E2185" s="31"/>
      <c r="F2185" s="73" t="s">
        <v>4</v>
      </c>
      <c r="G2185" s="32">
        <v>38857</v>
      </c>
      <c r="H2185" s="29">
        <v>29807</v>
      </c>
      <c r="I2185" s="17">
        <v>0</v>
      </c>
      <c r="J2185" s="17">
        <f t="shared" si="361"/>
        <v>28316.65</v>
      </c>
      <c r="K2185" s="17">
        <f t="shared" si="353"/>
        <v>1490.3499999999985</v>
      </c>
      <c r="L2185" s="23">
        <f t="shared" si="352"/>
        <v>1490.3500000000001</v>
      </c>
      <c r="M2185" s="33">
        <v>10</v>
      </c>
      <c r="N2185" s="18">
        <f t="shared" si="354"/>
        <v>13.87945205479452</v>
      </c>
      <c r="O2185" s="23">
        <f t="shared" si="360"/>
        <v>14158.325000000001</v>
      </c>
      <c r="P2185" s="18">
        <f t="shared" si="355"/>
        <v>14.87945205479452</v>
      </c>
      <c r="Q2185" s="18">
        <f t="shared" si="357"/>
        <v>-1.5916157281026246E-13</v>
      </c>
      <c r="R2185" s="18">
        <f t="shared" si="356"/>
        <v>14158.325000000001</v>
      </c>
      <c r="S2185" s="18">
        <v>0</v>
      </c>
    </row>
    <row r="2186" spans="1:19" ht="15" customHeight="1" x14ac:dyDescent="0.2">
      <c r="A2186" s="14">
        <f t="shared" si="358"/>
        <v>2147</v>
      </c>
      <c r="B2186" s="31" t="s">
        <v>1848</v>
      </c>
      <c r="C2186" s="15" t="s">
        <v>3</v>
      </c>
      <c r="D2186" s="31" t="s">
        <v>1708</v>
      </c>
      <c r="E2186" s="31"/>
      <c r="F2186" s="73" t="s">
        <v>4</v>
      </c>
      <c r="G2186" s="32">
        <v>40497</v>
      </c>
      <c r="H2186" s="29">
        <v>27645.4</v>
      </c>
      <c r="I2186" s="17">
        <v>0</v>
      </c>
      <c r="J2186" s="17">
        <v>14138.917931506849</v>
      </c>
      <c r="K2186" s="17">
        <f t="shared" si="353"/>
        <v>13506.482068493153</v>
      </c>
      <c r="L2186" s="23">
        <f t="shared" si="352"/>
        <v>1382.2700000000002</v>
      </c>
      <c r="M2186" s="33">
        <v>10</v>
      </c>
      <c r="N2186" s="18">
        <f t="shared" si="354"/>
        <v>9.3863013698630144</v>
      </c>
      <c r="O2186" s="23">
        <v>1647.3273287671234</v>
      </c>
      <c r="P2186" s="18">
        <f t="shared" si="355"/>
        <v>10.386301369863014</v>
      </c>
      <c r="Q2186" s="18">
        <f t="shared" si="357"/>
        <v>1212.4212068493152</v>
      </c>
      <c r="R2186" s="18">
        <f t="shared" si="356"/>
        <v>2859.7485356164389</v>
      </c>
      <c r="S2186" s="18">
        <v>0</v>
      </c>
    </row>
    <row r="2187" spans="1:19" ht="15" customHeight="1" x14ac:dyDescent="0.2">
      <c r="A2187" s="14">
        <f t="shared" si="358"/>
        <v>2148</v>
      </c>
      <c r="B2187" s="31" t="s">
        <v>1849</v>
      </c>
      <c r="C2187" s="15" t="s">
        <v>3</v>
      </c>
      <c r="D2187" s="31" t="s">
        <v>1708</v>
      </c>
      <c r="E2187" s="31"/>
      <c r="F2187" s="73" t="s">
        <v>4</v>
      </c>
      <c r="G2187" s="32">
        <v>31048</v>
      </c>
      <c r="H2187" s="29">
        <v>1429</v>
      </c>
      <c r="I2187" s="17">
        <v>0</v>
      </c>
      <c r="J2187" s="17">
        <f t="shared" si="361"/>
        <v>1357.55</v>
      </c>
      <c r="K2187" s="17">
        <f t="shared" si="353"/>
        <v>71.450000000000045</v>
      </c>
      <c r="L2187" s="23">
        <f t="shared" si="352"/>
        <v>71.45</v>
      </c>
      <c r="M2187" s="33">
        <v>10</v>
      </c>
      <c r="N2187" s="18">
        <f t="shared" si="354"/>
        <v>35.273972602739725</v>
      </c>
      <c r="O2187" s="23">
        <f>(H2187-K2187)/2</f>
        <v>678.77499999999998</v>
      </c>
      <c r="P2187" s="18">
        <f t="shared" si="355"/>
        <v>36.273972602739725</v>
      </c>
      <c r="Q2187" s="18">
        <f t="shared" si="357"/>
        <v>4.2632564145606017E-15</v>
      </c>
      <c r="R2187" s="18">
        <f t="shared" si="356"/>
        <v>678.77499999999998</v>
      </c>
      <c r="S2187" s="18">
        <v>0</v>
      </c>
    </row>
    <row r="2188" spans="1:19" ht="15" customHeight="1" x14ac:dyDescent="0.2">
      <c r="A2188" s="14">
        <f t="shared" si="358"/>
        <v>2149</v>
      </c>
      <c r="B2188" s="31" t="s">
        <v>1850</v>
      </c>
      <c r="C2188" s="15" t="s">
        <v>3</v>
      </c>
      <c r="D2188" s="31" t="s">
        <v>1708</v>
      </c>
      <c r="E2188" s="31"/>
      <c r="F2188" s="73" t="s">
        <v>4</v>
      </c>
      <c r="G2188" s="32">
        <v>41258</v>
      </c>
      <c r="H2188" s="29">
        <v>27182.720000000001</v>
      </c>
      <c r="I2188" s="17">
        <v>0</v>
      </c>
      <c r="J2188" s="17">
        <v>8518.2452427397275</v>
      </c>
      <c r="K2188" s="17">
        <f t="shared" si="353"/>
        <v>18664.474757260272</v>
      </c>
      <c r="L2188" s="23">
        <f t="shared" si="352"/>
        <v>1359.1360000000002</v>
      </c>
      <c r="M2188" s="33">
        <v>10</v>
      </c>
      <c r="N2188" s="18">
        <f t="shared" si="354"/>
        <v>7.3013698630136989</v>
      </c>
      <c r="O2188" s="23">
        <v>333.54109589041036</v>
      </c>
      <c r="P2188" s="18">
        <f t="shared" si="355"/>
        <v>8.3013698630136989</v>
      </c>
      <c r="Q2188" s="18">
        <f t="shared" si="357"/>
        <v>1730.5338757260274</v>
      </c>
      <c r="R2188" s="18">
        <f t="shared" si="356"/>
        <v>2064.0749716164378</v>
      </c>
      <c r="S2188" s="18">
        <v>0</v>
      </c>
    </row>
    <row r="2189" spans="1:19" ht="15" customHeight="1" x14ac:dyDescent="0.2">
      <c r="A2189" s="14">
        <f t="shared" si="358"/>
        <v>2150</v>
      </c>
      <c r="B2189" s="31" t="s">
        <v>1851</v>
      </c>
      <c r="C2189" s="15" t="s">
        <v>3</v>
      </c>
      <c r="D2189" s="31" t="s">
        <v>1708</v>
      </c>
      <c r="E2189" s="31"/>
      <c r="F2189" s="73" t="s">
        <v>4</v>
      </c>
      <c r="G2189" s="32">
        <v>40132</v>
      </c>
      <c r="H2189" s="29">
        <v>26722.400000000001</v>
      </c>
      <c r="I2189" s="17">
        <v>0</v>
      </c>
      <c r="J2189" s="17">
        <f t="shared" si="361"/>
        <v>25386.280000000002</v>
      </c>
      <c r="K2189" s="17">
        <f t="shared" si="353"/>
        <v>1336.119999999999</v>
      </c>
      <c r="L2189" s="23">
        <f t="shared" si="352"/>
        <v>1336.1200000000001</v>
      </c>
      <c r="M2189" s="33">
        <v>10</v>
      </c>
      <c r="N2189" s="18">
        <f t="shared" si="354"/>
        <v>10.386301369863014</v>
      </c>
      <c r="O2189" s="23">
        <f>(H2189-K2189)/2</f>
        <v>12693.140000000001</v>
      </c>
      <c r="P2189" s="18">
        <f t="shared" si="355"/>
        <v>11.386301369863014</v>
      </c>
      <c r="Q2189" s="18">
        <f t="shared" si="357"/>
        <v>-1.1368683772161603E-13</v>
      </c>
      <c r="R2189" s="18">
        <f t="shared" si="356"/>
        <v>12693.140000000001</v>
      </c>
      <c r="S2189" s="18">
        <v>0</v>
      </c>
    </row>
    <row r="2190" spans="1:19" ht="15" customHeight="1" x14ac:dyDescent="0.2">
      <c r="A2190" s="14">
        <f t="shared" si="358"/>
        <v>2151</v>
      </c>
      <c r="B2190" s="31" t="s">
        <v>1852</v>
      </c>
      <c r="C2190" s="15" t="s">
        <v>3</v>
      </c>
      <c r="D2190" s="31" t="s">
        <v>1708</v>
      </c>
      <c r="E2190" s="31"/>
      <c r="F2190" s="73" t="s">
        <v>4</v>
      </c>
      <c r="G2190" s="32">
        <v>41228</v>
      </c>
      <c r="H2190" s="29">
        <v>26372</v>
      </c>
      <c r="I2190" s="17">
        <v>0</v>
      </c>
      <c r="J2190" s="17">
        <v>8470.1083835616446</v>
      </c>
      <c r="K2190" s="17">
        <f t="shared" si="353"/>
        <v>17901.891616438355</v>
      </c>
      <c r="L2190" s="23">
        <f t="shared" si="352"/>
        <v>1318.6000000000001</v>
      </c>
      <c r="M2190" s="33">
        <v>10</v>
      </c>
      <c r="N2190" s="18">
        <f t="shared" si="354"/>
        <v>7.3835616438356162</v>
      </c>
      <c r="O2190" s="23">
        <v>113.20746575342467</v>
      </c>
      <c r="P2190" s="18">
        <f t="shared" si="355"/>
        <v>8.3835616438356162</v>
      </c>
      <c r="Q2190" s="18">
        <f t="shared" si="357"/>
        <v>1658.3291616438357</v>
      </c>
      <c r="R2190" s="18">
        <f t="shared" si="356"/>
        <v>1771.5366273972604</v>
      </c>
      <c r="S2190" s="18">
        <v>0</v>
      </c>
    </row>
    <row r="2191" spans="1:19" ht="15" customHeight="1" x14ac:dyDescent="0.2">
      <c r="A2191" s="14">
        <f t="shared" si="358"/>
        <v>2152</v>
      </c>
      <c r="B2191" s="31" t="s">
        <v>1853</v>
      </c>
      <c r="C2191" s="15" t="s">
        <v>3</v>
      </c>
      <c r="D2191" s="31" t="s">
        <v>1708</v>
      </c>
      <c r="E2191" s="31"/>
      <c r="F2191" s="73" t="s">
        <v>4</v>
      </c>
      <c r="G2191" s="32">
        <v>31048</v>
      </c>
      <c r="H2191" s="29">
        <v>1409</v>
      </c>
      <c r="I2191" s="17">
        <v>0</v>
      </c>
      <c r="J2191" s="17">
        <f t="shared" si="361"/>
        <v>1338.55</v>
      </c>
      <c r="K2191" s="17">
        <f t="shared" si="353"/>
        <v>70.450000000000045</v>
      </c>
      <c r="L2191" s="23">
        <f t="shared" si="352"/>
        <v>70.45</v>
      </c>
      <c r="M2191" s="33">
        <v>10</v>
      </c>
      <c r="N2191" s="18">
        <f t="shared" si="354"/>
        <v>35.273972602739725</v>
      </c>
      <c r="O2191" s="23">
        <f t="shared" ref="O2191:O2194" si="362">(H2191-K2191)/2</f>
        <v>669.27499999999998</v>
      </c>
      <c r="P2191" s="18">
        <f t="shared" si="355"/>
        <v>36.273972602739725</v>
      </c>
      <c r="Q2191" s="18">
        <f t="shared" si="357"/>
        <v>4.2632564145606017E-15</v>
      </c>
      <c r="R2191" s="18">
        <f t="shared" si="356"/>
        <v>669.27499999999998</v>
      </c>
      <c r="S2191" s="18">
        <v>0</v>
      </c>
    </row>
    <row r="2192" spans="1:19" ht="15" customHeight="1" x14ac:dyDescent="0.2">
      <c r="A2192" s="14">
        <f t="shared" si="358"/>
        <v>2153</v>
      </c>
      <c r="B2192" s="31" t="s">
        <v>1854</v>
      </c>
      <c r="C2192" s="15" t="s">
        <v>3</v>
      </c>
      <c r="D2192" s="31" t="s">
        <v>1708</v>
      </c>
      <c r="E2192" s="31"/>
      <c r="F2192" s="73" t="s">
        <v>4</v>
      </c>
      <c r="G2192" s="32">
        <v>31048</v>
      </c>
      <c r="H2192" s="29">
        <v>1050</v>
      </c>
      <c r="I2192" s="17">
        <v>0</v>
      </c>
      <c r="J2192" s="17">
        <f t="shared" si="361"/>
        <v>997.5</v>
      </c>
      <c r="K2192" s="17">
        <f t="shared" si="353"/>
        <v>52.5</v>
      </c>
      <c r="L2192" s="23">
        <f t="shared" si="352"/>
        <v>52.5</v>
      </c>
      <c r="M2192" s="33">
        <v>10</v>
      </c>
      <c r="N2192" s="18">
        <f t="shared" si="354"/>
        <v>35.273972602739725</v>
      </c>
      <c r="O2192" s="23">
        <f t="shared" si="362"/>
        <v>498.75</v>
      </c>
      <c r="P2192" s="18">
        <f t="shared" si="355"/>
        <v>36.273972602739725</v>
      </c>
      <c r="Q2192" s="18">
        <f t="shared" si="357"/>
        <v>0</v>
      </c>
      <c r="R2192" s="18">
        <f t="shared" si="356"/>
        <v>498.75</v>
      </c>
      <c r="S2192" s="18">
        <v>0</v>
      </c>
    </row>
    <row r="2193" spans="1:19" ht="15" customHeight="1" x14ac:dyDescent="0.2">
      <c r="A2193" s="14">
        <f t="shared" si="358"/>
        <v>2154</v>
      </c>
      <c r="B2193" s="31" t="s">
        <v>1778</v>
      </c>
      <c r="C2193" s="15" t="s">
        <v>3</v>
      </c>
      <c r="D2193" s="31" t="s">
        <v>1708</v>
      </c>
      <c r="E2193" s="31"/>
      <c r="F2193" s="73" t="s">
        <v>4</v>
      </c>
      <c r="G2193" s="32">
        <v>39448</v>
      </c>
      <c r="H2193" s="29">
        <v>25926.11</v>
      </c>
      <c r="I2193" s="17">
        <v>0</v>
      </c>
      <c r="J2193" s="17">
        <f t="shared" si="361"/>
        <v>24629.804500000002</v>
      </c>
      <c r="K2193" s="17">
        <f t="shared" si="353"/>
        <v>1296.3054999999986</v>
      </c>
      <c r="L2193" s="23">
        <f t="shared" si="352"/>
        <v>1296.3055000000002</v>
      </c>
      <c r="M2193" s="33">
        <v>10</v>
      </c>
      <c r="N2193" s="18">
        <f t="shared" si="354"/>
        <v>12.260273972602739</v>
      </c>
      <c r="O2193" s="23">
        <f t="shared" si="362"/>
        <v>12314.902250000001</v>
      </c>
      <c r="P2193" s="18">
        <f t="shared" si="355"/>
        <v>13.260273972602739</v>
      </c>
      <c r="Q2193" s="18">
        <f t="shared" si="357"/>
        <v>-1.5916157281026246E-13</v>
      </c>
      <c r="R2193" s="18">
        <f t="shared" si="356"/>
        <v>12314.902250000001</v>
      </c>
      <c r="S2193" s="18">
        <v>0</v>
      </c>
    </row>
    <row r="2194" spans="1:19" ht="15" customHeight="1" x14ac:dyDescent="0.2">
      <c r="A2194" s="14">
        <f t="shared" si="358"/>
        <v>2155</v>
      </c>
      <c r="B2194" s="31" t="s">
        <v>1855</v>
      </c>
      <c r="C2194" s="15" t="s">
        <v>3</v>
      </c>
      <c r="D2194" s="31" t="s">
        <v>1708</v>
      </c>
      <c r="E2194" s="31"/>
      <c r="F2194" s="73" t="s">
        <v>4</v>
      </c>
      <c r="G2194" s="32">
        <v>31048</v>
      </c>
      <c r="H2194" s="29">
        <v>868</v>
      </c>
      <c r="I2194" s="17">
        <v>0</v>
      </c>
      <c r="J2194" s="17">
        <f t="shared" si="361"/>
        <v>824.6</v>
      </c>
      <c r="K2194" s="17">
        <f t="shared" si="353"/>
        <v>43.399999999999977</v>
      </c>
      <c r="L2194" s="23">
        <f t="shared" si="352"/>
        <v>43.400000000000006</v>
      </c>
      <c r="M2194" s="33">
        <v>10</v>
      </c>
      <c r="N2194" s="18">
        <f t="shared" si="354"/>
        <v>35.273972602739725</v>
      </c>
      <c r="O2194" s="23">
        <f t="shared" si="362"/>
        <v>412.3</v>
      </c>
      <c r="P2194" s="18">
        <f t="shared" si="355"/>
        <v>36.273972602739725</v>
      </c>
      <c r="Q2194" s="18">
        <f t="shared" si="357"/>
        <v>-2.8421709430404009E-15</v>
      </c>
      <c r="R2194" s="18">
        <f t="shared" si="356"/>
        <v>412.3</v>
      </c>
      <c r="S2194" s="18">
        <v>0</v>
      </c>
    </row>
    <row r="2195" spans="1:19" ht="15" customHeight="1" x14ac:dyDescent="0.2">
      <c r="A2195" s="14">
        <f t="shared" si="358"/>
        <v>2156</v>
      </c>
      <c r="B2195" s="31" t="s">
        <v>1856</v>
      </c>
      <c r="C2195" s="15" t="s">
        <v>3</v>
      </c>
      <c r="D2195" s="31" t="s">
        <v>1708</v>
      </c>
      <c r="E2195" s="31"/>
      <c r="F2195" s="73" t="s">
        <v>4</v>
      </c>
      <c r="G2195" s="32">
        <v>41623</v>
      </c>
      <c r="H2195" s="29">
        <v>25651.599999999999</v>
      </c>
      <c r="I2195" s="17">
        <v>0</v>
      </c>
      <c r="J2195" s="17">
        <v>5601.5363780821917</v>
      </c>
      <c r="K2195" s="17">
        <f t="shared" si="353"/>
        <v>20050.063621917805</v>
      </c>
      <c r="L2195" s="23">
        <f t="shared" si="352"/>
        <v>1282.58</v>
      </c>
      <c r="M2195" s="33">
        <v>10</v>
      </c>
      <c r="N2195" s="18">
        <f t="shared" si="354"/>
        <v>6.3013698630136989</v>
      </c>
      <c r="O2195" s="23">
        <v>1717.6520547945206</v>
      </c>
      <c r="P2195" s="18">
        <f t="shared" si="355"/>
        <v>7.3013698630136989</v>
      </c>
      <c r="Q2195" s="18">
        <f t="shared" si="357"/>
        <v>1876.7483621917804</v>
      </c>
      <c r="R2195" s="18">
        <f t="shared" si="356"/>
        <v>3594.400416986301</v>
      </c>
      <c r="S2195" s="18">
        <v>0</v>
      </c>
    </row>
    <row r="2196" spans="1:19" ht="15" customHeight="1" x14ac:dyDescent="0.2">
      <c r="A2196" s="14">
        <f t="shared" si="358"/>
        <v>2157</v>
      </c>
      <c r="B2196" s="31" t="s">
        <v>1822</v>
      </c>
      <c r="C2196" s="15" t="s">
        <v>3</v>
      </c>
      <c r="D2196" s="31" t="s">
        <v>1708</v>
      </c>
      <c r="E2196" s="31"/>
      <c r="F2196" s="73" t="s">
        <v>4</v>
      </c>
      <c r="G2196" s="32">
        <v>31048</v>
      </c>
      <c r="H2196" s="29">
        <v>430</v>
      </c>
      <c r="I2196" s="17">
        <v>0</v>
      </c>
      <c r="J2196" s="17">
        <f t="shared" si="361"/>
        <v>408.5</v>
      </c>
      <c r="K2196" s="17">
        <f t="shared" si="353"/>
        <v>21.5</v>
      </c>
      <c r="L2196" s="23">
        <f t="shared" si="352"/>
        <v>21.5</v>
      </c>
      <c r="M2196" s="33">
        <v>10</v>
      </c>
      <c r="N2196" s="18">
        <f t="shared" si="354"/>
        <v>35.273972602739725</v>
      </c>
      <c r="O2196" s="23">
        <f t="shared" ref="O2196:O2208" si="363">(H2196-K2196)/2</f>
        <v>204.25</v>
      </c>
      <c r="P2196" s="18">
        <f t="shared" si="355"/>
        <v>36.273972602739725</v>
      </c>
      <c r="Q2196" s="18">
        <f t="shared" si="357"/>
        <v>0</v>
      </c>
      <c r="R2196" s="18">
        <f t="shared" si="356"/>
        <v>204.25</v>
      </c>
      <c r="S2196" s="18">
        <v>0</v>
      </c>
    </row>
    <row r="2197" spans="1:19" ht="15" customHeight="1" x14ac:dyDescent="0.2">
      <c r="A2197" s="14">
        <f t="shared" si="358"/>
        <v>2158</v>
      </c>
      <c r="B2197" s="31" t="s">
        <v>1857</v>
      </c>
      <c r="C2197" s="15" t="s">
        <v>3</v>
      </c>
      <c r="D2197" s="31" t="s">
        <v>1708</v>
      </c>
      <c r="E2197" s="31"/>
      <c r="F2197" s="73" t="s">
        <v>4</v>
      </c>
      <c r="G2197" s="32">
        <v>31048</v>
      </c>
      <c r="H2197" s="29">
        <v>280</v>
      </c>
      <c r="I2197" s="17">
        <v>0</v>
      </c>
      <c r="J2197" s="17">
        <f t="shared" si="361"/>
        <v>266</v>
      </c>
      <c r="K2197" s="17">
        <f t="shared" si="353"/>
        <v>14</v>
      </c>
      <c r="L2197" s="23">
        <f t="shared" ref="L2197:L2260" si="364">H2197*0.05</f>
        <v>14</v>
      </c>
      <c r="M2197" s="33">
        <v>10</v>
      </c>
      <c r="N2197" s="18">
        <f t="shared" si="354"/>
        <v>35.273972602739725</v>
      </c>
      <c r="O2197" s="23">
        <f t="shared" si="363"/>
        <v>133</v>
      </c>
      <c r="P2197" s="18">
        <f t="shared" si="355"/>
        <v>36.273972602739725</v>
      </c>
      <c r="Q2197" s="18">
        <f t="shared" si="357"/>
        <v>0</v>
      </c>
      <c r="R2197" s="18">
        <f t="shared" si="356"/>
        <v>133</v>
      </c>
      <c r="S2197" s="18">
        <v>0</v>
      </c>
    </row>
    <row r="2198" spans="1:19" ht="15" customHeight="1" x14ac:dyDescent="0.2">
      <c r="A2198" s="14">
        <f t="shared" si="358"/>
        <v>2159</v>
      </c>
      <c r="B2198" s="31" t="s">
        <v>1858</v>
      </c>
      <c r="C2198" s="15" t="s">
        <v>3</v>
      </c>
      <c r="D2198" s="31" t="s">
        <v>1708</v>
      </c>
      <c r="E2198" s="31"/>
      <c r="F2198" s="73" t="s">
        <v>4</v>
      </c>
      <c r="G2198" s="32">
        <v>38718</v>
      </c>
      <c r="H2198" s="29">
        <v>24000</v>
      </c>
      <c r="I2198" s="17">
        <v>0</v>
      </c>
      <c r="J2198" s="17">
        <f t="shared" si="361"/>
        <v>22800</v>
      </c>
      <c r="K2198" s="17">
        <f t="shared" si="353"/>
        <v>1200</v>
      </c>
      <c r="L2198" s="23">
        <f t="shared" si="364"/>
        <v>1200</v>
      </c>
      <c r="M2198" s="33">
        <v>10</v>
      </c>
      <c r="N2198" s="18">
        <f t="shared" si="354"/>
        <v>14.260273972602739</v>
      </c>
      <c r="O2198" s="23">
        <f t="shared" si="363"/>
        <v>11400</v>
      </c>
      <c r="P2198" s="18">
        <f t="shared" si="355"/>
        <v>15.260273972602739</v>
      </c>
      <c r="Q2198" s="18">
        <f t="shared" si="357"/>
        <v>0</v>
      </c>
      <c r="R2198" s="18">
        <f t="shared" si="356"/>
        <v>11400</v>
      </c>
      <c r="S2198" s="18">
        <v>0</v>
      </c>
    </row>
    <row r="2199" spans="1:19" ht="15" customHeight="1" x14ac:dyDescent="0.2">
      <c r="A2199" s="14">
        <f t="shared" si="358"/>
        <v>2160</v>
      </c>
      <c r="B2199" s="31" t="s">
        <v>1844</v>
      </c>
      <c r="C2199" s="15" t="s">
        <v>3</v>
      </c>
      <c r="D2199" s="31" t="s">
        <v>1708</v>
      </c>
      <c r="E2199" s="31"/>
      <c r="F2199" s="73" t="s">
        <v>4</v>
      </c>
      <c r="G2199" s="32">
        <v>31048</v>
      </c>
      <c r="H2199" s="29">
        <v>280</v>
      </c>
      <c r="I2199" s="17">
        <v>0</v>
      </c>
      <c r="J2199" s="17">
        <f t="shared" si="361"/>
        <v>266</v>
      </c>
      <c r="K2199" s="17">
        <f t="shared" si="353"/>
        <v>14</v>
      </c>
      <c r="L2199" s="23">
        <f t="shared" si="364"/>
        <v>14</v>
      </c>
      <c r="M2199" s="33">
        <v>10</v>
      </c>
      <c r="N2199" s="18">
        <f t="shared" si="354"/>
        <v>35.273972602739725</v>
      </c>
      <c r="O2199" s="23">
        <f t="shared" si="363"/>
        <v>133</v>
      </c>
      <c r="P2199" s="18">
        <f t="shared" si="355"/>
        <v>36.273972602739725</v>
      </c>
      <c r="Q2199" s="18">
        <f t="shared" si="357"/>
        <v>0</v>
      </c>
      <c r="R2199" s="18">
        <f t="shared" si="356"/>
        <v>133</v>
      </c>
      <c r="S2199" s="18">
        <v>0</v>
      </c>
    </row>
    <row r="2200" spans="1:19" ht="15" customHeight="1" x14ac:dyDescent="0.2">
      <c r="A2200" s="14">
        <f t="shared" si="358"/>
        <v>2161</v>
      </c>
      <c r="B2200" s="31" t="s">
        <v>1831</v>
      </c>
      <c r="C2200" s="15" t="s">
        <v>3</v>
      </c>
      <c r="D2200" s="31" t="s">
        <v>1708</v>
      </c>
      <c r="E2200" s="31"/>
      <c r="F2200" s="73" t="s">
        <v>4</v>
      </c>
      <c r="G2200" s="32">
        <v>39448</v>
      </c>
      <c r="H2200" s="29">
        <v>21142.12</v>
      </c>
      <c r="I2200" s="17">
        <v>0</v>
      </c>
      <c r="J2200" s="17">
        <f t="shared" si="361"/>
        <v>20085.013999999999</v>
      </c>
      <c r="K2200" s="17">
        <f t="shared" si="353"/>
        <v>1057.1059999999998</v>
      </c>
      <c r="L2200" s="23">
        <f t="shared" si="364"/>
        <v>1057.106</v>
      </c>
      <c r="M2200" s="33">
        <v>10</v>
      </c>
      <c r="N2200" s="18">
        <f t="shared" si="354"/>
        <v>12.260273972602739</v>
      </c>
      <c r="O2200" s="23">
        <f t="shared" si="363"/>
        <v>10042.507</v>
      </c>
      <c r="P2200" s="18">
        <f t="shared" si="355"/>
        <v>13.260273972602739</v>
      </c>
      <c r="Q2200" s="18">
        <f t="shared" si="357"/>
        <v>-2.2737367544323207E-14</v>
      </c>
      <c r="R2200" s="18">
        <f t="shared" si="356"/>
        <v>10042.507</v>
      </c>
      <c r="S2200" s="18">
        <v>0</v>
      </c>
    </row>
    <row r="2201" spans="1:19" ht="15" customHeight="1" x14ac:dyDescent="0.2">
      <c r="A2201" s="14">
        <f t="shared" si="358"/>
        <v>2162</v>
      </c>
      <c r="B2201" s="31" t="s">
        <v>1859</v>
      </c>
      <c r="C2201" s="15" t="s">
        <v>3</v>
      </c>
      <c r="D2201" s="31" t="s">
        <v>1708</v>
      </c>
      <c r="E2201" s="31"/>
      <c r="F2201" s="73" t="s">
        <v>4</v>
      </c>
      <c r="G2201" s="32">
        <v>31048</v>
      </c>
      <c r="H2201" s="29">
        <v>265</v>
      </c>
      <c r="I2201" s="17">
        <v>0</v>
      </c>
      <c r="J2201" s="17">
        <f t="shared" si="361"/>
        <v>251.75</v>
      </c>
      <c r="K2201" s="17">
        <f t="shared" si="353"/>
        <v>13.25</v>
      </c>
      <c r="L2201" s="23">
        <f t="shared" si="364"/>
        <v>13.25</v>
      </c>
      <c r="M2201" s="33">
        <v>10</v>
      </c>
      <c r="N2201" s="18">
        <f t="shared" si="354"/>
        <v>35.273972602739725</v>
      </c>
      <c r="O2201" s="23">
        <f t="shared" si="363"/>
        <v>125.875</v>
      </c>
      <c r="P2201" s="18">
        <f t="shared" si="355"/>
        <v>36.273972602739725</v>
      </c>
      <c r="Q2201" s="18">
        <f t="shared" si="357"/>
        <v>0</v>
      </c>
      <c r="R2201" s="18">
        <f t="shared" si="356"/>
        <v>125.875</v>
      </c>
      <c r="S2201" s="18">
        <v>0</v>
      </c>
    </row>
    <row r="2202" spans="1:19" ht="15" customHeight="1" x14ac:dyDescent="0.2">
      <c r="A2202" s="14">
        <f t="shared" si="358"/>
        <v>2163</v>
      </c>
      <c r="B2202" s="31" t="s">
        <v>1860</v>
      </c>
      <c r="C2202" s="15" t="s">
        <v>3</v>
      </c>
      <c r="D2202" s="31" t="s">
        <v>1708</v>
      </c>
      <c r="E2202" s="31"/>
      <c r="F2202" s="73" t="s">
        <v>4</v>
      </c>
      <c r="G2202" s="32">
        <v>31048</v>
      </c>
      <c r="H2202" s="29">
        <v>225</v>
      </c>
      <c r="I2202" s="17">
        <v>0</v>
      </c>
      <c r="J2202" s="17">
        <f t="shared" si="361"/>
        <v>213.75</v>
      </c>
      <c r="K2202" s="17">
        <f t="shared" si="353"/>
        <v>11.25</v>
      </c>
      <c r="L2202" s="23">
        <f t="shared" si="364"/>
        <v>11.25</v>
      </c>
      <c r="M2202" s="33">
        <v>10</v>
      </c>
      <c r="N2202" s="18">
        <f t="shared" si="354"/>
        <v>35.273972602739725</v>
      </c>
      <c r="O2202" s="23">
        <f t="shared" si="363"/>
        <v>106.875</v>
      </c>
      <c r="P2202" s="18">
        <f t="shared" si="355"/>
        <v>36.273972602739725</v>
      </c>
      <c r="Q2202" s="18">
        <f t="shared" si="357"/>
        <v>0</v>
      </c>
      <c r="R2202" s="18">
        <f t="shared" si="356"/>
        <v>106.875</v>
      </c>
      <c r="S2202" s="18">
        <v>0</v>
      </c>
    </row>
    <row r="2203" spans="1:19" ht="15" customHeight="1" x14ac:dyDescent="0.2">
      <c r="A2203" s="14">
        <f t="shared" si="358"/>
        <v>2164</v>
      </c>
      <c r="B2203" s="31" t="s">
        <v>1714</v>
      </c>
      <c r="C2203" s="15" t="s">
        <v>3</v>
      </c>
      <c r="D2203" s="31" t="s">
        <v>1708</v>
      </c>
      <c r="E2203" s="31"/>
      <c r="F2203" s="73" t="s">
        <v>4</v>
      </c>
      <c r="G2203" s="32">
        <v>39448</v>
      </c>
      <c r="H2203" s="29">
        <v>20353.3</v>
      </c>
      <c r="I2203" s="17">
        <v>0</v>
      </c>
      <c r="J2203" s="17">
        <f t="shared" si="361"/>
        <v>19335.634999999998</v>
      </c>
      <c r="K2203" s="17">
        <f t="shared" si="353"/>
        <v>1017.6650000000009</v>
      </c>
      <c r="L2203" s="23">
        <f t="shared" si="364"/>
        <v>1017.665</v>
      </c>
      <c r="M2203" s="33">
        <v>10</v>
      </c>
      <c r="N2203" s="18">
        <f t="shared" si="354"/>
        <v>12.260273972602739</v>
      </c>
      <c r="O2203" s="23">
        <f t="shared" si="363"/>
        <v>9667.8174999999992</v>
      </c>
      <c r="P2203" s="18">
        <f t="shared" si="355"/>
        <v>13.260273972602739</v>
      </c>
      <c r="Q2203" s="18">
        <f t="shared" si="357"/>
        <v>9.0949470177292829E-14</v>
      </c>
      <c r="R2203" s="18">
        <f t="shared" si="356"/>
        <v>9667.8174999999992</v>
      </c>
      <c r="S2203" s="18">
        <v>0</v>
      </c>
    </row>
    <row r="2204" spans="1:19" ht="15" customHeight="1" x14ac:dyDescent="0.2">
      <c r="A2204" s="14">
        <f t="shared" si="358"/>
        <v>2165</v>
      </c>
      <c r="B2204" s="31" t="s">
        <v>1861</v>
      </c>
      <c r="C2204" s="15" t="s">
        <v>3</v>
      </c>
      <c r="D2204" s="31" t="s">
        <v>1708</v>
      </c>
      <c r="E2204" s="31"/>
      <c r="F2204" s="73" t="s">
        <v>4</v>
      </c>
      <c r="G2204" s="32">
        <v>39797</v>
      </c>
      <c r="H2204" s="29">
        <v>19875.46</v>
      </c>
      <c r="I2204" s="17">
        <v>0</v>
      </c>
      <c r="J2204" s="17">
        <f t="shared" si="361"/>
        <v>18881.686999999998</v>
      </c>
      <c r="K2204" s="17">
        <f t="shared" si="353"/>
        <v>993.77300000000105</v>
      </c>
      <c r="L2204" s="23">
        <f t="shared" si="364"/>
        <v>993.77300000000002</v>
      </c>
      <c r="M2204" s="33">
        <v>10</v>
      </c>
      <c r="N2204" s="18">
        <f t="shared" si="354"/>
        <v>11.304109589041095</v>
      </c>
      <c r="O2204" s="23">
        <f t="shared" si="363"/>
        <v>9440.843499999999</v>
      </c>
      <c r="P2204" s="18">
        <f t="shared" si="355"/>
        <v>12.304109589041095</v>
      </c>
      <c r="Q2204" s="18">
        <f t="shared" si="357"/>
        <v>1.0231815394945443E-13</v>
      </c>
      <c r="R2204" s="18">
        <f t="shared" si="356"/>
        <v>9440.843499999999</v>
      </c>
      <c r="S2204" s="18">
        <v>0</v>
      </c>
    </row>
    <row r="2205" spans="1:19" ht="15" customHeight="1" x14ac:dyDescent="0.2">
      <c r="A2205" s="14">
        <f t="shared" si="358"/>
        <v>2166</v>
      </c>
      <c r="B2205" s="31" t="s">
        <v>1809</v>
      </c>
      <c r="C2205" s="15" t="s">
        <v>3</v>
      </c>
      <c r="D2205" s="31" t="s">
        <v>1708</v>
      </c>
      <c r="E2205" s="31"/>
      <c r="F2205" s="73" t="s">
        <v>4</v>
      </c>
      <c r="G2205" s="32">
        <v>31413</v>
      </c>
      <c r="H2205" s="29">
        <v>2717</v>
      </c>
      <c r="I2205" s="17">
        <v>0</v>
      </c>
      <c r="J2205" s="17">
        <f t="shared" si="361"/>
        <v>2581.15</v>
      </c>
      <c r="K2205" s="17">
        <f t="shared" si="353"/>
        <v>135.84999999999991</v>
      </c>
      <c r="L2205" s="23">
        <f t="shared" si="364"/>
        <v>135.85</v>
      </c>
      <c r="M2205" s="33">
        <v>10</v>
      </c>
      <c r="N2205" s="18">
        <f t="shared" si="354"/>
        <v>34.273972602739725</v>
      </c>
      <c r="O2205" s="23">
        <f t="shared" si="363"/>
        <v>1290.575</v>
      </c>
      <c r="P2205" s="18">
        <f t="shared" si="355"/>
        <v>35.273972602739725</v>
      </c>
      <c r="Q2205" s="18">
        <f t="shared" si="357"/>
        <v>-8.5265128291212035E-15</v>
      </c>
      <c r="R2205" s="18">
        <f t="shared" si="356"/>
        <v>1290.575</v>
      </c>
      <c r="S2205" s="18">
        <v>0</v>
      </c>
    </row>
    <row r="2206" spans="1:19" ht="15" customHeight="1" x14ac:dyDescent="0.2">
      <c r="A2206" s="14">
        <f t="shared" si="358"/>
        <v>2167</v>
      </c>
      <c r="B2206" s="31" t="s">
        <v>1862</v>
      </c>
      <c r="C2206" s="15" t="s">
        <v>3</v>
      </c>
      <c r="D2206" s="31" t="s">
        <v>1708</v>
      </c>
      <c r="E2206" s="31"/>
      <c r="F2206" s="73" t="s">
        <v>4</v>
      </c>
      <c r="G2206" s="32">
        <v>31413</v>
      </c>
      <c r="H2206" s="29">
        <v>1986</v>
      </c>
      <c r="I2206" s="17">
        <v>0</v>
      </c>
      <c r="J2206" s="17">
        <f t="shared" si="361"/>
        <v>1886.7</v>
      </c>
      <c r="K2206" s="17">
        <f t="shared" si="353"/>
        <v>99.299999999999955</v>
      </c>
      <c r="L2206" s="23">
        <f t="shared" si="364"/>
        <v>99.300000000000011</v>
      </c>
      <c r="M2206" s="33">
        <v>10</v>
      </c>
      <c r="N2206" s="18">
        <f t="shared" si="354"/>
        <v>34.273972602739725</v>
      </c>
      <c r="O2206" s="23">
        <f t="shared" si="363"/>
        <v>943.35</v>
      </c>
      <c r="P2206" s="18">
        <f t="shared" si="355"/>
        <v>35.273972602739725</v>
      </c>
      <c r="Q2206" s="18">
        <f t="shared" si="357"/>
        <v>-5.6843418860808018E-15</v>
      </c>
      <c r="R2206" s="18">
        <f t="shared" si="356"/>
        <v>943.35</v>
      </c>
      <c r="S2206" s="18">
        <v>0</v>
      </c>
    </row>
    <row r="2207" spans="1:19" ht="15" customHeight="1" x14ac:dyDescent="0.2">
      <c r="A2207" s="14">
        <f t="shared" si="358"/>
        <v>2168</v>
      </c>
      <c r="B2207" s="31" t="s">
        <v>1863</v>
      </c>
      <c r="C2207" s="15" t="s">
        <v>3</v>
      </c>
      <c r="D2207" s="31" t="s">
        <v>1708</v>
      </c>
      <c r="E2207" s="31"/>
      <c r="F2207" s="73" t="s">
        <v>4</v>
      </c>
      <c r="G2207" s="32">
        <v>31413</v>
      </c>
      <c r="H2207" s="29">
        <v>1700</v>
      </c>
      <c r="I2207" s="17">
        <v>0</v>
      </c>
      <c r="J2207" s="17">
        <f t="shared" si="361"/>
        <v>1615</v>
      </c>
      <c r="K2207" s="17">
        <f t="shared" si="353"/>
        <v>85</v>
      </c>
      <c r="L2207" s="23">
        <f t="shared" si="364"/>
        <v>85</v>
      </c>
      <c r="M2207" s="33">
        <v>10</v>
      </c>
      <c r="N2207" s="18">
        <f t="shared" si="354"/>
        <v>34.273972602739725</v>
      </c>
      <c r="O2207" s="23">
        <f t="shared" si="363"/>
        <v>807.5</v>
      </c>
      <c r="P2207" s="18">
        <f t="shared" si="355"/>
        <v>35.273972602739725</v>
      </c>
      <c r="Q2207" s="18">
        <f t="shared" si="357"/>
        <v>0</v>
      </c>
      <c r="R2207" s="18">
        <f t="shared" si="356"/>
        <v>807.5</v>
      </c>
      <c r="S2207" s="18">
        <v>0</v>
      </c>
    </row>
    <row r="2208" spans="1:19" ht="15" customHeight="1" x14ac:dyDescent="0.2">
      <c r="A2208" s="14">
        <f t="shared" si="358"/>
        <v>2169</v>
      </c>
      <c r="B2208" s="31" t="s">
        <v>1772</v>
      </c>
      <c r="C2208" s="15" t="s">
        <v>3</v>
      </c>
      <c r="D2208" s="31" t="s">
        <v>1708</v>
      </c>
      <c r="E2208" s="31"/>
      <c r="F2208" s="73" t="s">
        <v>4</v>
      </c>
      <c r="G2208" s="32">
        <v>31413</v>
      </c>
      <c r="H2208" s="29">
        <v>1660</v>
      </c>
      <c r="I2208" s="17">
        <v>0</v>
      </c>
      <c r="J2208" s="17">
        <f t="shared" si="361"/>
        <v>1577</v>
      </c>
      <c r="K2208" s="17">
        <f t="shared" si="353"/>
        <v>83</v>
      </c>
      <c r="L2208" s="23">
        <f t="shared" si="364"/>
        <v>83</v>
      </c>
      <c r="M2208" s="33">
        <v>10</v>
      </c>
      <c r="N2208" s="18">
        <f t="shared" si="354"/>
        <v>34.273972602739725</v>
      </c>
      <c r="O2208" s="23">
        <f t="shared" si="363"/>
        <v>788.5</v>
      </c>
      <c r="P2208" s="18">
        <f t="shared" si="355"/>
        <v>35.273972602739725</v>
      </c>
      <c r="Q2208" s="18">
        <f t="shared" si="357"/>
        <v>0</v>
      </c>
      <c r="R2208" s="18">
        <f t="shared" si="356"/>
        <v>788.5</v>
      </c>
      <c r="S2208" s="18">
        <v>0</v>
      </c>
    </row>
    <row r="2209" spans="1:19" ht="15" customHeight="1" x14ac:dyDescent="0.2">
      <c r="A2209" s="14">
        <f t="shared" si="358"/>
        <v>2170</v>
      </c>
      <c r="B2209" s="31" t="s">
        <v>1864</v>
      </c>
      <c r="C2209" s="15" t="s">
        <v>3</v>
      </c>
      <c r="D2209" s="31" t="s">
        <v>1708</v>
      </c>
      <c r="E2209" s="31"/>
      <c r="F2209" s="73" t="s">
        <v>4</v>
      </c>
      <c r="G2209" s="32">
        <v>41608</v>
      </c>
      <c r="H2209" s="29">
        <v>18000</v>
      </c>
      <c r="I2209" s="17">
        <v>0</v>
      </c>
      <c r="J2209" s="17">
        <v>4000.9315068493152</v>
      </c>
      <c r="K2209" s="17">
        <f t="shared" si="353"/>
        <v>13999.068493150684</v>
      </c>
      <c r="L2209" s="23">
        <f t="shared" si="364"/>
        <v>900</v>
      </c>
      <c r="M2209" s="33">
        <v>10</v>
      </c>
      <c r="N2209" s="18">
        <f t="shared" si="354"/>
        <v>6.3424657534246576</v>
      </c>
      <c r="O2209" s="23">
        <v>2240.6300479452057</v>
      </c>
      <c r="P2209" s="18">
        <f t="shared" si="355"/>
        <v>7.3424657534246576</v>
      </c>
      <c r="Q2209" s="18">
        <f t="shared" si="357"/>
        <v>1309.9068493150685</v>
      </c>
      <c r="R2209" s="18">
        <f t="shared" si="356"/>
        <v>3550.5368972602741</v>
      </c>
      <c r="S2209" s="18">
        <v>0</v>
      </c>
    </row>
    <row r="2210" spans="1:19" ht="15" customHeight="1" x14ac:dyDescent="0.2">
      <c r="A2210" s="14">
        <f t="shared" si="358"/>
        <v>2171</v>
      </c>
      <c r="B2210" s="31" t="s">
        <v>1865</v>
      </c>
      <c r="C2210" s="15" t="s">
        <v>3</v>
      </c>
      <c r="D2210" s="31" t="s">
        <v>1708</v>
      </c>
      <c r="E2210" s="31"/>
      <c r="F2210" s="73" t="s">
        <v>4</v>
      </c>
      <c r="G2210" s="32">
        <v>39767</v>
      </c>
      <c r="H2210" s="29">
        <v>17939.32</v>
      </c>
      <c r="I2210" s="17">
        <v>0</v>
      </c>
      <c r="J2210" s="17">
        <f t="shared" si="361"/>
        <v>17042.353999999999</v>
      </c>
      <c r="K2210" s="17">
        <f t="shared" si="353"/>
        <v>896.96600000000035</v>
      </c>
      <c r="L2210" s="23">
        <f t="shared" si="364"/>
        <v>896.96600000000001</v>
      </c>
      <c r="M2210" s="33">
        <v>10</v>
      </c>
      <c r="N2210" s="18">
        <f t="shared" si="354"/>
        <v>11.386301369863014</v>
      </c>
      <c r="O2210" s="23">
        <f>(H2210-K2210)/2</f>
        <v>8521.1769999999997</v>
      </c>
      <c r="P2210" s="18">
        <f t="shared" si="355"/>
        <v>12.386301369863014</v>
      </c>
      <c r="Q2210" s="18">
        <f t="shared" si="357"/>
        <v>3.4106051316484814E-14</v>
      </c>
      <c r="R2210" s="18">
        <f t="shared" si="356"/>
        <v>8521.1769999999997</v>
      </c>
      <c r="S2210" s="18">
        <v>0</v>
      </c>
    </row>
    <row r="2211" spans="1:19" ht="15" customHeight="1" x14ac:dyDescent="0.2">
      <c r="A2211" s="14">
        <f t="shared" si="358"/>
        <v>2172</v>
      </c>
      <c r="B2211" s="31" t="s">
        <v>1866</v>
      </c>
      <c r="C2211" s="15" t="s">
        <v>3</v>
      </c>
      <c r="D2211" s="31" t="s">
        <v>1708</v>
      </c>
      <c r="E2211" s="31"/>
      <c r="F2211" s="73" t="s">
        <v>4</v>
      </c>
      <c r="G2211" s="32">
        <v>41258</v>
      </c>
      <c r="H2211" s="29">
        <v>17907.28</v>
      </c>
      <c r="I2211" s="17">
        <v>0</v>
      </c>
      <c r="J2211" s="17">
        <v>5611.6018805479443</v>
      </c>
      <c r="K2211" s="17">
        <f t="shared" si="353"/>
        <v>12295.678119452055</v>
      </c>
      <c r="L2211" s="23">
        <f t="shared" si="364"/>
        <v>895.36400000000003</v>
      </c>
      <c r="M2211" s="33">
        <v>10</v>
      </c>
      <c r="N2211" s="18">
        <f t="shared" si="354"/>
        <v>7.3013698630136989</v>
      </c>
      <c r="O2211" s="23">
        <v>1324.9277808219176</v>
      </c>
      <c r="P2211" s="18">
        <f t="shared" si="355"/>
        <v>8.3013698630136989</v>
      </c>
      <c r="Q2211" s="18">
        <f t="shared" si="357"/>
        <v>1140.0314119452057</v>
      </c>
      <c r="R2211" s="18">
        <f t="shared" si="356"/>
        <v>2464.9591927671236</v>
      </c>
      <c r="S2211" s="18">
        <v>0</v>
      </c>
    </row>
    <row r="2212" spans="1:19" ht="15" customHeight="1" x14ac:dyDescent="0.2">
      <c r="A2212" s="14">
        <f t="shared" si="358"/>
        <v>2173</v>
      </c>
      <c r="B2212" s="31" t="s">
        <v>1831</v>
      </c>
      <c r="C2212" s="15" t="s">
        <v>3</v>
      </c>
      <c r="D2212" s="31" t="s">
        <v>1708</v>
      </c>
      <c r="E2212" s="31"/>
      <c r="F2212" s="73" t="s">
        <v>4</v>
      </c>
      <c r="G2212" s="32">
        <v>39083</v>
      </c>
      <c r="H2212" s="29">
        <v>17893.54</v>
      </c>
      <c r="I2212" s="17">
        <v>0</v>
      </c>
      <c r="J2212" s="17">
        <f t="shared" si="361"/>
        <v>16998.863000000001</v>
      </c>
      <c r="K2212" s="17">
        <f t="shared" si="353"/>
        <v>894.67699999999968</v>
      </c>
      <c r="L2212" s="23">
        <f t="shared" si="364"/>
        <v>894.67700000000013</v>
      </c>
      <c r="M2212" s="33">
        <v>10</v>
      </c>
      <c r="N2212" s="18">
        <f t="shared" si="354"/>
        <v>13.260273972602739</v>
      </c>
      <c r="O2212" s="23">
        <f t="shared" ref="O2212:O2215" si="365">(H2212-K2212)/2</f>
        <v>8499.4315000000006</v>
      </c>
      <c r="P2212" s="18">
        <f t="shared" si="355"/>
        <v>14.260273972602739</v>
      </c>
      <c r="Q2212" s="18">
        <f t="shared" si="357"/>
        <v>-4.5474735088646414E-14</v>
      </c>
      <c r="R2212" s="18">
        <f t="shared" si="356"/>
        <v>8499.4315000000006</v>
      </c>
      <c r="S2212" s="18">
        <v>0</v>
      </c>
    </row>
    <row r="2213" spans="1:19" ht="15" customHeight="1" x14ac:dyDescent="0.2">
      <c r="A2213" s="14">
        <f t="shared" si="358"/>
        <v>2174</v>
      </c>
      <c r="B2213" s="31" t="s">
        <v>1867</v>
      </c>
      <c r="C2213" s="15" t="s">
        <v>3</v>
      </c>
      <c r="D2213" s="31" t="s">
        <v>1708</v>
      </c>
      <c r="E2213" s="31"/>
      <c r="F2213" s="73" t="s">
        <v>4</v>
      </c>
      <c r="G2213" s="32">
        <v>31413</v>
      </c>
      <c r="H2213" s="29">
        <v>1442</v>
      </c>
      <c r="I2213" s="17">
        <v>0</v>
      </c>
      <c r="J2213" s="17">
        <f t="shared" si="361"/>
        <v>1369.9</v>
      </c>
      <c r="K2213" s="17">
        <f t="shared" si="353"/>
        <v>72.099999999999909</v>
      </c>
      <c r="L2213" s="23">
        <f t="shared" si="364"/>
        <v>72.100000000000009</v>
      </c>
      <c r="M2213" s="33">
        <v>10</v>
      </c>
      <c r="N2213" s="18">
        <f t="shared" si="354"/>
        <v>34.273972602739725</v>
      </c>
      <c r="O2213" s="23">
        <f t="shared" si="365"/>
        <v>684.95</v>
      </c>
      <c r="P2213" s="18">
        <f t="shared" si="355"/>
        <v>35.273972602739725</v>
      </c>
      <c r="Q2213" s="18">
        <f t="shared" si="357"/>
        <v>-9.9475983006414035E-15</v>
      </c>
      <c r="R2213" s="18">
        <f t="shared" si="356"/>
        <v>684.95</v>
      </c>
      <c r="S2213" s="18">
        <v>0</v>
      </c>
    </row>
    <row r="2214" spans="1:19" ht="15" customHeight="1" x14ac:dyDescent="0.2">
      <c r="A2214" s="14">
        <f t="shared" si="358"/>
        <v>2175</v>
      </c>
      <c r="B2214" s="31" t="s">
        <v>1868</v>
      </c>
      <c r="C2214" s="15" t="s">
        <v>3</v>
      </c>
      <c r="D2214" s="31" t="s">
        <v>1708</v>
      </c>
      <c r="E2214" s="31"/>
      <c r="F2214" s="73" t="s">
        <v>4</v>
      </c>
      <c r="G2214" s="32">
        <v>31413</v>
      </c>
      <c r="H2214" s="29">
        <v>725</v>
      </c>
      <c r="I2214" s="17">
        <v>0</v>
      </c>
      <c r="J2214" s="17">
        <f t="shared" si="361"/>
        <v>688.75</v>
      </c>
      <c r="K2214" s="17">
        <f t="shared" ref="K2214:K2277" si="366">H2214+I2214-J2214</f>
        <v>36.25</v>
      </c>
      <c r="L2214" s="23">
        <f t="shared" si="364"/>
        <v>36.25</v>
      </c>
      <c r="M2214" s="33">
        <v>10</v>
      </c>
      <c r="N2214" s="18">
        <f t="shared" ref="N2214:N2277" si="367">IF(($N$35-G2214+1)/365&gt;0,($N$35-G2214+1)/365,0)</f>
        <v>34.273972602739725</v>
      </c>
      <c r="O2214" s="23">
        <f t="shared" si="365"/>
        <v>344.375</v>
      </c>
      <c r="P2214" s="18">
        <f t="shared" ref="P2214:P2277" si="368">($P$35-G2214+1)/365</f>
        <v>35.273972602739725</v>
      </c>
      <c r="Q2214" s="18">
        <f t="shared" si="357"/>
        <v>0</v>
      </c>
      <c r="R2214" s="18">
        <f t="shared" ref="R2214:R2277" si="369">Q2214+O2214</f>
        <v>344.375</v>
      </c>
      <c r="S2214" s="18">
        <v>0</v>
      </c>
    </row>
    <row r="2215" spans="1:19" ht="15" customHeight="1" x14ac:dyDescent="0.2">
      <c r="A2215" s="14">
        <f t="shared" si="358"/>
        <v>2176</v>
      </c>
      <c r="B2215" s="31" t="s">
        <v>1869</v>
      </c>
      <c r="C2215" s="15" t="s">
        <v>3</v>
      </c>
      <c r="D2215" s="31" t="s">
        <v>1708</v>
      </c>
      <c r="E2215" s="31"/>
      <c r="F2215" s="73" t="s">
        <v>4</v>
      </c>
      <c r="G2215" s="32">
        <v>31413</v>
      </c>
      <c r="H2215" s="29">
        <v>589</v>
      </c>
      <c r="I2215" s="17">
        <v>0</v>
      </c>
      <c r="J2215" s="17">
        <f t="shared" si="361"/>
        <v>559.54999999999995</v>
      </c>
      <c r="K2215" s="17">
        <f t="shared" si="366"/>
        <v>29.450000000000045</v>
      </c>
      <c r="L2215" s="23">
        <f t="shared" si="364"/>
        <v>29.450000000000003</v>
      </c>
      <c r="M2215" s="33">
        <v>10</v>
      </c>
      <c r="N2215" s="18">
        <f t="shared" si="367"/>
        <v>34.273972602739725</v>
      </c>
      <c r="O2215" s="23">
        <f t="shared" si="365"/>
        <v>279.77499999999998</v>
      </c>
      <c r="P2215" s="18">
        <f t="shared" si="368"/>
        <v>35.273972602739725</v>
      </c>
      <c r="Q2215" s="18">
        <f t="shared" si="357"/>
        <v>4.2632564145606017E-15</v>
      </c>
      <c r="R2215" s="18">
        <f t="shared" si="369"/>
        <v>279.77499999999998</v>
      </c>
      <c r="S2215" s="18">
        <v>0</v>
      </c>
    </row>
    <row r="2216" spans="1:19" ht="15" customHeight="1" x14ac:dyDescent="0.2">
      <c r="A2216" s="14">
        <f t="shared" si="358"/>
        <v>2177</v>
      </c>
      <c r="B2216" s="31" t="s">
        <v>1870</v>
      </c>
      <c r="C2216" s="15" t="s">
        <v>3</v>
      </c>
      <c r="D2216" s="31" t="s">
        <v>1708</v>
      </c>
      <c r="E2216" s="31"/>
      <c r="F2216" s="73" t="s">
        <v>4</v>
      </c>
      <c r="G2216" s="32">
        <v>41289</v>
      </c>
      <c r="H2216" s="29">
        <v>17033.32</v>
      </c>
      <c r="I2216" s="17">
        <v>0</v>
      </c>
      <c r="J2216" s="17">
        <v>5200.2959293150689</v>
      </c>
      <c r="K2216" s="17">
        <f t="shared" si="366"/>
        <v>11833.024070684931</v>
      </c>
      <c r="L2216" s="23">
        <f t="shared" si="364"/>
        <v>851.66600000000005</v>
      </c>
      <c r="M2216" s="33">
        <v>10</v>
      </c>
      <c r="N2216" s="18">
        <f t="shared" si="367"/>
        <v>7.2164383561643834</v>
      </c>
      <c r="O2216" s="23">
        <v>4059.8041780821923</v>
      </c>
      <c r="P2216" s="18">
        <f t="shared" si="368"/>
        <v>8.2164383561643834</v>
      </c>
      <c r="Q2216" s="18">
        <f t="shared" ref="Q2216:Q2279" si="370">(P2216-N2216)/M2216*(K2216-L2216)</f>
        <v>1098.1358070684932</v>
      </c>
      <c r="R2216" s="18">
        <f t="shared" si="369"/>
        <v>5157.939985150686</v>
      </c>
      <c r="S2216" s="18">
        <v>0</v>
      </c>
    </row>
    <row r="2217" spans="1:19" ht="15" customHeight="1" x14ac:dyDescent="0.2">
      <c r="A2217" s="14">
        <f t="shared" si="358"/>
        <v>2178</v>
      </c>
      <c r="B2217" s="31" t="s">
        <v>1871</v>
      </c>
      <c r="C2217" s="15" t="s">
        <v>3</v>
      </c>
      <c r="D2217" s="31" t="s">
        <v>1708</v>
      </c>
      <c r="E2217" s="31"/>
      <c r="F2217" s="73" t="s">
        <v>4</v>
      </c>
      <c r="G2217" s="32">
        <v>41289</v>
      </c>
      <c r="H2217" s="29">
        <v>16800</v>
      </c>
      <c r="I2217" s="17">
        <v>0</v>
      </c>
      <c r="J2217" s="17">
        <v>5129.0630136986301</v>
      </c>
      <c r="K2217" s="17">
        <f t="shared" si="366"/>
        <v>11670.936986301371</v>
      </c>
      <c r="L2217" s="23">
        <f t="shared" si="364"/>
        <v>840</v>
      </c>
      <c r="M2217" s="33">
        <v>10</v>
      </c>
      <c r="N2217" s="18">
        <f t="shared" si="367"/>
        <v>7.2164383561643834</v>
      </c>
      <c r="O2217" s="23">
        <v>16.397260273972279</v>
      </c>
      <c r="P2217" s="18">
        <f t="shared" si="368"/>
        <v>8.2164383561643834</v>
      </c>
      <c r="Q2217" s="18">
        <f t="shared" si="370"/>
        <v>1083.0936986301372</v>
      </c>
      <c r="R2217" s="18">
        <f t="shared" si="369"/>
        <v>1099.4909589041094</v>
      </c>
      <c r="S2217" s="18">
        <v>0</v>
      </c>
    </row>
    <row r="2218" spans="1:19" ht="15" customHeight="1" x14ac:dyDescent="0.2">
      <c r="A2218" s="14">
        <f t="shared" si="358"/>
        <v>2179</v>
      </c>
      <c r="B2218" s="31" t="s">
        <v>1872</v>
      </c>
      <c r="C2218" s="15" t="s">
        <v>3</v>
      </c>
      <c r="D2218" s="31" t="s">
        <v>1708</v>
      </c>
      <c r="E2218" s="31"/>
      <c r="F2218" s="73" t="s">
        <v>4</v>
      </c>
      <c r="G2218" s="32">
        <v>31413</v>
      </c>
      <c r="H2218" s="29">
        <v>500</v>
      </c>
      <c r="I2218" s="17">
        <v>0</v>
      </c>
      <c r="J2218" s="17">
        <f t="shared" ref="J2218:J2262" si="371">H2218-L2218</f>
        <v>475</v>
      </c>
      <c r="K2218" s="17">
        <f t="shared" si="366"/>
        <v>25</v>
      </c>
      <c r="L2218" s="23">
        <f t="shared" si="364"/>
        <v>25</v>
      </c>
      <c r="M2218" s="33">
        <v>10</v>
      </c>
      <c r="N2218" s="18">
        <f t="shared" si="367"/>
        <v>34.273972602739725</v>
      </c>
      <c r="O2218" s="23">
        <f t="shared" ref="O2218:O2230" si="372">(H2218-K2218)/2</f>
        <v>237.5</v>
      </c>
      <c r="P2218" s="18">
        <f t="shared" si="368"/>
        <v>35.273972602739725</v>
      </c>
      <c r="Q2218" s="18">
        <f t="shared" si="370"/>
        <v>0</v>
      </c>
      <c r="R2218" s="18">
        <f t="shared" si="369"/>
        <v>237.5</v>
      </c>
      <c r="S2218" s="18">
        <v>0</v>
      </c>
    </row>
    <row r="2219" spans="1:19" ht="15" customHeight="1" x14ac:dyDescent="0.2">
      <c r="A2219" s="14">
        <f t="shared" ref="A2219:A2282" si="373">+A2218+1</f>
        <v>2180</v>
      </c>
      <c r="B2219" s="31" t="s">
        <v>1873</v>
      </c>
      <c r="C2219" s="15" t="s">
        <v>3</v>
      </c>
      <c r="D2219" s="31" t="s">
        <v>1708</v>
      </c>
      <c r="E2219" s="31"/>
      <c r="F2219" s="73" t="s">
        <v>4</v>
      </c>
      <c r="G2219" s="32">
        <v>39083</v>
      </c>
      <c r="H2219" s="29">
        <v>16545.8</v>
      </c>
      <c r="I2219" s="17">
        <v>0</v>
      </c>
      <c r="J2219" s="17">
        <f t="shared" si="371"/>
        <v>15718.509999999998</v>
      </c>
      <c r="K2219" s="17">
        <f t="shared" si="366"/>
        <v>827.29000000000087</v>
      </c>
      <c r="L2219" s="23">
        <f t="shared" si="364"/>
        <v>827.29</v>
      </c>
      <c r="M2219" s="33">
        <v>10</v>
      </c>
      <c r="N2219" s="18">
        <f t="shared" si="367"/>
        <v>13.260273972602739</v>
      </c>
      <c r="O2219" s="23">
        <f t="shared" si="372"/>
        <v>7859.2549999999992</v>
      </c>
      <c r="P2219" s="18">
        <f t="shared" si="368"/>
        <v>14.260273972602739</v>
      </c>
      <c r="Q2219" s="18">
        <f t="shared" si="370"/>
        <v>9.0949470177292829E-14</v>
      </c>
      <c r="R2219" s="18">
        <f t="shared" si="369"/>
        <v>7859.2549999999992</v>
      </c>
      <c r="S2219" s="18">
        <v>0</v>
      </c>
    </row>
    <row r="2220" spans="1:19" ht="15" customHeight="1" x14ac:dyDescent="0.2">
      <c r="A2220" s="14">
        <f t="shared" si="373"/>
        <v>2181</v>
      </c>
      <c r="B2220" s="31" t="s">
        <v>1874</v>
      </c>
      <c r="C2220" s="15" t="s">
        <v>3</v>
      </c>
      <c r="D2220" s="31" t="s">
        <v>1708</v>
      </c>
      <c r="E2220" s="31"/>
      <c r="F2220" s="73" t="s">
        <v>4</v>
      </c>
      <c r="G2220" s="32">
        <v>31413</v>
      </c>
      <c r="H2220" s="29">
        <v>500</v>
      </c>
      <c r="I2220" s="17">
        <v>0</v>
      </c>
      <c r="J2220" s="17">
        <f t="shared" si="371"/>
        <v>475</v>
      </c>
      <c r="K2220" s="17">
        <f t="shared" si="366"/>
        <v>25</v>
      </c>
      <c r="L2220" s="23">
        <f t="shared" si="364"/>
        <v>25</v>
      </c>
      <c r="M2220" s="33">
        <v>10</v>
      </c>
      <c r="N2220" s="18">
        <f t="shared" si="367"/>
        <v>34.273972602739725</v>
      </c>
      <c r="O2220" s="23">
        <f t="shared" si="372"/>
        <v>237.5</v>
      </c>
      <c r="P2220" s="18">
        <f t="shared" si="368"/>
        <v>35.273972602739725</v>
      </c>
      <c r="Q2220" s="18">
        <f t="shared" si="370"/>
        <v>0</v>
      </c>
      <c r="R2220" s="18">
        <f t="shared" si="369"/>
        <v>237.5</v>
      </c>
      <c r="S2220" s="18">
        <v>0</v>
      </c>
    </row>
    <row r="2221" spans="1:19" ht="15" customHeight="1" x14ac:dyDescent="0.2">
      <c r="A2221" s="14">
        <f t="shared" si="373"/>
        <v>2182</v>
      </c>
      <c r="B2221" s="31" t="s">
        <v>1875</v>
      </c>
      <c r="C2221" s="15" t="s">
        <v>3</v>
      </c>
      <c r="D2221" s="31" t="s">
        <v>1708</v>
      </c>
      <c r="E2221" s="31"/>
      <c r="F2221" s="73" t="s">
        <v>4</v>
      </c>
      <c r="G2221" s="32">
        <v>31413</v>
      </c>
      <c r="H2221" s="29">
        <v>239</v>
      </c>
      <c r="I2221" s="17">
        <v>0</v>
      </c>
      <c r="J2221" s="17">
        <f t="shared" si="371"/>
        <v>227.05</v>
      </c>
      <c r="K2221" s="17">
        <f t="shared" si="366"/>
        <v>11.949999999999989</v>
      </c>
      <c r="L2221" s="23">
        <f t="shared" si="364"/>
        <v>11.950000000000001</v>
      </c>
      <c r="M2221" s="33">
        <v>10</v>
      </c>
      <c r="N2221" s="18">
        <f t="shared" si="367"/>
        <v>34.273972602739725</v>
      </c>
      <c r="O2221" s="23">
        <f t="shared" si="372"/>
        <v>113.52500000000001</v>
      </c>
      <c r="P2221" s="18">
        <f t="shared" si="368"/>
        <v>35.273972602739725</v>
      </c>
      <c r="Q2221" s="18">
        <f t="shared" si="370"/>
        <v>-1.2434497875801754E-15</v>
      </c>
      <c r="R2221" s="18">
        <f t="shared" si="369"/>
        <v>113.52500000000001</v>
      </c>
      <c r="S2221" s="18">
        <v>0</v>
      </c>
    </row>
    <row r="2222" spans="1:19" ht="15" customHeight="1" x14ac:dyDescent="0.2">
      <c r="A2222" s="14">
        <f t="shared" si="373"/>
        <v>2183</v>
      </c>
      <c r="B2222" s="31" t="s">
        <v>1876</v>
      </c>
      <c r="C2222" s="15" t="s">
        <v>3</v>
      </c>
      <c r="D2222" s="31" t="s">
        <v>1708</v>
      </c>
      <c r="E2222" s="31"/>
      <c r="F2222" s="73" t="s">
        <v>4</v>
      </c>
      <c r="G2222" s="32">
        <v>31413</v>
      </c>
      <c r="H2222" s="29">
        <v>106</v>
      </c>
      <c r="I2222" s="17">
        <v>0</v>
      </c>
      <c r="J2222" s="17">
        <f t="shared" si="371"/>
        <v>100.7</v>
      </c>
      <c r="K2222" s="17">
        <f t="shared" si="366"/>
        <v>5.2999999999999972</v>
      </c>
      <c r="L2222" s="23">
        <f t="shared" si="364"/>
        <v>5.3000000000000007</v>
      </c>
      <c r="M2222" s="33">
        <v>10</v>
      </c>
      <c r="N2222" s="18">
        <f t="shared" si="367"/>
        <v>34.273972602739725</v>
      </c>
      <c r="O2222" s="23">
        <f t="shared" si="372"/>
        <v>50.35</v>
      </c>
      <c r="P2222" s="18">
        <f t="shared" si="368"/>
        <v>35.273972602739725</v>
      </c>
      <c r="Q2222" s="18">
        <f t="shared" si="370"/>
        <v>-3.5527136788005011E-16</v>
      </c>
      <c r="R2222" s="18">
        <f t="shared" si="369"/>
        <v>50.35</v>
      </c>
      <c r="S2222" s="18">
        <v>0</v>
      </c>
    </row>
    <row r="2223" spans="1:19" ht="15" customHeight="1" x14ac:dyDescent="0.2">
      <c r="A2223" s="14">
        <f t="shared" si="373"/>
        <v>2184</v>
      </c>
      <c r="B2223" s="31" t="s">
        <v>1877</v>
      </c>
      <c r="C2223" s="15" t="s">
        <v>3</v>
      </c>
      <c r="D2223" s="31" t="s">
        <v>1708</v>
      </c>
      <c r="E2223" s="31"/>
      <c r="F2223" s="73" t="s">
        <v>4</v>
      </c>
      <c r="G2223" s="32">
        <v>31778</v>
      </c>
      <c r="H2223" s="29">
        <v>11873</v>
      </c>
      <c r="I2223" s="17">
        <v>0</v>
      </c>
      <c r="J2223" s="17">
        <f t="shared" si="371"/>
        <v>11279.35</v>
      </c>
      <c r="K2223" s="17">
        <f t="shared" si="366"/>
        <v>593.64999999999964</v>
      </c>
      <c r="L2223" s="23">
        <f t="shared" si="364"/>
        <v>593.65</v>
      </c>
      <c r="M2223" s="33">
        <v>10</v>
      </c>
      <c r="N2223" s="18">
        <f t="shared" si="367"/>
        <v>33.273972602739725</v>
      </c>
      <c r="O2223" s="23">
        <f t="shared" si="372"/>
        <v>5639.6750000000002</v>
      </c>
      <c r="P2223" s="18">
        <f t="shared" si="368"/>
        <v>34.273972602739725</v>
      </c>
      <c r="Q2223" s="18">
        <f t="shared" si="370"/>
        <v>-3.4106051316484814E-14</v>
      </c>
      <c r="R2223" s="18">
        <f t="shared" si="369"/>
        <v>5639.6750000000002</v>
      </c>
      <c r="S2223" s="18">
        <v>0</v>
      </c>
    </row>
    <row r="2224" spans="1:19" ht="15" customHeight="1" x14ac:dyDescent="0.2">
      <c r="A2224" s="14">
        <f t="shared" si="373"/>
        <v>2185</v>
      </c>
      <c r="B2224" s="31" t="s">
        <v>1798</v>
      </c>
      <c r="C2224" s="15" t="s">
        <v>3</v>
      </c>
      <c r="D2224" s="31" t="s">
        <v>1708</v>
      </c>
      <c r="E2224" s="31"/>
      <c r="F2224" s="73" t="s">
        <v>4</v>
      </c>
      <c r="G2224" s="32">
        <v>38718</v>
      </c>
      <c r="H2224" s="29">
        <v>14875.55</v>
      </c>
      <c r="I2224" s="17">
        <v>0</v>
      </c>
      <c r="J2224" s="17">
        <f t="shared" si="371"/>
        <v>14131.772499999999</v>
      </c>
      <c r="K2224" s="17">
        <f t="shared" si="366"/>
        <v>743.77750000000015</v>
      </c>
      <c r="L2224" s="23">
        <f t="shared" si="364"/>
        <v>743.77750000000003</v>
      </c>
      <c r="M2224" s="33">
        <v>10</v>
      </c>
      <c r="N2224" s="18">
        <f t="shared" si="367"/>
        <v>14.260273972602739</v>
      </c>
      <c r="O2224" s="23">
        <f t="shared" si="372"/>
        <v>7065.8862499999996</v>
      </c>
      <c r="P2224" s="18">
        <f t="shared" si="368"/>
        <v>15.260273972602739</v>
      </c>
      <c r="Q2224" s="18">
        <f t="shared" si="370"/>
        <v>1.1368683772161604E-14</v>
      </c>
      <c r="R2224" s="18">
        <f t="shared" si="369"/>
        <v>7065.8862499999996</v>
      </c>
      <c r="S2224" s="18">
        <v>0</v>
      </c>
    </row>
    <row r="2225" spans="1:19" ht="15" customHeight="1" x14ac:dyDescent="0.2">
      <c r="A2225" s="14">
        <f t="shared" si="373"/>
        <v>2186</v>
      </c>
      <c r="B2225" s="31" t="s">
        <v>1878</v>
      </c>
      <c r="C2225" s="15" t="s">
        <v>3</v>
      </c>
      <c r="D2225" s="31" t="s">
        <v>1708</v>
      </c>
      <c r="E2225" s="31"/>
      <c r="F2225" s="73" t="s">
        <v>4</v>
      </c>
      <c r="G2225" s="32">
        <v>31778</v>
      </c>
      <c r="H2225" s="29">
        <v>3208</v>
      </c>
      <c r="I2225" s="17">
        <v>0</v>
      </c>
      <c r="J2225" s="17">
        <f t="shared" si="371"/>
        <v>3047.6</v>
      </c>
      <c r="K2225" s="17">
        <f t="shared" si="366"/>
        <v>160.40000000000009</v>
      </c>
      <c r="L2225" s="23">
        <f t="shared" si="364"/>
        <v>160.4</v>
      </c>
      <c r="M2225" s="33">
        <v>10</v>
      </c>
      <c r="N2225" s="18">
        <f t="shared" si="367"/>
        <v>33.273972602739725</v>
      </c>
      <c r="O2225" s="23">
        <f t="shared" si="372"/>
        <v>1523.8</v>
      </c>
      <c r="P2225" s="18">
        <f t="shared" si="368"/>
        <v>34.273972602739725</v>
      </c>
      <c r="Q2225" s="18">
        <f t="shared" si="370"/>
        <v>8.5265128291212035E-15</v>
      </c>
      <c r="R2225" s="18">
        <f t="shared" si="369"/>
        <v>1523.8</v>
      </c>
      <c r="S2225" s="18">
        <v>0</v>
      </c>
    </row>
    <row r="2226" spans="1:19" ht="15" customHeight="1" x14ac:dyDescent="0.2">
      <c r="A2226" s="14">
        <f t="shared" si="373"/>
        <v>2187</v>
      </c>
      <c r="B2226" s="31" t="s">
        <v>1879</v>
      </c>
      <c r="C2226" s="15" t="s">
        <v>3</v>
      </c>
      <c r="D2226" s="31" t="s">
        <v>1708</v>
      </c>
      <c r="E2226" s="31"/>
      <c r="F2226" s="73" t="s">
        <v>4</v>
      </c>
      <c r="G2226" s="32">
        <v>31778</v>
      </c>
      <c r="H2226" s="29">
        <v>1698</v>
      </c>
      <c r="I2226" s="17">
        <v>0</v>
      </c>
      <c r="J2226" s="17">
        <f t="shared" si="371"/>
        <v>1613.1</v>
      </c>
      <c r="K2226" s="17">
        <f t="shared" si="366"/>
        <v>84.900000000000091</v>
      </c>
      <c r="L2226" s="23">
        <f t="shared" si="364"/>
        <v>84.9</v>
      </c>
      <c r="M2226" s="33">
        <v>10</v>
      </c>
      <c r="N2226" s="18">
        <f t="shared" si="367"/>
        <v>33.273972602739725</v>
      </c>
      <c r="O2226" s="23">
        <f t="shared" si="372"/>
        <v>806.55</v>
      </c>
      <c r="P2226" s="18">
        <f t="shared" si="368"/>
        <v>34.273972602739725</v>
      </c>
      <c r="Q2226" s="18">
        <f t="shared" si="370"/>
        <v>8.5265128291212035E-15</v>
      </c>
      <c r="R2226" s="18">
        <f t="shared" si="369"/>
        <v>806.55</v>
      </c>
      <c r="S2226" s="18">
        <v>0</v>
      </c>
    </row>
    <row r="2227" spans="1:19" ht="15" customHeight="1" x14ac:dyDescent="0.2">
      <c r="A2227" s="14">
        <f t="shared" si="373"/>
        <v>2188</v>
      </c>
      <c r="B2227" s="31" t="s">
        <v>1880</v>
      </c>
      <c r="C2227" s="15" t="s">
        <v>3</v>
      </c>
      <c r="D2227" s="31" t="s">
        <v>1708</v>
      </c>
      <c r="E2227" s="31"/>
      <c r="F2227" s="73" t="s">
        <v>4</v>
      </c>
      <c r="G2227" s="32">
        <v>40040</v>
      </c>
      <c r="H2227" s="29">
        <v>14000</v>
      </c>
      <c r="I2227" s="17">
        <v>0</v>
      </c>
      <c r="J2227" s="17">
        <f t="shared" si="371"/>
        <v>13300</v>
      </c>
      <c r="K2227" s="17">
        <f t="shared" si="366"/>
        <v>700</v>
      </c>
      <c r="L2227" s="23">
        <f t="shared" si="364"/>
        <v>700</v>
      </c>
      <c r="M2227" s="33">
        <v>10</v>
      </c>
      <c r="N2227" s="18">
        <f t="shared" si="367"/>
        <v>10.638356164383561</v>
      </c>
      <c r="O2227" s="23">
        <f t="shared" si="372"/>
        <v>6650</v>
      </c>
      <c r="P2227" s="18">
        <f t="shared" si="368"/>
        <v>11.638356164383561</v>
      </c>
      <c r="Q2227" s="18">
        <f t="shared" si="370"/>
        <v>0</v>
      </c>
      <c r="R2227" s="18">
        <f t="shared" si="369"/>
        <v>6650</v>
      </c>
      <c r="S2227" s="18">
        <v>0</v>
      </c>
    </row>
    <row r="2228" spans="1:19" ht="15" customHeight="1" x14ac:dyDescent="0.2">
      <c r="A2228" s="14">
        <f t="shared" si="373"/>
        <v>2189</v>
      </c>
      <c r="B2228" s="31" t="s">
        <v>1857</v>
      </c>
      <c r="C2228" s="15" t="s">
        <v>3</v>
      </c>
      <c r="D2228" s="31" t="s">
        <v>1708</v>
      </c>
      <c r="E2228" s="31"/>
      <c r="F2228" s="73" t="s">
        <v>4</v>
      </c>
      <c r="G2228" s="32">
        <v>31778</v>
      </c>
      <c r="H2228" s="29">
        <v>1628</v>
      </c>
      <c r="I2228" s="17">
        <v>0</v>
      </c>
      <c r="J2228" s="17">
        <f t="shared" si="371"/>
        <v>1546.6</v>
      </c>
      <c r="K2228" s="17">
        <f t="shared" si="366"/>
        <v>81.400000000000091</v>
      </c>
      <c r="L2228" s="23">
        <f t="shared" si="364"/>
        <v>81.400000000000006</v>
      </c>
      <c r="M2228" s="33">
        <v>10</v>
      </c>
      <c r="N2228" s="18">
        <f t="shared" si="367"/>
        <v>33.273972602739725</v>
      </c>
      <c r="O2228" s="23">
        <f t="shared" si="372"/>
        <v>773.3</v>
      </c>
      <c r="P2228" s="18">
        <f t="shared" si="368"/>
        <v>34.273972602739725</v>
      </c>
      <c r="Q2228" s="18">
        <f t="shared" si="370"/>
        <v>8.5265128291212035E-15</v>
      </c>
      <c r="R2228" s="18">
        <f t="shared" si="369"/>
        <v>773.3</v>
      </c>
      <c r="S2228" s="18">
        <v>0</v>
      </c>
    </row>
    <row r="2229" spans="1:19" ht="15" customHeight="1" x14ac:dyDescent="0.2">
      <c r="A2229" s="14">
        <f t="shared" si="373"/>
        <v>2190</v>
      </c>
      <c r="B2229" s="31" t="s">
        <v>1881</v>
      </c>
      <c r="C2229" s="15" t="s">
        <v>3</v>
      </c>
      <c r="D2229" s="31" t="s">
        <v>1708</v>
      </c>
      <c r="E2229" s="31"/>
      <c r="F2229" s="73" t="s">
        <v>4</v>
      </c>
      <c r="G2229" s="32">
        <v>31778</v>
      </c>
      <c r="H2229" s="29">
        <v>947</v>
      </c>
      <c r="I2229" s="17">
        <v>0</v>
      </c>
      <c r="J2229" s="17">
        <f t="shared" si="371"/>
        <v>899.65</v>
      </c>
      <c r="K2229" s="17">
        <f t="shared" si="366"/>
        <v>47.350000000000023</v>
      </c>
      <c r="L2229" s="23">
        <f t="shared" si="364"/>
        <v>47.35</v>
      </c>
      <c r="M2229" s="33">
        <v>10</v>
      </c>
      <c r="N2229" s="18">
        <f t="shared" si="367"/>
        <v>33.273972602739725</v>
      </c>
      <c r="O2229" s="23">
        <f t="shared" si="372"/>
        <v>449.82499999999999</v>
      </c>
      <c r="P2229" s="18">
        <f t="shared" si="368"/>
        <v>34.273972602739725</v>
      </c>
      <c r="Q2229" s="18">
        <f t="shared" si="370"/>
        <v>2.1316282072803009E-15</v>
      </c>
      <c r="R2229" s="18">
        <f t="shared" si="369"/>
        <v>449.82499999999999</v>
      </c>
      <c r="S2229" s="18">
        <v>0</v>
      </c>
    </row>
    <row r="2230" spans="1:19" ht="15" customHeight="1" x14ac:dyDescent="0.2">
      <c r="A2230" s="14">
        <f t="shared" si="373"/>
        <v>2191</v>
      </c>
      <c r="B2230" s="31" t="s">
        <v>1882</v>
      </c>
      <c r="C2230" s="15" t="s">
        <v>3</v>
      </c>
      <c r="D2230" s="31" t="s">
        <v>1708</v>
      </c>
      <c r="E2230" s="31"/>
      <c r="F2230" s="73" t="s">
        <v>4</v>
      </c>
      <c r="G2230" s="32">
        <v>40132</v>
      </c>
      <c r="H2230" s="29">
        <v>13561.1</v>
      </c>
      <c r="I2230" s="17">
        <v>0</v>
      </c>
      <c r="J2230" s="17">
        <f t="shared" si="371"/>
        <v>12883.045</v>
      </c>
      <c r="K2230" s="17">
        <f t="shared" si="366"/>
        <v>678.05500000000029</v>
      </c>
      <c r="L2230" s="23">
        <f t="shared" si="364"/>
        <v>678.05500000000006</v>
      </c>
      <c r="M2230" s="33">
        <v>10</v>
      </c>
      <c r="N2230" s="18">
        <f t="shared" si="367"/>
        <v>10.386301369863014</v>
      </c>
      <c r="O2230" s="23">
        <f t="shared" si="372"/>
        <v>6441.5225</v>
      </c>
      <c r="P2230" s="18">
        <f t="shared" si="368"/>
        <v>11.386301369863014</v>
      </c>
      <c r="Q2230" s="18">
        <f t="shared" si="370"/>
        <v>2.2737367544323207E-14</v>
      </c>
      <c r="R2230" s="18">
        <f t="shared" si="369"/>
        <v>6441.5225</v>
      </c>
      <c r="S2230" s="18">
        <v>0</v>
      </c>
    </row>
    <row r="2231" spans="1:19" ht="15" customHeight="1" x14ac:dyDescent="0.2">
      <c r="A2231" s="14">
        <f t="shared" si="373"/>
        <v>2192</v>
      </c>
      <c r="B2231" s="31" t="s">
        <v>1883</v>
      </c>
      <c r="C2231" s="15" t="s">
        <v>3</v>
      </c>
      <c r="D2231" s="31" t="s">
        <v>1708</v>
      </c>
      <c r="E2231" s="31"/>
      <c r="F2231" s="73" t="s">
        <v>4</v>
      </c>
      <c r="G2231" s="32">
        <v>41228</v>
      </c>
      <c r="H2231" s="29">
        <v>13280</v>
      </c>
      <c r="I2231" s="17">
        <v>0</v>
      </c>
      <c r="J2231" s="17">
        <v>4265.2449315068488</v>
      </c>
      <c r="K2231" s="17">
        <f t="shared" si="366"/>
        <v>9014.7550684931521</v>
      </c>
      <c r="L2231" s="23">
        <f t="shared" si="364"/>
        <v>664</v>
      </c>
      <c r="M2231" s="33">
        <v>10</v>
      </c>
      <c r="N2231" s="18">
        <f t="shared" si="367"/>
        <v>7.3835616438356162</v>
      </c>
      <c r="O2231" s="23">
        <v>609.5939178082192</v>
      </c>
      <c r="P2231" s="18">
        <f t="shared" si="368"/>
        <v>8.3835616438356162</v>
      </c>
      <c r="Q2231" s="18">
        <f t="shared" si="370"/>
        <v>835.07550684931527</v>
      </c>
      <c r="R2231" s="18">
        <f t="shared" si="369"/>
        <v>1444.6694246575344</v>
      </c>
      <c r="S2231" s="18">
        <v>0</v>
      </c>
    </row>
    <row r="2232" spans="1:19" ht="15" customHeight="1" x14ac:dyDescent="0.2">
      <c r="A2232" s="14">
        <f t="shared" si="373"/>
        <v>2193</v>
      </c>
      <c r="B2232" s="31" t="s">
        <v>1884</v>
      </c>
      <c r="C2232" s="15" t="s">
        <v>3</v>
      </c>
      <c r="D2232" s="31" t="s">
        <v>1708</v>
      </c>
      <c r="E2232" s="31"/>
      <c r="F2232" s="73" t="s">
        <v>4</v>
      </c>
      <c r="G2232" s="32">
        <v>41623</v>
      </c>
      <c r="H2232" s="29">
        <v>13259.04</v>
      </c>
      <c r="I2232" s="17">
        <v>0</v>
      </c>
      <c r="J2232" s="17">
        <f t="shared" si="371"/>
        <v>12596.088000000002</v>
      </c>
      <c r="K2232" s="17">
        <f t="shared" si="366"/>
        <v>662.95199999999932</v>
      </c>
      <c r="L2232" s="23">
        <f t="shared" si="364"/>
        <v>662.95200000000011</v>
      </c>
      <c r="M2232" s="33">
        <v>5</v>
      </c>
      <c r="N2232" s="18">
        <f t="shared" si="367"/>
        <v>6.3013698630136989</v>
      </c>
      <c r="O2232" s="23">
        <f t="shared" ref="O2232:O2237" si="374">(H2232-K2232)/2</f>
        <v>6298.0440000000008</v>
      </c>
      <c r="P2232" s="18">
        <f t="shared" si="368"/>
        <v>7.3013698630136989</v>
      </c>
      <c r="Q2232" s="18">
        <f t="shared" si="370"/>
        <v>-1.5916157281026246E-13</v>
      </c>
      <c r="R2232" s="18">
        <f t="shared" si="369"/>
        <v>6298.0440000000008</v>
      </c>
      <c r="S2232" s="18">
        <v>0</v>
      </c>
    </row>
    <row r="2233" spans="1:19" ht="15" customHeight="1" x14ac:dyDescent="0.2">
      <c r="A2233" s="14">
        <f t="shared" si="373"/>
        <v>2194</v>
      </c>
      <c r="B2233" s="31" t="s">
        <v>1885</v>
      </c>
      <c r="C2233" s="15" t="s">
        <v>3</v>
      </c>
      <c r="D2233" s="31" t="s">
        <v>1708</v>
      </c>
      <c r="E2233" s="31"/>
      <c r="F2233" s="73" t="s">
        <v>4</v>
      </c>
      <c r="G2233" s="32">
        <v>31778</v>
      </c>
      <c r="H2233" s="29">
        <v>587</v>
      </c>
      <c r="I2233" s="17">
        <v>0</v>
      </c>
      <c r="J2233" s="17">
        <f t="shared" si="371"/>
        <v>557.65</v>
      </c>
      <c r="K2233" s="17">
        <f t="shared" si="366"/>
        <v>29.350000000000023</v>
      </c>
      <c r="L2233" s="23">
        <f t="shared" si="364"/>
        <v>29.35</v>
      </c>
      <c r="M2233" s="33">
        <v>10</v>
      </c>
      <c r="N2233" s="18">
        <f t="shared" si="367"/>
        <v>33.273972602739725</v>
      </c>
      <c r="O2233" s="23">
        <f t="shared" si="374"/>
        <v>278.82499999999999</v>
      </c>
      <c r="P2233" s="18">
        <f t="shared" si="368"/>
        <v>34.273972602739725</v>
      </c>
      <c r="Q2233" s="18">
        <f t="shared" si="370"/>
        <v>2.1316282072803009E-15</v>
      </c>
      <c r="R2233" s="18">
        <f t="shared" si="369"/>
        <v>278.82499999999999</v>
      </c>
      <c r="S2233" s="18">
        <v>0</v>
      </c>
    </row>
    <row r="2234" spans="1:19" ht="15" customHeight="1" x14ac:dyDescent="0.2">
      <c r="A2234" s="14">
        <f t="shared" si="373"/>
        <v>2195</v>
      </c>
      <c r="B2234" s="31" t="s">
        <v>1811</v>
      </c>
      <c r="C2234" s="15" t="s">
        <v>3</v>
      </c>
      <c r="D2234" s="31" t="s">
        <v>1708</v>
      </c>
      <c r="E2234" s="31"/>
      <c r="F2234" s="73" t="s">
        <v>4</v>
      </c>
      <c r="G2234" s="32">
        <v>31778</v>
      </c>
      <c r="H2234" s="29">
        <v>200</v>
      </c>
      <c r="I2234" s="17">
        <v>0</v>
      </c>
      <c r="J2234" s="17">
        <f t="shared" si="371"/>
        <v>190</v>
      </c>
      <c r="K2234" s="17">
        <f t="shared" si="366"/>
        <v>10</v>
      </c>
      <c r="L2234" s="23">
        <f t="shared" si="364"/>
        <v>10</v>
      </c>
      <c r="M2234" s="33">
        <v>10</v>
      </c>
      <c r="N2234" s="18">
        <f t="shared" si="367"/>
        <v>33.273972602739725</v>
      </c>
      <c r="O2234" s="23">
        <f t="shared" si="374"/>
        <v>95</v>
      </c>
      <c r="P2234" s="18">
        <f t="shared" si="368"/>
        <v>34.273972602739725</v>
      </c>
      <c r="Q2234" s="18">
        <f t="shared" si="370"/>
        <v>0</v>
      </c>
      <c r="R2234" s="18">
        <f t="shared" si="369"/>
        <v>95</v>
      </c>
      <c r="S2234" s="18">
        <v>0</v>
      </c>
    </row>
    <row r="2235" spans="1:19" ht="15" customHeight="1" x14ac:dyDescent="0.2">
      <c r="A2235" s="14">
        <f t="shared" si="373"/>
        <v>2196</v>
      </c>
      <c r="B2235" s="31" t="s">
        <v>1886</v>
      </c>
      <c r="C2235" s="15" t="s">
        <v>3</v>
      </c>
      <c r="D2235" s="31" t="s">
        <v>1708</v>
      </c>
      <c r="E2235" s="31"/>
      <c r="F2235" s="73" t="s">
        <v>4</v>
      </c>
      <c r="G2235" s="32">
        <v>31778</v>
      </c>
      <c r="H2235" s="29">
        <v>160</v>
      </c>
      <c r="I2235" s="17">
        <v>0</v>
      </c>
      <c r="J2235" s="17">
        <f t="shared" si="371"/>
        <v>152</v>
      </c>
      <c r="K2235" s="17">
        <f t="shared" si="366"/>
        <v>8</v>
      </c>
      <c r="L2235" s="23">
        <f t="shared" si="364"/>
        <v>8</v>
      </c>
      <c r="M2235" s="33">
        <v>10</v>
      </c>
      <c r="N2235" s="18">
        <f t="shared" si="367"/>
        <v>33.273972602739725</v>
      </c>
      <c r="O2235" s="23">
        <f t="shared" si="374"/>
        <v>76</v>
      </c>
      <c r="P2235" s="18">
        <f t="shared" si="368"/>
        <v>34.273972602739725</v>
      </c>
      <c r="Q2235" s="18">
        <f t="shared" si="370"/>
        <v>0</v>
      </c>
      <c r="R2235" s="18">
        <f t="shared" si="369"/>
        <v>76</v>
      </c>
      <c r="S2235" s="18">
        <v>0</v>
      </c>
    </row>
    <row r="2236" spans="1:19" ht="15" customHeight="1" x14ac:dyDescent="0.2">
      <c r="A2236" s="14">
        <f t="shared" si="373"/>
        <v>2197</v>
      </c>
      <c r="B2236" s="31" t="s">
        <v>1887</v>
      </c>
      <c r="C2236" s="15" t="s">
        <v>3</v>
      </c>
      <c r="D2236" s="31" t="s">
        <v>1708</v>
      </c>
      <c r="E2236" s="31"/>
      <c r="F2236" s="73" t="s">
        <v>4</v>
      </c>
      <c r="G2236" s="32">
        <v>32143</v>
      </c>
      <c r="H2236" s="29">
        <v>2106</v>
      </c>
      <c r="I2236" s="17">
        <v>0</v>
      </c>
      <c r="J2236" s="17">
        <f t="shared" si="371"/>
        <v>2000.7</v>
      </c>
      <c r="K2236" s="17">
        <f t="shared" si="366"/>
        <v>105.29999999999995</v>
      </c>
      <c r="L2236" s="23">
        <f t="shared" si="364"/>
        <v>105.30000000000001</v>
      </c>
      <c r="M2236" s="33">
        <v>10</v>
      </c>
      <c r="N2236" s="18">
        <f t="shared" si="367"/>
        <v>32.273972602739725</v>
      </c>
      <c r="O2236" s="23">
        <f t="shared" si="374"/>
        <v>1000.35</v>
      </c>
      <c r="P2236" s="18">
        <f t="shared" si="368"/>
        <v>33.273972602739725</v>
      </c>
      <c r="Q2236" s="18">
        <f t="shared" si="370"/>
        <v>-5.6843418860808018E-15</v>
      </c>
      <c r="R2236" s="18">
        <f t="shared" si="369"/>
        <v>1000.35</v>
      </c>
      <c r="S2236" s="18">
        <v>0</v>
      </c>
    </row>
    <row r="2237" spans="1:19" ht="15" customHeight="1" x14ac:dyDescent="0.2">
      <c r="A2237" s="14">
        <f t="shared" si="373"/>
        <v>2198</v>
      </c>
      <c r="B2237" s="31" t="s">
        <v>1888</v>
      </c>
      <c r="C2237" s="15" t="s">
        <v>3</v>
      </c>
      <c r="D2237" s="31" t="s">
        <v>1708</v>
      </c>
      <c r="E2237" s="31"/>
      <c r="F2237" s="73" t="s">
        <v>4</v>
      </c>
      <c r="G2237" s="32">
        <v>41075</v>
      </c>
      <c r="H2237" s="29">
        <v>11860.75</v>
      </c>
      <c r="I2237" s="17">
        <v>0</v>
      </c>
      <c r="J2237" s="17">
        <f t="shared" si="371"/>
        <v>11267.7125</v>
      </c>
      <c r="K2237" s="17">
        <f t="shared" si="366"/>
        <v>593.03750000000036</v>
      </c>
      <c r="L2237" s="23">
        <f t="shared" si="364"/>
        <v>593.03750000000002</v>
      </c>
      <c r="M2237" s="33">
        <v>5</v>
      </c>
      <c r="N2237" s="18">
        <f t="shared" si="367"/>
        <v>7.8027397260273972</v>
      </c>
      <c r="O2237" s="23">
        <f t="shared" si="374"/>
        <v>5633.8562499999998</v>
      </c>
      <c r="P2237" s="18">
        <f t="shared" si="368"/>
        <v>8.8027397260273972</v>
      </c>
      <c r="Q2237" s="18">
        <f t="shared" si="370"/>
        <v>6.8212102632969628E-14</v>
      </c>
      <c r="R2237" s="18">
        <f t="shared" si="369"/>
        <v>5633.8562499999998</v>
      </c>
      <c r="S2237" s="18">
        <v>0</v>
      </c>
    </row>
    <row r="2238" spans="1:19" ht="15" customHeight="1" x14ac:dyDescent="0.2">
      <c r="A2238" s="14">
        <f t="shared" si="373"/>
        <v>2199</v>
      </c>
      <c r="B2238" s="31" t="s">
        <v>1889</v>
      </c>
      <c r="C2238" s="15" t="s">
        <v>3</v>
      </c>
      <c r="D2238" s="31" t="s">
        <v>1708</v>
      </c>
      <c r="E2238" s="31"/>
      <c r="F2238" s="73" t="s">
        <v>4</v>
      </c>
      <c r="G2238" s="32">
        <v>40497</v>
      </c>
      <c r="H2238" s="29">
        <v>11710</v>
      </c>
      <c r="I2238" s="17">
        <v>0</v>
      </c>
      <c r="J2238" s="17">
        <v>5988.9431506849314</v>
      </c>
      <c r="K2238" s="17">
        <f t="shared" si="366"/>
        <v>5721.0568493150686</v>
      </c>
      <c r="L2238" s="23">
        <f t="shared" si="364"/>
        <v>585.5</v>
      </c>
      <c r="M2238" s="33">
        <v>10</v>
      </c>
      <c r="N2238" s="18">
        <f t="shared" si="367"/>
        <v>9.3863013698630144</v>
      </c>
      <c r="O2238" s="23">
        <v>276.55395342465772</v>
      </c>
      <c r="P2238" s="18">
        <f t="shared" si="368"/>
        <v>10.386301369863014</v>
      </c>
      <c r="Q2238" s="18">
        <f t="shared" si="370"/>
        <v>513.5556849315069</v>
      </c>
      <c r="R2238" s="18">
        <f t="shared" si="369"/>
        <v>790.10963835616462</v>
      </c>
      <c r="S2238" s="18">
        <v>0</v>
      </c>
    </row>
    <row r="2239" spans="1:19" ht="15" customHeight="1" x14ac:dyDescent="0.2">
      <c r="A2239" s="14">
        <f t="shared" si="373"/>
        <v>2200</v>
      </c>
      <c r="B2239" s="31" t="s">
        <v>1890</v>
      </c>
      <c r="C2239" s="15" t="s">
        <v>3</v>
      </c>
      <c r="D2239" s="31" t="s">
        <v>1708</v>
      </c>
      <c r="E2239" s="31"/>
      <c r="F2239" s="73" t="s">
        <v>4</v>
      </c>
      <c r="G2239" s="32">
        <v>32143</v>
      </c>
      <c r="H2239" s="29">
        <v>1625</v>
      </c>
      <c r="I2239" s="17">
        <v>0</v>
      </c>
      <c r="J2239" s="17">
        <f t="shared" si="371"/>
        <v>1543.75</v>
      </c>
      <c r="K2239" s="17">
        <f t="shared" si="366"/>
        <v>81.25</v>
      </c>
      <c r="L2239" s="23">
        <f t="shared" si="364"/>
        <v>81.25</v>
      </c>
      <c r="M2239" s="33">
        <v>10</v>
      </c>
      <c r="N2239" s="18">
        <f t="shared" si="367"/>
        <v>32.273972602739725</v>
      </c>
      <c r="O2239" s="23">
        <f t="shared" ref="O2239:O2245" si="375">(H2239-K2239)/2</f>
        <v>771.875</v>
      </c>
      <c r="P2239" s="18">
        <f t="shared" si="368"/>
        <v>33.273972602739725</v>
      </c>
      <c r="Q2239" s="18">
        <f t="shared" si="370"/>
        <v>0</v>
      </c>
      <c r="R2239" s="18">
        <f t="shared" si="369"/>
        <v>771.875</v>
      </c>
      <c r="S2239" s="18">
        <v>0</v>
      </c>
    </row>
    <row r="2240" spans="1:19" ht="15" customHeight="1" x14ac:dyDescent="0.2">
      <c r="A2240" s="14">
        <f t="shared" si="373"/>
        <v>2201</v>
      </c>
      <c r="B2240" s="31" t="s">
        <v>1891</v>
      </c>
      <c r="C2240" s="15" t="s">
        <v>3</v>
      </c>
      <c r="D2240" s="31" t="s">
        <v>1708</v>
      </c>
      <c r="E2240" s="31"/>
      <c r="F2240" s="73" t="s">
        <v>4</v>
      </c>
      <c r="G2240" s="32">
        <v>40132</v>
      </c>
      <c r="H2240" s="29">
        <v>11282.42</v>
      </c>
      <c r="I2240" s="17">
        <v>0</v>
      </c>
      <c r="J2240" s="17">
        <f t="shared" si="371"/>
        <v>10718.299000000001</v>
      </c>
      <c r="K2240" s="17">
        <f t="shared" si="366"/>
        <v>564.12099999999919</v>
      </c>
      <c r="L2240" s="23">
        <f t="shared" si="364"/>
        <v>564.12099999999998</v>
      </c>
      <c r="M2240" s="33">
        <v>10</v>
      </c>
      <c r="N2240" s="18">
        <f t="shared" si="367"/>
        <v>10.386301369863014</v>
      </c>
      <c r="O2240" s="23">
        <f t="shared" si="375"/>
        <v>5359.1495000000004</v>
      </c>
      <c r="P2240" s="18">
        <f t="shared" si="368"/>
        <v>11.386301369863014</v>
      </c>
      <c r="Q2240" s="18">
        <f t="shared" si="370"/>
        <v>-7.9580786405131228E-14</v>
      </c>
      <c r="R2240" s="18">
        <f t="shared" si="369"/>
        <v>5359.1495000000004</v>
      </c>
      <c r="S2240" s="18">
        <v>0</v>
      </c>
    </row>
    <row r="2241" spans="1:19" ht="15" customHeight="1" x14ac:dyDescent="0.2">
      <c r="A2241" s="14">
        <f t="shared" si="373"/>
        <v>2202</v>
      </c>
      <c r="B2241" s="31" t="s">
        <v>1892</v>
      </c>
      <c r="C2241" s="15" t="s">
        <v>3</v>
      </c>
      <c r="D2241" s="31" t="s">
        <v>1708</v>
      </c>
      <c r="E2241" s="31"/>
      <c r="F2241" s="73" t="s">
        <v>4</v>
      </c>
      <c r="G2241" s="32">
        <v>32143</v>
      </c>
      <c r="H2241" s="29">
        <v>1557</v>
      </c>
      <c r="I2241" s="17">
        <v>0</v>
      </c>
      <c r="J2241" s="17">
        <f t="shared" si="371"/>
        <v>1479.15</v>
      </c>
      <c r="K2241" s="17">
        <f t="shared" si="366"/>
        <v>77.849999999999909</v>
      </c>
      <c r="L2241" s="23">
        <f t="shared" si="364"/>
        <v>77.850000000000009</v>
      </c>
      <c r="M2241" s="33">
        <v>10</v>
      </c>
      <c r="N2241" s="18">
        <f t="shared" si="367"/>
        <v>32.273972602739725</v>
      </c>
      <c r="O2241" s="23">
        <f t="shared" si="375"/>
        <v>739.57500000000005</v>
      </c>
      <c r="P2241" s="18">
        <f t="shared" si="368"/>
        <v>33.273972602739725</v>
      </c>
      <c r="Q2241" s="18">
        <f t="shared" si="370"/>
        <v>-9.9475983006414035E-15</v>
      </c>
      <c r="R2241" s="18">
        <f t="shared" si="369"/>
        <v>739.57500000000005</v>
      </c>
      <c r="S2241" s="18">
        <v>0</v>
      </c>
    </row>
    <row r="2242" spans="1:19" ht="15" customHeight="1" x14ac:dyDescent="0.2">
      <c r="A2242" s="14">
        <f t="shared" si="373"/>
        <v>2203</v>
      </c>
      <c r="B2242" s="31" t="s">
        <v>1893</v>
      </c>
      <c r="C2242" s="15" t="s">
        <v>3</v>
      </c>
      <c r="D2242" s="31" t="s">
        <v>1708</v>
      </c>
      <c r="E2242" s="31"/>
      <c r="F2242" s="73" t="s">
        <v>4</v>
      </c>
      <c r="G2242" s="32">
        <v>32143</v>
      </c>
      <c r="H2242" s="29">
        <v>750</v>
      </c>
      <c r="I2242" s="17">
        <v>0</v>
      </c>
      <c r="J2242" s="17">
        <f t="shared" si="371"/>
        <v>712.5</v>
      </c>
      <c r="K2242" s="17">
        <f t="shared" si="366"/>
        <v>37.5</v>
      </c>
      <c r="L2242" s="23">
        <f t="shared" si="364"/>
        <v>37.5</v>
      </c>
      <c r="M2242" s="33">
        <v>10</v>
      </c>
      <c r="N2242" s="18">
        <f t="shared" si="367"/>
        <v>32.273972602739725</v>
      </c>
      <c r="O2242" s="23">
        <f t="shared" si="375"/>
        <v>356.25</v>
      </c>
      <c r="P2242" s="18">
        <f t="shared" si="368"/>
        <v>33.273972602739725</v>
      </c>
      <c r="Q2242" s="18">
        <f t="shared" si="370"/>
        <v>0</v>
      </c>
      <c r="R2242" s="18">
        <f t="shared" si="369"/>
        <v>356.25</v>
      </c>
      <c r="S2242" s="18">
        <v>0</v>
      </c>
    </row>
    <row r="2243" spans="1:19" ht="15" customHeight="1" x14ac:dyDescent="0.2">
      <c r="A2243" s="14">
        <f t="shared" si="373"/>
        <v>2204</v>
      </c>
      <c r="B2243" s="31" t="s">
        <v>1894</v>
      </c>
      <c r="C2243" s="15" t="s">
        <v>3</v>
      </c>
      <c r="D2243" s="31" t="s">
        <v>1708</v>
      </c>
      <c r="E2243" s="31"/>
      <c r="F2243" s="73" t="s">
        <v>4</v>
      </c>
      <c r="G2243" s="32">
        <v>39797</v>
      </c>
      <c r="H2243" s="29">
        <v>11084.24</v>
      </c>
      <c r="I2243" s="17">
        <v>0</v>
      </c>
      <c r="J2243" s="17">
        <f t="shared" si="371"/>
        <v>10530.028</v>
      </c>
      <c r="K2243" s="17">
        <f t="shared" si="366"/>
        <v>554.21199999999953</v>
      </c>
      <c r="L2243" s="23">
        <f t="shared" si="364"/>
        <v>554.21199999999999</v>
      </c>
      <c r="M2243" s="33">
        <v>10</v>
      </c>
      <c r="N2243" s="18">
        <f t="shared" si="367"/>
        <v>11.304109589041095</v>
      </c>
      <c r="O2243" s="23">
        <f t="shared" si="375"/>
        <v>5265.0140000000001</v>
      </c>
      <c r="P2243" s="18">
        <f t="shared" si="368"/>
        <v>12.304109589041095</v>
      </c>
      <c r="Q2243" s="18">
        <f t="shared" si="370"/>
        <v>-4.5474735088646414E-14</v>
      </c>
      <c r="R2243" s="18">
        <f t="shared" si="369"/>
        <v>5265.0140000000001</v>
      </c>
      <c r="S2243" s="18">
        <v>0</v>
      </c>
    </row>
    <row r="2244" spans="1:19" ht="15" customHeight="1" x14ac:dyDescent="0.2">
      <c r="A2244" s="14">
        <f t="shared" si="373"/>
        <v>2205</v>
      </c>
      <c r="B2244" s="31" t="s">
        <v>1895</v>
      </c>
      <c r="C2244" s="15" t="s">
        <v>3</v>
      </c>
      <c r="D2244" s="31" t="s">
        <v>1708</v>
      </c>
      <c r="E2244" s="31"/>
      <c r="F2244" s="73" t="s">
        <v>4</v>
      </c>
      <c r="G2244" s="32">
        <v>40040</v>
      </c>
      <c r="H2244" s="29">
        <v>11000</v>
      </c>
      <c r="I2244" s="17">
        <v>0</v>
      </c>
      <c r="J2244" s="17">
        <f t="shared" si="371"/>
        <v>10450</v>
      </c>
      <c r="K2244" s="17">
        <f t="shared" si="366"/>
        <v>550</v>
      </c>
      <c r="L2244" s="23">
        <f t="shared" si="364"/>
        <v>550</v>
      </c>
      <c r="M2244" s="33">
        <v>10</v>
      </c>
      <c r="N2244" s="18">
        <f t="shared" si="367"/>
        <v>10.638356164383561</v>
      </c>
      <c r="O2244" s="23">
        <f t="shared" si="375"/>
        <v>5225</v>
      </c>
      <c r="P2244" s="18">
        <f t="shared" si="368"/>
        <v>11.638356164383561</v>
      </c>
      <c r="Q2244" s="18">
        <f t="shared" si="370"/>
        <v>0</v>
      </c>
      <c r="R2244" s="18">
        <f t="shared" si="369"/>
        <v>5225</v>
      </c>
      <c r="S2244" s="18">
        <v>0</v>
      </c>
    </row>
    <row r="2245" spans="1:19" ht="15" customHeight="1" x14ac:dyDescent="0.2">
      <c r="A2245" s="14">
        <f t="shared" si="373"/>
        <v>2206</v>
      </c>
      <c r="B2245" s="31" t="s">
        <v>1896</v>
      </c>
      <c r="C2245" s="15" t="s">
        <v>3</v>
      </c>
      <c r="D2245" s="31" t="s">
        <v>1708</v>
      </c>
      <c r="E2245" s="31"/>
      <c r="F2245" s="73" t="s">
        <v>4</v>
      </c>
      <c r="G2245" s="32">
        <v>32143</v>
      </c>
      <c r="H2245" s="29">
        <v>266</v>
      </c>
      <c r="I2245" s="17">
        <v>0</v>
      </c>
      <c r="J2245" s="17">
        <f t="shared" si="371"/>
        <v>252.7</v>
      </c>
      <c r="K2245" s="17">
        <f t="shared" si="366"/>
        <v>13.300000000000011</v>
      </c>
      <c r="L2245" s="23">
        <f t="shared" si="364"/>
        <v>13.3</v>
      </c>
      <c r="M2245" s="33">
        <v>10</v>
      </c>
      <c r="N2245" s="18">
        <f t="shared" si="367"/>
        <v>32.273972602739725</v>
      </c>
      <c r="O2245" s="23">
        <f t="shared" si="375"/>
        <v>126.35</v>
      </c>
      <c r="P2245" s="18">
        <f t="shared" si="368"/>
        <v>33.273972602739725</v>
      </c>
      <c r="Q2245" s="18">
        <f t="shared" si="370"/>
        <v>1.0658141036401504E-15</v>
      </c>
      <c r="R2245" s="18">
        <f t="shared" si="369"/>
        <v>126.35</v>
      </c>
      <c r="S2245" s="18">
        <v>0</v>
      </c>
    </row>
    <row r="2246" spans="1:19" ht="15" customHeight="1" x14ac:dyDescent="0.2">
      <c r="A2246" s="14">
        <f t="shared" si="373"/>
        <v>2207</v>
      </c>
      <c r="B2246" s="31" t="s">
        <v>1897</v>
      </c>
      <c r="C2246" s="15" t="s">
        <v>3</v>
      </c>
      <c r="D2246" s="31" t="s">
        <v>1708</v>
      </c>
      <c r="E2246" s="31"/>
      <c r="F2246" s="73" t="s">
        <v>4</v>
      </c>
      <c r="G2246" s="32">
        <v>41258</v>
      </c>
      <c r="H2246" s="29">
        <v>10819.07</v>
      </c>
      <c r="I2246" s="17">
        <v>0</v>
      </c>
      <c r="J2246" s="17">
        <v>3390.3704838356171</v>
      </c>
      <c r="K2246" s="17">
        <f t="shared" si="366"/>
        <v>7428.6995161643827</v>
      </c>
      <c r="L2246" s="23">
        <f t="shared" si="364"/>
        <v>540.95349999999996</v>
      </c>
      <c r="M2246" s="33">
        <v>10</v>
      </c>
      <c r="N2246" s="18">
        <f t="shared" si="367"/>
        <v>7.3013698630136989</v>
      </c>
      <c r="O2246" s="23">
        <v>2719.5116438356163</v>
      </c>
      <c r="P2246" s="18">
        <f t="shared" si="368"/>
        <v>8.3013698630136989</v>
      </c>
      <c r="Q2246" s="18">
        <f t="shared" si="370"/>
        <v>688.7746016164383</v>
      </c>
      <c r="R2246" s="18">
        <f t="shared" si="369"/>
        <v>3408.2862454520546</v>
      </c>
      <c r="S2246" s="18">
        <v>0</v>
      </c>
    </row>
    <row r="2247" spans="1:19" ht="15" customHeight="1" x14ac:dyDescent="0.2">
      <c r="A2247" s="14">
        <f t="shared" si="373"/>
        <v>2208</v>
      </c>
      <c r="B2247" s="31" t="s">
        <v>1898</v>
      </c>
      <c r="C2247" s="15" t="s">
        <v>3</v>
      </c>
      <c r="D2247" s="31" t="s">
        <v>1708</v>
      </c>
      <c r="E2247" s="31"/>
      <c r="F2247" s="73" t="s">
        <v>4</v>
      </c>
      <c r="G2247" s="32">
        <v>32143</v>
      </c>
      <c r="H2247" s="29">
        <v>107</v>
      </c>
      <c r="I2247" s="17">
        <v>0</v>
      </c>
      <c r="J2247" s="17">
        <f t="shared" si="371"/>
        <v>101.65</v>
      </c>
      <c r="K2247" s="17">
        <f t="shared" si="366"/>
        <v>5.3499999999999943</v>
      </c>
      <c r="L2247" s="23">
        <f t="shared" si="364"/>
        <v>5.3500000000000005</v>
      </c>
      <c r="M2247" s="33">
        <v>10</v>
      </c>
      <c r="N2247" s="18">
        <f t="shared" si="367"/>
        <v>32.273972602739725</v>
      </c>
      <c r="O2247" s="23">
        <f>(H2247-K2247)/2</f>
        <v>50.825000000000003</v>
      </c>
      <c r="P2247" s="18">
        <f t="shared" si="368"/>
        <v>33.273972602739725</v>
      </c>
      <c r="Q2247" s="18">
        <f t="shared" si="370"/>
        <v>-6.2172489379008772E-16</v>
      </c>
      <c r="R2247" s="18">
        <f t="shared" si="369"/>
        <v>50.825000000000003</v>
      </c>
      <c r="S2247" s="18">
        <v>0</v>
      </c>
    </row>
    <row r="2248" spans="1:19" ht="15" customHeight="1" x14ac:dyDescent="0.2">
      <c r="A2248" s="14">
        <f t="shared" si="373"/>
        <v>2209</v>
      </c>
      <c r="B2248" s="31" t="s">
        <v>1899</v>
      </c>
      <c r="C2248" s="15" t="s">
        <v>3</v>
      </c>
      <c r="D2248" s="31" t="s">
        <v>1708</v>
      </c>
      <c r="E2248" s="31"/>
      <c r="F2248" s="73" t="s">
        <v>4</v>
      </c>
      <c r="G2248" s="32">
        <v>41258</v>
      </c>
      <c r="H2248" s="29">
        <v>10512</v>
      </c>
      <c r="I2248" s="17">
        <v>0</v>
      </c>
      <c r="J2248" s="17">
        <v>3294.1440000000002</v>
      </c>
      <c r="K2248" s="17">
        <f t="shared" si="366"/>
        <v>7217.8559999999998</v>
      </c>
      <c r="L2248" s="23">
        <f t="shared" si="364"/>
        <v>525.6</v>
      </c>
      <c r="M2248" s="33">
        <v>10</v>
      </c>
      <c r="N2248" s="18">
        <f t="shared" si="367"/>
        <v>7.3013698630136989</v>
      </c>
      <c r="O2248" s="23">
        <v>504.85497328767133</v>
      </c>
      <c r="P2248" s="18">
        <f t="shared" si="368"/>
        <v>8.3013698630136989</v>
      </c>
      <c r="Q2248" s="18">
        <f t="shared" si="370"/>
        <v>669.22559999999999</v>
      </c>
      <c r="R2248" s="18">
        <f t="shared" si="369"/>
        <v>1174.0805732876713</v>
      </c>
      <c r="S2248" s="18">
        <v>0</v>
      </c>
    </row>
    <row r="2249" spans="1:19" ht="15" customHeight="1" x14ac:dyDescent="0.2">
      <c r="A2249" s="14">
        <f t="shared" si="373"/>
        <v>2210</v>
      </c>
      <c r="B2249" s="31" t="s">
        <v>1900</v>
      </c>
      <c r="C2249" s="15" t="s">
        <v>3</v>
      </c>
      <c r="D2249" s="31" t="s">
        <v>1708</v>
      </c>
      <c r="E2249" s="31"/>
      <c r="F2249" s="73" t="s">
        <v>4</v>
      </c>
      <c r="G2249" s="32">
        <v>39448</v>
      </c>
      <c r="H2249" s="29">
        <v>10482.83</v>
      </c>
      <c r="I2249" s="17">
        <v>0</v>
      </c>
      <c r="J2249" s="17">
        <f t="shared" si="371"/>
        <v>9958.6885000000002</v>
      </c>
      <c r="K2249" s="17">
        <f t="shared" si="366"/>
        <v>524.14149999999972</v>
      </c>
      <c r="L2249" s="23">
        <f t="shared" si="364"/>
        <v>524.14150000000006</v>
      </c>
      <c r="M2249" s="33">
        <v>10</v>
      </c>
      <c r="N2249" s="18">
        <f t="shared" si="367"/>
        <v>12.260273972602739</v>
      </c>
      <c r="O2249" s="23">
        <f t="shared" ref="O2249:O2253" si="376">(H2249-K2249)/2</f>
        <v>4979.3442500000001</v>
      </c>
      <c r="P2249" s="18">
        <f t="shared" si="368"/>
        <v>13.260273972602739</v>
      </c>
      <c r="Q2249" s="18">
        <f t="shared" si="370"/>
        <v>-3.4106051316484814E-14</v>
      </c>
      <c r="R2249" s="18">
        <f t="shared" si="369"/>
        <v>4979.3442500000001</v>
      </c>
      <c r="S2249" s="18">
        <v>0</v>
      </c>
    </row>
    <row r="2250" spans="1:19" ht="15" customHeight="1" x14ac:dyDescent="0.2">
      <c r="A2250" s="14">
        <f t="shared" si="373"/>
        <v>2211</v>
      </c>
      <c r="B2250" s="31" t="s">
        <v>1901</v>
      </c>
      <c r="C2250" s="15" t="s">
        <v>3</v>
      </c>
      <c r="D2250" s="31" t="s">
        <v>1708</v>
      </c>
      <c r="E2250" s="31"/>
      <c r="F2250" s="73" t="s">
        <v>4</v>
      </c>
      <c r="G2250" s="32">
        <v>32509</v>
      </c>
      <c r="H2250" s="29">
        <v>11943</v>
      </c>
      <c r="I2250" s="17">
        <v>0</v>
      </c>
      <c r="J2250" s="17">
        <f t="shared" si="371"/>
        <v>11345.85</v>
      </c>
      <c r="K2250" s="17">
        <f t="shared" si="366"/>
        <v>597.14999999999964</v>
      </c>
      <c r="L2250" s="23">
        <f t="shared" si="364"/>
        <v>597.15</v>
      </c>
      <c r="M2250" s="33">
        <v>10</v>
      </c>
      <c r="N2250" s="18">
        <f t="shared" si="367"/>
        <v>31.271232876712329</v>
      </c>
      <c r="O2250" s="23">
        <f t="shared" si="376"/>
        <v>5672.9250000000002</v>
      </c>
      <c r="P2250" s="18">
        <f t="shared" si="368"/>
        <v>32.271232876712325</v>
      </c>
      <c r="Q2250" s="18">
        <f t="shared" si="370"/>
        <v>-3.4106051316484688E-14</v>
      </c>
      <c r="R2250" s="18">
        <f t="shared" si="369"/>
        <v>5672.9250000000002</v>
      </c>
      <c r="S2250" s="18">
        <v>0</v>
      </c>
    </row>
    <row r="2251" spans="1:19" ht="15" customHeight="1" x14ac:dyDescent="0.2">
      <c r="A2251" s="14">
        <f t="shared" si="373"/>
        <v>2212</v>
      </c>
      <c r="B2251" s="31" t="s">
        <v>1902</v>
      </c>
      <c r="C2251" s="15" t="s">
        <v>3</v>
      </c>
      <c r="D2251" s="31" t="s">
        <v>1708</v>
      </c>
      <c r="E2251" s="31"/>
      <c r="F2251" s="73" t="s">
        <v>4</v>
      </c>
      <c r="G2251" s="32">
        <v>32509</v>
      </c>
      <c r="H2251" s="29">
        <v>4400</v>
      </c>
      <c r="I2251" s="17">
        <v>0</v>
      </c>
      <c r="J2251" s="17">
        <f t="shared" si="371"/>
        <v>4180</v>
      </c>
      <c r="K2251" s="17">
        <f t="shared" si="366"/>
        <v>220</v>
      </c>
      <c r="L2251" s="23">
        <f t="shared" si="364"/>
        <v>220</v>
      </c>
      <c r="M2251" s="33">
        <v>10</v>
      </c>
      <c r="N2251" s="18">
        <f t="shared" si="367"/>
        <v>31.271232876712329</v>
      </c>
      <c r="O2251" s="23">
        <f t="shared" si="376"/>
        <v>2090</v>
      </c>
      <c r="P2251" s="18">
        <f t="shared" si="368"/>
        <v>32.271232876712325</v>
      </c>
      <c r="Q2251" s="18">
        <f t="shared" si="370"/>
        <v>0</v>
      </c>
      <c r="R2251" s="18">
        <f t="shared" si="369"/>
        <v>2090</v>
      </c>
      <c r="S2251" s="18">
        <v>0</v>
      </c>
    </row>
    <row r="2252" spans="1:19" ht="15" customHeight="1" x14ac:dyDescent="0.2">
      <c r="A2252" s="14">
        <f t="shared" si="373"/>
        <v>2213</v>
      </c>
      <c r="B2252" s="31" t="s">
        <v>1903</v>
      </c>
      <c r="C2252" s="15" t="s">
        <v>3</v>
      </c>
      <c r="D2252" s="31" t="s">
        <v>1708</v>
      </c>
      <c r="E2252" s="31"/>
      <c r="F2252" s="73" t="s">
        <v>4</v>
      </c>
      <c r="G2252" s="32">
        <v>32509</v>
      </c>
      <c r="H2252" s="29">
        <v>1973</v>
      </c>
      <c r="I2252" s="17">
        <v>0</v>
      </c>
      <c r="J2252" s="17">
        <f t="shared" si="371"/>
        <v>1874.35</v>
      </c>
      <c r="K2252" s="17">
        <f t="shared" si="366"/>
        <v>98.650000000000091</v>
      </c>
      <c r="L2252" s="23">
        <f t="shared" si="364"/>
        <v>98.65</v>
      </c>
      <c r="M2252" s="33">
        <v>10</v>
      </c>
      <c r="N2252" s="18">
        <f t="shared" si="367"/>
        <v>31.271232876712329</v>
      </c>
      <c r="O2252" s="23">
        <f t="shared" si="376"/>
        <v>937.17499999999995</v>
      </c>
      <c r="P2252" s="18">
        <f t="shared" si="368"/>
        <v>32.271232876712325</v>
      </c>
      <c r="Q2252" s="18">
        <f t="shared" si="370"/>
        <v>8.5265128291211719E-15</v>
      </c>
      <c r="R2252" s="18">
        <f t="shared" si="369"/>
        <v>937.17499999999995</v>
      </c>
      <c r="S2252" s="18">
        <v>0</v>
      </c>
    </row>
    <row r="2253" spans="1:19" ht="15" customHeight="1" x14ac:dyDescent="0.2">
      <c r="A2253" s="14">
        <f t="shared" si="373"/>
        <v>2214</v>
      </c>
      <c r="B2253" s="31" t="s">
        <v>1904</v>
      </c>
      <c r="C2253" s="15" t="s">
        <v>3</v>
      </c>
      <c r="D2253" s="31" t="s">
        <v>1708</v>
      </c>
      <c r="E2253" s="31"/>
      <c r="F2253" s="73" t="s">
        <v>4</v>
      </c>
      <c r="G2253" s="32">
        <v>39448</v>
      </c>
      <c r="H2253" s="29">
        <v>9500</v>
      </c>
      <c r="I2253" s="17">
        <v>0</v>
      </c>
      <c r="J2253" s="17">
        <f t="shared" si="371"/>
        <v>9025</v>
      </c>
      <c r="K2253" s="17">
        <f t="shared" si="366"/>
        <v>475</v>
      </c>
      <c r="L2253" s="23">
        <f t="shared" si="364"/>
        <v>475</v>
      </c>
      <c r="M2253" s="33">
        <v>10</v>
      </c>
      <c r="N2253" s="18">
        <f t="shared" si="367"/>
        <v>12.260273972602739</v>
      </c>
      <c r="O2253" s="23">
        <f t="shared" si="376"/>
        <v>4512.5</v>
      </c>
      <c r="P2253" s="18">
        <f t="shared" si="368"/>
        <v>13.260273972602739</v>
      </c>
      <c r="Q2253" s="18">
        <f t="shared" si="370"/>
        <v>0</v>
      </c>
      <c r="R2253" s="18">
        <f t="shared" si="369"/>
        <v>4512.5</v>
      </c>
      <c r="S2253" s="18">
        <v>0</v>
      </c>
    </row>
    <row r="2254" spans="1:19" ht="15" customHeight="1" x14ac:dyDescent="0.2">
      <c r="A2254" s="14">
        <f t="shared" si="373"/>
        <v>2215</v>
      </c>
      <c r="B2254" s="31" t="s">
        <v>1905</v>
      </c>
      <c r="C2254" s="15" t="s">
        <v>3</v>
      </c>
      <c r="D2254" s="31" t="s">
        <v>1708</v>
      </c>
      <c r="E2254" s="31"/>
      <c r="F2254" s="73" t="s">
        <v>4</v>
      </c>
      <c r="G2254" s="32">
        <v>41379</v>
      </c>
      <c r="H2254" s="29">
        <v>9154.17</v>
      </c>
      <c r="I2254" s="17">
        <v>0</v>
      </c>
      <c r="J2254" s="17">
        <v>2580.3473436986301</v>
      </c>
      <c r="K2254" s="17">
        <f t="shared" si="366"/>
        <v>6573.8226563013704</v>
      </c>
      <c r="L2254" s="23">
        <f t="shared" si="364"/>
        <v>457.70850000000002</v>
      </c>
      <c r="M2254" s="33">
        <v>10</v>
      </c>
      <c r="N2254" s="18">
        <f t="shared" si="367"/>
        <v>6.9698630136986299</v>
      </c>
      <c r="O2254" s="23">
        <v>2093.110273972603</v>
      </c>
      <c r="P2254" s="18">
        <f t="shared" si="368"/>
        <v>7.9698630136986299</v>
      </c>
      <c r="Q2254" s="18">
        <f t="shared" si="370"/>
        <v>611.61141563013712</v>
      </c>
      <c r="R2254" s="18">
        <f t="shared" si="369"/>
        <v>2704.7216896027403</v>
      </c>
      <c r="S2254" s="18">
        <v>0</v>
      </c>
    </row>
    <row r="2255" spans="1:19" ht="15" customHeight="1" x14ac:dyDescent="0.2">
      <c r="A2255" s="14">
        <f t="shared" si="373"/>
        <v>2216</v>
      </c>
      <c r="B2255" s="31" t="s">
        <v>1906</v>
      </c>
      <c r="C2255" s="15" t="s">
        <v>3</v>
      </c>
      <c r="D2255" s="31" t="s">
        <v>1708</v>
      </c>
      <c r="E2255" s="31"/>
      <c r="F2255" s="73" t="s">
        <v>4</v>
      </c>
      <c r="G2255" s="32">
        <v>32509</v>
      </c>
      <c r="H2255" s="29">
        <v>1849</v>
      </c>
      <c r="I2255" s="17">
        <v>0</v>
      </c>
      <c r="J2255" s="17">
        <f t="shared" si="371"/>
        <v>1756.55</v>
      </c>
      <c r="K2255" s="17">
        <f t="shared" si="366"/>
        <v>92.450000000000045</v>
      </c>
      <c r="L2255" s="23">
        <f t="shared" si="364"/>
        <v>92.45</v>
      </c>
      <c r="M2255" s="33">
        <v>10</v>
      </c>
      <c r="N2255" s="18">
        <f t="shared" si="367"/>
        <v>31.271232876712329</v>
      </c>
      <c r="O2255" s="23">
        <f t="shared" ref="O2255:O2256" si="377">(H2255-K2255)/2</f>
        <v>878.27499999999998</v>
      </c>
      <c r="P2255" s="18">
        <f t="shared" si="368"/>
        <v>32.271232876712325</v>
      </c>
      <c r="Q2255" s="18">
        <f t="shared" si="370"/>
        <v>4.263256414560586E-15</v>
      </c>
      <c r="R2255" s="18">
        <f t="shared" si="369"/>
        <v>878.27499999999998</v>
      </c>
      <c r="S2255" s="18">
        <v>0</v>
      </c>
    </row>
    <row r="2256" spans="1:19" ht="15" customHeight="1" x14ac:dyDescent="0.2">
      <c r="A2256" s="14">
        <f t="shared" si="373"/>
        <v>2217</v>
      </c>
      <c r="B2256" s="31" t="s">
        <v>1907</v>
      </c>
      <c r="C2256" s="15" t="s">
        <v>3</v>
      </c>
      <c r="D2256" s="31" t="s">
        <v>1708</v>
      </c>
      <c r="E2256" s="31"/>
      <c r="F2256" s="73" t="s">
        <v>4</v>
      </c>
      <c r="G2256" s="32">
        <v>32509</v>
      </c>
      <c r="H2256" s="29">
        <v>1700</v>
      </c>
      <c r="I2256" s="17">
        <v>0</v>
      </c>
      <c r="J2256" s="17">
        <f t="shared" si="371"/>
        <v>1615</v>
      </c>
      <c r="K2256" s="17">
        <f t="shared" si="366"/>
        <v>85</v>
      </c>
      <c r="L2256" s="23">
        <f t="shared" si="364"/>
        <v>85</v>
      </c>
      <c r="M2256" s="33">
        <v>10</v>
      </c>
      <c r="N2256" s="18">
        <f t="shared" si="367"/>
        <v>31.271232876712329</v>
      </c>
      <c r="O2256" s="23">
        <f t="shared" si="377"/>
        <v>807.5</v>
      </c>
      <c r="P2256" s="18">
        <f t="shared" si="368"/>
        <v>32.271232876712325</v>
      </c>
      <c r="Q2256" s="18">
        <f t="shared" si="370"/>
        <v>0</v>
      </c>
      <c r="R2256" s="18">
        <f t="shared" si="369"/>
        <v>807.5</v>
      </c>
      <c r="S2256" s="18">
        <v>0</v>
      </c>
    </row>
    <row r="2257" spans="1:19" ht="15" customHeight="1" x14ac:dyDescent="0.2">
      <c r="A2257" s="14">
        <f t="shared" si="373"/>
        <v>2218</v>
      </c>
      <c r="B2257" s="31" t="s">
        <v>1908</v>
      </c>
      <c r="C2257" s="15" t="s">
        <v>3</v>
      </c>
      <c r="D2257" s="31" t="s">
        <v>1708</v>
      </c>
      <c r="E2257" s="31"/>
      <c r="F2257" s="73" t="s">
        <v>4</v>
      </c>
      <c r="G2257" s="32">
        <v>41258</v>
      </c>
      <c r="H2257" s="29">
        <v>9000</v>
      </c>
      <c r="I2257" s="17">
        <v>0</v>
      </c>
      <c r="J2257" s="17">
        <v>2820.3287671232879</v>
      </c>
      <c r="K2257" s="17">
        <f t="shared" si="366"/>
        <v>6179.6712328767117</v>
      </c>
      <c r="L2257" s="23">
        <f t="shared" si="364"/>
        <v>450</v>
      </c>
      <c r="M2257" s="33">
        <v>10</v>
      </c>
      <c r="N2257" s="18">
        <f t="shared" si="367"/>
        <v>7.3013698630136989</v>
      </c>
      <c r="O2257" s="23">
        <v>1355.0950958904111</v>
      </c>
      <c r="P2257" s="18">
        <f t="shared" si="368"/>
        <v>8.3013698630136989</v>
      </c>
      <c r="Q2257" s="18">
        <f t="shared" si="370"/>
        <v>572.96712328767114</v>
      </c>
      <c r="R2257" s="18">
        <f t="shared" si="369"/>
        <v>1928.0622191780822</v>
      </c>
      <c r="S2257" s="18">
        <v>0</v>
      </c>
    </row>
    <row r="2258" spans="1:19" ht="15" customHeight="1" x14ac:dyDescent="0.2">
      <c r="A2258" s="14">
        <f t="shared" si="373"/>
        <v>2219</v>
      </c>
      <c r="B2258" s="31" t="s">
        <v>1909</v>
      </c>
      <c r="C2258" s="15" t="s">
        <v>3</v>
      </c>
      <c r="D2258" s="31" t="s">
        <v>1708</v>
      </c>
      <c r="E2258" s="31"/>
      <c r="F2258" s="73" t="s">
        <v>4</v>
      </c>
      <c r="G2258" s="32">
        <v>41409</v>
      </c>
      <c r="H2258" s="29">
        <v>8780</v>
      </c>
      <c r="I2258" s="17">
        <v>0</v>
      </c>
      <c r="J2258" s="17">
        <f t="shared" si="371"/>
        <v>8341</v>
      </c>
      <c r="K2258" s="17">
        <f t="shared" si="366"/>
        <v>439</v>
      </c>
      <c r="L2258" s="23">
        <f t="shared" si="364"/>
        <v>439</v>
      </c>
      <c r="M2258" s="33">
        <v>5</v>
      </c>
      <c r="N2258" s="18">
        <f t="shared" si="367"/>
        <v>6.8876712328767127</v>
      </c>
      <c r="O2258" s="23">
        <f t="shared" ref="O2258:O2259" si="378">(H2258-K2258)/2</f>
        <v>4170.5</v>
      </c>
      <c r="P2258" s="18">
        <f t="shared" si="368"/>
        <v>7.8876712328767127</v>
      </c>
      <c r="Q2258" s="18">
        <f t="shared" si="370"/>
        <v>0</v>
      </c>
      <c r="R2258" s="18">
        <f t="shared" si="369"/>
        <v>4170.5</v>
      </c>
      <c r="S2258" s="18">
        <v>0</v>
      </c>
    </row>
    <row r="2259" spans="1:19" ht="15" customHeight="1" x14ac:dyDescent="0.2">
      <c r="A2259" s="14">
        <f t="shared" si="373"/>
        <v>2220</v>
      </c>
      <c r="B2259" s="31" t="s">
        <v>1910</v>
      </c>
      <c r="C2259" s="15" t="s">
        <v>3</v>
      </c>
      <c r="D2259" s="31" t="s">
        <v>1708</v>
      </c>
      <c r="E2259" s="31"/>
      <c r="F2259" s="73" t="s">
        <v>4</v>
      </c>
      <c r="G2259" s="32">
        <v>32509</v>
      </c>
      <c r="H2259" s="29">
        <v>630</v>
      </c>
      <c r="I2259" s="17">
        <v>0</v>
      </c>
      <c r="J2259" s="17">
        <f t="shared" si="371"/>
        <v>598.5</v>
      </c>
      <c r="K2259" s="17">
        <f t="shared" si="366"/>
        <v>31.5</v>
      </c>
      <c r="L2259" s="23">
        <f t="shared" si="364"/>
        <v>31.5</v>
      </c>
      <c r="M2259" s="33">
        <v>10</v>
      </c>
      <c r="N2259" s="18">
        <f t="shared" si="367"/>
        <v>31.271232876712329</v>
      </c>
      <c r="O2259" s="23">
        <f t="shared" si="378"/>
        <v>299.25</v>
      </c>
      <c r="P2259" s="18">
        <f t="shared" si="368"/>
        <v>32.271232876712325</v>
      </c>
      <c r="Q2259" s="18">
        <f t="shared" si="370"/>
        <v>0</v>
      </c>
      <c r="R2259" s="18">
        <f t="shared" si="369"/>
        <v>299.25</v>
      </c>
      <c r="S2259" s="18">
        <v>0</v>
      </c>
    </row>
    <row r="2260" spans="1:19" ht="15" customHeight="1" x14ac:dyDescent="0.2">
      <c r="A2260" s="14">
        <f t="shared" si="373"/>
        <v>2221</v>
      </c>
      <c r="B2260" s="31" t="s">
        <v>1911</v>
      </c>
      <c r="C2260" s="15" t="s">
        <v>3</v>
      </c>
      <c r="D2260" s="31" t="s">
        <v>1708</v>
      </c>
      <c r="E2260" s="31"/>
      <c r="F2260" s="73" t="s">
        <v>4</v>
      </c>
      <c r="G2260" s="32">
        <v>40678</v>
      </c>
      <c r="H2260" s="29">
        <v>8458</v>
      </c>
      <c r="I2260" s="17">
        <v>0</v>
      </c>
      <c r="J2260" s="17">
        <v>3927.2927123287673</v>
      </c>
      <c r="K2260" s="17">
        <f t="shared" si="366"/>
        <v>4530.7072876712327</v>
      </c>
      <c r="L2260" s="23">
        <f t="shared" si="364"/>
        <v>422.90000000000003</v>
      </c>
      <c r="M2260" s="33">
        <v>10</v>
      </c>
      <c r="N2260" s="18">
        <f t="shared" si="367"/>
        <v>8.8904109589041092</v>
      </c>
      <c r="O2260" s="23">
        <v>440.96592465753429</v>
      </c>
      <c r="P2260" s="18">
        <f t="shared" si="368"/>
        <v>9.8904109589041092</v>
      </c>
      <c r="Q2260" s="18">
        <f t="shared" si="370"/>
        <v>410.78072876712332</v>
      </c>
      <c r="R2260" s="18">
        <f t="shared" si="369"/>
        <v>851.74665342465755</v>
      </c>
      <c r="S2260" s="18">
        <v>0</v>
      </c>
    </row>
    <row r="2261" spans="1:19" ht="15" customHeight="1" x14ac:dyDescent="0.2">
      <c r="A2261" s="14">
        <f t="shared" si="373"/>
        <v>2222</v>
      </c>
      <c r="B2261" s="31" t="s">
        <v>1912</v>
      </c>
      <c r="C2261" s="15" t="s">
        <v>3</v>
      </c>
      <c r="D2261" s="31" t="s">
        <v>1708</v>
      </c>
      <c r="E2261" s="31"/>
      <c r="F2261" s="73" t="s">
        <v>4</v>
      </c>
      <c r="G2261" s="32">
        <v>39736</v>
      </c>
      <c r="H2261" s="29">
        <v>8400</v>
      </c>
      <c r="I2261" s="17">
        <v>0</v>
      </c>
      <c r="J2261" s="17">
        <f t="shared" si="371"/>
        <v>7980</v>
      </c>
      <c r="K2261" s="17">
        <f t="shared" si="366"/>
        <v>420</v>
      </c>
      <c r="L2261" s="23">
        <f t="shared" ref="L2261:L2324" si="379">H2261*0.05</f>
        <v>420</v>
      </c>
      <c r="M2261" s="33">
        <v>10</v>
      </c>
      <c r="N2261" s="18">
        <f t="shared" si="367"/>
        <v>11.471232876712328</v>
      </c>
      <c r="O2261" s="23">
        <f t="shared" ref="O2261:O2262" si="380">(H2261-K2261)/2</f>
        <v>3990</v>
      </c>
      <c r="P2261" s="18">
        <f t="shared" si="368"/>
        <v>12.471232876712328</v>
      </c>
      <c r="Q2261" s="18">
        <f t="shared" si="370"/>
        <v>0</v>
      </c>
      <c r="R2261" s="18">
        <f t="shared" si="369"/>
        <v>3990</v>
      </c>
      <c r="S2261" s="18">
        <v>0</v>
      </c>
    </row>
    <row r="2262" spans="1:19" ht="15" customHeight="1" x14ac:dyDescent="0.2">
      <c r="A2262" s="14">
        <f t="shared" si="373"/>
        <v>2223</v>
      </c>
      <c r="B2262" s="31" t="s">
        <v>1913</v>
      </c>
      <c r="C2262" s="15" t="s">
        <v>3</v>
      </c>
      <c r="D2262" s="31" t="s">
        <v>1708</v>
      </c>
      <c r="E2262" s="31"/>
      <c r="F2262" s="73" t="s">
        <v>4</v>
      </c>
      <c r="G2262" s="32">
        <v>39828</v>
      </c>
      <c r="H2262" s="29">
        <v>8399.9</v>
      </c>
      <c r="I2262" s="17">
        <v>0</v>
      </c>
      <c r="J2262" s="17">
        <f t="shared" si="371"/>
        <v>7979.9049999999997</v>
      </c>
      <c r="K2262" s="17">
        <f t="shared" si="366"/>
        <v>419.99499999999989</v>
      </c>
      <c r="L2262" s="23">
        <f t="shared" si="379"/>
        <v>419.995</v>
      </c>
      <c r="M2262" s="33">
        <v>10</v>
      </c>
      <c r="N2262" s="18">
        <f t="shared" si="367"/>
        <v>11.219178082191782</v>
      </c>
      <c r="O2262" s="23">
        <f t="shared" si="380"/>
        <v>3989.9524999999999</v>
      </c>
      <c r="P2262" s="18">
        <f t="shared" si="368"/>
        <v>12.219178082191782</v>
      </c>
      <c r="Q2262" s="18">
        <f t="shared" si="370"/>
        <v>-1.1368683772161604E-14</v>
      </c>
      <c r="R2262" s="18">
        <f t="shared" si="369"/>
        <v>3989.9524999999999</v>
      </c>
      <c r="S2262" s="18">
        <v>0</v>
      </c>
    </row>
    <row r="2263" spans="1:19" ht="15" customHeight="1" x14ac:dyDescent="0.2">
      <c r="A2263" s="14">
        <f t="shared" si="373"/>
        <v>2224</v>
      </c>
      <c r="B2263" s="31" t="s">
        <v>1914</v>
      </c>
      <c r="C2263" s="15" t="s">
        <v>3</v>
      </c>
      <c r="D2263" s="31" t="s">
        <v>1708</v>
      </c>
      <c r="E2263" s="31"/>
      <c r="F2263" s="73" t="s">
        <v>4</v>
      </c>
      <c r="G2263" s="32">
        <v>41289</v>
      </c>
      <c r="H2263" s="29">
        <v>8250</v>
      </c>
      <c r="I2263" s="17">
        <v>0</v>
      </c>
      <c r="J2263" s="17">
        <v>2518.7363013698628</v>
      </c>
      <c r="K2263" s="17">
        <f t="shared" si="366"/>
        <v>5731.2636986301368</v>
      </c>
      <c r="L2263" s="23">
        <f t="shared" si="379"/>
        <v>412.5</v>
      </c>
      <c r="M2263" s="33">
        <v>10</v>
      </c>
      <c r="N2263" s="18">
        <f t="shared" si="367"/>
        <v>7.2164383561643834</v>
      </c>
      <c r="O2263" s="23">
        <v>727.23983561643854</v>
      </c>
      <c r="P2263" s="18">
        <f t="shared" si="368"/>
        <v>8.2164383561643834</v>
      </c>
      <c r="Q2263" s="18">
        <f t="shared" si="370"/>
        <v>531.87636986301368</v>
      </c>
      <c r="R2263" s="18">
        <f t="shared" si="369"/>
        <v>1259.1162054794522</v>
      </c>
      <c r="S2263" s="18">
        <v>0</v>
      </c>
    </row>
    <row r="2264" spans="1:19" ht="15" customHeight="1" x14ac:dyDescent="0.2">
      <c r="A2264" s="14">
        <f t="shared" si="373"/>
        <v>2225</v>
      </c>
      <c r="B2264" s="31" t="s">
        <v>1915</v>
      </c>
      <c r="C2264" s="15" t="s">
        <v>3</v>
      </c>
      <c r="D2264" s="31" t="s">
        <v>1708</v>
      </c>
      <c r="E2264" s="31"/>
      <c r="F2264" s="73" t="s">
        <v>4</v>
      </c>
      <c r="G2264" s="32">
        <v>41608</v>
      </c>
      <c r="H2264" s="29">
        <v>8200</v>
      </c>
      <c r="I2264" s="17">
        <v>0</v>
      </c>
      <c r="J2264" s="17">
        <v>1822.6465753424657</v>
      </c>
      <c r="K2264" s="17">
        <f t="shared" si="366"/>
        <v>6377.3534246575346</v>
      </c>
      <c r="L2264" s="23">
        <f t="shared" si="379"/>
        <v>410</v>
      </c>
      <c r="M2264" s="33">
        <v>10</v>
      </c>
      <c r="N2264" s="18">
        <f t="shared" si="367"/>
        <v>6.3424657534246576</v>
      </c>
      <c r="O2264" s="23">
        <v>23545.198479452054</v>
      </c>
      <c r="P2264" s="18">
        <f t="shared" si="368"/>
        <v>7.3424657534246576</v>
      </c>
      <c r="Q2264" s="18">
        <f t="shared" si="370"/>
        <v>596.73534246575343</v>
      </c>
      <c r="R2264" s="18">
        <f t="shared" si="369"/>
        <v>24141.933821917806</v>
      </c>
      <c r="S2264" s="18">
        <v>0</v>
      </c>
    </row>
    <row r="2265" spans="1:19" ht="15" customHeight="1" x14ac:dyDescent="0.2">
      <c r="A2265" s="14">
        <f t="shared" si="373"/>
        <v>2226</v>
      </c>
      <c r="B2265" s="31" t="s">
        <v>1916</v>
      </c>
      <c r="C2265" s="15" t="s">
        <v>3</v>
      </c>
      <c r="D2265" s="31" t="s">
        <v>1708</v>
      </c>
      <c r="E2265" s="31"/>
      <c r="F2265" s="73" t="s">
        <v>4</v>
      </c>
      <c r="G2265" s="32">
        <v>32509</v>
      </c>
      <c r="H2265" s="29">
        <v>600</v>
      </c>
      <c r="I2265" s="17">
        <v>0</v>
      </c>
      <c r="J2265" s="17">
        <f t="shared" ref="J2265:J2299" si="381">H2265-L2265</f>
        <v>570</v>
      </c>
      <c r="K2265" s="17">
        <f t="shared" si="366"/>
        <v>30</v>
      </c>
      <c r="L2265" s="23">
        <f t="shared" si="379"/>
        <v>30</v>
      </c>
      <c r="M2265" s="33">
        <v>10</v>
      </c>
      <c r="N2265" s="18">
        <f t="shared" si="367"/>
        <v>31.271232876712329</v>
      </c>
      <c r="O2265" s="23">
        <f t="shared" ref="O2265:O2267" si="382">(H2265-K2265)/2</f>
        <v>285</v>
      </c>
      <c r="P2265" s="18">
        <f t="shared" si="368"/>
        <v>32.271232876712325</v>
      </c>
      <c r="Q2265" s="18">
        <f t="shared" si="370"/>
        <v>0</v>
      </c>
      <c r="R2265" s="18">
        <f t="shared" si="369"/>
        <v>285</v>
      </c>
      <c r="S2265" s="18">
        <v>0</v>
      </c>
    </row>
    <row r="2266" spans="1:19" ht="15" customHeight="1" x14ac:dyDescent="0.2">
      <c r="A2266" s="14">
        <f t="shared" si="373"/>
        <v>2227</v>
      </c>
      <c r="B2266" s="31" t="s">
        <v>1917</v>
      </c>
      <c r="C2266" s="15" t="s">
        <v>3</v>
      </c>
      <c r="D2266" s="31" t="s">
        <v>1708</v>
      </c>
      <c r="E2266" s="31"/>
      <c r="F2266" s="73" t="s">
        <v>4</v>
      </c>
      <c r="G2266" s="32">
        <v>41228</v>
      </c>
      <c r="H2266" s="29">
        <v>8108.2</v>
      </c>
      <c r="I2266" s="17">
        <v>0</v>
      </c>
      <c r="J2266" s="17">
        <f t="shared" si="381"/>
        <v>7702.79</v>
      </c>
      <c r="K2266" s="17">
        <f t="shared" si="366"/>
        <v>405.40999999999985</v>
      </c>
      <c r="L2266" s="23">
        <f t="shared" si="379"/>
        <v>405.41</v>
      </c>
      <c r="M2266" s="33">
        <v>5</v>
      </c>
      <c r="N2266" s="18">
        <f t="shared" si="367"/>
        <v>7.3835616438356162</v>
      </c>
      <c r="O2266" s="23">
        <f t="shared" si="382"/>
        <v>3851.395</v>
      </c>
      <c r="P2266" s="18">
        <f t="shared" si="368"/>
        <v>8.3835616438356162</v>
      </c>
      <c r="Q2266" s="18">
        <f t="shared" si="370"/>
        <v>-3.4106051316484814E-14</v>
      </c>
      <c r="R2266" s="18">
        <f t="shared" si="369"/>
        <v>3851.395</v>
      </c>
      <c r="S2266" s="18">
        <v>0</v>
      </c>
    </row>
    <row r="2267" spans="1:19" ht="15" customHeight="1" x14ac:dyDescent="0.2">
      <c r="A2267" s="14">
        <f t="shared" si="373"/>
        <v>2228</v>
      </c>
      <c r="B2267" s="31" t="s">
        <v>1918</v>
      </c>
      <c r="C2267" s="15" t="s">
        <v>3</v>
      </c>
      <c r="D2267" s="31" t="s">
        <v>1708</v>
      </c>
      <c r="E2267" s="31"/>
      <c r="F2267" s="73" t="s">
        <v>4</v>
      </c>
      <c r="G2267" s="32">
        <v>32874</v>
      </c>
      <c r="H2267" s="29">
        <v>59424</v>
      </c>
      <c r="I2267" s="17">
        <v>0</v>
      </c>
      <c r="J2267" s="17">
        <f t="shared" si="381"/>
        <v>56452.800000000003</v>
      </c>
      <c r="K2267" s="17">
        <f t="shared" si="366"/>
        <v>2971.1999999999971</v>
      </c>
      <c r="L2267" s="23">
        <f t="shared" si="379"/>
        <v>2971.2000000000003</v>
      </c>
      <c r="M2267" s="33">
        <v>10</v>
      </c>
      <c r="N2267" s="18">
        <f t="shared" si="367"/>
        <v>30.271232876712329</v>
      </c>
      <c r="O2267" s="23">
        <f t="shared" si="382"/>
        <v>28226.400000000001</v>
      </c>
      <c r="P2267" s="18">
        <f t="shared" si="368"/>
        <v>31.271232876712329</v>
      </c>
      <c r="Q2267" s="18">
        <f t="shared" si="370"/>
        <v>-3.1832314562052491E-13</v>
      </c>
      <c r="R2267" s="18">
        <f t="shared" si="369"/>
        <v>28226.400000000001</v>
      </c>
      <c r="S2267" s="18">
        <v>0</v>
      </c>
    </row>
    <row r="2268" spans="1:19" ht="15" customHeight="1" x14ac:dyDescent="0.2">
      <c r="A2268" s="14">
        <f t="shared" si="373"/>
        <v>2229</v>
      </c>
      <c r="B2268" s="31" t="s">
        <v>1919</v>
      </c>
      <c r="C2268" s="15" t="s">
        <v>3</v>
      </c>
      <c r="D2268" s="31" t="s">
        <v>1708</v>
      </c>
      <c r="E2268" s="31"/>
      <c r="F2268" s="73" t="s">
        <v>4</v>
      </c>
      <c r="G2268" s="32">
        <v>40558</v>
      </c>
      <c r="H2268" s="29">
        <v>8080</v>
      </c>
      <c r="I2268" s="17">
        <v>0</v>
      </c>
      <c r="J2268" s="17">
        <v>4004.138082191781</v>
      </c>
      <c r="K2268" s="17">
        <f t="shared" si="366"/>
        <v>4075.861917808219</v>
      </c>
      <c r="L2268" s="23">
        <f t="shared" si="379"/>
        <v>404</v>
      </c>
      <c r="M2268" s="33">
        <v>10</v>
      </c>
      <c r="N2268" s="18">
        <f t="shared" si="367"/>
        <v>9.2191780821917817</v>
      </c>
      <c r="O2268" s="23">
        <v>2335.3160273972603</v>
      </c>
      <c r="P2268" s="18">
        <f t="shared" si="368"/>
        <v>10.219178082191782</v>
      </c>
      <c r="Q2268" s="18">
        <f t="shared" si="370"/>
        <v>367.1861917808219</v>
      </c>
      <c r="R2268" s="18">
        <f t="shared" si="369"/>
        <v>2702.5022191780822</v>
      </c>
      <c r="S2268" s="18">
        <v>0</v>
      </c>
    </row>
    <row r="2269" spans="1:19" ht="15" customHeight="1" x14ac:dyDescent="0.2">
      <c r="A2269" s="14">
        <f t="shared" si="373"/>
        <v>2230</v>
      </c>
      <c r="B2269" s="31" t="s">
        <v>1920</v>
      </c>
      <c r="C2269" s="15" t="s">
        <v>3</v>
      </c>
      <c r="D2269" s="31" t="s">
        <v>1708</v>
      </c>
      <c r="E2269" s="31"/>
      <c r="F2269" s="73" t="s">
        <v>4</v>
      </c>
      <c r="G2269" s="32">
        <v>32509</v>
      </c>
      <c r="H2269" s="29">
        <v>530</v>
      </c>
      <c r="I2269" s="17">
        <v>0</v>
      </c>
      <c r="J2269" s="17">
        <f t="shared" si="381"/>
        <v>503.5</v>
      </c>
      <c r="K2269" s="17">
        <f t="shared" si="366"/>
        <v>26.5</v>
      </c>
      <c r="L2269" s="23">
        <f t="shared" si="379"/>
        <v>26.5</v>
      </c>
      <c r="M2269" s="33">
        <v>10</v>
      </c>
      <c r="N2269" s="18">
        <f t="shared" si="367"/>
        <v>31.271232876712329</v>
      </c>
      <c r="O2269" s="23">
        <f t="shared" ref="O2269:O2270" si="383">(H2269-K2269)/2</f>
        <v>251.75</v>
      </c>
      <c r="P2269" s="18">
        <f t="shared" si="368"/>
        <v>32.271232876712325</v>
      </c>
      <c r="Q2269" s="18">
        <f t="shared" si="370"/>
        <v>0</v>
      </c>
      <c r="R2269" s="18">
        <f t="shared" si="369"/>
        <v>251.75</v>
      </c>
      <c r="S2269" s="18">
        <v>0</v>
      </c>
    </row>
    <row r="2270" spans="1:19" ht="15" customHeight="1" x14ac:dyDescent="0.2">
      <c r="A2270" s="14">
        <f t="shared" si="373"/>
        <v>2231</v>
      </c>
      <c r="B2270" s="31" t="s">
        <v>1921</v>
      </c>
      <c r="C2270" s="15" t="s">
        <v>3</v>
      </c>
      <c r="D2270" s="31" t="s">
        <v>1708</v>
      </c>
      <c r="E2270" s="31"/>
      <c r="F2270" s="73" t="s">
        <v>4</v>
      </c>
      <c r="G2270" s="32">
        <v>32509</v>
      </c>
      <c r="H2270" s="29">
        <v>288</v>
      </c>
      <c r="I2270" s="17">
        <v>0</v>
      </c>
      <c r="J2270" s="17">
        <f t="shared" si="381"/>
        <v>273.60000000000002</v>
      </c>
      <c r="K2270" s="17">
        <f t="shared" si="366"/>
        <v>14.399999999999977</v>
      </c>
      <c r="L2270" s="23">
        <f t="shared" si="379"/>
        <v>14.4</v>
      </c>
      <c r="M2270" s="33">
        <v>10</v>
      </c>
      <c r="N2270" s="18">
        <f t="shared" si="367"/>
        <v>31.271232876712329</v>
      </c>
      <c r="O2270" s="23">
        <f t="shared" si="383"/>
        <v>136.80000000000001</v>
      </c>
      <c r="P2270" s="18">
        <f t="shared" si="368"/>
        <v>32.271232876712325</v>
      </c>
      <c r="Q2270" s="18">
        <f t="shared" si="370"/>
        <v>-2.3092638912203174E-15</v>
      </c>
      <c r="R2270" s="18">
        <f t="shared" si="369"/>
        <v>136.80000000000001</v>
      </c>
      <c r="S2270" s="18">
        <v>0</v>
      </c>
    </row>
    <row r="2271" spans="1:19" ht="15" customHeight="1" x14ac:dyDescent="0.2">
      <c r="A2271" s="14">
        <f t="shared" si="373"/>
        <v>2232</v>
      </c>
      <c r="B2271" s="31" t="s">
        <v>1922</v>
      </c>
      <c r="C2271" s="15" t="s">
        <v>3</v>
      </c>
      <c r="D2271" s="31" t="s">
        <v>1708</v>
      </c>
      <c r="E2271" s="31"/>
      <c r="F2271" s="73" t="s">
        <v>4</v>
      </c>
      <c r="G2271" s="32">
        <v>41348</v>
      </c>
      <c r="H2271" s="29">
        <v>7737.33</v>
      </c>
      <c r="I2271" s="17">
        <v>0</v>
      </c>
      <c r="J2271" s="17">
        <v>2243.4017367123288</v>
      </c>
      <c r="K2271" s="17">
        <f t="shared" si="366"/>
        <v>5493.9282632876711</v>
      </c>
      <c r="L2271" s="23">
        <f t="shared" si="379"/>
        <v>386.86650000000003</v>
      </c>
      <c r="M2271" s="33">
        <v>10</v>
      </c>
      <c r="N2271" s="18">
        <f t="shared" si="367"/>
        <v>7.0547945205479454</v>
      </c>
      <c r="O2271" s="23">
        <v>35.537417808219175</v>
      </c>
      <c r="P2271" s="18">
        <f t="shared" si="368"/>
        <v>8.0547945205479454</v>
      </c>
      <c r="Q2271" s="18">
        <f t="shared" si="370"/>
        <v>510.70617632876713</v>
      </c>
      <c r="R2271" s="18">
        <f t="shared" si="369"/>
        <v>546.2435941369863</v>
      </c>
      <c r="S2271" s="18">
        <v>0</v>
      </c>
    </row>
    <row r="2272" spans="1:19" ht="15" customHeight="1" x14ac:dyDescent="0.2">
      <c r="A2272" s="14">
        <f t="shared" si="373"/>
        <v>2233</v>
      </c>
      <c r="B2272" s="31" t="s">
        <v>1923</v>
      </c>
      <c r="C2272" s="15" t="s">
        <v>3</v>
      </c>
      <c r="D2272" s="31" t="s">
        <v>1708</v>
      </c>
      <c r="E2272" s="31"/>
      <c r="F2272" s="73" t="s">
        <v>4</v>
      </c>
      <c r="G2272" s="32">
        <v>32874</v>
      </c>
      <c r="H2272" s="29">
        <v>5200</v>
      </c>
      <c r="I2272" s="17">
        <v>0</v>
      </c>
      <c r="J2272" s="17">
        <f t="shared" si="381"/>
        <v>4940</v>
      </c>
      <c r="K2272" s="17">
        <f t="shared" si="366"/>
        <v>260</v>
      </c>
      <c r="L2272" s="23">
        <f t="shared" si="379"/>
        <v>260</v>
      </c>
      <c r="M2272" s="33">
        <v>10</v>
      </c>
      <c r="N2272" s="18">
        <f t="shared" si="367"/>
        <v>30.271232876712329</v>
      </c>
      <c r="O2272" s="23">
        <f t="shared" ref="O2272:O2279" si="384">(H2272-K2272)/2</f>
        <v>2470</v>
      </c>
      <c r="P2272" s="18">
        <f t="shared" si="368"/>
        <v>31.271232876712329</v>
      </c>
      <c r="Q2272" s="18">
        <f t="shared" si="370"/>
        <v>0</v>
      </c>
      <c r="R2272" s="18">
        <f t="shared" si="369"/>
        <v>2470</v>
      </c>
      <c r="S2272" s="18">
        <v>0</v>
      </c>
    </row>
    <row r="2273" spans="1:19" ht="15" customHeight="1" x14ac:dyDescent="0.2">
      <c r="A2273" s="14">
        <f t="shared" si="373"/>
        <v>2234</v>
      </c>
      <c r="B2273" s="31" t="s">
        <v>1809</v>
      </c>
      <c r="C2273" s="15" t="s">
        <v>3</v>
      </c>
      <c r="D2273" s="31" t="s">
        <v>1708</v>
      </c>
      <c r="E2273" s="31"/>
      <c r="F2273" s="73" t="s">
        <v>4</v>
      </c>
      <c r="G2273" s="32">
        <v>32874</v>
      </c>
      <c r="H2273" s="29">
        <v>4415</v>
      </c>
      <c r="I2273" s="17">
        <v>0</v>
      </c>
      <c r="J2273" s="17">
        <f t="shared" si="381"/>
        <v>4194.25</v>
      </c>
      <c r="K2273" s="17">
        <f t="shared" si="366"/>
        <v>220.75</v>
      </c>
      <c r="L2273" s="23">
        <f t="shared" si="379"/>
        <v>220.75</v>
      </c>
      <c r="M2273" s="33">
        <v>10</v>
      </c>
      <c r="N2273" s="18">
        <f t="shared" si="367"/>
        <v>30.271232876712329</v>
      </c>
      <c r="O2273" s="23">
        <f t="shared" si="384"/>
        <v>2097.125</v>
      </c>
      <c r="P2273" s="18">
        <f t="shared" si="368"/>
        <v>31.271232876712329</v>
      </c>
      <c r="Q2273" s="18">
        <f t="shared" si="370"/>
        <v>0</v>
      </c>
      <c r="R2273" s="18">
        <f t="shared" si="369"/>
        <v>2097.125</v>
      </c>
      <c r="S2273" s="18">
        <v>0</v>
      </c>
    </row>
    <row r="2274" spans="1:19" ht="15" customHeight="1" x14ac:dyDescent="0.2">
      <c r="A2274" s="14">
        <f t="shared" si="373"/>
        <v>2235</v>
      </c>
      <c r="B2274" s="31" t="s">
        <v>1924</v>
      </c>
      <c r="C2274" s="15" t="s">
        <v>3</v>
      </c>
      <c r="D2274" s="31" t="s">
        <v>1708</v>
      </c>
      <c r="E2274" s="31"/>
      <c r="F2274" s="73" t="s">
        <v>4</v>
      </c>
      <c r="G2274" s="32">
        <v>39797</v>
      </c>
      <c r="H2274" s="29">
        <v>7622</v>
      </c>
      <c r="I2274" s="17">
        <v>0</v>
      </c>
      <c r="J2274" s="17">
        <f t="shared" si="381"/>
        <v>7240.9</v>
      </c>
      <c r="K2274" s="17">
        <f t="shared" si="366"/>
        <v>381.10000000000036</v>
      </c>
      <c r="L2274" s="23">
        <f t="shared" si="379"/>
        <v>381.1</v>
      </c>
      <c r="M2274" s="33">
        <v>10</v>
      </c>
      <c r="N2274" s="18">
        <f t="shared" si="367"/>
        <v>11.304109589041095</v>
      </c>
      <c r="O2274" s="23">
        <f t="shared" si="384"/>
        <v>3620.45</v>
      </c>
      <c r="P2274" s="18">
        <f t="shared" si="368"/>
        <v>12.304109589041095</v>
      </c>
      <c r="Q2274" s="18">
        <f t="shared" si="370"/>
        <v>3.4106051316484814E-14</v>
      </c>
      <c r="R2274" s="18">
        <f t="shared" si="369"/>
        <v>3620.45</v>
      </c>
      <c r="S2274" s="18">
        <v>0</v>
      </c>
    </row>
    <row r="2275" spans="1:19" ht="15" customHeight="1" x14ac:dyDescent="0.2">
      <c r="A2275" s="14">
        <f t="shared" si="373"/>
        <v>2236</v>
      </c>
      <c r="B2275" s="31" t="s">
        <v>1817</v>
      </c>
      <c r="C2275" s="15" t="s">
        <v>3</v>
      </c>
      <c r="D2275" s="31" t="s">
        <v>1708</v>
      </c>
      <c r="E2275" s="31"/>
      <c r="F2275" s="73" t="s">
        <v>4</v>
      </c>
      <c r="G2275" s="32">
        <v>32874</v>
      </c>
      <c r="H2275" s="29">
        <v>3600</v>
      </c>
      <c r="I2275" s="17">
        <v>0</v>
      </c>
      <c r="J2275" s="17">
        <f t="shared" si="381"/>
        <v>3420</v>
      </c>
      <c r="K2275" s="17">
        <f t="shared" si="366"/>
        <v>180</v>
      </c>
      <c r="L2275" s="23">
        <f t="shared" si="379"/>
        <v>180</v>
      </c>
      <c r="M2275" s="33">
        <v>10</v>
      </c>
      <c r="N2275" s="18">
        <f t="shared" si="367"/>
        <v>30.271232876712329</v>
      </c>
      <c r="O2275" s="23">
        <f t="shared" si="384"/>
        <v>1710</v>
      </c>
      <c r="P2275" s="18">
        <f t="shared" si="368"/>
        <v>31.271232876712329</v>
      </c>
      <c r="Q2275" s="18">
        <f t="shared" si="370"/>
        <v>0</v>
      </c>
      <c r="R2275" s="18">
        <f t="shared" si="369"/>
        <v>1710</v>
      </c>
      <c r="S2275" s="18">
        <v>0</v>
      </c>
    </row>
    <row r="2276" spans="1:19" ht="15" customHeight="1" x14ac:dyDescent="0.2">
      <c r="A2276" s="14">
        <f t="shared" si="373"/>
        <v>2237</v>
      </c>
      <c r="B2276" s="31" t="s">
        <v>1801</v>
      </c>
      <c r="C2276" s="15" t="s">
        <v>3</v>
      </c>
      <c r="D2276" s="31" t="s">
        <v>1708</v>
      </c>
      <c r="E2276" s="31"/>
      <c r="F2276" s="73" t="s">
        <v>4</v>
      </c>
      <c r="G2276" s="32">
        <v>39448</v>
      </c>
      <c r="H2276" s="29">
        <v>7490.47</v>
      </c>
      <c r="I2276" s="17">
        <v>0</v>
      </c>
      <c r="J2276" s="17">
        <f t="shared" si="381"/>
        <v>7115.9465</v>
      </c>
      <c r="K2276" s="17">
        <f t="shared" si="366"/>
        <v>374.52350000000024</v>
      </c>
      <c r="L2276" s="23">
        <f t="shared" si="379"/>
        <v>374.52350000000001</v>
      </c>
      <c r="M2276" s="33">
        <v>10</v>
      </c>
      <c r="N2276" s="18">
        <f t="shared" si="367"/>
        <v>12.260273972602739</v>
      </c>
      <c r="O2276" s="23">
        <f t="shared" si="384"/>
        <v>3557.97325</v>
      </c>
      <c r="P2276" s="18">
        <f t="shared" si="368"/>
        <v>13.260273972602739</v>
      </c>
      <c r="Q2276" s="18">
        <f t="shared" si="370"/>
        <v>2.2737367544323207E-14</v>
      </c>
      <c r="R2276" s="18">
        <f t="shared" si="369"/>
        <v>3557.97325</v>
      </c>
      <c r="S2276" s="18">
        <v>0</v>
      </c>
    </row>
    <row r="2277" spans="1:19" ht="15" customHeight="1" x14ac:dyDescent="0.2">
      <c r="A2277" s="14">
        <f t="shared" si="373"/>
        <v>2238</v>
      </c>
      <c r="B2277" s="31" t="s">
        <v>1925</v>
      </c>
      <c r="C2277" s="15" t="s">
        <v>3</v>
      </c>
      <c r="D2277" s="31" t="s">
        <v>1708</v>
      </c>
      <c r="E2277" s="31"/>
      <c r="F2277" s="73" t="s">
        <v>4</v>
      </c>
      <c r="G2277" s="32">
        <v>40101</v>
      </c>
      <c r="H2277" s="29">
        <v>7485.38</v>
      </c>
      <c r="I2277" s="17">
        <v>0</v>
      </c>
      <c r="J2277" s="17">
        <f t="shared" si="381"/>
        <v>7111.1109999999999</v>
      </c>
      <c r="K2277" s="17">
        <f t="shared" si="366"/>
        <v>374.26900000000023</v>
      </c>
      <c r="L2277" s="23">
        <f t="shared" si="379"/>
        <v>374.26900000000001</v>
      </c>
      <c r="M2277" s="33">
        <v>10</v>
      </c>
      <c r="N2277" s="18">
        <f t="shared" si="367"/>
        <v>10.471232876712328</v>
      </c>
      <c r="O2277" s="23">
        <f t="shared" si="384"/>
        <v>3555.5554999999999</v>
      </c>
      <c r="P2277" s="18">
        <f t="shared" si="368"/>
        <v>11.471232876712328</v>
      </c>
      <c r="Q2277" s="18">
        <f t="shared" si="370"/>
        <v>2.2737367544323207E-14</v>
      </c>
      <c r="R2277" s="18">
        <f t="shared" si="369"/>
        <v>3555.5554999999999</v>
      </c>
      <c r="S2277" s="18">
        <v>0</v>
      </c>
    </row>
    <row r="2278" spans="1:19" ht="15" customHeight="1" x14ac:dyDescent="0.2">
      <c r="A2278" s="14">
        <f t="shared" si="373"/>
        <v>2239</v>
      </c>
      <c r="B2278" s="31" t="s">
        <v>1926</v>
      </c>
      <c r="C2278" s="15" t="s">
        <v>3</v>
      </c>
      <c r="D2278" s="31" t="s">
        <v>1708</v>
      </c>
      <c r="E2278" s="31"/>
      <c r="F2278" s="73" t="s">
        <v>4</v>
      </c>
      <c r="G2278" s="32">
        <v>39948</v>
      </c>
      <c r="H2278" s="29">
        <v>7300</v>
      </c>
      <c r="I2278" s="17">
        <v>0</v>
      </c>
      <c r="J2278" s="17">
        <f t="shared" si="381"/>
        <v>6935</v>
      </c>
      <c r="K2278" s="17">
        <f t="shared" ref="K2278:K2341" si="385">H2278+I2278-J2278</f>
        <v>365</v>
      </c>
      <c r="L2278" s="23">
        <f t="shared" si="379"/>
        <v>365</v>
      </c>
      <c r="M2278" s="33">
        <v>10</v>
      </c>
      <c r="N2278" s="18">
        <f t="shared" ref="N2278:N2341" si="386">IF(($N$35-G2278+1)/365&gt;0,($N$35-G2278+1)/365,0)</f>
        <v>10.890410958904109</v>
      </c>
      <c r="O2278" s="23">
        <f t="shared" si="384"/>
        <v>3467.5</v>
      </c>
      <c r="P2278" s="18">
        <f t="shared" ref="P2278:P2341" si="387">($P$35-G2278+1)/365</f>
        <v>11.890410958904109</v>
      </c>
      <c r="Q2278" s="18">
        <f t="shared" si="370"/>
        <v>0</v>
      </c>
      <c r="R2278" s="18">
        <f t="shared" ref="R2278:R2341" si="388">Q2278+O2278</f>
        <v>3467.5</v>
      </c>
      <c r="S2278" s="18">
        <v>0</v>
      </c>
    </row>
    <row r="2279" spans="1:19" ht="15" customHeight="1" x14ac:dyDescent="0.2">
      <c r="A2279" s="14">
        <f t="shared" si="373"/>
        <v>2240</v>
      </c>
      <c r="B2279" s="31" t="s">
        <v>1927</v>
      </c>
      <c r="C2279" s="15" t="s">
        <v>3</v>
      </c>
      <c r="D2279" s="31" t="s">
        <v>1708</v>
      </c>
      <c r="E2279" s="31"/>
      <c r="F2279" s="73" t="s">
        <v>4</v>
      </c>
      <c r="G2279" s="32">
        <v>32874</v>
      </c>
      <c r="H2279" s="29">
        <v>3550</v>
      </c>
      <c r="I2279" s="17">
        <v>0</v>
      </c>
      <c r="J2279" s="17">
        <f t="shared" si="381"/>
        <v>3372.5</v>
      </c>
      <c r="K2279" s="17">
        <f t="shared" si="385"/>
        <v>177.5</v>
      </c>
      <c r="L2279" s="23">
        <f t="shared" si="379"/>
        <v>177.5</v>
      </c>
      <c r="M2279" s="33">
        <v>10</v>
      </c>
      <c r="N2279" s="18">
        <f t="shared" si="386"/>
        <v>30.271232876712329</v>
      </c>
      <c r="O2279" s="23">
        <f t="shared" si="384"/>
        <v>1686.25</v>
      </c>
      <c r="P2279" s="18">
        <f t="shared" si="387"/>
        <v>31.271232876712329</v>
      </c>
      <c r="Q2279" s="18">
        <f t="shared" si="370"/>
        <v>0</v>
      </c>
      <c r="R2279" s="18">
        <f t="shared" si="388"/>
        <v>1686.25</v>
      </c>
      <c r="S2279" s="18">
        <v>0</v>
      </c>
    </row>
    <row r="2280" spans="1:19" ht="15" customHeight="1" x14ac:dyDescent="0.2">
      <c r="A2280" s="14">
        <f t="shared" si="373"/>
        <v>2241</v>
      </c>
      <c r="B2280" s="31" t="s">
        <v>1928</v>
      </c>
      <c r="C2280" s="15" t="s">
        <v>3</v>
      </c>
      <c r="D2280" s="31" t="s">
        <v>1708</v>
      </c>
      <c r="E2280" s="31"/>
      <c r="F2280" s="73" t="s">
        <v>4</v>
      </c>
      <c r="G2280" s="32">
        <v>41167</v>
      </c>
      <c r="H2280" s="29">
        <v>6954.01</v>
      </c>
      <c r="I2280" s="17">
        <v>0</v>
      </c>
      <c r="J2280" s="17">
        <v>2343.8824116438354</v>
      </c>
      <c r="K2280" s="17">
        <f t="shared" si="385"/>
        <v>4610.1275883561648</v>
      </c>
      <c r="L2280" s="23">
        <f t="shared" si="379"/>
        <v>347.70050000000003</v>
      </c>
      <c r="M2280" s="33">
        <v>10</v>
      </c>
      <c r="N2280" s="18">
        <f t="shared" si="386"/>
        <v>7.5506849315068489</v>
      </c>
      <c r="O2280" s="23">
        <v>1754.7036164383562</v>
      </c>
      <c r="P2280" s="18">
        <f t="shared" si="387"/>
        <v>8.5506849315068489</v>
      </c>
      <c r="Q2280" s="18">
        <f t="shared" ref="Q2280:Q2343" si="389">(P2280-N2280)/M2280*(K2280-L2280)</f>
        <v>426.2427088356165</v>
      </c>
      <c r="R2280" s="18">
        <f t="shared" si="388"/>
        <v>2180.9463252739729</v>
      </c>
      <c r="S2280" s="18">
        <v>0</v>
      </c>
    </row>
    <row r="2281" spans="1:19" ht="15" customHeight="1" x14ac:dyDescent="0.2">
      <c r="A2281" s="14">
        <f t="shared" si="373"/>
        <v>2242</v>
      </c>
      <c r="B2281" s="31" t="s">
        <v>1929</v>
      </c>
      <c r="C2281" s="15" t="s">
        <v>3</v>
      </c>
      <c r="D2281" s="31" t="s">
        <v>1708</v>
      </c>
      <c r="E2281" s="31"/>
      <c r="F2281" s="73" t="s">
        <v>4</v>
      </c>
      <c r="G2281" s="32">
        <v>33285</v>
      </c>
      <c r="H2281" s="29">
        <v>8146</v>
      </c>
      <c r="I2281" s="17">
        <v>0</v>
      </c>
      <c r="J2281" s="17">
        <f t="shared" si="381"/>
        <v>7738.7</v>
      </c>
      <c r="K2281" s="17">
        <f t="shared" si="385"/>
        <v>407.30000000000018</v>
      </c>
      <c r="L2281" s="23">
        <f t="shared" si="379"/>
        <v>407.3</v>
      </c>
      <c r="M2281" s="33">
        <v>5</v>
      </c>
      <c r="N2281" s="18">
        <f t="shared" si="386"/>
        <v>29.145205479452056</v>
      </c>
      <c r="O2281" s="23">
        <f t="shared" ref="O2281:O2289" si="390">(H2281-K2281)/2</f>
        <v>3869.35</v>
      </c>
      <c r="P2281" s="18">
        <f t="shared" si="387"/>
        <v>30.145205479452056</v>
      </c>
      <c r="Q2281" s="18">
        <f t="shared" si="389"/>
        <v>3.4106051316484814E-14</v>
      </c>
      <c r="R2281" s="18">
        <f t="shared" si="388"/>
        <v>3869.35</v>
      </c>
      <c r="S2281" s="18">
        <v>0</v>
      </c>
    </row>
    <row r="2282" spans="1:19" ht="15" customHeight="1" x14ac:dyDescent="0.2">
      <c r="A2282" s="14">
        <f t="shared" si="373"/>
        <v>2243</v>
      </c>
      <c r="B2282" s="31" t="s">
        <v>1930</v>
      </c>
      <c r="C2282" s="15" t="s">
        <v>3</v>
      </c>
      <c r="D2282" s="31" t="s">
        <v>1708</v>
      </c>
      <c r="E2282" s="31"/>
      <c r="F2282" s="73" t="s">
        <v>4</v>
      </c>
      <c r="G2282" s="32">
        <v>32874</v>
      </c>
      <c r="H2282" s="29">
        <v>3000</v>
      </c>
      <c r="I2282" s="17">
        <v>0</v>
      </c>
      <c r="J2282" s="17">
        <f t="shared" si="381"/>
        <v>2850</v>
      </c>
      <c r="K2282" s="17">
        <f t="shared" si="385"/>
        <v>150</v>
      </c>
      <c r="L2282" s="23">
        <f t="shared" si="379"/>
        <v>150</v>
      </c>
      <c r="M2282" s="33">
        <v>10</v>
      </c>
      <c r="N2282" s="18">
        <f t="shared" si="386"/>
        <v>30.271232876712329</v>
      </c>
      <c r="O2282" s="23">
        <f t="shared" si="390"/>
        <v>1425</v>
      </c>
      <c r="P2282" s="18">
        <f t="shared" si="387"/>
        <v>31.271232876712329</v>
      </c>
      <c r="Q2282" s="18">
        <f t="shared" si="389"/>
        <v>0</v>
      </c>
      <c r="R2282" s="18">
        <f t="shared" si="388"/>
        <v>1425</v>
      </c>
      <c r="S2282" s="18">
        <v>0</v>
      </c>
    </row>
    <row r="2283" spans="1:19" ht="15" customHeight="1" x14ac:dyDescent="0.2">
      <c r="A2283" s="14">
        <f t="shared" ref="A2283:A2346" si="391">+A2282+1</f>
        <v>2244</v>
      </c>
      <c r="B2283" s="31" t="s">
        <v>1816</v>
      </c>
      <c r="C2283" s="15" t="s">
        <v>3</v>
      </c>
      <c r="D2283" s="31" t="s">
        <v>1708</v>
      </c>
      <c r="E2283" s="31"/>
      <c r="F2283" s="73" t="s">
        <v>4</v>
      </c>
      <c r="G2283" s="32">
        <v>32874</v>
      </c>
      <c r="H2283" s="29">
        <v>2327</v>
      </c>
      <c r="I2283" s="17">
        <v>0</v>
      </c>
      <c r="J2283" s="17">
        <f t="shared" si="381"/>
        <v>2210.65</v>
      </c>
      <c r="K2283" s="17">
        <f t="shared" si="385"/>
        <v>116.34999999999991</v>
      </c>
      <c r="L2283" s="23">
        <f t="shared" si="379"/>
        <v>116.35000000000001</v>
      </c>
      <c r="M2283" s="33">
        <v>10</v>
      </c>
      <c r="N2283" s="18">
        <f t="shared" si="386"/>
        <v>30.271232876712329</v>
      </c>
      <c r="O2283" s="23">
        <f t="shared" si="390"/>
        <v>1105.325</v>
      </c>
      <c r="P2283" s="18">
        <f t="shared" si="387"/>
        <v>31.271232876712329</v>
      </c>
      <c r="Q2283" s="18">
        <f t="shared" si="389"/>
        <v>-9.9475983006414035E-15</v>
      </c>
      <c r="R2283" s="18">
        <f t="shared" si="388"/>
        <v>1105.325</v>
      </c>
      <c r="S2283" s="18">
        <v>0</v>
      </c>
    </row>
    <row r="2284" spans="1:19" ht="15" customHeight="1" x14ac:dyDescent="0.2">
      <c r="A2284" s="14">
        <f t="shared" si="391"/>
        <v>2245</v>
      </c>
      <c r="B2284" s="31" t="s">
        <v>1874</v>
      </c>
      <c r="C2284" s="15" t="s">
        <v>3</v>
      </c>
      <c r="D2284" s="31" t="s">
        <v>1708</v>
      </c>
      <c r="E2284" s="31"/>
      <c r="F2284" s="73" t="s">
        <v>4</v>
      </c>
      <c r="G2284" s="32">
        <v>32874</v>
      </c>
      <c r="H2284" s="29">
        <v>1500</v>
      </c>
      <c r="I2284" s="17">
        <v>0</v>
      </c>
      <c r="J2284" s="17">
        <f t="shared" si="381"/>
        <v>1425</v>
      </c>
      <c r="K2284" s="17">
        <f t="shared" si="385"/>
        <v>75</v>
      </c>
      <c r="L2284" s="23">
        <f t="shared" si="379"/>
        <v>75</v>
      </c>
      <c r="M2284" s="33">
        <v>10</v>
      </c>
      <c r="N2284" s="18">
        <f t="shared" si="386"/>
        <v>30.271232876712329</v>
      </c>
      <c r="O2284" s="23">
        <f t="shared" si="390"/>
        <v>712.5</v>
      </c>
      <c r="P2284" s="18">
        <f t="shared" si="387"/>
        <v>31.271232876712329</v>
      </c>
      <c r="Q2284" s="18">
        <f t="shared" si="389"/>
        <v>0</v>
      </c>
      <c r="R2284" s="18">
        <f t="shared" si="388"/>
        <v>712.5</v>
      </c>
      <c r="S2284" s="18">
        <v>0</v>
      </c>
    </row>
    <row r="2285" spans="1:19" ht="15" customHeight="1" x14ac:dyDescent="0.2">
      <c r="A2285" s="14">
        <f t="shared" si="391"/>
        <v>2246</v>
      </c>
      <c r="B2285" s="31" t="s">
        <v>1931</v>
      </c>
      <c r="C2285" s="15" t="s">
        <v>3</v>
      </c>
      <c r="D2285" s="31" t="s">
        <v>1708</v>
      </c>
      <c r="E2285" s="31"/>
      <c r="F2285" s="73" t="s">
        <v>4</v>
      </c>
      <c r="G2285" s="32">
        <v>32874</v>
      </c>
      <c r="H2285" s="29">
        <v>1376</v>
      </c>
      <c r="I2285" s="17">
        <v>0</v>
      </c>
      <c r="J2285" s="17">
        <f t="shared" si="381"/>
        <v>1307.2</v>
      </c>
      <c r="K2285" s="17">
        <f t="shared" si="385"/>
        <v>68.799999999999955</v>
      </c>
      <c r="L2285" s="23">
        <f t="shared" si="379"/>
        <v>68.8</v>
      </c>
      <c r="M2285" s="33">
        <v>10</v>
      </c>
      <c r="N2285" s="18">
        <f t="shared" si="386"/>
        <v>30.271232876712329</v>
      </c>
      <c r="O2285" s="23">
        <f t="shared" si="390"/>
        <v>653.6</v>
      </c>
      <c r="P2285" s="18">
        <f t="shared" si="387"/>
        <v>31.271232876712329</v>
      </c>
      <c r="Q2285" s="18">
        <f t="shared" si="389"/>
        <v>-4.2632564145606017E-15</v>
      </c>
      <c r="R2285" s="18">
        <f t="shared" si="388"/>
        <v>653.6</v>
      </c>
      <c r="S2285" s="18">
        <v>0</v>
      </c>
    </row>
    <row r="2286" spans="1:19" ht="15" customHeight="1" x14ac:dyDescent="0.2">
      <c r="A2286" s="14">
        <f t="shared" si="391"/>
        <v>2247</v>
      </c>
      <c r="B2286" s="31" t="s">
        <v>1932</v>
      </c>
      <c r="C2286" s="15" t="s">
        <v>3</v>
      </c>
      <c r="D2286" s="31" t="s">
        <v>1708</v>
      </c>
      <c r="E2286" s="31"/>
      <c r="F2286" s="73" t="s">
        <v>4</v>
      </c>
      <c r="G2286" s="32">
        <v>41167</v>
      </c>
      <c r="H2286" s="29">
        <v>6697.42</v>
      </c>
      <c r="I2286" s="17">
        <v>0</v>
      </c>
      <c r="J2286" s="17">
        <f t="shared" si="381"/>
        <v>6362.549</v>
      </c>
      <c r="K2286" s="17">
        <f t="shared" si="385"/>
        <v>334.87100000000009</v>
      </c>
      <c r="L2286" s="23">
        <f t="shared" si="379"/>
        <v>334.87100000000004</v>
      </c>
      <c r="M2286" s="33">
        <v>5</v>
      </c>
      <c r="N2286" s="18">
        <f t="shared" si="386"/>
        <v>7.5506849315068489</v>
      </c>
      <c r="O2286" s="23">
        <f t="shared" si="390"/>
        <v>3181.2745</v>
      </c>
      <c r="P2286" s="18">
        <f t="shared" si="387"/>
        <v>8.5506849315068489</v>
      </c>
      <c r="Q2286" s="18">
        <f t="shared" si="389"/>
        <v>1.1368683772161604E-14</v>
      </c>
      <c r="R2286" s="18">
        <f t="shared" si="388"/>
        <v>3181.2745</v>
      </c>
      <c r="S2286" s="18">
        <v>0</v>
      </c>
    </row>
    <row r="2287" spans="1:19" ht="15" customHeight="1" x14ac:dyDescent="0.2">
      <c r="A2287" s="14">
        <f t="shared" si="391"/>
        <v>2248</v>
      </c>
      <c r="B2287" s="31" t="s">
        <v>1933</v>
      </c>
      <c r="C2287" s="15" t="s">
        <v>3</v>
      </c>
      <c r="D2287" s="31" t="s">
        <v>1708</v>
      </c>
      <c r="E2287" s="31"/>
      <c r="F2287" s="73" t="s">
        <v>4</v>
      </c>
      <c r="G2287" s="32">
        <v>32874</v>
      </c>
      <c r="H2287" s="29">
        <v>679</v>
      </c>
      <c r="I2287" s="17">
        <v>0</v>
      </c>
      <c r="J2287" s="17">
        <f t="shared" si="381"/>
        <v>645.04999999999995</v>
      </c>
      <c r="K2287" s="17">
        <f t="shared" si="385"/>
        <v>33.950000000000045</v>
      </c>
      <c r="L2287" s="23">
        <f t="shared" si="379"/>
        <v>33.950000000000003</v>
      </c>
      <c r="M2287" s="33">
        <v>10</v>
      </c>
      <c r="N2287" s="18">
        <f t="shared" si="386"/>
        <v>30.271232876712329</v>
      </c>
      <c r="O2287" s="23">
        <f t="shared" si="390"/>
        <v>322.52499999999998</v>
      </c>
      <c r="P2287" s="18">
        <f t="shared" si="387"/>
        <v>31.271232876712329</v>
      </c>
      <c r="Q2287" s="18">
        <f t="shared" si="389"/>
        <v>4.2632564145606017E-15</v>
      </c>
      <c r="R2287" s="18">
        <f t="shared" si="388"/>
        <v>322.52499999999998</v>
      </c>
      <c r="S2287" s="18">
        <v>0</v>
      </c>
    </row>
    <row r="2288" spans="1:19" ht="15" customHeight="1" x14ac:dyDescent="0.2">
      <c r="A2288" s="14">
        <f t="shared" si="391"/>
        <v>2249</v>
      </c>
      <c r="B2288" s="31" t="s">
        <v>1869</v>
      </c>
      <c r="C2288" s="15" t="s">
        <v>3</v>
      </c>
      <c r="D2288" s="31" t="s">
        <v>1708</v>
      </c>
      <c r="E2288" s="31"/>
      <c r="F2288" s="73" t="s">
        <v>4</v>
      </c>
      <c r="G2288" s="32">
        <v>32874</v>
      </c>
      <c r="H2288" s="29">
        <v>361</v>
      </c>
      <c r="I2288" s="17">
        <v>0</v>
      </c>
      <c r="J2288" s="17">
        <f t="shared" si="381"/>
        <v>342.95</v>
      </c>
      <c r="K2288" s="17">
        <f t="shared" si="385"/>
        <v>18.050000000000011</v>
      </c>
      <c r="L2288" s="23">
        <f t="shared" si="379"/>
        <v>18.05</v>
      </c>
      <c r="M2288" s="33">
        <v>10</v>
      </c>
      <c r="N2288" s="18">
        <f t="shared" si="386"/>
        <v>30.271232876712329</v>
      </c>
      <c r="O2288" s="23">
        <f t="shared" si="390"/>
        <v>171.47499999999999</v>
      </c>
      <c r="P2288" s="18">
        <f t="shared" si="387"/>
        <v>31.271232876712329</v>
      </c>
      <c r="Q2288" s="18">
        <f t="shared" si="389"/>
        <v>1.0658141036401504E-15</v>
      </c>
      <c r="R2288" s="18">
        <f t="shared" si="388"/>
        <v>171.47499999999999</v>
      </c>
      <c r="S2288" s="18">
        <v>0</v>
      </c>
    </row>
    <row r="2289" spans="1:19" ht="15" customHeight="1" x14ac:dyDescent="0.2">
      <c r="A2289" s="14">
        <f t="shared" si="391"/>
        <v>2250</v>
      </c>
      <c r="B2289" s="31" t="s">
        <v>1934</v>
      </c>
      <c r="C2289" s="15" t="s">
        <v>3</v>
      </c>
      <c r="D2289" s="31" t="s">
        <v>1708</v>
      </c>
      <c r="E2289" s="31"/>
      <c r="F2289" s="73" t="s">
        <v>4</v>
      </c>
      <c r="G2289" s="32">
        <v>32874</v>
      </c>
      <c r="H2289" s="29">
        <v>355</v>
      </c>
      <c r="I2289" s="17">
        <v>0</v>
      </c>
      <c r="J2289" s="17">
        <f t="shared" si="381"/>
        <v>337.25</v>
      </c>
      <c r="K2289" s="17">
        <f t="shared" si="385"/>
        <v>17.75</v>
      </c>
      <c r="L2289" s="23">
        <f t="shared" si="379"/>
        <v>17.75</v>
      </c>
      <c r="M2289" s="33">
        <v>10</v>
      </c>
      <c r="N2289" s="18">
        <f t="shared" si="386"/>
        <v>30.271232876712329</v>
      </c>
      <c r="O2289" s="23">
        <f t="shared" si="390"/>
        <v>168.625</v>
      </c>
      <c r="P2289" s="18">
        <f t="shared" si="387"/>
        <v>31.271232876712329</v>
      </c>
      <c r="Q2289" s="18">
        <f t="shared" si="389"/>
        <v>0</v>
      </c>
      <c r="R2289" s="18">
        <f t="shared" si="388"/>
        <v>168.625</v>
      </c>
      <c r="S2289" s="18">
        <v>0</v>
      </c>
    </row>
    <row r="2290" spans="1:19" ht="15" customHeight="1" x14ac:dyDescent="0.2">
      <c r="A2290" s="14">
        <f t="shared" si="391"/>
        <v>2251</v>
      </c>
      <c r="B2290" s="31" t="s">
        <v>1935</v>
      </c>
      <c r="C2290" s="15" t="s">
        <v>3</v>
      </c>
      <c r="D2290" s="31" t="s">
        <v>1708</v>
      </c>
      <c r="E2290" s="31"/>
      <c r="F2290" s="73" t="s">
        <v>4</v>
      </c>
      <c r="G2290" s="32">
        <v>41200</v>
      </c>
      <c r="H2290" s="29">
        <v>6600</v>
      </c>
      <c r="I2290" s="17">
        <v>0</v>
      </c>
      <c r="J2290" s="17">
        <v>2167.8739726027397</v>
      </c>
      <c r="K2290" s="17">
        <f t="shared" si="385"/>
        <v>4432.1260273972603</v>
      </c>
      <c r="L2290" s="23">
        <f t="shared" si="379"/>
        <v>330</v>
      </c>
      <c r="M2290" s="33">
        <v>10</v>
      </c>
      <c r="N2290" s="18">
        <f t="shared" si="386"/>
        <v>7.4602739726027396</v>
      </c>
      <c r="O2290" s="23">
        <v>20.332602739726028</v>
      </c>
      <c r="P2290" s="18">
        <f t="shared" si="387"/>
        <v>8.4602739726027405</v>
      </c>
      <c r="Q2290" s="18">
        <f t="shared" si="389"/>
        <v>410.21260273972638</v>
      </c>
      <c r="R2290" s="18">
        <f t="shared" si="388"/>
        <v>430.54520547945242</v>
      </c>
      <c r="S2290" s="18">
        <v>0</v>
      </c>
    </row>
    <row r="2291" spans="1:19" ht="15" customHeight="1" x14ac:dyDescent="0.2">
      <c r="A2291" s="14">
        <f t="shared" si="391"/>
        <v>2252</v>
      </c>
      <c r="B2291" s="31" t="s">
        <v>1936</v>
      </c>
      <c r="C2291" s="15" t="s">
        <v>3</v>
      </c>
      <c r="D2291" s="31" t="s">
        <v>1708</v>
      </c>
      <c r="E2291" s="31"/>
      <c r="F2291" s="73" t="s">
        <v>4</v>
      </c>
      <c r="G2291" s="32">
        <v>32874</v>
      </c>
      <c r="H2291" s="29">
        <v>161</v>
      </c>
      <c r="I2291" s="17">
        <v>0</v>
      </c>
      <c r="J2291" s="17">
        <f t="shared" si="381"/>
        <v>152.94999999999999</v>
      </c>
      <c r="K2291" s="17">
        <f t="shared" si="385"/>
        <v>8.0500000000000114</v>
      </c>
      <c r="L2291" s="23">
        <f t="shared" si="379"/>
        <v>8.0500000000000007</v>
      </c>
      <c r="M2291" s="33">
        <v>10</v>
      </c>
      <c r="N2291" s="18">
        <f t="shared" si="386"/>
        <v>30.271232876712329</v>
      </c>
      <c r="O2291" s="23">
        <f t="shared" ref="O2291:O2295" si="392">(H2291-K2291)/2</f>
        <v>76.474999999999994</v>
      </c>
      <c r="P2291" s="18">
        <f t="shared" si="387"/>
        <v>31.271232876712329</v>
      </c>
      <c r="Q2291" s="18">
        <f t="shared" si="389"/>
        <v>1.0658141036401504E-15</v>
      </c>
      <c r="R2291" s="18">
        <f t="shared" si="388"/>
        <v>76.474999999999994</v>
      </c>
      <c r="S2291" s="18">
        <v>0</v>
      </c>
    </row>
    <row r="2292" spans="1:19" ht="15" customHeight="1" x14ac:dyDescent="0.2">
      <c r="A2292" s="14">
        <f t="shared" si="391"/>
        <v>2253</v>
      </c>
      <c r="B2292" s="31" t="s">
        <v>1937</v>
      </c>
      <c r="C2292" s="15" t="s">
        <v>3</v>
      </c>
      <c r="D2292" s="31" t="s">
        <v>1708</v>
      </c>
      <c r="E2292" s="31"/>
      <c r="F2292" s="73" t="s">
        <v>4</v>
      </c>
      <c r="G2292" s="32">
        <v>33137</v>
      </c>
      <c r="H2292" s="29">
        <v>2500</v>
      </c>
      <c r="I2292" s="17">
        <v>0</v>
      </c>
      <c r="J2292" s="17">
        <f t="shared" si="381"/>
        <v>2375</v>
      </c>
      <c r="K2292" s="17">
        <f t="shared" si="385"/>
        <v>125</v>
      </c>
      <c r="L2292" s="23">
        <f t="shared" si="379"/>
        <v>125</v>
      </c>
      <c r="M2292" s="33">
        <v>10</v>
      </c>
      <c r="N2292" s="18">
        <f t="shared" si="386"/>
        <v>29.550684931506851</v>
      </c>
      <c r="O2292" s="23">
        <f t="shared" si="392"/>
        <v>1187.5</v>
      </c>
      <c r="P2292" s="18">
        <f t="shared" si="387"/>
        <v>30.550684931506851</v>
      </c>
      <c r="Q2292" s="18">
        <f t="shared" si="389"/>
        <v>0</v>
      </c>
      <c r="R2292" s="18">
        <f t="shared" si="388"/>
        <v>1187.5</v>
      </c>
      <c r="S2292" s="18">
        <v>0</v>
      </c>
    </row>
    <row r="2293" spans="1:19" ht="15" customHeight="1" x14ac:dyDescent="0.2">
      <c r="A2293" s="14">
        <f t="shared" si="391"/>
        <v>2254</v>
      </c>
      <c r="B2293" s="31" t="s">
        <v>1801</v>
      </c>
      <c r="C2293" s="15" t="s">
        <v>3</v>
      </c>
      <c r="D2293" s="31" t="s">
        <v>1708</v>
      </c>
      <c r="E2293" s="31"/>
      <c r="F2293" s="73" t="s">
        <v>4</v>
      </c>
      <c r="G2293" s="32">
        <v>39448</v>
      </c>
      <c r="H2293" s="29">
        <v>6398.33</v>
      </c>
      <c r="I2293" s="17">
        <v>0</v>
      </c>
      <c r="J2293" s="17">
        <f t="shared" si="381"/>
        <v>6078.4134999999997</v>
      </c>
      <c r="K2293" s="17">
        <f t="shared" si="385"/>
        <v>319.91650000000027</v>
      </c>
      <c r="L2293" s="23">
        <f t="shared" si="379"/>
        <v>319.91650000000004</v>
      </c>
      <c r="M2293" s="33">
        <v>10</v>
      </c>
      <c r="N2293" s="18">
        <f t="shared" si="386"/>
        <v>12.260273972602739</v>
      </c>
      <c r="O2293" s="23">
        <f t="shared" si="392"/>
        <v>3039.2067499999998</v>
      </c>
      <c r="P2293" s="18">
        <f t="shared" si="387"/>
        <v>13.260273972602739</v>
      </c>
      <c r="Q2293" s="18">
        <f t="shared" si="389"/>
        <v>2.2737367544323207E-14</v>
      </c>
      <c r="R2293" s="18">
        <f t="shared" si="388"/>
        <v>3039.2067499999998</v>
      </c>
      <c r="S2293" s="18">
        <v>0</v>
      </c>
    </row>
    <row r="2294" spans="1:19" ht="15" customHeight="1" x14ac:dyDescent="0.2">
      <c r="A2294" s="14">
        <f t="shared" si="391"/>
        <v>2255</v>
      </c>
      <c r="B2294" s="31" t="s">
        <v>1809</v>
      </c>
      <c r="C2294" s="15" t="s">
        <v>3</v>
      </c>
      <c r="D2294" s="31" t="s">
        <v>1708</v>
      </c>
      <c r="E2294" s="31"/>
      <c r="F2294" s="73" t="s">
        <v>4</v>
      </c>
      <c r="G2294" s="32">
        <v>33207</v>
      </c>
      <c r="H2294" s="29">
        <v>4415</v>
      </c>
      <c r="I2294" s="17">
        <v>0</v>
      </c>
      <c r="J2294" s="17">
        <f t="shared" si="381"/>
        <v>4194.25</v>
      </c>
      <c r="K2294" s="17">
        <f t="shared" si="385"/>
        <v>220.75</v>
      </c>
      <c r="L2294" s="23">
        <f t="shared" si="379"/>
        <v>220.75</v>
      </c>
      <c r="M2294" s="33">
        <v>10</v>
      </c>
      <c r="N2294" s="18">
        <f t="shared" si="386"/>
        <v>29.358904109589041</v>
      </c>
      <c r="O2294" s="23">
        <f t="shared" si="392"/>
        <v>2097.125</v>
      </c>
      <c r="P2294" s="18">
        <f t="shared" si="387"/>
        <v>30.358904109589041</v>
      </c>
      <c r="Q2294" s="18">
        <f t="shared" si="389"/>
        <v>0</v>
      </c>
      <c r="R2294" s="18">
        <f t="shared" si="388"/>
        <v>2097.125</v>
      </c>
      <c r="S2294" s="18">
        <v>0</v>
      </c>
    </row>
    <row r="2295" spans="1:19" ht="15" customHeight="1" x14ac:dyDescent="0.2">
      <c r="A2295" s="14">
        <f t="shared" si="391"/>
        <v>2256</v>
      </c>
      <c r="B2295" s="31" t="s">
        <v>1774</v>
      </c>
      <c r="C2295" s="15" t="s">
        <v>3</v>
      </c>
      <c r="D2295" s="31" t="s">
        <v>1708</v>
      </c>
      <c r="E2295" s="31"/>
      <c r="F2295" s="73" t="s">
        <v>4</v>
      </c>
      <c r="G2295" s="32">
        <v>41379</v>
      </c>
      <c r="H2295" s="29">
        <v>6105.81</v>
      </c>
      <c r="I2295" s="17">
        <v>0</v>
      </c>
      <c r="J2295" s="17">
        <f t="shared" si="381"/>
        <v>5800.5195000000003</v>
      </c>
      <c r="K2295" s="17">
        <f t="shared" si="385"/>
        <v>305.29050000000007</v>
      </c>
      <c r="L2295" s="23">
        <f t="shared" si="379"/>
        <v>305.29050000000001</v>
      </c>
      <c r="M2295" s="33">
        <v>5</v>
      </c>
      <c r="N2295" s="18">
        <f t="shared" si="386"/>
        <v>6.9698630136986299</v>
      </c>
      <c r="O2295" s="23">
        <f t="shared" si="392"/>
        <v>2900.2597500000002</v>
      </c>
      <c r="P2295" s="18">
        <f t="shared" si="387"/>
        <v>7.9698630136986299</v>
      </c>
      <c r="Q2295" s="18">
        <f t="shared" si="389"/>
        <v>1.1368683772161604E-14</v>
      </c>
      <c r="R2295" s="18">
        <f t="shared" si="388"/>
        <v>2900.2597500000002</v>
      </c>
      <c r="S2295" s="18">
        <v>0</v>
      </c>
    </row>
    <row r="2296" spans="1:19" ht="15" customHeight="1" x14ac:dyDescent="0.2">
      <c r="A2296" s="14">
        <f t="shared" si="391"/>
        <v>2257</v>
      </c>
      <c r="B2296" s="31" t="s">
        <v>1938</v>
      </c>
      <c r="C2296" s="15" t="s">
        <v>3</v>
      </c>
      <c r="D2296" s="31" t="s">
        <v>1708</v>
      </c>
      <c r="E2296" s="31"/>
      <c r="F2296" s="73" t="s">
        <v>4</v>
      </c>
      <c r="G2296" s="32">
        <v>40862</v>
      </c>
      <c r="H2296" s="29">
        <v>6015</v>
      </c>
      <c r="I2296" s="17">
        <v>0</v>
      </c>
      <c r="J2296" s="17">
        <v>2504.8767123287666</v>
      </c>
      <c r="K2296" s="17">
        <f t="shared" si="385"/>
        <v>3510.1232876712334</v>
      </c>
      <c r="L2296" s="23">
        <f t="shared" si="379"/>
        <v>300.75</v>
      </c>
      <c r="M2296" s="33">
        <v>10</v>
      </c>
      <c r="N2296" s="18">
        <f t="shared" si="386"/>
        <v>8.3863013698630144</v>
      </c>
      <c r="O2296" s="23">
        <v>24025.053890410956</v>
      </c>
      <c r="P2296" s="18">
        <f t="shared" si="387"/>
        <v>9.3863013698630144</v>
      </c>
      <c r="Q2296" s="18">
        <f t="shared" si="389"/>
        <v>320.93732876712335</v>
      </c>
      <c r="R2296" s="18">
        <f t="shared" si="388"/>
        <v>24345.991219178079</v>
      </c>
      <c r="S2296" s="18">
        <v>0</v>
      </c>
    </row>
    <row r="2297" spans="1:19" ht="15" customHeight="1" x14ac:dyDescent="0.2">
      <c r="A2297" s="14">
        <f t="shared" si="391"/>
        <v>2258</v>
      </c>
      <c r="B2297" s="31" t="s">
        <v>1939</v>
      </c>
      <c r="C2297" s="15" t="s">
        <v>3</v>
      </c>
      <c r="D2297" s="31" t="s">
        <v>1708</v>
      </c>
      <c r="E2297" s="31"/>
      <c r="F2297" s="73" t="s">
        <v>4</v>
      </c>
      <c r="G2297" s="32">
        <v>40252</v>
      </c>
      <c r="H2297" s="29">
        <v>6000</v>
      </c>
      <c r="I2297" s="17">
        <v>0</v>
      </c>
      <c r="J2297" s="17">
        <f t="shared" si="381"/>
        <v>5700</v>
      </c>
      <c r="K2297" s="17">
        <f t="shared" si="385"/>
        <v>300</v>
      </c>
      <c r="L2297" s="23">
        <f t="shared" si="379"/>
        <v>300</v>
      </c>
      <c r="M2297" s="33">
        <v>10</v>
      </c>
      <c r="N2297" s="18">
        <f t="shared" si="386"/>
        <v>10.057534246575342</v>
      </c>
      <c r="O2297" s="23">
        <f>(H2297-K2297)/2</f>
        <v>2850</v>
      </c>
      <c r="P2297" s="18">
        <f t="shared" si="387"/>
        <v>11.057534246575342</v>
      </c>
      <c r="Q2297" s="18">
        <f t="shared" si="389"/>
        <v>0</v>
      </c>
      <c r="R2297" s="18">
        <f t="shared" si="388"/>
        <v>2850</v>
      </c>
      <c r="S2297" s="18">
        <v>0</v>
      </c>
    </row>
    <row r="2298" spans="1:19" ht="15" customHeight="1" x14ac:dyDescent="0.2">
      <c r="A2298" s="14">
        <f t="shared" si="391"/>
        <v>2259</v>
      </c>
      <c r="B2298" s="31" t="s">
        <v>1854</v>
      </c>
      <c r="C2298" s="15" t="s">
        <v>3</v>
      </c>
      <c r="D2298" s="31" t="s">
        <v>1708</v>
      </c>
      <c r="E2298" s="31"/>
      <c r="F2298" s="73" t="s">
        <v>4</v>
      </c>
      <c r="G2298" s="32">
        <v>41348</v>
      </c>
      <c r="H2298" s="29">
        <v>6000</v>
      </c>
      <c r="I2298" s="17">
        <v>0</v>
      </c>
      <c r="J2298" s="17">
        <v>1739.6712328767123</v>
      </c>
      <c r="K2298" s="17">
        <f t="shared" si="385"/>
        <v>4260.3287671232874</v>
      </c>
      <c r="L2298" s="23">
        <f t="shared" si="379"/>
        <v>300</v>
      </c>
      <c r="M2298" s="33">
        <v>10</v>
      </c>
      <c r="N2298" s="18">
        <f t="shared" si="386"/>
        <v>7.0547945205479454</v>
      </c>
      <c r="O2298" s="23">
        <v>14637.827479452053</v>
      </c>
      <c r="P2298" s="18">
        <f t="shared" si="387"/>
        <v>8.0547945205479454</v>
      </c>
      <c r="Q2298" s="18">
        <f t="shared" si="389"/>
        <v>396.03287671232874</v>
      </c>
      <c r="R2298" s="18">
        <f t="shared" si="388"/>
        <v>15033.860356164381</v>
      </c>
      <c r="S2298" s="18">
        <v>0</v>
      </c>
    </row>
    <row r="2299" spans="1:19" ht="15" customHeight="1" x14ac:dyDescent="0.2">
      <c r="A2299" s="14">
        <f t="shared" si="391"/>
        <v>2260</v>
      </c>
      <c r="B2299" s="31" t="s">
        <v>1940</v>
      </c>
      <c r="C2299" s="15" t="s">
        <v>3</v>
      </c>
      <c r="D2299" s="31" t="s">
        <v>1708</v>
      </c>
      <c r="E2299" s="31"/>
      <c r="F2299" s="73" t="s">
        <v>4</v>
      </c>
      <c r="G2299" s="32">
        <v>33269</v>
      </c>
      <c r="H2299" s="29">
        <v>429</v>
      </c>
      <c r="I2299" s="17">
        <v>0</v>
      </c>
      <c r="J2299" s="17">
        <f t="shared" si="381"/>
        <v>407.55</v>
      </c>
      <c r="K2299" s="17">
        <f t="shared" si="385"/>
        <v>21.449999999999989</v>
      </c>
      <c r="L2299" s="23">
        <f t="shared" si="379"/>
        <v>21.450000000000003</v>
      </c>
      <c r="M2299" s="33">
        <v>10</v>
      </c>
      <c r="N2299" s="18">
        <f t="shared" si="386"/>
        <v>29.18904109589041</v>
      </c>
      <c r="O2299" s="23">
        <f>(H2299-K2299)/2</f>
        <v>203.77500000000001</v>
      </c>
      <c r="P2299" s="18">
        <f t="shared" si="387"/>
        <v>30.18904109589041</v>
      </c>
      <c r="Q2299" s="18">
        <f t="shared" si="389"/>
        <v>-1.4210854715202005E-15</v>
      </c>
      <c r="R2299" s="18">
        <f t="shared" si="388"/>
        <v>203.77500000000001</v>
      </c>
      <c r="S2299" s="18">
        <v>0</v>
      </c>
    </row>
    <row r="2300" spans="1:19" ht="15" customHeight="1" x14ac:dyDescent="0.2">
      <c r="A2300" s="14">
        <f t="shared" si="391"/>
        <v>2261</v>
      </c>
      <c r="B2300" s="31" t="s">
        <v>1941</v>
      </c>
      <c r="C2300" s="15" t="s">
        <v>3</v>
      </c>
      <c r="D2300" s="31" t="s">
        <v>1708</v>
      </c>
      <c r="E2300" s="31"/>
      <c r="F2300" s="73" t="s">
        <v>4</v>
      </c>
      <c r="G2300" s="32">
        <v>40313</v>
      </c>
      <c r="H2300" s="29">
        <v>5866</v>
      </c>
      <c r="I2300" s="17">
        <v>0</v>
      </c>
      <c r="J2300" s="17">
        <v>3281.0225479452056</v>
      </c>
      <c r="K2300" s="17">
        <f t="shared" si="385"/>
        <v>2584.9774520547944</v>
      </c>
      <c r="L2300" s="23">
        <f t="shared" si="379"/>
        <v>293.3</v>
      </c>
      <c r="M2300" s="33">
        <v>10</v>
      </c>
      <c r="N2300" s="18">
        <f t="shared" si="386"/>
        <v>9.8904109589041092</v>
      </c>
      <c r="O2300" s="23">
        <v>7067.2204794520549</v>
      </c>
      <c r="P2300" s="18">
        <f t="shared" si="387"/>
        <v>10.890410958904109</v>
      </c>
      <c r="Q2300" s="18">
        <f t="shared" si="389"/>
        <v>229.16774520547943</v>
      </c>
      <c r="R2300" s="18">
        <f t="shared" si="388"/>
        <v>7296.388224657534</v>
      </c>
      <c r="S2300" s="18">
        <v>0</v>
      </c>
    </row>
    <row r="2301" spans="1:19" ht="15" customHeight="1" x14ac:dyDescent="0.2">
      <c r="A2301" s="14">
        <f t="shared" si="391"/>
        <v>2262</v>
      </c>
      <c r="B2301" s="31" t="s">
        <v>1942</v>
      </c>
      <c r="C2301" s="15" t="s">
        <v>3</v>
      </c>
      <c r="D2301" s="31" t="s">
        <v>1708</v>
      </c>
      <c r="E2301" s="31"/>
      <c r="F2301" s="73" t="s">
        <v>4</v>
      </c>
      <c r="G2301" s="32">
        <v>41258</v>
      </c>
      <c r="H2301" s="29">
        <v>5860.71</v>
      </c>
      <c r="I2301" s="17">
        <v>0</v>
      </c>
      <c r="J2301" s="17">
        <v>1836.5698898630139</v>
      </c>
      <c r="K2301" s="17">
        <f t="shared" si="385"/>
        <v>4024.1401101369861</v>
      </c>
      <c r="L2301" s="23">
        <f t="shared" si="379"/>
        <v>293.03550000000001</v>
      </c>
      <c r="M2301" s="33">
        <v>10</v>
      </c>
      <c r="N2301" s="18">
        <f t="shared" si="386"/>
        <v>7.3013698630136989</v>
      </c>
      <c r="O2301" s="23">
        <v>6397.2036986301373</v>
      </c>
      <c r="P2301" s="18">
        <f t="shared" si="387"/>
        <v>8.3013698630136989</v>
      </c>
      <c r="Q2301" s="18">
        <f t="shared" si="389"/>
        <v>373.11046101369863</v>
      </c>
      <c r="R2301" s="18">
        <f t="shared" si="388"/>
        <v>6770.3141596438363</v>
      </c>
      <c r="S2301" s="18">
        <v>0</v>
      </c>
    </row>
    <row r="2302" spans="1:19" ht="15" customHeight="1" x14ac:dyDescent="0.2">
      <c r="A2302" s="14">
        <f t="shared" si="391"/>
        <v>2263</v>
      </c>
      <c r="B2302" s="31" t="s">
        <v>1943</v>
      </c>
      <c r="C2302" s="15" t="s">
        <v>3</v>
      </c>
      <c r="D2302" s="31" t="s">
        <v>1708</v>
      </c>
      <c r="E2302" s="31"/>
      <c r="F2302" s="73" t="s">
        <v>4</v>
      </c>
      <c r="G2302" s="32">
        <v>33269</v>
      </c>
      <c r="H2302" s="29">
        <v>185</v>
      </c>
      <c r="I2302" s="17">
        <v>0</v>
      </c>
      <c r="J2302" s="17">
        <f t="shared" ref="J2302:J2307" si="393">H2302-L2302</f>
        <v>175.75</v>
      </c>
      <c r="K2302" s="17">
        <f t="shared" si="385"/>
        <v>9.25</v>
      </c>
      <c r="L2302" s="23">
        <f t="shared" si="379"/>
        <v>9.25</v>
      </c>
      <c r="M2302" s="33">
        <v>10</v>
      </c>
      <c r="N2302" s="18">
        <f t="shared" si="386"/>
        <v>29.18904109589041</v>
      </c>
      <c r="O2302" s="23">
        <f t="shared" ref="O2302:O2307" si="394">(H2302-K2302)/2</f>
        <v>87.875</v>
      </c>
      <c r="P2302" s="18">
        <f t="shared" si="387"/>
        <v>30.18904109589041</v>
      </c>
      <c r="Q2302" s="18">
        <f t="shared" si="389"/>
        <v>0</v>
      </c>
      <c r="R2302" s="18">
        <f t="shared" si="388"/>
        <v>87.875</v>
      </c>
      <c r="S2302" s="18">
        <v>0</v>
      </c>
    </row>
    <row r="2303" spans="1:19" ht="15" customHeight="1" x14ac:dyDescent="0.2">
      <c r="A2303" s="14">
        <f t="shared" si="391"/>
        <v>2264</v>
      </c>
      <c r="B2303" s="31" t="s">
        <v>1944</v>
      </c>
      <c r="C2303" s="15" t="s">
        <v>3</v>
      </c>
      <c r="D2303" s="31" t="s">
        <v>1708</v>
      </c>
      <c r="E2303" s="31"/>
      <c r="F2303" s="73" t="s">
        <v>4</v>
      </c>
      <c r="G2303" s="32">
        <v>33678</v>
      </c>
      <c r="H2303" s="29">
        <v>4263</v>
      </c>
      <c r="I2303" s="17">
        <v>0</v>
      </c>
      <c r="J2303" s="17">
        <f t="shared" si="393"/>
        <v>4049.85</v>
      </c>
      <c r="K2303" s="17">
        <f t="shared" si="385"/>
        <v>213.15000000000009</v>
      </c>
      <c r="L2303" s="23">
        <f t="shared" si="379"/>
        <v>213.15</v>
      </c>
      <c r="M2303" s="33">
        <v>10</v>
      </c>
      <c r="N2303" s="18">
        <f t="shared" si="386"/>
        <v>28.068493150684933</v>
      </c>
      <c r="O2303" s="23">
        <f t="shared" si="394"/>
        <v>2024.925</v>
      </c>
      <c r="P2303" s="18">
        <f t="shared" si="387"/>
        <v>29.068493150684933</v>
      </c>
      <c r="Q2303" s="18">
        <f t="shared" si="389"/>
        <v>8.5265128291212035E-15</v>
      </c>
      <c r="R2303" s="18">
        <f t="shared" si="388"/>
        <v>2024.925</v>
      </c>
      <c r="S2303" s="18">
        <v>0</v>
      </c>
    </row>
    <row r="2304" spans="1:19" ht="15" customHeight="1" x14ac:dyDescent="0.2">
      <c r="A2304" s="14">
        <f t="shared" si="391"/>
        <v>2265</v>
      </c>
      <c r="B2304" s="31" t="s">
        <v>1939</v>
      </c>
      <c r="C2304" s="15" t="s">
        <v>3</v>
      </c>
      <c r="D2304" s="31" t="s">
        <v>1708</v>
      </c>
      <c r="E2304" s="31"/>
      <c r="F2304" s="73" t="s">
        <v>4</v>
      </c>
      <c r="G2304" s="32">
        <v>40101</v>
      </c>
      <c r="H2304" s="29">
        <v>5733</v>
      </c>
      <c r="I2304" s="17">
        <v>0</v>
      </c>
      <c r="J2304" s="17">
        <f t="shared" si="393"/>
        <v>5446.35</v>
      </c>
      <c r="K2304" s="17">
        <f t="shared" si="385"/>
        <v>286.64999999999964</v>
      </c>
      <c r="L2304" s="23">
        <f t="shared" si="379"/>
        <v>286.65000000000003</v>
      </c>
      <c r="M2304" s="33">
        <v>10</v>
      </c>
      <c r="N2304" s="18">
        <f t="shared" si="386"/>
        <v>10.471232876712328</v>
      </c>
      <c r="O2304" s="23">
        <f t="shared" si="394"/>
        <v>2723.1750000000002</v>
      </c>
      <c r="P2304" s="18">
        <f t="shared" si="387"/>
        <v>11.471232876712328</v>
      </c>
      <c r="Q2304" s="18">
        <f t="shared" si="389"/>
        <v>-3.9790393202565614E-14</v>
      </c>
      <c r="R2304" s="18">
        <f t="shared" si="388"/>
        <v>2723.1750000000002</v>
      </c>
      <c r="S2304" s="18">
        <v>0</v>
      </c>
    </row>
    <row r="2305" spans="1:19" ht="15" customHeight="1" x14ac:dyDescent="0.2">
      <c r="A2305" s="14">
        <f t="shared" si="391"/>
        <v>2266</v>
      </c>
      <c r="B2305" s="31" t="s">
        <v>1945</v>
      </c>
      <c r="C2305" s="15" t="s">
        <v>3</v>
      </c>
      <c r="D2305" s="31" t="s">
        <v>1708</v>
      </c>
      <c r="E2305" s="31"/>
      <c r="F2305" s="73" t="s">
        <v>4</v>
      </c>
      <c r="G2305" s="32">
        <v>33312</v>
      </c>
      <c r="H2305" s="29">
        <v>6500</v>
      </c>
      <c r="I2305" s="17">
        <v>0</v>
      </c>
      <c r="J2305" s="17">
        <f t="shared" si="393"/>
        <v>6175</v>
      </c>
      <c r="K2305" s="17">
        <f t="shared" si="385"/>
        <v>325</v>
      </c>
      <c r="L2305" s="23">
        <f t="shared" si="379"/>
        <v>325</v>
      </c>
      <c r="M2305" s="33">
        <v>10</v>
      </c>
      <c r="N2305" s="18">
        <f t="shared" si="386"/>
        <v>29.07123287671233</v>
      </c>
      <c r="O2305" s="23">
        <f t="shared" si="394"/>
        <v>3087.5</v>
      </c>
      <c r="P2305" s="18">
        <f t="shared" si="387"/>
        <v>30.07123287671233</v>
      </c>
      <c r="Q2305" s="18">
        <f t="shared" si="389"/>
        <v>0</v>
      </c>
      <c r="R2305" s="18">
        <f t="shared" si="388"/>
        <v>3087.5</v>
      </c>
      <c r="S2305" s="18">
        <v>0</v>
      </c>
    </row>
    <row r="2306" spans="1:19" ht="15" customHeight="1" x14ac:dyDescent="0.2">
      <c r="A2306" s="14">
        <f t="shared" si="391"/>
        <v>2267</v>
      </c>
      <c r="B2306" s="31" t="s">
        <v>1946</v>
      </c>
      <c r="C2306" s="15" t="s">
        <v>3</v>
      </c>
      <c r="D2306" s="31" t="s">
        <v>1708</v>
      </c>
      <c r="E2306" s="31"/>
      <c r="F2306" s="73" t="s">
        <v>4</v>
      </c>
      <c r="G2306" s="32">
        <v>33312</v>
      </c>
      <c r="H2306" s="29">
        <v>2188</v>
      </c>
      <c r="I2306" s="17">
        <v>0</v>
      </c>
      <c r="J2306" s="17">
        <f t="shared" si="393"/>
        <v>2078.6</v>
      </c>
      <c r="K2306" s="17">
        <f t="shared" si="385"/>
        <v>109.40000000000009</v>
      </c>
      <c r="L2306" s="23">
        <f t="shared" si="379"/>
        <v>109.4</v>
      </c>
      <c r="M2306" s="33">
        <v>10</v>
      </c>
      <c r="N2306" s="18">
        <f t="shared" si="386"/>
        <v>29.07123287671233</v>
      </c>
      <c r="O2306" s="23">
        <f t="shared" si="394"/>
        <v>1039.3</v>
      </c>
      <c r="P2306" s="18">
        <f t="shared" si="387"/>
        <v>30.07123287671233</v>
      </c>
      <c r="Q2306" s="18">
        <f t="shared" si="389"/>
        <v>8.5265128291212035E-15</v>
      </c>
      <c r="R2306" s="18">
        <f t="shared" si="388"/>
        <v>1039.3</v>
      </c>
      <c r="S2306" s="18">
        <v>0</v>
      </c>
    </row>
    <row r="2307" spans="1:19" ht="15" customHeight="1" x14ac:dyDescent="0.2">
      <c r="A2307" s="14">
        <f t="shared" si="391"/>
        <v>2268</v>
      </c>
      <c r="B2307" s="31" t="s">
        <v>1904</v>
      </c>
      <c r="C2307" s="15" t="s">
        <v>3</v>
      </c>
      <c r="D2307" s="31" t="s">
        <v>1708</v>
      </c>
      <c r="E2307" s="31"/>
      <c r="F2307" s="73" t="s">
        <v>4</v>
      </c>
      <c r="G2307" s="32">
        <v>39340</v>
      </c>
      <c r="H2307" s="29">
        <v>5500</v>
      </c>
      <c r="I2307" s="17">
        <v>0</v>
      </c>
      <c r="J2307" s="17">
        <f t="shared" si="393"/>
        <v>5225</v>
      </c>
      <c r="K2307" s="17">
        <f t="shared" si="385"/>
        <v>275</v>
      </c>
      <c r="L2307" s="23">
        <f t="shared" si="379"/>
        <v>275</v>
      </c>
      <c r="M2307" s="33">
        <v>10</v>
      </c>
      <c r="N2307" s="18">
        <f t="shared" si="386"/>
        <v>12.556164383561644</v>
      </c>
      <c r="O2307" s="23">
        <f t="shared" si="394"/>
        <v>2612.5</v>
      </c>
      <c r="P2307" s="18">
        <f t="shared" si="387"/>
        <v>13.556164383561644</v>
      </c>
      <c r="Q2307" s="18">
        <f t="shared" si="389"/>
        <v>0</v>
      </c>
      <c r="R2307" s="18">
        <f t="shared" si="388"/>
        <v>2612.5</v>
      </c>
      <c r="S2307" s="18">
        <v>0</v>
      </c>
    </row>
    <row r="2308" spans="1:19" ht="15" customHeight="1" x14ac:dyDescent="0.2">
      <c r="A2308" s="14">
        <f t="shared" si="391"/>
        <v>2269</v>
      </c>
      <c r="B2308" s="31" t="s">
        <v>1947</v>
      </c>
      <c r="C2308" s="15" t="s">
        <v>3</v>
      </c>
      <c r="D2308" s="31" t="s">
        <v>1708</v>
      </c>
      <c r="E2308" s="31"/>
      <c r="F2308" s="73" t="s">
        <v>4</v>
      </c>
      <c r="G2308" s="32">
        <v>40709</v>
      </c>
      <c r="H2308" s="29">
        <v>5486</v>
      </c>
      <c r="I2308" s="17">
        <v>0</v>
      </c>
      <c r="J2308" s="17">
        <v>2503.0438630136982</v>
      </c>
      <c r="K2308" s="17">
        <f t="shared" si="385"/>
        <v>2982.9561369863018</v>
      </c>
      <c r="L2308" s="23">
        <f t="shared" si="379"/>
        <v>274.3</v>
      </c>
      <c r="M2308" s="33">
        <v>10</v>
      </c>
      <c r="N2308" s="18">
        <f t="shared" si="386"/>
        <v>8.8054794520547937</v>
      </c>
      <c r="O2308" s="23">
        <v>83.626027397260259</v>
      </c>
      <c r="P2308" s="18">
        <f t="shared" si="387"/>
        <v>9.8054794520547937</v>
      </c>
      <c r="Q2308" s="18">
        <f t="shared" si="389"/>
        <v>270.86561369863017</v>
      </c>
      <c r="R2308" s="18">
        <f t="shared" si="388"/>
        <v>354.49164109589043</v>
      </c>
      <c r="S2308" s="18">
        <v>0</v>
      </c>
    </row>
    <row r="2309" spans="1:19" ht="15" customHeight="1" x14ac:dyDescent="0.2">
      <c r="A2309" s="14">
        <f t="shared" si="391"/>
        <v>2270</v>
      </c>
      <c r="B2309" s="31" t="s">
        <v>1948</v>
      </c>
      <c r="C2309" s="15" t="s">
        <v>3</v>
      </c>
      <c r="D2309" s="31" t="s">
        <v>1708</v>
      </c>
      <c r="E2309" s="31"/>
      <c r="F2309" s="73" t="s">
        <v>4</v>
      </c>
      <c r="G2309" s="32">
        <v>41228</v>
      </c>
      <c r="H2309" s="29">
        <v>5311.94</v>
      </c>
      <c r="I2309" s="17">
        <v>0</v>
      </c>
      <c r="J2309" s="17">
        <v>1706.0787019178083</v>
      </c>
      <c r="K2309" s="17">
        <f t="shared" si="385"/>
        <v>3605.8612980821913</v>
      </c>
      <c r="L2309" s="23">
        <f t="shared" si="379"/>
        <v>265.59699999999998</v>
      </c>
      <c r="M2309" s="33">
        <v>10</v>
      </c>
      <c r="N2309" s="18">
        <f t="shared" si="386"/>
        <v>7.3835616438356162</v>
      </c>
      <c r="O2309" s="23">
        <v>51684.882739726047</v>
      </c>
      <c r="P2309" s="18">
        <f t="shared" si="387"/>
        <v>8.3835616438356162</v>
      </c>
      <c r="Q2309" s="18">
        <f t="shared" si="389"/>
        <v>334.02642980821912</v>
      </c>
      <c r="R2309" s="18">
        <f t="shared" si="388"/>
        <v>52018.909169534265</v>
      </c>
      <c r="S2309" s="18">
        <v>0</v>
      </c>
    </row>
    <row r="2310" spans="1:19" ht="15" customHeight="1" x14ac:dyDescent="0.2">
      <c r="A2310" s="14">
        <f t="shared" si="391"/>
        <v>2271</v>
      </c>
      <c r="B2310" s="31" t="s">
        <v>1949</v>
      </c>
      <c r="C2310" s="15" t="s">
        <v>3</v>
      </c>
      <c r="D2310" s="31" t="s">
        <v>1708</v>
      </c>
      <c r="E2310" s="31"/>
      <c r="F2310" s="73" t="s">
        <v>4</v>
      </c>
      <c r="G2310" s="32">
        <v>33694</v>
      </c>
      <c r="H2310" s="29">
        <v>5520</v>
      </c>
      <c r="I2310" s="17">
        <v>0</v>
      </c>
      <c r="J2310" s="17">
        <f t="shared" ref="J2310:J2326" si="395">H2310-L2310</f>
        <v>5244</v>
      </c>
      <c r="K2310" s="17">
        <f t="shared" si="385"/>
        <v>276</v>
      </c>
      <c r="L2310" s="23">
        <f t="shared" si="379"/>
        <v>276</v>
      </c>
      <c r="M2310" s="33">
        <v>10</v>
      </c>
      <c r="N2310" s="18">
        <f t="shared" si="386"/>
        <v>28.024657534246575</v>
      </c>
      <c r="O2310" s="23">
        <f t="shared" ref="O2310:O2311" si="396">(H2310-K2310)/2</f>
        <v>2622</v>
      </c>
      <c r="P2310" s="18">
        <f t="shared" si="387"/>
        <v>29.024657534246575</v>
      </c>
      <c r="Q2310" s="18">
        <f t="shared" si="389"/>
        <v>0</v>
      </c>
      <c r="R2310" s="18">
        <f t="shared" si="388"/>
        <v>2622</v>
      </c>
      <c r="S2310" s="18">
        <v>0</v>
      </c>
    </row>
    <row r="2311" spans="1:19" ht="15" customHeight="1" x14ac:dyDescent="0.2">
      <c r="A2311" s="14">
        <f t="shared" si="391"/>
        <v>2272</v>
      </c>
      <c r="B2311" s="31" t="s">
        <v>1950</v>
      </c>
      <c r="C2311" s="15" t="s">
        <v>3</v>
      </c>
      <c r="D2311" s="31" t="s">
        <v>1708</v>
      </c>
      <c r="E2311" s="31"/>
      <c r="F2311" s="73" t="s">
        <v>4</v>
      </c>
      <c r="G2311" s="32">
        <v>33694</v>
      </c>
      <c r="H2311" s="29">
        <v>4711</v>
      </c>
      <c r="I2311" s="17">
        <v>0</v>
      </c>
      <c r="J2311" s="17">
        <f t="shared" si="395"/>
        <v>4475.45</v>
      </c>
      <c r="K2311" s="17">
        <f t="shared" si="385"/>
        <v>235.55000000000018</v>
      </c>
      <c r="L2311" s="23">
        <f t="shared" si="379"/>
        <v>235.55</v>
      </c>
      <c r="M2311" s="33">
        <v>5</v>
      </c>
      <c r="N2311" s="18">
        <f t="shared" si="386"/>
        <v>28.024657534246575</v>
      </c>
      <c r="O2311" s="23">
        <f t="shared" si="396"/>
        <v>2237.7249999999999</v>
      </c>
      <c r="P2311" s="18">
        <f t="shared" si="387"/>
        <v>29.024657534246575</v>
      </c>
      <c r="Q2311" s="18">
        <f t="shared" si="389"/>
        <v>3.4106051316484814E-14</v>
      </c>
      <c r="R2311" s="18">
        <f t="shared" si="388"/>
        <v>2237.7249999999999</v>
      </c>
      <c r="S2311" s="18">
        <v>0</v>
      </c>
    </row>
    <row r="2312" spans="1:19" ht="15" customHeight="1" x14ac:dyDescent="0.2">
      <c r="A2312" s="14">
        <f t="shared" si="391"/>
        <v>2273</v>
      </c>
      <c r="B2312" s="31" t="s">
        <v>1951</v>
      </c>
      <c r="C2312" s="15" t="s">
        <v>3</v>
      </c>
      <c r="D2312" s="31" t="s">
        <v>1708</v>
      </c>
      <c r="E2312" s="31"/>
      <c r="F2312" s="73" t="s">
        <v>4</v>
      </c>
      <c r="G2312" s="32">
        <v>40344</v>
      </c>
      <c r="H2312" s="29">
        <v>5273.16</v>
      </c>
      <c r="I2312" s="17">
        <v>0</v>
      </c>
      <c r="J2312" s="17">
        <v>2906.8836263013695</v>
      </c>
      <c r="K2312" s="17">
        <f t="shared" si="385"/>
        <v>2366.2763736986303</v>
      </c>
      <c r="L2312" s="23">
        <f t="shared" si="379"/>
        <v>263.65800000000002</v>
      </c>
      <c r="M2312" s="33">
        <v>10</v>
      </c>
      <c r="N2312" s="18">
        <f t="shared" si="386"/>
        <v>9.8054794520547937</v>
      </c>
      <c r="O2312" s="23">
        <v>13728.58794520548</v>
      </c>
      <c r="P2312" s="18">
        <f t="shared" si="387"/>
        <v>10.805479452054794</v>
      </c>
      <c r="Q2312" s="18">
        <f t="shared" si="389"/>
        <v>210.26183736986306</v>
      </c>
      <c r="R2312" s="18">
        <f t="shared" si="388"/>
        <v>13938.849782575342</v>
      </c>
      <c r="S2312" s="18">
        <v>0</v>
      </c>
    </row>
    <row r="2313" spans="1:19" ht="15" customHeight="1" x14ac:dyDescent="0.2">
      <c r="A2313" s="14">
        <f t="shared" si="391"/>
        <v>2274</v>
      </c>
      <c r="B2313" s="31" t="s">
        <v>1952</v>
      </c>
      <c r="C2313" s="15" t="s">
        <v>3</v>
      </c>
      <c r="D2313" s="31" t="s">
        <v>1708</v>
      </c>
      <c r="E2313" s="31"/>
      <c r="F2313" s="73" t="s">
        <v>4</v>
      </c>
      <c r="G2313" s="32">
        <v>33694</v>
      </c>
      <c r="H2313" s="29">
        <v>3216</v>
      </c>
      <c r="I2313" s="17">
        <v>0</v>
      </c>
      <c r="J2313" s="17">
        <f t="shared" si="395"/>
        <v>3055.2</v>
      </c>
      <c r="K2313" s="17">
        <f t="shared" si="385"/>
        <v>160.80000000000018</v>
      </c>
      <c r="L2313" s="23">
        <f t="shared" si="379"/>
        <v>160.80000000000001</v>
      </c>
      <c r="M2313" s="33">
        <v>10</v>
      </c>
      <c r="N2313" s="18">
        <f t="shared" si="386"/>
        <v>28.024657534246575</v>
      </c>
      <c r="O2313" s="23">
        <f t="shared" ref="O2313:O2315" si="397">(H2313-K2313)/2</f>
        <v>1527.6</v>
      </c>
      <c r="P2313" s="18">
        <f t="shared" si="387"/>
        <v>29.024657534246575</v>
      </c>
      <c r="Q2313" s="18">
        <f t="shared" si="389"/>
        <v>1.7053025658242407E-14</v>
      </c>
      <c r="R2313" s="18">
        <f t="shared" si="388"/>
        <v>1527.6</v>
      </c>
      <c r="S2313" s="18">
        <v>0</v>
      </c>
    </row>
    <row r="2314" spans="1:19" ht="15" customHeight="1" x14ac:dyDescent="0.2">
      <c r="A2314" s="14">
        <f t="shared" si="391"/>
        <v>2275</v>
      </c>
      <c r="B2314" s="31" t="s">
        <v>1953</v>
      </c>
      <c r="C2314" s="15" t="s">
        <v>3</v>
      </c>
      <c r="D2314" s="31" t="s">
        <v>1708</v>
      </c>
      <c r="E2314" s="31"/>
      <c r="F2314" s="73" t="s">
        <v>4</v>
      </c>
      <c r="G2314" s="32">
        <v>33694</v>
      </c>
      <c r="H2314" s="29">
        <v>1700</v>
      </c>
      <c r="I2314" s="17">
        <v>0</v>
      </c>
      <c r="J2314" s="17">
        <f t="shared" si="395"/>
        <v>1615</v>
      </c>
      <c r="K2314" s="17">
        <f t="shared" si="385"/>
        <v>85</v>
      </c>
      <c r="L2314" s="23">
        <f t="shared" si="379"/>
        <v>85</v>
      </c>
      <c r="M2314" s="33">
        <v>10</v>
      </c>
      <c r="N2314" s="18">
        <f t="shared" si="386"/>
        <v>28.024657534246575</v>
      </c>
      <c r="O2314" s="23">
        <f t="shared" si="397"/>
        <v>807.5</v>
      </c>
      <c r="P2314" s="18">
        <f t="shared" si="387"/>
        <v>29.024657534246575</v>
      </c>
      <c r="Q2314" s="18">
        <f t="shared" si="389"/>
        <v>0</v>
      </c>
      <c r="R2314" s="18">
        <f t="shared" si="388"/>
        <v>807.5</v>
      </c>
      <c r="S2314" s="18">
        <v>0</v>
      </c>
    </row>
    <row r="2315" spans="1:19" ht="15" customHeight="1" x14ac:dyDescent="0.2">
      <c r="A2315" s="14">
        <f t="shared" si="391"/>
        <v>2276</v>
      </c>
      <c r="B2315" s="31" t="s">
        <v>1954</v>
      </c>
      <c r="C2315" s="15" t="s">
        <v>3</v>
      </c>
      <c r="D2315" s="31" t="s">
        <v>1708</v>
      </c>
      <c r="E2315" s="31"/>
      <c r="F2315" s="73" t="s">
        <v>4</v>
      </c>
      <c r="G2315" s="32">
        <v>33868</v>
      </c>
      <c r="H2315" s="29">
        <v>37970</v>
      </c>
      <c r="I2315" s="17">
        <v>0</v>
      </c>
      <c r="J2315" s="17">
        <f t="shared" si="395"/>
        <v>36071.5</v>
      </c>
      <c r="K2315" s="17">
        <f t="shared" si="385"/>
        <v>1898.5</v>
      </c>
      <c r="L2315" s="23">
        <f t="shared" si="379"/>
        <v>1898.5</v>
      </c>
      <c r="M2315" s="33">
        <v>5</v>
      </c>
      <c r="N2315" s="18">
        <f t="shared" si="386"/>
        <v>27.547945205479451</v>
      </c>
      <c r="O2315" s="23">
        <f t="shared" si="397"/>
        <v>18035.75</v>
      </c>
      <c r="P2315" s="18">
        <f t="shared" si="387"/>
        <v>28.547945205479451</v>
      </c>
      <c r="Q2315" s="18">
        <f t="shared" si="389"/>
        <v>0</v>
      </c>
      <c r="R2315" s="18">
        <f t="shared" si="388"/>
        <v>18035.75</v>
      </c>
      <c r="S2315" s="18">
        <v>0</v>
      </c>
    </row>
    <row r="2316" spans="1:19" ht="15" customHeight="1" x14ac:dyDescent="0.2">
      <c r="A2316" s="14">
        <f t="shared" si="391"/>
        <v>2277</v>
      </c>
      <c r="B2316" s="31" t="s">
        <v>1955</v>
      </c>
      <c r="C2316" s="15" t="s">
        <v>3</v>
      </c>
      <c r="D2316" s="31" t="s">
        <v>1708</v>
      </c>
      <c r="E2316" s="31"/>
      <c r="F2316" s="73" t="s">
        <v>4</v>
      </c>
      <c r="G2316" s="32">
        <v>40497</v>
      </c>
      <c r="H2316" s="29">
        <v>5270</v>
      </c>
      <c r="I2316" s="17">
        <v>0</v>
      </c>
      <c r="J2316" s="17">
        <v>2695.2801369863009</v>
      </c>
      <c r="K2316" s="17">
        <f t="shared" si="385"/>
        <v>2574.7198630136991</v>
      </c>
      <c r="L2316" s="23">
        <f t="shared" si="379"/>
        <v>263.5</v>
      </c>
      <c r="M2316" s="33">
        <v>10</v>
      </c>
      <c r="N2316" s="18">
        <f t="shared" si="386"/>
        <v>9.3863013698630144</v>
      </c>
      <c r="O2316" s="23">
        <v>8615.4849315068514</v>
      </c>
      <c r="P2316" s="18">
        <f t="shared" si="387"/>
        <v>10.386301369863014</v>
      </c>
      <c r="Q2316" s="18">
        <f t="shared" si="389"/>
        <v>231.12198630136993</v>
      </c>
      <c r="R2316" s="18">
        <f t="shared" si="388"/>
        <v>8846.6069178082216</v>
      </c>
      <c r="S2316" s="18">
        <v>0</v>
      </c>
    </row>
    <row r="2317" spans="1:19" ht="15" customHeight="1" x14ac:dyDescent="0.2">
      <c r="A2317" s="14">
        <f t="shared" si="391"/>
        <v>2278</v>
      </c>
      <c r="B2317" s="31" t="s">
        <v>1956</v>
      </c>
      <c r="C2317" s="15" t="s">
        <v>3</v>
      </c>
      <c r="D2317" s="31" t="s">
        <v>1708</v>
      </c>
      <c r="E2317" s="31"/>
      <c r="F2317" s="73" t="s">
        <v>4</v>
      </c>
      <c r="G2317" s="32">
        <v>33312</v>
      </c>
      <c r="H2317" s="29">
        <v>480</v>
      </c>
      <c r="I2317" s="17">
        <v>0</v>
      </c>
      <c r="J2317" s="17">
        <f t="shared" si="395"/>
        <v>456</v>
      </c>
      <c r="K2317" s="17">
        <f t="shared" si="385"/>
        <v>24</v>
      </c>
      <c r="L2317" s="23">
        <f t="shared" si="379"/>
        <v>24</v>
      </c>
      <c r="M2317" s="33">
        <v>10</v>
      </c>
      <c r="N2317" s="18">
        <f t="shared" si="386"/>
        <v>29.07123287671233</v>
      </c>
      <c r="O2317" s="23">
        <f t="shared" ref="O2317:O2320" si="398">(H2317-K2317)/2</f>
        <v>228</v>
      </c>
      <c r="P2317" s="18">
        <f t="shared" si="387"/>
        <v>30.07123287671233</v>
      </c>
      <c r="Q2317" s="18">
        <f t="shared" si="389"/>
        <v>0</v>
      </c>
      <c r="R2317" s="18">
        <f t="shared" si="388"/>
        <v>228</v>
      </c>
      <c r="S2317" s="18">
        <v>0</v>
      </c>
    </row>
    <row r="2318" spans="1:19" ht="15" customHeight="1" x14ac:dyDescent="0.2">
      <c r="A2318" s="14">
        <f t="shared" si="391"/>
        <v>2279</v>
      </c>
      <c r="B2318" s="31" t="s">
        <v>1957</v>
      </c>
      <c r="C2318" s="15" t="s">
        <v>3</v>
      </c>
      <c r="D2318" s="31" t="s">
        <v>1708</v>
      </c>
      <c r="E2318" s="31"/>
      <c r="F2318" s="73" t="s">
        <v>4</v>
      </c>
      <c r="G2318" s="32">
        <v>33404</v>
      </c>
      <c r="H2318" s="29">
        <v>861</v>
      </c>
      <c r="I2318" s="17">
        <v>0</v>
      </c>
      <c r="J2318" s="17">
        <f t="shared" si="395"/>
        <v>817.95</v>
      </c>
      <c r="K2318" s="17">
        <f t="shared" si="385"/>
        <v>43.049999999999955</v>
      </c>
      <c r="L2318" s="23">
        <f t="shared" si="379"/>
        <v>43.050000000000004</v>
      </c>
      <c r="M2318" s="33">
        <v>10</v>
      </c>
      <c r="N2318" s="18">
        <f t="shared" si="386"/>
        <v>28.81917808219178</v>
      </c>
      <c r="O2318" s="23">
        <f t="shared" si="398"/>
        <v>408.97500000000002</v>
      </c>
      <c r="P2318" s="18">
        <f t="shared" si="387"/>
        <v>29.81917808219178</v>
      </c>
      <c r="Q2318" s="18">
        <f t="shared" si="389"/>
        <v>-4.9737991503207018E-15</v>
      </c>
      <c r="R2318" s="18">
        <f t="shared" si="388"/>
        <v>408.97500000000002</v>
      </c>
      <c r="S2318" s="18">
        <v>0</v>
      </c>
    </row>
    <row r="2319" spans="1:19" ht="15" customHeight="1" x14ac:dyDescent="0.2">
      <c r="A2319" s="14">
        <f t="shared" si="391"/>
        <v>2280</v>
      </c>
      <c r="B2319" s="31" t="s">
        <v>1958</v>
      </c>
      <c r="C2319" s="15" t="s">
        <v>3</v>
      </c>
      <c r="D2319" s="31" t="s">
        <v>1708</v>
      </c>
      <c r="E2319" s="31"/>
      <c r="F2319" s="73" t="s">
        <v>4</v>
      </c>
      <c r="G2319" s="32">
        <v>33481</v>
      </c>
      <c r="H2319" s="29">
        <v>2250</v>
      </c>
      <c r="I2319" s="17">
        <v>0</v>
      </c>
      <c r="J2319" s="17">
        <f t="shared" si="395"/>
        <v>2137.5</v>
      </c>
      <c r="K2319" s="17">
        <f t="shared" si="385"/>
        <v>112.5</v>
      </c>
      <c r="L2319" s="23">
        <f t="shared" si="379"/>
        <v>112.5</v>
      </c>
      <c r="M2319" s="33">
        <v>10</v>
      </c>
      <c r="N2319" s="18">
        <f t="shared" si="386"/>
        <v>28.608219178082191</v>
      </c>
      <c r="O2319" s="23">
        <f t="shared" si="398"/>
        <v>1068.75</v>
      </c>
      <c r="P2319" s="18">
        <f t="shared" si="387"/>
        <v>29.608219178082191</v>
      </c>
      <c r="Q2319" s="18">
        <f t="shared" si="389"/>
        <v>0</v>
      </c>
      <c r="R2319" s="18">
        <f t="shared" si="388"/>
        <v>1068.75</v>
      </c>
      <c r="S2319" s="18">
        <v>0</v>
      </c>
    </row>
    <row r="2320" spans="1:19" ht="15" customHeight="1" x14ac:dyDescent="0.2">
      <c r="A2320" s="14">
        <f t="shared" si="391"/>
        <v>2281</v>
      </c>
      <c r="B2320" s="31" t="s">
        <v>1959</v>
      </c>
      <c r="C2320" s="15" t="s">
        <v>3</v>
      </c>
      <c r="D2320" s="31" t="s">
        <v>1708</v>
      </c>
      <c r="E2320" s="31"/>
      <c r="F2320" s="73" t="s">
        <v>4</v>
      </c>
      <c r="G2320" s="32">
        <v>33603</v>
      </c>
      <c r="H2320" s="29">
        <v>1240</v>
      </c>
      <c r="I2320" s="17">
        <v>0</v>
      </c>
      <c r="J2320" s="17">
        <f t="shared" si="395"/>
        <v>1178</v>
      </c>
      <c r="K2320" s="17">
        <f t="shared" si="385"/>
        <v>62</v>
      </c>
      <c r="L2320" s="23">
        <f t="shared" si="379"/>
        <v>62</v>
      </c>
      <c r="M2320" s="33">
        <v>10</v>
      </c>
      <c r="N2320" s="18">
        <f t="shared" si="386"/>
        <v>28.273972602739725</v>
      </c>
      <c r="O2320" s="23">
        <f t="shared" si="398"/>
        <v>589</v>
      </c>
      <c r="P2320" s="18">
        <f t="shared" si="387"/>
        <v>29.273972602739725</v>
      </c>
      <c r="Q2320" s="18">
        <f t="shared" si="389"/>
        <v>0</v>
      </c>
      <c r="R2320" s="18">
        <f t="shared" si="388"/>
        <v>589</v>
      </c>
      <c r="S2320" s="18">
        <v>0</v>
      </c>
    </row>
    <row r="2321" spans="1:19" ht="15" customHeight="1" x14ac:dyDescent="0.2">
      <c r="A2321" s="14">
        <f t="shared" si="391"/>
        <v>2282</v>
      </c>
      <c r="B2321" s="31" t="s">
        <v>1960</v>
      </c>
      <c r="C2321" s="15" t="s">
        <v>3</v>
      </c>
      <c r="D2321" s="31" t="s">
        <v>1708</v>
      </c>
      <c r="E2321" s="31"/>
      <c r="F2321" s="73" t="s">
        <v>4</v>
      </c>
      <c r="G2321" s="32">
        <v>40862</v>
      </c>
      <c r="H2321" s="29">
        <v>5130</v>
      </c>
      <c r="I2321" s="17">
        <v>0</v>
      </c>
      <c r="J2321" s="17">
        <v>2136.3287671232874</v>
      </c>
      <c r="K2321" s="17">
        <f t="shared" si="385"/>
        <v>2993.6712328767126</v>
      </c>
      <c r="L2321" s="23">
        <f t="shared" si="379"/>
        <v>256.5</v>
      </c>
      <c r="M2321" s="33">
        <v>10</v>
      </c>
      <c r="N2321" s="18">
        <f t="shared" si="386"/>
        <v>8.3863013698630144</v>
      </c>
      <c r="O2321" s="23">
        <v>2555.7488219178081</v>
      </c>
      <c r="P2321" s="18">
        <f t="shared" si="387"/>
        <v>9.3863013698630144</v>
      </c>
      <c r="Q2321" s="18">
        <f t="shared" si="389"/>
        <v>273.71712328767126</v>
      </c>
      <c r="R2321" s="18">
        <f t="shared" si="388"/>
        <v>2829.4659452054793</v>
      </c>
      <c r="S2321" s="18">
        <v>0</v>
      </c>
    </row>
    <row r="2322" spans="1:19" ht="15" customHeight="1" x14ac:dyDescent="0.2">
      <c r="A2322" s="14">
        <f t="shared" si="391"/>
        <v>2283</v>
      </c>
      <c r="B2322" s="31" t="s">
        <v>1921</v>
      </c>
      <c r="C2322" s="15" t="s">
        <v>3</v>
      </c>
      <c r="D2322" s="31" t="s">
        <v>1708</v>
      </c>
      <c r="E2322" s="31"/>
      <c r="F2322" s="73" t="s">
        <v>4</v>
      </c>
      <c r="G2322" s="32">
        <v>33603</v>
      </c>
      <c r="H2322" s="29">
        <v>240</v>
      </c>
      <c r="I2322" s="17">
        <v>0</v>
      </c>
      <c r="J2322" s="17">
        <f t="shared" si="395"/>
        <v>228</v>
      </c>
      <c r="K2322" s="17">
        <f t="shared" si="385"/>
        <v>12</v>
      </c>
      <c r="L2322" s="23">
        <f t="shared" si="379"/>
        <v>12</v>
      </c>
      <c r="M2322" s="33">
        <v>10</v>
      </c>
      <c r="N2322" s="18">
        <f t="shared" si="386"/>
        <v>28.273972602739725</v>
      </c>
      <c r="O2322" s="23">
        <f>(H2322-K2322)/2</f>
        <v>114</v>
      </c>
      <c r="P2322" s="18">
        <f t="shared" si="387"/>
        <v>29.273972602739725</v>
      </c>
      <c r="Q2322" s="18">
        <f t="shared" si="389"/>
        <v>0</v>
      </c>
      <c r="R2322" s="18">
        <f t="shared" si="388"/>
        <v>114</v>
      </c>
      <c r="S2322" s="18">
        <v>0</v>
      </c>
    </row>
    <row r="2323" spans="1:19" ht="15" customHeight="1" x14ac:dyDescent="0.2">
      <c r="A2323" s="14">
        <f t="shared" si="391"/>
        <v>2284</v>
      </c>
      <c r="B2323" s="31" t="s">
        <v>1961</v>
      </c>
      <c r="C2323" s="15" t="s">
        <v>3</v>
      </c>
      <c r="D2323" s="31" t="s">
        <v>1708</v>
      </c>
      <c r="E2323" s="31"/>
      <c r="F2323" s="73" t="s">
        <v>4</v>
      </c>
      <c r="G2323" s="32">
        <v>41348</v>
      </c>
      <c r="H2323" s="29">
        <v>5058.2299999999996</v>
      </c>
      <c r="I2323" s="17">
        <v>0</v>
      </c>
      <c r="J2323" s="17">
        <v>1466.6095367123287</v>
      </c>
      <c r="K2323" s="17">
        <f t="shared" si="385"/>
        <v>3591.6204632876706</v>
      </c>
      <c r="L2323" s="23">
        <f t="shared" si="379"/>
        <v>252.91149999999999</v>
      </c>
      <c r="M2323" s="33">
        <v>10</v>
      </c>
      <c r="N2323" s="18">
        <f t="shared" si="386"/>
        <v>7.0547945205479454</v>
      </c>
      <c r="O2323" s="23">
        <v>877.60219178082207</v>
      </c>
      <c r="P2323" s="18">
        <f t="shared" si="387"/>
        <v>8.0547945205479454</v>
      </c>
      <c r="Q2323" s="18">
        <f t="shared" si="389"/>
        <v>333.87089632876706</v>
      </c>
      <c r="R2323" s="18">
        <f t="shared" si="388"/>
        <v>1211.4730881095891</v>
      </c>
      <c r="S2323" s="18">
        <v>0</v>
      </c>
    </row>
    <row r="2324" spans="1:19" ht="15" customHeight="1" x14ac:dyDescent="0.2">
      <c r="A2324" s="14">
        <f t="shared" si="391"/>
        <v>2285</v>
      </c>
      <c r="B2324" s="31" t="s">
        <v>1801</v>
      </c>
      <c r="C2324" s="15" t="s">
        <v>3</v>
      </c>
      <c r="D2324" s="31" t="s">
        <v>1708</v>
      </c>
      <c r="E2324" s="31"/>
      <c r="F2324" s="73" t="s">
        <v>4</v>
      </c>
      <c r="G2324" s="32">
        <v>39448</v>
      </c>
      <c r="H2324" s="29">
        <v>4999.16</v>
      </c>
      <c r="I2324" s="17">
        <v>0</v>
      </c>
      <c r="J2324" s="17">
        <f t="shared" si="395"/>
        <v>4749.2020000000002</v>
      </c>
      <c r="K2324" s="17">
        <f t="shared" si="385"/>
        <v>249.95799999999963</v>
      </c>
      <c r="L2324" s="23">
        <f t="shared" si="379"/>
        <v>249.958</v>
      </c>
      <c r="M2324" s="33">
        <v>10</v>
      </c>
      <c r="N2324" s="18">
        <f t="shared" si="386"/>
        <v>12.260273972602739</v>
      </c>
      <c r="O2324" s="23">
        <f t="shared" ref="O2324:O2326" si="399">(H2324-K2324)/2</f>
        <v>2374.6010000000001</v>
      </c>
      <c r="P2324" s="18">
        <f t="shared" si="387"/>
        <v>13.260273972602739</v>
      </c>
      <c r="Q2324" s="18">
        <f t="shared" si="389"/>
        <v>-3.6948222259525211E-14</v>
      </c>
      <c r="R2324" s="18">
        <f t="shared" si="388"/>
        <v>2374.6010000000001</v>
      </c>
      <c r="S2324" s="18">
        <v>0</v>
      </c>
    </row>
    <row r="2325" spans="1:19" ht="15" customHeight="1" x14ac:dyDescent="0.2">
      <c r="A2325" s="14">
        <f t="shared" si="391"/>
        <v>2286</v>
      </c>
      <c r="B2325" s="31" t="s">
        <v>1910</v>
      </c>
      <c r="C2325" s="15" t="s">
        <v>3</v>
      </c>
      <c r="D2325" s="31" t="s">
        <v>1708</v>
      </c>
      <c r="E2325" s="31"/>
      <c r="F2325" s="73" t="s">
        <v>4</v>
      </c>
      <c r="G2325" s="32">
        <v>33649</v>
      </c>
      <c r="H2325" s="29">
        <v>482</v>
      </c>
      <c r="I2325" s="17">
        <v>0</v>
      </c>
      <c r="J2325" s="17">
        <f t="shared" si="395"/>
        <v>457.9</v>
      </c>
      <c r="K2325" s="17">
        <f t="shared" si="385"/>
        <v>24.100000000000023</v>
      </c>
      <c r="L2325" s="23">
        <f t="shared" ref="L2325:L2388" si="400">H2325*0.05</f>
        <v>24.1</v>
      </c>
      <c r="M2325" s="33">
        <v>10</v>
      </c>
      <c r="N2325" s="18">
        <f t="shared" si="386"/>
        <v>28.147945205479452</v>
      </c>
      <c r="O2325" s="23">
        <f t="shared" si="399"/>
        <v>228.95</v>
      </c>
      <c r="P2325" s="18">
        <f t="shared" si="387"/>
        <v>29.147945205479452</v>
      </c>
      <c r="Q2325" s="18">
        <f t="shared" si="389"/>
        <v>2.1316282072803009E-15</v>
      </c>
      <c r="R2325" s="18">
        <f t="shared" si="388"/>
        <v>228.95</v>
      </c>
      <c r="S2325" s="18">
        <v>0</v>
      </c>
    </row>
    <row r="2326" spans="1:19" ht="15" customHeight="1" x14ac:dyDescent="0.2">
      <c r="A2326" s="14">
        <f t="shared" si="391"/>
        <v>2287</v>
      </c>
      <c r="B2326" s="31" t="s">
        <v>1714</v>
      </c>
      <c r="C2326" s="15" t="s">
        <v>3</v>
      </c>
      <c r="D2326" s="31" t="s">
        <v>1708</v>
      </c>
      <c r="E2326" s="31"/>
      <c r="F2326" s="73" t="s">
        <v>4</v>
      </c>
      <c r="G2326" s="32">
        <v>39828</v>
      </c>
      <c r="H2326" s="29">
        <v>4900</v>
      </c>
      <c r="I2326" s="17">
        <v>0</v>
      </c>
      <c r="J2326" s="17">
        <f t="shared" si="395"/>
        <v>4655</v>
      </c>
      <c r="K2326" s="17">
        <f t="shared" si="385"/>
        <v>245</v>
      </c>
      <c r="L2326" s="23">
        <f t="shared" si="400"/>
        <v>245</v>
      </c>
      <c r="M2326" s="33">
        <v>10</v>
      </c>
      <c r="N2326" s="18">
        <f t="shared" si="386"/>
        <v>11.219178082191782</v>
      </c>
      <c r="O2326" s="23">
        <f t="shared" si="399"/>
        <v>2327.5</v>
      </c>
      <c r="P2326" s="18">
        <f t="shared" si="387"/>
        <v>12.219178082191782</v>
      </c>
      <c r="Q2326" s="18">
        <f t="shared" si="389"/>
        <v>0</v>
      </c>
      <c r="R2326" s="18">
        <f t="shared" si="388"/>
        <v>2327.5</v>
      </c>
      <c r="S2326" s="18">
        <v>0</v>
      </c>
    </row>
    <row r="2327" spans="1:19" ht="15" customHeight="1" x14ac:dyDescent="0.2">
      <c r="A2327" s="14">
        <f t="shared" si="391"/>
        <v>2288</v>
      </c>
      <c r="B2327" s="31" t="s">
        <v>1962</v>
      </c>
      <c r="C2327" s="15" t="s">
        <v>3</v>
      </c>
      <c r="D2327" s="31" t="s">
        <v>1708</v>
      </c>
      <c r="E2327" s="31"/>
      <c r="F2327" s="73" t="s">
        <v>4</v>
      </c>
      <c r="G2327" s="32">
        <v>40862</v>
      </c>
      <c r="H2327" s="29">
        <v>4900</v>
      </c>
      <c r="I2327" s="17">
        <v>0</v>
      </c>
      <c r="J2327" s="17">
        <v>2040.5479452054794</v>
      </c>
      <c r="K2327" s="17">
        <f t="shared" si="385"/>
        <v>2859.4520547945203</v>
      </c>
      <c r="L2327" s="23">
        <f t="shared" si="400"/>
        <v>245</v>
      </c>
      <c r="M2327" s="33">
        <v>10</v>
      </c>
      <c r="N2327" s="18">
        <f t="shared" si="386"/>
        <v>8.3863013698630144</v>
      </c>
      <c r="O2327" s="23">
        <v>10154.754965753425</v>
      </c>
      <c r="P2327" s="18">
        <f t="shared" si="387"/>
        <v>9.3863013698630144</v>
      </c>
      <c r="Q2327" s="18">
        <f t="shared" si="389"/>
        <v>261.44520547945206</v>
      </c>
      <c r="R2327" s="18">
        <f t="shared" si="388"/>
        <v>10416.200171232878</v>
      </c>
      <c r="S2327" s="18">
        <v>0</v>
      </c>
    </row>
    <row r="2328" spans="1:19" ht="15" customHeight="1" x14ac:dyDescent="0.2">
      <c r="A2328" s="14">
        <f t="shared" si="391"/>
        <v>2289</v>
      </c>
      <c r="B2328" s="31" t="s">
        <v>1963</v>
      </c>
      <c r="C2328" s="15" t="s">
        <v>3</v>
      </c>
      <c r="D2328" s="31" t="s">
        <v>1708</v>
      </c>
      <c r="E2328" s="31"/>
      <c r="F2328" s="73" t="s">
        <v>4</v>
      </c>
      <c r="G2328" s="32">
        <v>41532</v>
      </c>
      <c r="H2328" s="29">
        <v>4850.32</v>
      </c>
      <c r="I2328" s="17">
        <v>0</v>
      </c>
      <c r="J2328" s="17">
        <v>1174.043210958904</v>
      </c>
      <c r="K2328" s="17">
        <f t="shared" si="385"/>
        <v>3676.276789041096</v>
      </c>
      <c r="L2328" s="23">
        <f t="shared" si="400"/>
        <v>242.51599999999999</v>
      </c>
      <c r="M2328" s="33">
        <v>10</v>
      </c>
      <c r="N2328" s="18">
        <f t="shared" si="386"/>
        <v>6.5506849315068489</v>
      </c>
      <c r="O2328" s="23">
        <v>5625.2222465753439</v>
      </c>
      <c r="P2328" s="18">
        <f t="shared" si="387"/>
        <v>7.5506849315068489</v>
      </c>
      <c r="Q2328" s="18">
        <f t="shared" si="389"/>
        <v>343.37607890410959</v>
      </c>
      <c r="R2328" s="18">
        <f t="shared" si="388"/>
        <v>5968.5983254794537</v>
      </c>
      <c r="S2328" s="18">
        <v>0</v>
      </c>
    </row>
    <row r="2329" spans="1:19" ht="15" customHeight="1" x14ac:dyDescent="0.2">
      <c r="A2329" s="14">
        <f t="shared" si="391"/>
        <v>2290</v>
      </c>
      <c r="B2329" s="31" t="s">
        <v>1964</v>
      </c>
      <c r="C2329" s="15" t="s">
        <v>3</v>
      </c>
      <c r="D2329" s="31" t="s">
        <v>1708</v>
      </c>
      <c r="E2329" s="31"/>
      <c r="F2329" s="73" t="s">
        <v>4</v>
      </c>
      <c r="G2329" s="32">
        <v>41348</v>
      </c>
      <c r="H2329" s="29">
        <v>4803.54</v>
      </c>
      <c r="I2329" s="17">
        <v>0</v>
      </c>
      <c r="J2329" s="17">
        <f t="shared" ref="J2329:J2332" si="401">H2329-L2329</f>
        <v>4563.3630000000003</v>
      </c>
      <c r="K2329" s="17">
        <f t="shared" si="385"/>
        <v>240.17699999999968</v>
      </c>
      <c r="L2329" s="23">
        <f t="shared" si="400"/>
        <v>240.17700000000002</v>
      </c>
      <c r="M2329" s="33">
        <v>5</v>
      </c>
      <c r="N2329" s="18">
        <f t="shared" si="386"/>
        <v>7.0547945205479454</v>
      </c>
      <c r="O2329" s="23">
        <f t="shared" ref="O2329:O2330" si="402">(H2329-K2329)/2</f>
        <v>2281.6815000000001</v>
      </c>
      <c r="P2329" s="18">
        <f t="shared" si="387"/>
        <v>8.0547945205479454</v>
      </c>
      <c r="Q2329" s="18">
        <f t="shared" si="389"/>
        <v>-6.8212102632969628E-14</v>
      </c>
      <c r="R2329" s="18">
        <f t="shared" si="388"/>
        <v>2281.6815000000001</v>
      </c>
      <c r="S2329" s="18">
        <v>0</v>
      </c>
    </row>
    <row r="2330" spans="1:19" ht="15" customHeight="1" x14ac:dyDescent="0.2">
      <c r="A2330" s="14">
        <f t="shared" si="391"/>
        <v>2291</v>
      </c>
      <c r="B2330" s="31" t="s">
        <v>1826</v>
      </c>
      <c r="C2330" s="15" t="s">
        <v>3</v>
      </c>
      <c r="D2330" s="31" t="s">
        <v>1708</v>
      </c>
      <c r="E2330" s="31"/>
      <c r="F2330" s="73" t="s">
        <v>4</v>
      </c>
      <c r="G2330" s="32">
        <v>33678</v>
      </c>
      <c r="H2330" s="29">
        <v>1964</v>
      </c>
      <c r="I2330" s="17">
        <v>0</v>
      </c>
      <c r="J2330" s="17">
        <f t="shared" si="401"/>
        <v>1865.8</v>
      </c>
      <c r="K2330" s="17">
        <f t="shared" si="385"/>
        <v>98.200000000000045</v>
      </c>
      <c r="L2330" s="23">
        <f t="shared" si="400"/>
        <v>98.2</v>
      </c>
      <c r="M2330" s="33">
        <v>10</v>
      </c>
      <c r="N2330" s="18">
        <f t="shared" si="386"/>
        <v>28.068493150684933</v>
      </c>
      <c r="O2330" s="23">
        <f t="shared" si="402"/>
        <v>932.9</v>
      </c>
      <c r="P2330" s="18">
        <f t="shared" si="387"/>
        <v>29.068493150684933</v>
      </c>
      <c r="Q2330" s="18">
        <f t="shared" si="389"/>
        <v>4.2632564145606017E-15</v>
      </c>
      <c r="R2330" s="18">
        <f t="shared" si="388"/>
        <v>932.9</v>
      </c>
      <c r="S2330" s="18">
        <v>0</v>
      </c>
    </row>
    <row r="2331" spans="1:19" ht="15" customHeight="1" x14ac:dyDescent="0.2">
      <c r="A2331" s="14">
        <f t="shared" si="391"/>
        <v>2292</v>
      </c>
      <c r="B2331" s="31" t="s">
        <v>1965</v>
      </c>
      <c r="C2331" s="15" t="s">
        <v>3</v>
      </c>
      <c r="D2331" s="31" t="s">
        <v>1708</v>
      </c>
      <c r="E2331" s="31"/>
      <c r="F2331" s="73" t="s">
        <v>4</v>
      </c>
      <c r="G2331" s="32">
        <v>41289</v>
      </c>
      <c r="H2331" s="29">
        <v>4756.12</v>
      </c>
      <c r="I2331" s="17">
        <v>0</v>
      </c>
      <c r="J2331" s="17">
        <v>1452.0499512328768</v>
      </c>
      <c r="K2331" s="17">
        <f t="shared" si="385"/>
        <v>3304.0700487671229</v>
      </c>
      <c r="L2331" s="23">
        <f t="shared" si="400"/>
        <v>237.80600000000001</v>
      </c>
      <c r="M2331" s="33">
        <v>10</v>
      </c>
      <c r="N2331" s="18">
        <f t="shared" si="386"/>
        <v>7.2164383561643834</v>
      </c>
      <c r="O2331" s="23">
        <v>341.33630136986312</v>
      </c>
      <c r="P2331" s="18">
        <f t="shared" si="387"/>
        <v>8.2164383561643834</v>
      </c>
      <c r="Q2331" s="18">
        <f t="shared" si="389"/>
        <v>306.62640487671229</v>
      </c>
      <c r="R2331" s="18">
        <f t="shared" si="388"/>
        <v>647.96270624657541</v>
      </c>
      <c r="S2331" s="18">
        <v>0</v>
      </c>
    </row>
    <row r="2332" spans="1:19" ht="15" customHeight="1" x14ac:dyDescent="0.2">
      <c r="A2332" s="14">
        <f t="shared" si="391"/>
        <v>2293</v>
      </c>
      <c r="B2332" s="31" t="s">
        <v>1966</v>
      </c>
      <c r="C2332" s="15" t="s">
        <v>3</v>
      </c>
      <c r="D2332" s="31" t="s">
        <v>1708</v>
      </c>
      <c r="E2332" s="31"/>
      <c r="F2332" s="73" t="s">
        <v>4</v>
      </c>
      <c r="G2332" s="32">
        <v>41685</v>
      </c>
      <c r="H2332" s="29">
        <v>4674.22</v>
      </c>
      <c r="I2332" s="17">
        <v>0</v>
      </c>
      <c r="J2332" s="17">
        <f t="shared" si="401"/>
        <v>4440.509</v>
      </c>
      <c r="K2332" s="17">
        <f t="shared" si="385"/>
        <v>233.71100000000024</v>
      </c>
      <c r="L2332" s="23">
        <f t="shared" si="400"/>
        <v>233.71100000000001</v>
      </c>
      <c r="M2332" s="33">
        <v>5</v>
      </c>
      <c r="N2332" s="18">
        <f t="shared" si="386"/>
        <v>6.1315068493150688</v>
      </c>
      <c r="O2332" s="23">
        <f>(H2332-K2332)/2</f>
        <v>2220.2545</v>
      </c>
      <c r="P2332" s="18">
        <f t="shared" si="387"/>
        <v>7.1315068493150688</v>
      </c>
      <c r="Q2332" s="18">
        <f t="shared" si="389"/>
        <v>4.5474735088646414E-14</v>
      </c>
      <c r="R2332" s="18">
        <f t="shared" si="388"/>
        <v>2220.2545</v>
      </c>
      <c r="S2332" s="18">
        <v>0</v>
      </c>
    </row>
    <row r="2333" spans="1:19" ht="15" customHeight="1" x14ac:dyDescent="0.2">
      <c r="A2333" s="14">
        <f t="shared" si="391"/>
        <v>2294</v>
      </c>
      <c r="B2333" s="31" t="s">
        <v>1967</v>
      </c>
      <c r="C2333" s="15" t="s">
        <v>3</v>
      </c>
      <c r="D2333" s="31" t="s">
        <v>1708</v>
      </c>
      <c r="E2333" s="31"/>
      <c r="F2333" s="73" t="s">
        <v>4</v>
      </c>
      <c r="G2333" s="32">
        <v>41654</v>
      </c>
      <c r="H2333" s="29">
        <v>4600</v>
      </c>
      <c r="I2333" s="17">
        <v>0</v>
      </c>
      <c r="J2333" s="17">
        <v>967.38630136986296</v>
      </c>
      <c r="K2333" s="17">
        <f t="shared" si="385"/>
        <v>3632.6136986301372</v>
      </c>
      <c r="L2333" s="23">
        <f t="shared" si="400"/>
        <v>230</v>
      </c>
      <c r="M2333" s="33">
        <v>10</v>
      </c>
      <c r="N2333" s="18">
        <f t="shared" si="386"/>
        <v>6.2164383561643834</v>
      </c>
      <c r="O2333" s="23">
        <v>2912.7546575342458</v>
      </c>
      <c r="P2333" s="18">
        <f t="shared" si="387"/>
        <v>7.2164383561643834</v>
      </c>
      <c r="Q2333" s="18">
        <f t="shared" si="389"/>
        <v>340.26136986301373</v>
      </c>
      <c r="R2333" s="18">
        <f t="shared" si="388"/>
        <v>3253.0160273972597</v>
      </c>
      <c r="S2333" s="18">
        <v>0</v>
      </c>
    </row>
    <row r="2334" spans="1:19" ht="15" customHeight="1" x14ac:dyDescent="0.2">
      <c r="A2334" s="14">
        <f t="shared" si="391"/>
        <v>2295</v>
      </c>
      <c r="B2334" s="31" t="s">
        <v>1831</v>
      </c>
      <c r="C2334" s="15" t="s">
        <v>3</v>
      </c>
      <c r="D2334" s="31" t="s">
        <v>1708</v>
      </c>
      <c r="E2334" s="31"/>
      <c r="F2334" s="73" t="s">
        <v>4</v>
      </c>
      <c r="G2334" s="32">
        <v>41690</v>
      </c>
      <c r="H2334" s="29">
        <v>4600</v>
      </c>
      <c r="I2334" s="17">
        <v>0</v>
      </c>
      <c r="J2334" s="17">
        <v>924.28493150684938</v>
      </c>
      <c r="K2334" s="17">
        <f t="shared" si="385"/>
        <v>3675.7150684931507</v>
      </c>
      <c r="L2334" s="23">
        <f t="shared" si="400"/>
        <v>230</v>
      </c>
      <c r="M2334" s="33">
        <v>10</v>
      </c>
      <c r="N2334" s="18">
        <f t="shared" si="386"/>
        <v>6.117808219178082</v>
      </c>
      <c r="O2334" s="23">
        <v>401926.68493150681</v>
      </c>
      <c r="P2334" s="18">
        <f t="shared" si="387"/>
        <v>7.117808219178082</v>
      </c>
      <c r="Q2334" s="18">
        <f t="shared" si="389"/>
        <v>344.57150684931509</v>
      </c>
      <c r="R2334" s="18">
        <f t="shared" si="388"/>
        <v>402271.25643835613</v>
      </c>
      <c r="S2334" s="18">
        <v>0</v>
      </c>
    </row>
    <row r="2335" spans="1:19" ht="15" customHeight="1" x14ac:dyDescent="0.2">
      <c r="A2335" s="14">
        <f t="shared" si="391"/>
        <v>2296</v>
      </c>
      <c r="B2335" s="31" t="s">
        <v>1801</v>
      </c>
      <c r="C2335" s="15" t="s">
        <v>3</v>
      </c>
      <c r="D2335" s="31" t="s">
        <v>1708</v>
      </c>
      <c r="E2335" s="31"/>
      <c r="F2335" s="73" t="s">
        <v>4</v>
      </c>
      <c r="G2335" s="32">
        <v>39448</v>
      </c>
      <c r="H2335" s="29">
        <v>4599.58</v>
      </c>
      <c r="I2335" s="17">
        <v>0</v>
      </c>
      <c r="J2335" s="17">
        <f t="shared" ref="J2335:J2339" si="403">H2335-L2335</f>
        <v>4369.6009999999997</v>
      </c>
      <c r="K2335" s="17">
        <f t="shared" si="385"/>
        <v>229.97900000000027</v>
      </c>
      <c r="L2335" s="23">
        <f t="shared" si="400"/>
        <v>229.97900000000001</v>
      </c>
      <c r="M2335" s="33">
        <v>10</v>
      </c>
      <c r="N2335" s="18">
        <f t="shared" si="386"/>
        <v>12.260273972602739</v>
      </c>
      <c r="O2335" s="23">
        <f t="shared" ref="O2335:O2339" si="404">(H2335-K2335)/2</f>
        <v>2184.8004999999998</v>
      </c>
      <c r="P2335" s="18">
        <f t="shared" si="387"/>
        <v>13.260273972602739</v>
      </c>
      <c r="Q2335" s="18">
        <f t="shared" si="389"/>
        <v>2.5579538487363607E-14</v>
      </c>
      <c r="R2335" s="18">
        <f t="shared" si="388"/>
        <v>2184.8004999999998</v>
      </c>
      <c r="S2335" s="18">
        <v>0</v>
      </c>
    </row>
    <row r="2336" spans="1:19" ht="15" customHeight="1" x14ac:dyDescent="0.2">
      <c r="A2336" s="14">
        <f t="shared" si="391"/>
        <v>2297</v>
      </c>
      <c r="B2336" s="31" t="s">
        <v>1968</v>
      </c>
      <c r="C2336" s="15" t="s">
        <v>3</v>
      </c>
      <c r="D2336" s="31" t="s">
        <v>1708</v>
      </c>
      <c r="E2336" s="31"/>
      <c r="F2336" s="73" t="s">
        <v>4</v>
      </c>
      <c r="G2336" s="32">
        <v>33694</v>
      </c>
      <c r="H2336" s="29">
        <v>712</v>
      </c>
      <c r="I2336" s="17">
        <v>0</v>
      </c>
      <c r="J2336" s="17">
        <f t="shared" si="403"/>
        <v>676.4</v>
      </c>
      <c r="K2336" s="17">
        <f t="shared" si="385"/>
        <v>35.600000000000023</v>
      </c>
      <c r="L2336" s="23">
        <f t="shared" si="400"/>
        <v>35.6</v>
      </c>
      <c r="M2336" s="33">
        <v>10</v>
      </c>
      <c r="N2336" s="18">
        <f t="shared" si="386"/>
        <v>28.024657534246575</v>
      </c>
      <c r="O2336" s="23">
        <f t="shared" si="404"/>
        <v>338.2</v>
      </c>
      <c r="P2336" s="18">
        <f t="shared" si="387"/>
        <v>29.024657534246575</v>
      </c>
      <c r="Q2336" s="18">
        <f t="shared" si="389"/>
        <v>2.1316282072803009E-15</v>
      </c>
      <c r="R2336" s="18">
        <f t="shared" si="388"/>
        <v>338.2</v>
      </c>
      <c r="S2336" s="18">
        <v>0</v>
      </c>
    </row>
    <row r="2337" spans="1:19" ht="15" customHeight="1" x14ac:dyDescent="0.2">
      <c r="A2337" s="14">
        <f t="shared" si="391"/>
        <v>2298</v>
      </c>
      <c r="B2337" s="31" t="s">
        <v>1296</v>
      </c>
      <c r="C2337" s="15" t="s">
        <v>3</v>
      </c>
      <c r="D2337" s="31" t="s">
        <v>1708</v>
      </c>
      <c r="E2337" s="31"/>
      <c r="F2337" s="73" t="s">
        <v>4</v>
      </c>
      <c r="G2337" s="32">
        <v>41379</v>
      </c>
      <c r="H2337" s="29">
        <v>4500</v>
      </c>
      <c r="I2337" s="17">
        <v>0</v>
      </c>
      <c r="J2337" s="17">
        <f t="shared" si="403"/>
        <v>4275</v>
      </c>
      <c r="K2337" s="17">
        <f t="shared" si="385"/>
        <v>225</v>
      </c>
      <c r="L2337" s="23">
        <f t="shared" si="400"/>
        <v>225</v>
      </c>
      <c r="M2337" s="33">
        <v>5</v>
      </c>
      <c r="N2337" s="18">
        <f t="shared" si="386"/>
        <v>6.9698630136986299</v>
      </c>
      <c r="O2337" s="23">
        <f t="shared" si="404"/>
        <v>2137.5</v>
      </c>
      <c r="P2337" s="18">
        <f t="shared" si="387"/>
        <v>7.9698630136986299</v>
      </c>
      <c r="Q2337" s="18">
        <f t="shared" si="389"/>
        <v>0</v>
      </c>
      <c r="R2337" s="18">
        <f t="shared" si="388"/>
        <v>2137.5</v>
      </c>
      <c r="S2337" s="18">
        <v>0</v>
      </c>
    </row>
    <row r="2338" spans="1:19" ht="15" customHeight="1" x14ac:dyDescent="0.2">
      <c r="A2338" s="14">
        <f t="shared" si="391"/>
        <v>2299</v>
      </c>
      <c r="B2338" s="31" t="s">
        <v>1969</v>
      </c>
      <c r="C2338" s="15" t="s">
        <v>3</v>
      </c>
      <c r="D2338" s="31" t="s">
        <v>1708</v>
      </c>
      <c r="E2338" s="31"/>
      <c r="F2338" s="73" t="s">
        <v>4</v>
      </c>
      <c r="G2338" s="32">
        <v>33877</v>
      </c>
      <c r="H2338" s="29">
        <v>3260</v>
      </c>
      <c r="I2338" s="17">
        <v>0</v>
      </c>
      <c r="J2338" s="17">
        <f t="shared" si="403"/>
        <v>3097</v>
      </c>
      <c r="K2338" s="17">
        <f t="shared" si="385"/>
        <v>163</v>
      </c>
      <c r="L2338" s="23">
        <f t="shared" si="400"/>
        <v>163</v>
      </c>
      <c r="M2338" s="33">
        <v>10</v>
      </c>
      <c r="N2338" s="18">
        <f t="shared" si="386"/>
        <v>27.523287671232875</v>
      </c>
      <c r="O2338" s="23">
        <f t="shared" si="404"/>
        <v>1548.5</v>
      </c>
      <c r="P2338" s="18">
        <f t="shared" si="387"/>
        <v>28.523287671232875</v>
      </c>
      <c r="Q2338" s="18">
        <f t="shared" si="389"/>
        <v>0</v>
      </c>
      <c r="R2338" s="18">
        <f t="shared" si="388"/>
        <v>1548.5</v>
      </c>
      <c r="S2338" s="18">
        <v>0</v>
      </c>
    </row>
    <row r="2339" spans="1:19" ht="15" customHeight="1" x14ac:dyDescent="0.2">
      <c r="A2339" s="14">
        <f t="shared" si="391"/>
        <v>2300</v>
      </c>
      <c r="B2339" s="31" t="s">
        <v>1926</v>
      </c>
      <c r="C2339" s="15" t="s">
        <v>3</v>
      </c>
      <c r="D2339" s="31" t="s">
        <v>1708</v>
      </c>
      <c r="E2339" s="31"/>
      <c r="F2339" s="73" t="s">
        <v>4</v>
      </c>
      <c r="G2339" s="32">
        <v>40132</v>
      </c>
      <c r="H2339" s="29">
        <v>4375</v>
      </c>
      <c r="I2339" s="17">
        <v>0</v>
      </c>
      <c r="J2339" s="17">
        <f t="shared" si="403"/>
        <v>4156.25</v>
      </c>
      <c r="K2339" s="17">
        <f t="shared" si="385"/>
        <v>218.75</v>
      </c>
      <c r="L2339" s="23">
        <f t="shared" si="400"/>
        <v>218.75</v>
      </c>
      <c r="M2339" s="33">
        <v>10</v>
      </c>
      <c r="N2339" s="18">
        <f t="shared" si="386"/>
        <v>10.386301369863014</v>
      </c>
      <c r="O2339" s="23">
        <f t="shared" si="404"/>
        <v>2078.125</v>
      </c>
      <c r="P2339" s="18">
        <f t="shared" si="387"/>
        <v>11.386301369863014</v>
      </c>
      <c r="Q2339" s="18">
        <f t="shared" si="389"/>
        <v>0</v>
      </c>
      <c r="R2339" s="18">
        <f t="shared" si="388"/>
        <v>2078.125</v>
      </c>
      <c r="S2339" s="18">
        <v>0</v>
      </c>
    </row>
    <row r="2340" spans="1:19" ht="15" customHeight="1" x14ac:dyDescent="0.2">
      <c r="A2340" s="14">
        <f t="shared" si="391"/>
        <v>2301</v>
      </c>
      <c r="B2340" s="31" t="s">
        <v>1970</v>
      </c>
      <c r="C2340" s="15" t="s">
        <v>3</v>
      </c>
      <c r="D2340" s="31" t="s">
        <v>1708</v>
      </c>
      <c r="E2340" s="31"/>
      <c r="F2340" s="73" t="s">
        <v>4</v>
      </c>
      <c r="G2340" s="32">
        <v>41044</v>
      </c>
      <c r="H2340" s="29">
        <v>4337.37</v>
      </c>
      <c r="I2340" s="17">
        <v>0</v>
      </c>
      <c r="J2340" s="17">
        <v>1600.7866101369864</v>
      </c>
      <c r="K2340" s="17">
        <f t="shared" si="385"/>
        <v>2736.5833898630135</v>
      </c>
      <c r="L2340" s="23">
        <f t="shared" si="400"/>
        <v>216.86850000000001</v>
      </c>
      <c r="M2340" s="33">
        <v>10</v>
      </c>
      <c r="N2340" s="18">
        <f t="shared" si="386"/>
        <v>7.8876712328767127</v>
      </c>
      <c r="O2340" s="23">
        <v>883.10958904109589</v>
      </c>
      <c r="P2340" s="18">
        <f t="shared" si="387"/>
        <v>8.8876712328767127</v>
      </c>
      <c r="Q2340" s="18">
        <f t="shared" si="389"/>
        <v>251.97148898630135</v>
      </c>
      <c r="R2340" s="18">
        <f t="shared" si="388"/>
        <v>1135.0810780273973</v>
      </c>
      <c r="S2340" s="18">
        <v>0</v>
      </c>
    </row>
    <row r="2341" spans="1:19" ht="15" customHeight="1" x14ac:dyDescent="0.2">
      <c r="A2341" s="14">
        <f t="shared" si="391"/>
        <v>2302</v>
      </c>
      <c r="B2341" s="31" t="s">
        <v>1846</v>
      </c>
      <c r="C2341" s="15" t="s">
        <v>3</v>
      </c>
      <c r="D2341" s="31" t="s">
        <v>1708</v>
      </c>
      <c r="E2341" s="31"/>
      <c r="F2341" s="73" t="s">
        <v>4</v>
      </c>
      <c r="G2341" s="32">
        <v>40589</v>
      </c>
      <c r="H2341" s="29">
        <v>4290</v>
      </c>
      <c r="I2341" s="17">
        <v>0</v>
      </c>
      <c r="J2341" s="17">
        <v>2091.3456164383565</v>
      </c>
      <c r="K2341" s="17">
        <f t="shared" si="385"/>
        <v>2198.6543835616435</v>
      </c>
      <c r="L2341" s="23">
        <f t="shared" si="400"/>
        <v>214.5</v>
      </c>
      <c r="M2341" s="33">
        <v>10</v>
      </c>
      <c r="N2341" s="18">
        <f t="shared" si="386"/>
        <v>9.1342465753424662</v>
      </c>
      <c r="O2341" s="23">
        <v>412.11780821917807</v>
      </c>
      <c r="P2341" s="18">
        <f t="shared" si="387"/>
        <v>10.134246575342466</v>
      </c>
      <c r="Q2341" s="18">
        <f t="shared" si="389"/>
        <v>198.41543835616437</v>
      </c>
      <c r="R2341" s="18">
        <f t="shared" si="388"/>
        <v>610.53324657534245</v>
      </c>
      <c r="S2341" s="18">
        <v>0</v>
      </c>
    </row>
    <row r="2342" spans="1:19" ht="15" customHeight="1" x14ac:dyDescent="0.2">
      <c r="A2342" s="14">
        <f t="shared" si="391"/>
        <v>2303</v>
      </c>
      <c r="B2342" s="31" t="s">
        <v>1971</v>
      </c>
      <c r="C2342" s="15" t="s">
        <v>3</v>
      </c>
      <c r="D2342" s="31" t="s">
        <v>1708</v>
      </c>
      <c r="E2342" s="31"/>
      <c r="F2342" s="73" t="s">
        <v>4</v>
      </c>
      <c r="G2342" s="32">
        <v>34005</v>
      </c>
      <c r="H2342" s="29">
        <v>9000</v>
      </c>
      <c r="I2342" s="17">
        <v>0</v>
      </c>
      <c r="J2342" s="17">
        <f t="shared" ref="J2342:J2356" si="405">H2342-L2342</f>
        <v>8550</v>
      </c>
      <c r="K2342" s="17">
        <f t="shared" ref="K2342:K2405" si="406">H2342+I2342-J2342</f>
        <v>450</v>
      </c>
      <c r="L2342" s="23">
        <f t="shared" si="400"/>
        <v>450</v>
      </c>
      <c r="M2342" s="33">
        <v>5</v>
      </c>
      <c r="N2342" s="18">
        <f t="shared" ref="N2342:N2405" si="407">IF(($N$35-G2342+1)/365&gt;0,($N$35-G2342+1)/365,0)</f>
        <v>27.172602739726027</v>
      </c>
      <c r="O2342" s="23">
        <f t="shared" ref="O2342:O2348" si="408">(H2342-K2342)/2</f>
        <v>4275</v>
      </c>
      <c r="P2342" s="18">
        <f t="shared" ref="P2342:P2405" si="409">($P$35-G2342+1)/365</f>
        <v>28.172602739726027</v>
      </c>
      <c r="Q2342" s="18">
        <f t="shared" si="389"/>
        <v>0</v>
      </c>
      <c r="R2342" s="18">
        <f t="shared" ref="R2342:R2405" si="410">Q2342+O2342</f>
        <v>4275</v>
      </c>
      <c r="S2342" s="18">
        <v>0</v>
      </c>
    </row>
    <row r="2343" spans="1:19" ht="15" customHeight="1" x14ac:dyDescent="0.2">
      <c r="A2343" s="14">
        <f t="shared" si="391"/>
        <v>2304</v>
      </c>
      <c r="B2343" s="31" t="s">
        <v>1778</v>
      </c>
      <c r="C2343" s="15" t="s">
        <v>3</v>
      </c>
      <c r="D2343" s="31" t="s">
        <v>1708</v>
      </c>
      <c r="E2343" s="31"/>
      <c r="F2343" s="73" t="s">
        <v>4</v>
      </c>
      <c r="G2343" s="32">
        <v>39828</v>
      </c>
      <c r="H2343" s="29">
        <v>4200</v>
      </c>
      <c r="I2343" s="17">
        <v>0</v>
      </c>
      <c r="J2343" s="17">
        <f t="shared" si="405"/>
        <v>3990</v>
      </c>
      <c r="K2343" s="17">
        <f t="shared" si="406"/>
        <v>210</v>
      </c>
      <c r="L2343" s="23">
        <f t="shared" si="400"/>
        <v>210</v>
      </c>
      <c r="M2343" s="33">
        <v>10</v>
      </c>
      <c r="N2343" s="18">
        <f t="shared" si="407"/>
        <v>11.219178082191782</v>
      </c>
      <c r="O2343" s="23">
        <f t="shared" si="408"/>
        <v>1995</v>
      </c>
      <c r="P2343" s="18">
        <f t="shared" si="409"/>
        <v>12.219178082191782</v>
      </c>
      <c r="Q2343" s="18">
        <f t="shared" si="389"/>
        <v>0</v>
      </c>
      <c r="R2343" s="18">
        <f t="shared" si="410"/>
        <v>1995</v>
      </c>
      <c r="S2343" s="18">
        <v>0</v>
      </c>
    </row>
    <row r="2344" spans="1:19" ht="15" customHeight="1" x14ac:dyDescent="0.2">
      <c r="A2344" s="14">
        <f t="shared" si="391"/>
        <v>2305</v>
      </c>
      <c r="B2344" s="31" t="s">
        <v>1778</v>
      </c>
      <c r="C2344" s="15" t="s">
        <v>3</v>
      </c>
      <c r="D2344" s="31" t="s">
        <v>1708</v>
      </c>
      <c r="E2344" s="31"/>
      <c r="F2344" s="73" t="s">
        <v>4</v>
      </c>
      <c r="G2344" s="32">
        <v>39859</v>
      </c>
      <c r="H2344" s="29">
        <v>4200</v>
      </c>
      <c r="I2344" s="17">
        <v>0</v>
      </c>
      <c r="J2344" s="17">
        <f t="shared" si="405"/>
        <v>3990</v>
      </c>
      <c r="K2344" s="17">
        <f t="shared" si="406"/>
        <v>210</v>
      </c>
      <c r="L2344" s="23">
        <f t="shared" si="400"/>
        <v>210</v>
      </c>
      <c r="M2344" s="33">
        <v>10</v>
      </c>
      <c r="N2344" s="18">
        <f t="shared" si="407"/>
        <v>11.134246575342466</v>
      </c>
      <c r="O2344" s="23">
        <f t="shared" si="408"/>
        <v>1995</v>
      </c>
      <c r="P2344" s="18">
        <f t="shared" si="409"/>
        <v>12.134246575342466</v>
      </c>
      <c r="Q2344" s="18">
        <f t="shared" ref="Q2344:Q2407" si="411">(P2344-N2344)/M2344*(K2344-L2344)</f>
        <v>0</v>
      </c>
      <c r="R2344" s="18">
        <f t="shared" si="410"/>
        <v>1995</v>
      </c>
      <c r="S2344" s="18">
        <v>0</v>
      </c>
    </row>
    <row r="2345" spans="1:19" ht="15" customHeight="1" x14ac:dyDescent="0.2">
      <c r="A2345" s="14">
        <f t="shared" si="391"/>
        <v>2306</v>
      </c>
      <c r="B2345" s="31" t="s">
        <v>1801</v>
      </c>
      <c r="C2345" s="15" t="s">
        <v>3</v>
      </c>
      <c r="D2345" s="31" t="s">
        <v>1708</v>
      </c>
      <c r="E2345" s="31"/>
      <c r="F2345" s="73" t="s">
        <v>4</v>
      </c>
      <c r="G2345" s="32">
        <v>39918</v>
      </c>
      <c r="H2345" s="29">
        <v>4199.95</v>
      </c>
      <c r="I2345" s="17">
        <v>0</v>
      </c>
      <c r="J2345" s="17">
        <f t="shared" si="405"/>
        <v>3989.9524999999999</v>
      </c>
      <c r="K2345" s="17">
        <f t="shared" si="406"/>
        <v>209.99749999999995</v>
      </c>
      <c r="L2345" s="23">
        <f t="shared" si="400"/>
        <v>209.9975</v>
      </c>
      <c r="M2345" s="33">
        <v>10</v>
      </c>
      <c r="N2345" s="18">
        <f t="shared" si="407"/>
        <v>10.972602739726028</v>
      </c>
      <c r="O2345" s="23">
        <f t="shared" si="408"/>
        <v>1994.9762499999999</v>
      </c>
      <c r="P2345" s="18">
        <f t="shared" si="409"/>
        <v>11.972602739726028</v>
      </c>
      <c r="Q2345" s="18">
        <f t="shared" si="411"/>
        <v>-5.6843418860808018E-15</v>
      </c>
      <c r="R2345" s="18">
        <f t="shared" si="410"/>
        <v>1994.9762499999999</v>
      </c>
      <c r="S2345" s="18">
        <v>0</v>
      </c>
    </row>
    <row r="2346" spans="1:19" ht="15" customHeight="1" x14ac:dyDescent="0.2">
      <c r="A2346" s="14">
        <f t="shared" si="391"/>
        <v>2307</v>
      </c>
      <c r="B2346" s="31" t="s">
        <v>1801</v>
      </c>
      <c r="C2346" s="15" t="s">
        <v>3</v>
      </c>
      <c r="D2346" s="31" t="s">
        <v>1708</v>
      </c>
      <c r="E2346" s="31"/>
      <c r="F2346" s="73" t="s">
        <v>4</v>
      </c>
      <c r="G2346" s="32">
        <v>39859</v>
      </c>
      <c r="H2346" s="29">
        <v>4199.9399999999996</v>
      </c>
      <c r="I2346" s="17">
        <v>0</v>
      </c>
      <c r="J2346" s="17">
        <f t="shared" si="405"/>
        <v>3989.9429999999998</v>
      </c>
      <c r="K2346" s="17">
        <f t="shared" si="406"/>
        <v>209.99699999999984</v>
      </c>
      <c r="L2346" s="23">
        <f t="shared" si="400"/>
        <v>209.99699999999999</v>
      </c>
      <c r="M2346" s="33">
        <v>10</v>
      </c>
      <c r="N2346" s="18">
        <f t="shared" si="407"/>
        <v>11.134246575342466</v>
      </c>
      <c r="O2346" s="23">
        <f t="shared" si="408"/>
        <v>1994.9714999999999</v>
      </c>
      <c r="P2346" s="18">
        <f t="shared" si="409"/>
        <v>12.134246575342466</v>
      </c>
      <c r="Q2346" s="18">
        <f t="shared" si="411"/>
        <v>-1.4210854715202004E-14</v>
      </c>
      <c r="R2346" s="18">
        <f t="shared" si="410"/>
        <v>1994.9714999999999</v>
      </c>
      <c r="S2346" s="18">
        <v>0</v>
      </c>
    </row>
    <row r="2347" spans="1:19" ht="15" customHeight="1" x14ac:dyDescent="0.2">
      <c r="A2347" s="14">
        <f t="shared" ref="A2347:A2410" si="412">+A2346+1</f>
        <v>2308</v>
      </c>
      <c r="B2347" s="31" t="s">
        <v>1801</v>
      </c>
      <c r="C2347" s="15" t="s">
        <v>3</v>
      </c>
      <c r="D2347" s="31" t="s">
        <v>1708</v>
      </c>
      <c r="E2347" s="31"/>
      <c r="F2347" s="73" t="s">
        <v>4</v>
      </c>
      <c r="G2347" s="32">
        <v>39767</v>
      </c>
      <c r="H2347" s="29">
        <v>4199.8</v>
      </c>
      <c r="I2347" s="17">
        <v>0</v>
      </c>
      <c r="J2347" s="17">
        <f t="shared" si="405"/>
        <v>3989.8100000000004</v>
      </c>
      <c r="K2347" s="17">
        <f t="shared" si="406"/>
        <v>209.98999999999978</v>
      </c>
      <c r="L2347" s="23">
        <f t="shared" si="400"/>
        <v>209.99</v>
      </c>
      <c r="M2347" s="33">
        <v>10</v>
      </c>
      <c r="N2347" s="18">
        <f t="shared" si="407"/>
        <v>11.386301369863014</v>
      </c>
      <c r="O2347" s="23">
        <f t="shared" si="408"/>
        <v>1994.9050000000002</v>
      </c>
      <c r="P2347" s="18">
        <f t="shared" si="409"/>
        <v>12.386301369863014</v>
      </c>
      <c r="Q2347" s="18">
        <f t="shared" si="411"/>
        <v>-2.2737367544323207E-14</v>
      </c>
      <c r="R2347" s="18">
        <f t="shared" si="410"/>
        <v>1994.9050000000002</v>
      </c>
      <c r="S2347" s="18">
        <v>0</v>
      </c>
    </row>
    <row r="2348" spans="1:19" ht="15" customHeight="1" x14ac:dyDescent="0.2">
      <c r="A2348" s="14">
        <f t="shared" si="412"/>
        <v>2309</v>
      </c>
      <c r="B2348" s="31" t="s">
        <v>1972</v>
      </c>
      <c r="C2348" s="15" t="s">
        <v>3</v>
      </c>
      <c r="D2348" s="31" t="s">
        <v>1708</v>
      </c>
      <c r="E2348" s="31"/>
      <c r="F2348" s="73" t="s">
        <v>4</v>
      </c>
      <c r="G2348" s="32">
        <v>41713</v>
      </c>
      <c r="H2348" s="29">
        <v>4156.37</v>
      </c>
      <c r="I2348" s="17">
        <v>0</v>
      </c>
      <c r="J2348" s="17">
        <f t="shared" si="405"/>
        <v>3948.5515</v>
      </c>
      <c r="K2348" s="17">
        <f t="shared" si="406"/>
        <v>207.81849999999986</v>
      </c>
      <c r="L2348" s="23">
        <f t="shared" si="400"/>
        <v>207.8185</v>
      </c>
      <c r="M2348" s="33">
        <v>5</v>
      </c>
      <c r="N2348" s="18">
        <f t="shared" si="407"/>
        <v>6.0547945205479454</v>
      </c>
      <c r="O2348" s="23">
        <f t="shared" si="408"/>
        <v>1974.27575</v>
      </c>
      <c r="P2348" s="18">
        <f t="shared" si="409"/>
        <v>7.0547945205479454</v>
      </c>
      <c r="Q2348" s="18">
        <f t="shared" si="411"/>
        <v>-2.8421709430404007E-14</v>
      </c>
      <c r="R2348" s="18">
        <f t="shared" si="410"/>
        <v>1974.27575</v>
      </c>
      <c r="S2348" s="18">
        <v>0</v>
      </c>
    </row>
    <row r="2349" spans="1:19" ht="15" customHeight="1" x14ac:dyDescent="0.2">
      <c r="A2349" s="14">
        <f t="shared" si="412"/>
        <v>2310</v>
      </c>
      <c r="B2349" s="31" t="s">
        <v>1973</v>
      </c>
      <c r="C2349" s="15" t="s">
        <v>3</v>
      </c>
      <c r="D2349" s="31" t="s">
        <v>1708</v>
      </c>
      <c r="E2349" s="31"/>
      <c r="F2349" s="73" t="s">
        <v>4</v>
      </c>
      <c r="G2349" s="32">
        <v>41320</v>
      </c>
      <c r="H2349" s="29">
        <v>4000</v>
      </c>
      <c r="I2349" s="17">
        <v>0</v>
      </c>
      <c r="J2349" s="17">
        <v>1188.9315068493149</v>
      </c>
      <c r="K2349" s="17">
        <f t="shared" si="406"/>
        <v>2811.0684931506848</v>
      </c>
      <c r="L2349" s="23">
        <f t="shared" si="400"/>
        <v>200</v>
      </c>
      <c r="M2349" s="33">
        <v>10</v>
      </c>
      <c r="N2349" s="18">
        <f t="shared" si="407"/>
        <v>7.1315068493150688</v>
      </c>
      <c r="O2349" s="23">
        <v>36577.602739726026</v>
      </c>
      <c r="P2349" s="18">
        <f t="shared" si="409"/>
        <v>8.131506849315068</v>
      </c>
      <c r="Q2349" s="18">
        <f t="shared" si="411"/>
        <v>261.10684931506825</v>
      </c>
      <c r="R2349" s="18">
        <f t="shared" si="410"/>
        <v>36838.709589041093</v>
      </c>
      <c r="S2349" s="18">
        <v>0</v>
      </c>
    </row>
    <row r="2350" spans="1:19" ht="15" customHeight="1" x14ac:dyDescent="0.2">
      <c r="A2350" s="14">
        <f t="shared" si="412"/>
        <v>2311</v>
      </c>
      <c r="B2350" s="31" t="s">
        <v>1854</v>
      </c>
      <c r="C2350" s="15" t="s">
        <v>3</v>
      </c>
      <c r="D2350" s="31" t="s">
        <v>1708</v>
      </c>
      <c r="E2350" s="31"/>
      <c r="F2350" s="73" t="s">
        <v>4</v>
      </c>
      <c r="G2350" s="32">
        <v>33877</v>
      </c>
      <c r="H2350" s="29">
        <v>1800</v>
      </c>
      <c r="I2350" s="17">
        <v>0</v>
      </c>
      <c r="J2350" s="17">
        <f t="shared" si="405"/>
        <v>1710</v>
      </c>
      <c r="K2350" s="17">
        <f t="shared" si="406"/>
        <v>90</v>
      </c>
      <c r="L2350" s="23">
        <f t="shared" si="400"/>
        <v>90</v>
      </c>
      <c r="M2350" s="33">
        <v>10</v>
      </c>
      <c r="N2350" s="18">
        <f t="shared" si="407"/>
        <v>27.523287671232875</v>
      </c>
      <c r="O2350" s="23">
        <f t="shared" ref="O2350:O2351" si="413">(H2350-K2350)/2</f>
        <v>855</v>
      </c>
      <c r="P2350" s="18">
        <f t="shared" si="409"/>
        <v>28.523287671232875</v>
      </c>
      <c r="Q2350" s="18">
        <f t="shared" si="411"/>
        <v>0</v>
      </c>
      <c r="R2350" s="18">
        <f t="shared" si="410"/>
        <v>855</v>
      </c>
      <c r="S2350" s="18">
        <v>0</v>
      </c>
    </row>
    <row r="2351" spans="1:19" ht="15" customHeight="1" x14ac:dyDescent="0.2">
      <c r="A2351" s="14">
        <f t="shared" si="412"/>
        <v>2312</v>
      </c>
      <c r="B2351" s="31" t="s">
        <v>1974</v>
      </c>
      <c r="C2351" s="15" t="s">
        <v>3</v>
      </c>
      <c r="D2351" s="31" t="s">
        <v>1708</v>
      </c>
      <c r="E2351" s="31"/>
      <c r="F2351" s="73" t="s">
        <v>4</v>
      </c>
      <c r="G2351" s="32">
        <v>33908</v>
      </c>
      <c r="H2351" s="29">
        <v>2190</v>
      </c>
      <c r="I2351" s="17">
        <v>0</v>
      </c>
      <c r="J2351" s="17">
        <f t="shared" si="405"/>
        <v>2080.5</v>
      </c>
      <c r="K2351" s="17">
        <f t="shared" si="406"/>
        <v>109.5</v>
      </c>
      <c r="L2351" s="23">
        <f t="shared" si="400"/>
        <v>109.5</v>
      </c>
      <c r="M2351" s="33">
        <v>10</v>
      </c>
      <c r="N2351" s="18">
        <f t="shared" si="407"/>
        <v>27.438356164383563</v>
      </c>
      <c r="O2351" s="23">
        <f t="shared" si="413"/>
        <v>1040.25</v>
      </c>
      <c r="P2351" s="18">
        <f t="shared" si="409"/>
        <v>28.438356164383563</v>
      </c>
      <c r="Q2351" s="18">
        <f t="shared" si="411"/>
        <v>0</v>
      </c>
      <c r="R2351" s="18">
        <f t="shared" si="410"/>
        <v>1040.25</v>
      </c>
      <c r="S2351" s="18">
        <v>0</v>
      </c>
    </row>
    <row r="2352" spans="1:19" ht="15" customHeight="1" x14ac:dyDescent="0.2">
      <c r="A2352" s="14">
        <f t="shared" si="412"/>
        <v>2313</v>
      </c>
      <c r="B2352" s="31" t="s">
        <v>1709</v>
      </c>
      <c r="C2352" s="15" t="s">
        <v>3</v>
      </c>
      <c r="D2352" s="31" t="s">
        <v>1708</v>
      </c>
      <c r="E2352" s="31"/>
      <c r="F2352" s="73" t="s">
        <v>4</v>
      </c>
      <c r="G2352" s="32">
        <v>41379</v>
      </c>
      <c r="H2352" s="29">
        <v>3868.67</v>
      </c>
      <c r="I2352" s="17">
        <v>0</v>
      </c>
      <c r="J2352" s="17">
        <v>1090.4879806849315</v>
      </c>
      <c r="K2352" s="17">
        <f t="shared" si="406"/>
        <v>2778.1820193150688</v>
      </c>
      <c r="L2352" s="23">
        <f t="shared" si="400"/>
        <v>193.43350000000001</v>
      </c>
      <c r="M2352" s="33">
        <v>10</v>
      </c>
      <c r="N2352" s="18">
        <f t="shared" si="407"/>
        <v>6.9698630136986299</v>
      </c>
      <c r="O2352" s="23">
        <f>(H2352-L2352)/M2352*N2352-J2352</f>
        <v>1471.1015141095888</v>
      </c>
      <c r="P2352" s="18">
        <f t="shared" si="409"/>
        <v>7.9698630136986299</v>
      </c>
      <c r="Q2352" s="18">
        <f t="shared" si="411"/>
        <v>258.47485193150686</v>
      </c>
      <c r="R2352" s="18">
        <f t="shared" si="410"/>
        <v>1729.5763660410958</v>
      </c>
      <c r="S2352" s="18">
        <v>0</v>
      </c>
    </row>
    <row r="2353" spans="1:19" ht="15" customHeight="1" x14ac:dyDescent="0.2">
      <c r="A2353" s="14">
        <f t="shared" si="412"/>
        <v>2314</v>
      </c>
      <c r="B2353" s="31" t="s">
        <v>1975</v>
      </c>
      <c r="C2353" s="15" t="s">
        <v>3</v>
      </c>
      <c r="D2353" s="31" t="s">
        <v>1708</v>
      </c>
      <c r="E2353" s="31"/>
      <c r="F2353" s="73" t="s">
        <v>4</v>
      </c>
      <c r="G2353" s="32">
        <v>33908</v>
      </c>
      <c r="H2353" s="29">
        <v>2170</v>
      </c>
      <c r="I2353" s="17">
        <v>0</v>
      </c>
      <c r="J2353" s="17">
        <f t="shared" si="405"/>
        <v>2061.5</v>
      </c>
      <c r="K2353" s="17">
        <f t="shared" si="406"/>
        <v>108.5</v>
      </c>
      <c r="L2353" s="23">
        <f t="shared" si="400"/>
        <v>108.5</v>
      </c>
      <c r="M2353" s="33">
        <v>10</v>
      </c>
      <c r="N2353" s="18">
        <f t="shared" si="407"/>
        <v>27.438356164383563</v>
      </c>
      <c r="O2353" s="23">
        <f t="shared" ref="O2353:O2356" si="414">(H2353-K2353)/2</f>
        <v>1030.75</v>
      </c>
      <c r="P2353" s="18">
        <f t="shared" si="409"/>
        <v>28.438356164383563</v>
      </c>
      <c r="Q2353" s="18">
        <f t="shared" si="411"/>
        <v>0</v>
      </c>
      <c r="R2353" s="18">
        <f t="shared" si="410"/>
        <v>1030.75</v>
      </c>
      <c r="S2353" s="18">
        <v>0</v>
      </c>
    </row>
    <row r="2354" spans="1:19" ht="15" customHeight="1" x14ac:dyDescent="0.2">
      <c r="A2354" s="14">
        <f t="shared" si="412"/>
        <v>2315</v>
      </c>
      <c r="B2354" s="31" t="s">
        <v>1976</v>
      </c>
      <c r="C2354" s="15" t="s">
        <v>3</v>
      </c>
      <c r="D2354" s="31" t="s">
        <v>1708</v>
      </c>
      <c r="E2354" s="31"/>
      <c r="F2354" s="73" t="s">
        <v>4</v>
      </c>
      <c r="G2354" s="32">
        <v>33917</v>
      </c>
      <c r="H2354" s="29">
        <v>1800</v>
      </c>
      <c r="I2354" s="17">
        <v>0</v>
      </c>
      <c r="J2354" s="17">
        <f t="shared" si="405"/>
        <v>1710</v>
      </c>
      <c r="K2354" s="17">
        <f t="shared" si="406"/>
        <v>90</v>
      </c>
      <c r="L2354" s="23">
        <f t="shared" si="400"/>
        <v>90</v>
      </c>
      <c r="M2354" s="33">
        <v>10</v>
      </c>
      <c r="N2354" s="18">
        <f t="shared" si="407"/>
        <v>27.413698630136988</v>
      </c>
      <c r="O2354" s="23">
        <f t="shared" si="414"/>
        <v>855</v>
      </c>
      <c r="P2354" s="18">
        <f t="shared" si="409"/>
        <v>28.413698630136988</v>
      </c>
      <c r="Q2354" s="18">
        <f t="shared" si="411"/>
        <v>0</v>
      </c>
      <c r="R2354" s="18">
        <f t="shared" si="410"/>
        <v>855</v>
      </c>
      <c r="S2354" s="18">
        <v>0</v>
      </c>
    </row>
    <row r="2355" spans="1:19" ht="15" customHeight="1" x14ac:dyDescent="0.2">
      <c r="A2355" s="14">
        <f t="shared" si="412"/>
        <v>2316</v>
      </c>
      <c r="B2355" s="31" t="s">
        <v>1977</v>
      </c>
      <c r="C2355" s="15" t="s">
        <v>3</v>
      </c>
      <c r="D2355" s="31" t="s">
        <v>1708</v>
      </c>
      <c r="E2355" s="31"/>
      <c r="F2355" s="73" t="s">
        <v>4</v>
      </c>
      <c r="G2355" s="32">
        <v>33917</v>
      </c>
      <c r="H2355" s="29">
        <v>700</v>
      </c>
      <c r="I2355" s="17">
        <v>0</v>
      </c>
      <c r="J2355" s="17">
        <f t="shared" si="405"/>
        <v>665</v>
      </c>
      <c r="K2355" s="17">
        <f t="shared" si="406"/>
        <v>35</v>
      </c>
      <c r="L2355" s="23">
        <f t="shared" si="400"/>
        <v>35</v>
      </c>
      <c r="M2355" s="33">
        <v>10</v>
      </c>
      <c r="N2355" s="18">
        <f t="shared" si="407"/>
        <v>27.413698630136988</v>
      </c>
      <c r="O2355" s="23">
        <f t="shared" si="414"/>
        <v>332.5</v>
      </c>
      <c r="P2355" s="18">
        <f t="shared" si="409"/>
        <v>28.413698630136988</v>
      </c>
      <c r="Q2355" s="18">
        <f t="shared" si="411"/>
        <v>0</v>
      </c>
      <c r="R2355" s="18">
        <f t="shared" si="410"/>
        <v>332.5</v>
      </c>
      <c r="S2355" s="18">
        <v>0</v>
      </c>
    </row>
    <row r="2356" spans="1:19" ht="15" customHeight="1" x14ac:dyDescent="0.2">
      <c r="A2356" s="14">
        <f t="shared" si="412"/>
        <v>2317</v>
      </c>
      <c r="B2356" s="31" t="s">
        <v>1801</v>
      </c>
      <c r="C2356" s="15" t="s">
        <v>3</v>
      </c>
      <c r="D2356" s="31" t="s">
        <v>1708</v>
      </c>
      <c r="E2356" s="31"/>
      <c r="F2356" s="73" t="s">
        <v>4</v>
      </c>
      <c r="G2356" s="32">
        <v>39448</v>
      </c>
      <c r="H2356" s="29">
        <v>3745.24</v>
      </c>
      <c r="I2356" s="17">
        <v>0</v>
      </c>
      <c r="J2356" s="17">
        <f t="shared" si="405"/>
        <v>3557.9779999999996</v>
      </c>
      <c r="K2356" s="17">
        <f t="shared" si="406"/>
        <v>187.26200000000017</v>
      </c>
      <c r="L2356" s="23">
        <f t="shared" si="400"/>
        <v>187.262</v>
      </c>
      <c r="M2356" s="33">
        <v>10</v>
      </c>
      <c r="N2356" s="18">
        <f t="shared" si="407"/>
        <v>12.260273972602739</v>
      </c>
      <c r="O2356" s="23">
        <f t="shared" si="414"/>
        <v>1778.9889999999998</v>
      </c>
      <c r="P2356" s="18">
        <f t="shared" si="409"/>
        <v>13.260273972602739</v>
      </c>
      <c r="Q2356" s="18">
        <f t="shared" si="411"/>
        <v>1.7053025658242407E-14</v>
      </c>
      <c r="R2356" s="18">
        <f t="shared" si="410"/>
        <v>1778.9889999999998</v>
      </c>
      <c r="S2356" s="18">
        <v>0</v>
      </c>
    </row>
    <row r="2357" spans="1:19" ht="15" customHeight="1" x14ac:dyDescent="0.2">
      <c r="A2357" s="14">
        <f t="shared" si="412"/>
        <v>2318</v>
      </c>
      <c r="B2357" s="31" t="s">
        <v>1978</v>
      </c>
      <c r="C2357" s="15" t="s">
        <v>3</v>
      </c>
      <c r="D2357" s="31" t="s">
        <v>1708</v>
      </c>
      <c r="E2357" s="31"/>
      <c r="F2357" s="73" t="s">
        <v>4</v>
      </c>
      <c r="G2357" s="32">
        <v>41320</v>
      </c>
      <c r="H2357" s="29">
        <v>3738.06</v>
      </c>
      <c r="I2357" s="17">
        <v>0</v>
      </c>
      <c r="J2357" s="17">
        <v>1111.0743271232875</v>
      </c>
      <c r="K2357" s="17">
        <f t="shared" si="406"/>
        <v>2626.9856728767127</v>
      </c>
      <c r="L2357" s="23">
        <f t="shared" si="400"/>
        <v>186.90300000000002</v>
      </c>
      <c r="M2357" s="33">
        <v>10</v>
      </c>
      <c r="N2357" s="18">
        <f t="shared" si="407"/>
        <v>7.1315068493150688</v>
      </c>
      <c r="O2357" s="23">
        <f>(H2357-L2357)/M2357*N2357-J2357</f>
        <v>1421.4357197260276</v>
      </c>
      <c r="P2357" s="18">
        <f t="shared" si="409"/>
        <v>8.131506849315068</v>
      </c>
      <c r="Q2357" s="18">
        <f t="shared" si="411"/>
        <v>244.00826728767103</v>
      </c>
      <c r="R2357" s="18">
        <f t="shared" si="410"/>
        <v>1665.4439870136987</v>
      </c>
      <c r="S2357" s="18">
        <v>0</v>
      </c>
    </row>
    <row r="2358" spans="1:19" ht="15" customHeight="1" x14ac:dyDescent="0.2">
      <c r="A2358" s="14">
        <f t="shared" si="412"/>
        <v>2319</v>
      </c>
      <c r="B2358" s="31" t="s">
        <v>1979</v>
      </c>
      <c r="C2358" s="15" t="s">
        <v>3</v>
      </c>
      <c r="D2358" s="31" t="s">
        <v>1708</v>
      </c>
      <c r="E2358" s="31"/>
      <c r="F2358" s="73" t="s">
        <v>4</v>
      </c>
      <c r="G2358" s="32">
        <v>41440</v>
      </c>
      <c r="H2358" s="29">
        <v>3716</v>
      </c>
      <c r="I2358" s="17">
        <v>0</v>
      </c>
      <c r="J2358" s="17">
        <v>988.4559999999999</v>
      </c>
      <c r="K2358" s="17">
        <f t="shared" si="406"/>
        <v>2727.5439999999999</v>
      </c>
      <c r="L2358" s="23">
        <f t="shared" si="400"/>
        <v>185.8</v>
      </c>
      <c r="M2358" s="33">
        <v>10</v>
      </c>
      <c r="N2358" s="18">
        <f t="shared" si="407"/>
        <v>6.8027397260273972</v>
      </c>
      <c r="O2358" s="23">
        <f>(H2358-L2358)/M2358*N2358-J2358</f>
        <v>1413.0471780821915</v>
      </c>
      <c r="P2358" s="18">
        <f t="shared" si="409"/>
        <v>7.8027397260273972</v>
      </c>
      <c r="Q2358" s="18">
        <f t="shared" si="411"/>
        <v>254.17439999999999</v>
      </c>
      <c r="R2358" s="18">
        <f t="shared" si="410"/>
        <v>1667.2215780821916</v>
      </c>
      <c r="S2358" s="18">
        <v>0</v>
      </c>
    </row>
    <row r="2359" spans="1:19" ht="15" customHeight="1" x14ac:dyDescent="0.2">
      <c r="A2359" s="14">
        <f t="shared" si="412"/>
        <v>2320</v>
      </c>
      <c r="B2359" s="31" t="s">
        <v>1980</v>
      </c>
      <c r="C2359" s="15" t="s">
        <v>3</v>
      </c>
      <c r="D2359" s="31" t="s">
        <v>1708</v>
      </c>
      <c r="E2359" s="31"/>
      <c r="F2359" s="73" t="s">
        <v>4</v>
      </c>
      <c r="G2359" s="32">
        <v>33938</v>
      </c>
      <c r="H2359" s="29">
        <v>148</v>
      </c>
      <c r="I2359" s="17">
        <v>0</v>
      </c>
      <c r="J2359" s="17">
        <f t="shared" ref="J2359:J2362" si="415">H2359-L2359</f>
        <v>140.6</v>
      </c>
      <c r="K2359" s="17">
        <f t="shared" si="406"/>
        <v>7.4000000000000057</v>
      </c>
      <c r="L2359" s="23">
        <f t="shared" si="400"/>
        <v>7.4</v>
      </c>
      <c r="M2359" s="33">
        <v>10</v>
      </c>
      <c r="N2359" s="18">
        <f t="shared" si="407"/>
        <v>27.356164383561644</v>
      </c>
      <c r="O2359" s="23">
        <f t="shared" ref="O2359:O2360" si="416">(H2359-K2359)/2</f>
        <v>70.3</v>
      </c>
      <c r="P2359" s="18">
        <f t="shared" si="409"/>
        <v>28.356164383561644</v>
      </c>
      <c r="Q2359" s="18">
        <f t="shared" si="411"/>
        <v>5.3290705182007522E-16</v>
      </c>
      <c r="R2359" s="18">
        <f t="shared" si="410"/>
        <v>70.3</v>
      </c>
      <c r="S2359" s="18">
        <v>0</v>
      </c>
    </row>
    <row r="2360" spans="1:19" ht="15" customHeight="1" x14ac:dyDescent="0.2">
      <c r="A2360" s="14">
        <f t="shared" si="412"/>
        <v>2321</v>
      </c>
      <c r="B2360" s="31" t="s">
        <v>1981</v>
      </c>
      <c r="C2360" s="15" t="s">
        <v>3</v>
      </c>
      <c r="D2360" s="31" t="s">
        <v>1708</v>
      </c>
      <c r="E2360" s="31"/>
      <c r="F2360" s="73" t="s">
        <v>4</v>
      </c>
      <c r="G2360" s="32">
        <v>33969</v>
      </c>
      <c r="H2360" s="29">
        <v>17055</v>
      </c>
      <c r="I2360" s="17">
        <v>0</v>
      </c>
      <c r="J2360" s="17">
        <f t="shared" si="415"/>
        <v>16202.25</v>
      </c>
      <c r="K2360" s="17">
        <f t="shared" si="406"/>
        <v>852.75</v>
      </c>
      <c r="L2360" s="23">
        <f t="shared" si="400"/>
        <v>852.75</v>
      </c>
      <c r="M2360" s="33">
        <v>10</v>
      </c>
      <c r="N2360" s="18">
        <f t="shared" si="407"/>
        <v>27.271232876712329</v>
      </c>
      <c r="O2360" s="23">
        <f t="shared" si="416"/>
        <v>8101.125</v>
      </c>
      <c r="P2360" s="18">
        <f t="shared" si="409"/>
        <v>28.271232876712329</v>
      </c>
      <c r="Q2360" s="18">
        <f t="shared" si="411"/>
        <v>0</v>
      </c>
      <c r="R2360" s="18">
        <f t="shared" si="410"/>
        <v>8101.125</v>
      </c>
      <c r="S2360" s="18">
        <v>0</v>
      </c>
    </row>
    <row r="2361" spans="1:19" ht="15" customHeight="1" x14ac:dyDescent="0.2">
      <c r="A2361" s="14">
        <f t="shared" si="412"/>
        <v>2322</v>
      </c>
      <c r="B2361" s="31" t="s">
        <v>1831</v>
      </c>
      <c r="C2361" s="15" t="s">
        <v>3</v>
      </c>
      <c r="D2361" s="31" t="s">
        <v>1708</v>
      </c>
      <c r="E2361" s="31"/>
      <c r="F2361" s="73" t="s">
        <v>4</v>
      </c>
      <c r="G2361" s="32">
        <v>41501</v>
      </c>
      <c r="H2361" s="29">
        <v>3600</v>
      </c>
      <c r="I2361" s="17">
        <v>0</v>
      </c>
      <c r="J2361" s="17">
        <v>900.44383561643838</v>
      </c>
      <c r="K2361" s="17">
        <f t="shared" si="406"/>
        <v>2699.5561643835617</v>
      </c>
      <c r="L2361" s="23">
        <f t="shared" si="400"/>
        <v>180</v>
      </c>
      <c r="M2361" s="33">
        <v>10</v>
      </c>
      <c r="N2361" s="18">
        <f t="shared" si="407"/>
        <v>6.6356164383561644</v>
      </c>
      <c r="O2361" s="23">
        <f>(H2361-L2361)/M2361*N2361-J2361</f>
        <v>1368.9369863013699</v>
      </c>
      <c r="P2361" s="18">
        <f t="shared" si="409"/>
        <v>7.6356164383561644</v>
      </c>
      <c r="Q2361" s="18">
        <f t="shared" si="411"/>
        <v>251.95561643835617</v>
      </c>
      <c r="R2361" s="18">
        <f t="shared" si="410"/>
        <v>1620.892602739726</v>
      </c>
      <c r="S2361" s="18">
        <v>0</v>
      </c>
    </row>
    <row r="2362" spans="1:19" ht="15" customHeight="1" x14ac:dyDescent="0.2">
      <c r="A2362" s="14">
        <f t="shared" si="412"/>
        <v>2323</v>
      </c>
      <c r="B2362" s="31" t="s">
        <v>1982</v>
      </c>
      <c r="C2362" s="15" t="s">
        <v>3</v>
      </c>
      <c r="D2362" s="31" t="s">
        <v>1708</v>
      </c>
      <c r="E2362" s="31"/>
      <c r="F2362" s="73" t="s">
        <v>4</v>
      </c>
      <c r="G2362" s="32">
        <v>33969</v>
      </c>
      <c r="H2362" s="29">
        <v>726</v>
      </c>
      <c r="I2362" s="17">
        <v>0</v>
      </c>
      <c r="J2362" s="17">
        <f t="shared" si="415"/>
        <v>689.7</v>
      </c>
      <c r="K2362" s="17">
        <f t="shared" si="406"/>
        <v>36.299999999999955</v>
      </c>
      <c r="L2362" s="23">
        <f t="shared" si="400"/>
        <v>36.300000000000004</v>
      </c>
      <c r="M2362" s="33">
        <v>10</v>
      </c>
      <c r="N2362" s="18">
        <f t="shared" si="407"/>
        <v>27.271232876712329</v>
      </c>
      <c r="O2362" s="23">
        <f>(H2362-K2362)/2</f>
        <v>344.85</v>
      </c>
      <c r="P2362" s="18">
        <f t="shared" si="409"/>
        <v>28.271232876712329</v>
      </c>
      <c r="Q2362" s="18">
        <f t="shared" si="411"/>
        <v>-4.9737991503207018E-15</v>
      </c>
      <c r="R2362" s="18">
        <f t="shared" si="410"/>
        <v>344.85</v>
      </c>
      <c r="S2362" s="18">
        <v>0</v>
      </c>
    </row>
    <row r="2363" spans="1:19" ht="15" customHeight="1" x14ac:dyDescent="0.2">
      <c r="A2363" s="14">
        <f t="shared" si="412"/>
        <v>2324</v>
      </c>
      <c r="B2363" s="31" t="s">
        <v>1983</v>
      </c>
      <c r="C2363" s="15" t="s">
        <v>3</v>
      </c>
      <c r="D2363" s="31" t="s">
        <v>1708</v>
      </c>
      <c r="E2363" s="31"/>
      <c r="F2363" s="73" t="s">
        <v>4</v>
      </c>
      <c r="G2363" s="32">
        <v>41320</v>
      </c>
      <c r="H2363" s="29">
        <v>3550</v>
      </c>
      <c r="I2363" s="17">
        <v>0</v>
      </c>
      <c r="J2363" s="17">
        <v>1055.1767123287671</v>
      </c>
      <c r="K2363" s="17">
        <f t="shared" si="406"/>
        <v>2494.8232876712327</v>
      </c>
      <c r="L2363" s="23">
        <f t="shared" si="400"/>
        <v>177.5</v>
      </c>
      <c r="M2363" s="33">
        <v>10</v>
      </c>
      <c r="N2363" s="18">
        <f t="shared" si="407"/>
        <v>7.1315068493150688</v>
      </c>
      <c r="O2363" s="23">
        <f>(H2363-L2363)/M2363*N2363-J2363</f>
        <v>1349.9239726027397</v>
      </c>
      <c r="P2363" s="18">
        <f t="shared" si="409"/>
        <v>8.131506849315068</v>
      </c>
      <c r="Q2363" s="18">
        <f t="shared" si="411"/>
        <v>231.73232876712305</v>
      </c>
      <c r="R2363" s="18">
        <f t="shared" si="410"/>
        <v>1581.6563013698628</v>
      </c>
      <c r="S2363" s="18">
        <v>0</v>
      </c>
    </row>
    <row r="2364" spans="1:19" ht="15" customHeight="1" x14ac:dyDescent="0.2">
      <c r="A2364" s="14">
        <f t="shared" si="412"/>
        <v>2325</v>
      </c>
      <c r="B2364" s="31" t="s">
        <v>1984</v>
      </c>
      <c r="C2364" s="15" t="s">
        <v>3</v>
      </c>
      <c r="D2364" s="31" t="s">
        <v>1708</v>
      </c>
      <c r="E2364" s="31"/>
      <c r="F2364" s="73" t="s">
        <v>4</v>
      </c>
      <c r="G2364" s="32">
        <v>41228</v>
      </c>
      <c r="H2364" s="29">
        <v>3519.85</v>
      </c>
      <c r="I2364" s="17">
        <v>0</v>
      </c>
      <c r="J2364" s="17">
        <v>1130.4986726027398</v>
      </c>
      <c r="K2364" s="17">
        <f t="shared" si="406"/>
        <v>2389.3513273972603</v>
      </c>
      <c r="L2364" s="23">
        <f t="shared" si="400"/>
        <v>175.99250000000001</v>
      </c>
      <c r="M2364" s="33">
        <v>10</v>
      </c>
      <c r="N2364" s="18">
        <f t="shared" si="407"/>
        <v>7.3835616438356162</v>
      </c>
      <c r="O2364" s="23">
        <f>(H2364-L2364)/M2364*N2364-J2364</f>
        <v>1338.4591253424658</v>
      </c>
      <c r="P2364" s="18">
        <f t="shared" si="409"/>
        <v>8.3835616438356162</v>
      </c>
      <c r="Q2364" s="18">
        <f t="shared" si="411"/>
        <v>221.33588273972606</v>
      </c>
      <c r="R2364" s="18">
        <f t="shared" si="410"/>
        <v>1559.7950080821918</v>
      </c>
      <c r="S2364" s="18">
        <v>0</v>
      </c>
    </row>
    <row r="2365" spans="1:19" ht="15" customHeight="1" x14ac:dyDescent="0.2">
      <c r="A2365" s="14">
        <f t="shared" si="412"/>
        <v>2326</v>
      </c>
      <c r="B2365" s="31" t="s">
        <v>1985</v>
      </c>
      <c r="C2365" s="15" t="s">
        <v>3</v>
      </c>
      <c r="D2365" s="31" t="s">
        <v>1708</v>
      </c>
      <c r="E2365" s="31"/>
      <c r="F2365" s="73" t="s">
        <v>4</v>
      </c>
      <c r="G2365" s="32">
        <v>41289</v>
      </c>
      <c r="H2365" s="29">
        <v>3500</v>
      </c>
      <c r="I2365" s="17">
        <v>0</v>
      </c>
      <c r="J2365" s="17">
        <v>1068.5547945205478</v>
      </c>
      <c r="K2365" s="17">
        <f t="shared" si="406"/>
        <v>2431.4452054794519</v>
      </c>
      <c r="L2365" s="23">
        <f t="shared" si="400"/>
        <v>175</v>
      </c>
      <c r="M2365" s="33">
        <v>10</v>
      </c>
      <c r="N2365" s="18">
        <f t="shared" si="407"/>
        <v>7.2164383561643834</v>
      </c>
      <c r="O2365" s="23">
        <f>(H2365-L2365)/M2365*N2365-J2365</f>
        <v>1330.9109589041097</v>
      </c>
      <c r="P2365" s="18">
        <f t="shared" si="409"/>
        <v>8.2164383561643834</v>
      </c>
      <c r="Q2365" s="18">
        <f t="shared" si="411"/>
        <v>225.64452054794521</v>
      </c>
      <c r="R2365" s="18">
        <f t="shared" si="410"/>
        <v>1556.5554794520549</v>
      </c>
      <c r="S2365" s="18">
        <v>0</v>
      </c>
    </row>
    <row r="2366" spans="1:19" ht="15" customHeight="1" x14ac:dyDescent="0.2">
      <c r="A2366" s="14">
        <f t="shared" si="412"/>
        <v>2327</v>
      </c>
      <c r="B2366" s="31" t="s">
        <v>1986</v>
      </c>
      <c r="C2366" s="15" t="s">
        <v>3</v>
      </c>
      <c r="D2366" s="31" t="s">
        <v>1708</v>
      </c>
      <c r="E2366" s="31"/>
      <c r="F2366" s="73" t="s">
        <v>4</v>
      </c>
      <c r="G2366" s="32">
        <v>41517</v>
      </c>
      <c r="H2366" s="29">
        <v>3500</v>
      </c>
      <c r="I2366" s="17">
        <v>0</v>
      </c>
      <c r="J2366" s="17">
        <f t="shared" ref="J2366" si="417">H2366-L2366</f>
        <v>3325</v>
      </c>
      <c r="K2366" s="17">
        <f t="shared" si="406"/>
        <v>175</v>
      </c>
      <c r="L2366" s="23">
        <f t="shared" si="400"/>
        <v>175</v>
      </c>
      <c r="M2366" s="33">
        <v>5</v>
      </c>
      <c r="N2366" s="18">
        <f t="shared" si="407"/>
        <v>6.5917808219178085</v>
      </c>
      <c r="O2366" s="23">
        <f>(H2366-K2366)/2</f>
        <v>1662.5</v>
      </c>
      <c r="P2366" s="18">
        <f t="shared" si="409"/>
        <v>7.5917808219178085</v>
      </c>
      <c r="Q2366" s="18">
        <f t="shared" si="411"/>
        <v>0</v>
      </c>
      <c r="R2366" s="18">
        <f t="shared" si="410"/>
        <v>1662.5</v>
      </c>
      <c r="S2366" s="18">
        <v>0</v>
      </c>
    </row>
    <row r="2367" spans="1:19" ht="15" customHeight="1" x14ac:dyDescent="0.2">
      <c r="A2367" s="14">
        <f t="shared" si="412"/>
        <v>2328</v>
      </c>
      <c r="B2367" s="31" t="s">
        <v>1987</v>
      </c>
      <c r="C2367" s="15" t="s">
        <v>3</v>
      </c>
      <c r="D2367" s="31" t="s">
        <v>1708</v>
      </c>
      <c r="E2367" s="31"/>
      <c r="F2367" s="73" t="s">
        <v>4</v>
      </c>
      <c r="G2367" s="32">
        <v>41200</v>
      </c>
      <c r="H2367" s="29">
        <v>3479.5</v>
      </c>
      <c r="I2367" s="17">
        <v>0</v>
      </c>
      <c r="J2367" s="17">
        <v>1142.8965890410959</v>
      </c>
      <c r="K2367" s="17">
        <f t="shared" si="406"/>
        <v>2336.6034109589041</v>
      </c>
      <c r="L2367" s="23">
        <f t="shared" si="400"/>
        <v>173.97500000000002</v>
      </c>
      <c r="M2367" s="33">
        <v>10</v>
      </c>
      <c r="N2367" s="18">
        <f t="shared" si="407"/>
        <v>7.4602739726027396</v>
      </c>
      <c r="O2367" s="23">
        <f>(H2367-L2367)/M2367*N2367-J2367</f>
        <v>1323.115623287671</v>
      </c>
      <c r="P2367" s="18">
        <f t="shared" si="409"/>
        <v>8.4602739726027405</v>
      </c>
      <c r="Q2367" s="18">
        <f t="shared" si="411"/>
        <v>216.26284109589062</v>
      </c>
      <c r="R2367" s="18">
        <f t="shared" si="410"/>
        <v>1539.3784643835615</v>
      </c>
      <c r="S2367" s="18">
        <v>0</v>
      </c>
    </row>
    <row r="2368" spans="1:19" ht="15" customHeight="1" x14ac:dyDescent="0.2">
      <c r="A2368" s="14">
        <f t="shared" si="412"/>
        <v>2329</v>
      </c>
      <c r="B2368" s="31" t="s">
        <v>1988</v>
      </c>
      <c r="C2368" s="15" t="s">
        <v>3</v>
      </c>
      <c r="D2368" s="31" t="s">
        <v>1708</v>
      </c>
      <c r="E2368" s="31"/>
      <c r="F2368" s="73" t="s">
        <v>4</v>
      </c>
      <c r="G2368" s="32">
        <v>41324</v>
      </c>
      <c r="H2368" s="29">
        <v>3400</v>
      </c>
      <c r="I2368" s="17">
        <v>0</v>
      </c>
      <c r="J2368" s="17">
        <v>1007.0520547945205</v>
      </c>
      <c r="K2368" s="17">
        <f t="shared" si="406"/>
        <v>2392.9479452054793</v>
      </c>
      <c r="L2368" s="23">
        <f t="shared" si="400"/>
        <v>170</v>
      </c>
      <c r="M2368" s="33">
        <v>10</v>
      </c>
      <c r="N2368" s="18">
        <f t="shared" si="407"/>
        <v>7.1205479452054794</v>
      </c>
      <c r="O2368" s="23">
        <f>(H2368-L2368)/M2368*N2368-J2368</f>
        <v>1292.8849315068494</v>
      </c>
      <c r="P2368" s="18">
        <f t="shared" si="409"/>
        <v>8.1205479452054803</v>
      </c>
      <c r="Q2368" s="18">
        <f t="shared" si="411"/>
        <v>222.29479452054812</v>
      </c>
      <c r="R2368" s="18">
        <f t="shared" si="410"/>
        <v>1515.1797260273975</v>
      </c>
      <c r="S2368" s="18">
        <v>0</v>
      </c>
    </row>
    <row r="2369" spans="1:19" ht="15" customHeight="1" x14ac:dyDescent="0.2">
      <c r="A2369" s="14">
        <f t="shared" si="412"/>
        <v>2330</v>
      </c>
      <c r="B2369" s="31" t="s">
        <v>1989</v>
      </c>
      <c r="C2369" s="15" t="s">
        <v>3</v>
      </c>
      <c r="D2369" s="31" t="s">
        <v>1708</v>
      </c>
      <c r="E2369" s="31"/>
      <c r="F2369" s="73" t="s">
        <v>4</v>
      </c>
      <c r="G2369" s="32">
        <v>41044</v>
      </c>
      <c r="H2369" s="29">
        <v>3361.72</v>
      </c>
      <c r="I2369" s="17">
        <v>0</v>
      </c>
      <c r="J2369" s="17">
        <f t="shared" ref="J2369:J2374" si="418">H2369-L2369</f>
        <v>3193.634</v>
      </c>
      <c r="K2369" s="17">
        <f t="shared" si="406"/>
        <v>168.08599999999979</v>
      </c>
      <c r="L2369" s="23">
        <f t="shared" si="400"/>
        <v>168.08600000000001</v>
      </c>
      <c r="M2369" s="33">
        <v>5</v>
      </c>
      <c r="N2369" s="18">
        <f t="shared" si="407"/>
        <v>7.8876712328767127</v>
      </c>
      <c r="O2369" s="23">
        <f t="shared" ref="O2369:O2371" si="419">(H2369-K2369)/2</f>
        <v>1596.817</v>
      </c>
      <c r="P2369" s="18">
        <f t="shared" si="409"/>
        <v>8.8876712328767127</v>
      </c>
      <c r="Q2369" s="18">
        <f t="shared" si="411"/>
        <v>-4.5474735088646414E-14</v>
      </c>
      <c r="R2369" s="18">
        <f t="shared" si="410"/>
        <v>1596.817</v>
      </c>
      <c r="S2369" s="18">
        <v>0</v>
      </c>
    </row>
    <row r="2370" spans="1:19" ht="15" customHeight="1" x14ac:dyDescent="0.2">
      <c r="A2370" s="14">
        <f t="shared" si="412"/>
        <v>2331</v>
      </c>
      <c r="B2370" s="31" t="s">
        <v>1817</v>
      </c>
      <c r="C2370" s="15" t="s">
        <v>3</v>
      </c>
      <c r="D2370" s="31" t="s">
        <v>1708</v>
      </c>
      <c r="E2370" s="31"/>
      <c r="F2370" s="73" t="s">
        <v>4</v>
      </c>
      <c r="G2370" s="32">
        <v>34035</v>
      </c>
      <c r="H2370" s="29">
        <v>3350</v>
      </c>
      <c r="I2370" s="17">
        <v>0</v>
      </c>
      <c r="J2370" s="17">
        <f t="shared" si="418"/>
        <v>3182.5</v>
      </c>
      <c r="K2370" s="17">
        <f t="shared" si="406"/>
        <v>167.5</v>
      </c>
      <c r="L2370" s="23">
        <f t="shared" si="400"/>
        <v>167.5</v>
      </c>
      <c r="M2370" s="33">
        <v>10</v>
      </c>
      <c r="N2370" s="18">
        <f t="shared" si="407"/>
        <v>27.090410958904108</v>
      </c>
      <c r="O2370" s="23">
        <f t="shared" si="419"/>
        <v>1591.25</v>
      </c>
      <c r="P2370" s="18">
        <f t="shared" si="409"/>
        <v>28.090410958904108</v>
      </c>
      <c r="Q2370" s="18">
        <f t="shared" si="411"/>
        <v>0</v>
      </c>
      <c r="R2370" s="18">
        <f t="shared" si="410"/>
        <v>1591.25</v>
      </c>
      <c r="S2370" s="18">
        <v>0</v>
      </c>
    </row>
    <row r="2371" spans="1:19" ht="15" customHeight="1" x14ac:dyDescent="0.2">
      <c r="A2371" s="14">
        <f t="shared" si="412"/>
        <v>2332</v>
      </c>
      <c r="B2371" s="31" t="s">
        <v>1990</v>
      </c>
      <c r="C2371" s="15" t="s">
        <v>3</v>
      </c>
      <c r="D2371" s="31" t="s">
        <v>1708</v>
      </c>
      <c r="E2371" s="31"/>
      <c r="F2371" s="73" t="s">
        <v>4</v>
      </c>
      <c r="G2371" s="32">
        <v>34043</v>
      </c>
      <c r="H2371" s="29">
        <v>1250</v>
      </c>
      <c r="I2371" s="17">
        <v>0</v>
      </c>
      <c r="J2371" s="17">
        <f t="shared" si="418"/>
        <v>1187.5</v>
      </c>
      <c r="K2371" s="17">
        <f t="shared" si="406"/>
        <v>62.5</v>
      </c>
      <c r="L2371" s="23">
        <f t="shared" si="400"/>
        <v>62.5</v>
      </c>
      <c r="M2371" s="33">
        <v>10</v>
      </c>
      <c r="N2371" s="18">
        <f t="shared" si="407"/>
        <v>27.068493150684933</v>
      </c>
      <c r="O2371" s="23">
        <f t="shared" si="419"/>
        <v>593.75</v>
      </c>
      <c r="P2371" s="18">
        <f t="shared" si="409"/>
        <v>28.068493150684933</v>
      </c>
      <c r="Q2371" s="18">
        <f t="shared" si="411"/>
        <v>0</v>
      </c>
      <c r="R2371" s="18">
        <f t="shared" si="410"/>
        <v>593.75</v>
      </c>
      <c r="S2371" s="18">
        <v>0</v>
      </c>
    </row>
    <row r="2372" spans="1:19" ht="15" customHeight="1" x14ac:dyDescent="0.2">
      <c r="A2372" s="14">
        <f t="shared" si="412"/>
        <v>2333</v>
      </c>
      <c r="B2372" s="31" t="s">
        <v>1991</v>
      </c>
      <c r="C2372" s="15" t="s">
        <v>3</v>
      </c>
      <c r="D2372" s="31" t="s">
        <v>1708</v>
      </c>
      <c r="E2372" s="31"/>
      <c r="F2372" s="73" t="s">
        <v>4</v>
      </c>
      <c r="G2372" s="32">
        <v>41289</v>
      </c>
      <c r="H2372" s="29">
        <v>3300</v>
      </c>
      <c r="I2372" s="17">
        <v>0</v>
      </c>
      <c r="J2372" s="17">
        <v>1007.4945205479452</v>
      </c>
      <c r="K2372" s="17">
        <f t="shared" si="406"/>
        <v>2292.5054794520547</v>
      </c>
      <c r="L2372" s="23">
        <f t="shared" si="400"/>
        <v>165</v>
      </c>
      <c r="M2372" s="33">
        <v>10</v>
      </c>
      <c r="N2372" s="18">
        <f t="shared" si="407"/>
        <v>7.2164383561643834</v>
      </c>
      <c r="O2372" s="23">
        <f>(H2372-L2372)/M2372*N2372-J2372</f>
        <v>1254.8589041095888</v>
      </c>
      <c r="P2372" s="18">
        <f t="shared" si="409"/>
        <v>8.2164383561643834</v>
      </c>
      <c r="Q2372" s="18">
        <f t="shared" si="411"/>
        <v>212.75054794520548</v>
      </c>
      <c r="R2372" s="18">
        <f t="shared" si="410"/>
        <v>1467.6094520547942</v>
      </c>
      <c r="S2372" s="18">
        <v>0</v>
      </c>
    </row>
    <row r="2373" spans="1:19" ht="15" customHeight="1" x14ac:dyDescent="0.2">
      <c r="A2373" s="14">
        <f t="shared" si="412"/>
        <v>2334</v>
      </c>
      <c r="B2373" s="31" t="s">
        <v>1992</v>
      </c>
      <c r="C2373" s="15" t="s">
        <v>3</v>
      </c>
      <c r="D2373" s="31" t="s">
        <v>1708</v>
      </c>
      <c r="E2373" s="31"/>
      <c r="F2373" s="73" t="s">
        <v>4</v>
      </c>
      <c r="G2373" s="32">
        <v>39083</v>
      </c>
      <c r="H2373" s="29">
        <v>3260.01</v>
      </c>
      <c r="I2373" s="17">
        <v>0</v>
      </c>
      <c r="J2373" s="17">
        <f t="shared" si="418"/>
        <v>3097.0095000000001</v>
      </c>
      <c r="K2373" s="17">
        <f t="shared" si="406"/>
        <v>163.0005000000001</v>
      </c>
      <c r="L2373" s="23">
        <f t="shared" si="400"/>
        <v>163.00050000000002</v>
      </c>
      <c r="M2373" s="33">
        <v>10</v>
      </c>
      <c r="N2373" s="18">
        <f t="shared" si="407"/>
        <v>13.260273972602739</v>
      </c>
      <c r="O2373" s="23">
        <f t="shared" ref="O2373:O2374" si="420">(H2373-K2373)/2</f>
        <v>1548.5047500000001</v>
      </c>
      <c r="P2373" s="18">
        <f t="shared" si="409"/>
        <v>14.260273972602739</v>
      </c>
      <c r="Q2373" s="18">
        <f t="shared" si="411"/>
        <v>8.5265128291212035E-15</v>
      </c>
      <c r="R2373" s="18">
        <f t="shared" si="410"/>
        <v>1548.5047500000001</v>
      </c>
      <c r="S2373" s="18">
        <v>0</v>
      </c>
    </row>
    <row r="2374" spans="1:19" ht="15" customHeight="1" x14ac:dyDescent="0.2">
      <c r="A2374" s="14">
        <f t="shared" si="412"/>
        <v>2335</v>
      </c>
      <c r="B2374" s="31" t="s">
        <v>1993</v>
      </c>
      <c r="C2374" s="15" t="s">
        <v>3</v>
      </c>
      <c r="D2374" s="31" t="s">
        <v>1708</v>
      </c>
      <c r="E2374" s="31"/>
      <c r="F2374" s="73" t="s">
        <v>4</v>
      </c>
      <c r="G2374" s="32">
        <v>34043</v>
      </c>
      <c r="H2374" s="29">
        <v>286</v>
      </c>
      <c r="I2374" s="17">
        <v>0</v>
      </c>
      <c r="J2374" s="17">
        <f t="shared" si="418"/>
        <v>271.7</v>
      </c>
      <c r="K2374" s="17">
        <f t="shared" si="406"/>
        <v>14.300000000000011</v>
      </c>
      <c r="L2374" s="23">
        <f t="shared" si="400"/>
        <v>14.3</v>
      </c>
      <c r="M2374" s="33">
        <v>10</v>
      </c>
      <c r="N2374" s="18">
        <f t="shared" si="407"/>
        <v>27.068493150684933</v>
      </c>
      <c r="O2374" s="23">
        <f t="shared" si="420"/>
        <v>135.85</v>
      </c>
      <c r="P2374" s="18">
        <f t="shared" si="409"/>
        <v>28.068493150684933</v>
      </c>
      <c r="Q2374" s="18">
        <f t="shared" si="411"/>
        <v>1.0658141036401504E-15</v>
      </c>
      <c r="R2374" s="18">
        <f t="shared" si="410"/>
        <v>135.85</v>
      </c>
      <c r="S2374" s="18">
        <v>0</v>
      </c>
    </row>
    <row r="2375" spans="1:19" ht="15" customHeight="1" x14ac:dyDescent="0.2">
      <c r="A2375" s="14">
        <f t="shared" si="412"/>
        <v>2336</v>
      </c>
      <c r="B2375" s="31" t="s">
        <v>1994</v>
      </c>
      <c r="C2375" s="15" t="s">
        <v>3</v>
      </c>
      <c r="D2375" s="31" t="s">
        <v>1708</v>
      </c>
      <c r="E2375" s="31"/>
      <c r="F2375" s="73" t="s">
        <v>4</v>
      </c>
      <c r="G2375" s="32">
        <v>40466</v>
      </c>
      <c r="H2375" s="29">
        <v>3240</v>
      </c>
      <c r="I2375" s="17">
        <v>0</v>
      </c>
      <c r="J2375" s="17">
        <v>1683.202191780822</v>
      </c>
      <c r="K2375" s="17">
        <f t="shared" si="406"/>
        <v>1556.797808219178</v>
      </c>
      <c r="L2375" s="23">
        <f t="shared" si="400"/>
        <v>162</v>
      </c>
      <c r="M2375" s="33">
        <v>10</v>
      </c>
      <c r="N2375" s="18">
        <f t="shared" si="407"/>
        <v>9.4712328767123282</v>
      </c>
      <c r="O2375" s="23">
        <f>(H2375-L2375)/M2375*N2375-J2375</f>
        <v>1232.0432876712325</v>
      </c>
      <c r="P2375" s="18">
        <f t="shared" si="409"/>
        <v>10.471232876712328</v>
      </c>
      <c r="Q2375" s="18">
        <f t="shared" si="411"/>
        <v>139.47978082191781</v>
      </c>
      <c r="R2375" s="18">
        <f t="shared" si="410"/>
        <v>1371.5230684931503</v>
      </c>
      <c r="S2375" s="18">
        <v>0</v>
      </c>
    </row>
    <row r="2376" spans="1:19" ht="15" customHeight="1" x14ac:dyDescent="0.2">
      <c r="A2376" s="14">
        <f t="shared" si="412"/>
        <v>2337</v>
      </c>
      <c r="B2376" s="31" t="s">
        <v>1928</v>
      </c>
      <c r="C2376" s="15" t="s">
        <v>3</v>
      </c>
      <c r="D2376" s="31" t="s">
        <v>1708</v>
      </c>
      <c r="E2376" s="31"/>
      <c r="F2376" s="73" t="s">
        <v>4</v>
      </c>
      <c r="G2376" s="32">
        <v>41228</v>
      </c>
      <c r="H2376" s="29">
        <v>3221.55</v>
      </c>
      <c r="I2376" s="17">
        <v>0</v>
      </c>
      <c r="J2376" s="17">
        <v>1034.6912506849317</v>
      </c>
      <c r="K2376" s="17">
        <f t="shared" si="406"/>
        <v>2186.8587493150685</v>
      </c>
      <c r="L2376" s="23">
        <f t="shared" si="400"/>
        <v>161.07750000000001</v>
      </c>
      <c r="M2376" s="33">
        <v>10</v>
      </c>
      <c r="N2376" s="18">
        <f t="shared" si="407"/>
        <v>7.3835616438356162</v>
      </c>
      <c r="O2376" s="23">
        <f>(H2376-L2376)/M2376*N2376-J2376</f>
        <v>1225.0274856164383</v>
      </c>
      <c r="P2376" s="18">
        <f t="shared" si="409"/>
        <v>8.3835616438356162</v>
      </c>
      <c r="Q2376" s="18">
        <f t="shared" si="411"/>
        <v>202.57812493150686</v>
      </c>
      <c r="R2376" s="18">
        <f t="shared" si="410"/>
        <v>1427.6056105479452</v>
      </c>
      <c r="S2376" s="18">
        <v>0</v>
      </c>
    </row>
    <row r="2377" spans="1:19" ht="15" customHeight="1" x14ac:dyDescent="0.2">
      <c r="A2377" s="14">
        <f t="shared" si="412"/>
        <v>2338</v>
      </c>
      <c r="B2377" s="31" t="s">
        <v>1995</v>
      </c>
      <c r="C2377" s="15" t="s">
        <v>3</v>
      </c>
      <c r="D2377" s="31" t="s">
        <v>1708</v>
      </c>
      <c r="E2377" s="31"/>
      <c r="F2377" s="73" t="s">
        <v>4</v>
      </c>
      <c r="G2377" s="32">
        <v>34059</v>
      </c>
      <c r="H2377" s="29">
        <v>4425</v>
      </c>
      <c r="I2377" s="17">
        <v>0</v>
      </c>
      <c r="J2377" s="17">
        <f t="shared" ref="J2377:J2387" si="421">H2377-L2377</f>
        <v>4203.75</v>
      </c>
      <c r="K2377" s="17">
        <f t="shared" si="406"/>
        <v>221.25</v>
      </c>
      <c r="L2377" s="23">
        <f t="shared" si="400"/>
        <v>221.25</v>
      </c>
      <c r="M2377" s="33">
        <v>10</v>
      </c>
      <c r="N2377" s="18">
        <f t="shared" si="407"/>
        <v>27.024657534246575</v>
      </c>
      <c r="O2377" s="23">
        <f t="shared" ref="O2377:O2379" si="422">(H2377-K2377)/2</f>
        <v>2101.875</v>
      </c>
      <c r="P2377" s="18">
        <f t="shared" si="409"/>
        <v>28.024657534246575</v>
      </c>
      <c r="Q2377" s="18">
        <f t="shared" si="411"/>
        <v>0</v>
      </c>
      <c r="R2377" s="18">
        <f t="shared" si="410"/>
        <v>2101.875</v>
      </c>
      <c r="S2377" s="18">
        <v>0</v>
      </c>
    </row>
    <row r="2378" spans="1:19" ht="15" customHeight="1" x14ac:dyDescent="0.2">
      <c r="A2378" s="14">
        <f t="shared" si="412"/>
        <v>2339</v>
      </c>
      <c r="B2378" s="31" t="s">
        <v>1996</v>
      </c>
      <c r="C2378" s="15" t="s">
        <v>3</v>
      </c>
      <c r="D2378" s="31" t="s">
        <v>1708</v>
      </c>
      <c r="E2378" s="31"/>
      <c r="F2378" s="73" t="s">
        <v>4</v>
      </c>
      <c r="G2378" s="32">
        <v>34104</v>
      </c>
      <c r="H2378" s="29">
        <v>26</v>
      </c>
      <c r="I2378" s="17">
        <v>0</v>
      </c>
      <c r="J2378" s="17">
        <f t="shared" si="421"/>
        <v>24.7</v>
      </c>
      <c r="K2378" s="17">
        <f t="shared" si="406"/>
        <v>1.3000000000000007</v>
      </c>
      <c r="L2378" s="23">
        <f t="shared" si="400"/>
        <v>1.3</v>
      </c>
      <c r="M2378" s="33">
        <v>10</v>
      </c>
      <c r="N2378" s="18">
        <f t="shared" si="407"/>
        <v>26.901369863013699</v>
      </c>
      <c r="O2378" s="23">
        <f t="shared" si="422"/>
        <v>12.35</v>
      </c>
      <c r="P2378" s="18">
        <f t="shared" si="409"/>
        <v>27.901369863013699</v>
      </c>
      <c r="Q2378" s="18">
        <f t="shared" si="411"/>
        <v>6.6613381477509402E-17</v>
      </c>
      <c r="R2378" s="18">
        <f t="shared" si="410"/>
        <v>12.35</v>
      </c>
      <c r="S2378" s="18">
        <v>0</v>
      </c>
    </row>
    <row r="2379" spans="1:19" ht="15" customHeight="1" x14ac:dyDescent="0.2">
      <c r="A2379" s="14">
        <f t="shared" si="412"/>
        <v>2340</v>
      </c>
      <c r="B2379" s="31" t="s">
        <v>1997</v>
      </c>
      <c r="C2379" s="15" t="s">
        <v>3</v>
      </c>
      <c r="D2379" s="31" t="s">
        <v>1708</v>
      </c>
      <c r="E2379" s="31"/>
      <c r="F2379" s="73" t="s">
        <v>4</v>
      </c>
      <c r="G2379" s="32">
        <v>34120</v>
      </c>
      <c r="H2379" s="29">
        <v>448</v>
      </c>
      <c r="I2379" s="17">
        <v>0</v>
      </c>
      <c r="J2379" s="17">
        <f t="shared" si="421"/>
        <v>425.6</v>
      </c>
      <c r="K2379" s="17">
        <f t="shared" si="406"/>
        <v>22.399999999999977</v>
      </c>
      <c r="L2379" s="23">
        <f t="shared" si="400"/>
        <v>22.400000000000002</v>
      </c>
      <c r="M2379" s="33">
        <v>10</v>
      </c>
      <c r="N2379" s="18">
        <f t="shared" si="407"/>
        <v>26.857534246575341</v>
      </c>
      <c r="O2379" s="23">
        <f t="shared" si="422"/>
        <v>212.8</v>
      </c>
      <c r="P2379" s="18">
        <f t="shared" si="409"/>
        <v>27.857534246575341</v>
      </c>
      <c r="Q2379" s="18">
        <f t="shared" si="411"/>
        <v>-2.4868995751603509E-15</v>
      </c>
      <c r="R2379" s="18">
        <f t="shared" si="410"/>
        <v>212.8</v>
      </c>
      <c r="S2379" s="18">
        <v>0</v>
      </c>
    </row>
    <row r="2380" spans="1:19" ht="15" customHeight="1" x14ac:dyDescent="0.2">
      <c r="A2380" s="14">
        <f t="shared" si="412"/>
        <v>2341</v>
      </c>
      <c r="B2380" s="31" t="s">
        <v>1994</v>
      </c>
      <c r="C2380" s="15" t="s">
        <v>3</v>
      </c>
      <c r="D2380" s="31" t="s">
        <v>1708</v>
      </c>
      <c r="E2380" s="31"/>
      <c r="F2380" s="73" t="s">
        <v>4</v>
      </c>
      <c r="G2380" s="32">
        <v>40589</v>
      </c>
      <c r="H2380" s="29">
        <v>3200</v>
      </c>
      <c r="I2380" s="17">
        <v>0</v>
      </c>
      <c r="J2380" s="17">
        <v>1559.9780821917809</v>
      </c>
      <c r="K2380" s="17">
        <f t="shared" si="406"/>
        <v>1640.0219178082191</v>
      </c>
      <c r="L2380" s="23">
        <f t="shared" si="400"/>
        <v>160</v>
      </c>
      <c r="M2380" s="33">
        <v>10</v>
      </c>
      <c r="N2380" s="18">
        <f t="shared" si="407"/>
        <v>9.1342465753424662</v>
      </c>
      <c r="O2380" s="23">
        <f>(H2380-L2380)/M2380*N2380-J2380</f>
        <v>1216.8328767123287</v>
      </c>
      <c r="P2380" s="18">
        <f t="shared" si="409"/>
        <v>10.134246575342466</v>
      </c>
      <c r="Q2380" s="18">
        <f t="shared" si="411"/>
        <v>148.0021917808219</v>
      </c>
      <c r="R2380" s="18">
        <f t="shared" si="410"/>
        <v>1364.8350684931506</v>
      </c>
      <c r="S2380" s="18">
        <v>0</v>
      </c>
    </row>
    <row r="2381" spans="1:19" ht="15" customHeight="1" x14ac:dyDescent="0.2">
      <c r="A2381" s="14">
        <f t="shared" si="412"/>
        <v>2342</v>
      </c>
      <c r="B2381" s="31" t="s">
        <v>1998</v>
      </c>
      <c r="C2381" s="15" t="s">
        <v>3</v>
      </c>
      <c r="D2381" s="31" t="s">
        <v>1708</v>
      </c>
      <c r="E2381" s="31"/>
      <c r="F2381" s="73" t="s">
        <v>4</v>
      </c>
      <c r="G2381" s="32">
        <v>34150</v>
      </c>
      <c r="H2381" s="29">
        <v>7539</v>
      </c>
      <c r="I2381" s="17">
        <v>0</v>
      </c>
      <c r="J2381" s="17">
        <f t="shared" si="421"/>
        <v>7162.05</v>
      </c>
      <c r="K2381" s="17">
        <f t="shared" si="406"/>
        <v>376.94999999999982</v>
      </c>
      <c r="L2381" s="23">
        <f t="shared" si="400"/>
        <v>376.95000000000005</v>
      </c>
      <c r="M2381" s="33">
        <v>10</v>
      </c>
      <c r="N2381" s="18">
        <f t="shared" si="407"/>
        <v>26.775342465753425</v>
      </c>
      <c r="O2381" s="23">
        <f t="shared" ref="O2381:O2385" si="423">(H2381-K2381)/2</f>
        <v>3581.0250000000001</v>
      </c>
      <c r="P2381" s="18">
        <f t="shared" si="409"/>
        <v>27.775342465753425</v>
      </c>
      <c r="Q2381" s="18">
        <f t="shared" si="411"/>
        <v>-2.2737367544323207E-14</v>
      </c>
      <c r="R2381" s="18">
        <f t="shared" si="410"/>
        <v>3581.0250000000001</v>
      </c>
      <c r="S2381" s="18">
        <v>0</v>
      </c>
    </row>
    <row r="2382" spans="1:19" ht="15" customHeight="1" x14ac:dyDescent="0.2">
      <c r="A2382" s="14">
        <f t="shared" si="412"/>
        <v>2343</v>
      </c>
      <c r="B2382" s="31" t="s">
        <v>1999</v>
      </c>
      <c r="C2382" s="15" t="s">
        <v>3</v>
      </c>
      <c r="D2382" s="31" t="s">
        <v>1708</v>
      </c>
      <c r="E2382" s="31"/>
      <c r="F2382" s="73" t="s">
        <v>4</v>
      </c>
      <c r="G2382" s="32">
        <v>34293</v>
      </c>
      <c r="H2382" s="29">
        <v>1311</v>
      </c>
      <c r="I2382" s="17">
        <v>0</v>
      </c>
      <c r="J2382" s="17">
        <f t="shared" si="421"/>
        <v>1245.45</v>
      </c>
      <c r="K2382" s="17">
        <f t="shared" si="406"/>
        <v>65.549999999999955</v>
      </c>
      <c r="L2382" s="23">
        <f t="shared" si="400"/>
        <v>65.55</v>
      </c>
      <c r="M2382" s="33">
        <v>10</v>
      </c>
      <c r="N2382" s="18">
        <f t="shared" si="407"/>
        <v>26.383561643835616</v>
      </c>
      <c r="O2382" s="23">
        <f t="shared" si="423"/>
        <v>622.72500000000002</v>
      </c>
      <c r="P2382" s="18">
        <f t="shared" si="409"/>
        <v>27.383561643835616</v>
      </c>
      <c r="Q2382" s="18">
        <f t="shared" si="411"/>
        <v>-4.2632564145606017E-15</v>
      </c>
      <c r="R2382" s="18">
        <f t="shared" si="410"/>
        <v>622.72500000000002</v>
      </c>
      <c r="S2382" s="18">
        <v>0</v>
      </c>
    </row>
    <row r="2383" spans="1:19" ht="15" customHeight="1" x14ac:dyDescent="0.2">
      <c r="A2383" s="14">
        <f t="shared" si="412"/>
        <v>2344</v>
      </c>
      <c r="B2383" s="31" t="s">
        <v>2000</v>
      </c>
      <c r="C2383" s="15" t="s">
        <v>3</v>
      </c>
      <c r="D2383" s="31" t="s">
        <v>1708</v>
      </c>
      <c r="E2383" s="31"/>
      <c r="F2383" s="73" t="s">
        <v>4</v>
      </c>
      <c r="G2383" s="32">
        <v>41654</v>
      </c>
      <c r="H2383" s="29">
        <v>3116.15</v>
      </c>
      <c r="I2383" s="17">
        <v>0</v>
      </c>
      <c r="J2383" s="17">
        <f t="shared" si="421"/>
        <v>2960.3425000000002</v>
      </c>
      <c r="K2383" s="17">
        <f t="shared" si="406"/>
        <v>155.80749999999989</v>
      </c>
      <c r="L2383" s="23">
        <f t="shared" si="400"/>
        <v>155.8075</v>
      </c>
      <c r="M2383" s="33">
        <v>5</v>
      </c>
      <c r="N2383" s="18">
        <f t="shared" si="407"/>
        <v>6.2164383561643834</v>
      </c>
      <c r="O2383" s="23">
        <f t="shared" si="423"/>
        <v>1480.1712500000001</v>
      </c>
      <c r="P2383" s="18">
        <f t="shared" si="409"/>
        <v>7.2164383561643834</v>
      </c>
      <c r="Q2383" s="18">
        <f t="shared" si="411"/>
        <v>-2.2737367544323207E-14</v>
      </c>
      <c r="R2383" s="18">
        <f t="shared" si="410"/>
        <v>1480.1712500000001</v>
      </c>
      <c r="S2383" s="18">
        <v>0</v>
      </c>
    </row>
    <row r="2384" spans="1:19" ht="15" customHeight="1" x14ac:dyDescent="0.2">
      <c r="A2384" s="14">
        <f t="shared" si="412"/>
        <v>2345</v>
      </c>
      <c r="B2384" s="31" t="s">
        <v>2001</v>
      </c>
      <c r="C2384" s="15" t="s">
        <v>3</v>
      </c>
      <c r="D2384" s="31" t="s">
        <v>1708</v>
      </c>
      <c r="E2384" s="31"/>
      <c r="F2384" s="73" t="s">
        <v>4</v>
      </c>
      <c r="G2384" s="32">
        <v>34316</v>
      </c>
      <c r="H2384" s="29">
        <v>12113</v>
      </c>
      <c r="I2384" s="17">
        <v>0</v>
      </c>
      <c r="J2384" s="17">
        <f t="shared" si="421"/>
        <v>11507.35</v>
      </c>
      <c r="K2384" s="17">
        <f t="shared" si="406"/>
        <v>605.64999999999964</v>
      </c>
      <c r="L2384" s="23">
        <f t="shared" si="400"/>
        <v>605.65</v>
      </c>
      <c r="M2384" s="33">
        <v>10</v>
      </c>
      <c r="N2384" s="18">
        <f t="shared" si="407"/>
        <v>26.32054794520548</v>
      </c>
      <c r="O2384" s="23">
        <f t="shared" si="423"/>
        <v>5753.6750000000002</v>
      </c>
      <c r="P2384" s="18">
        <f t="shared" si="409"/>
        <v>27.32054794520548</v>
      </c>
      <c r="Q2384" s="18">
        <f t="shared" si="411"/>
        <v>-3.4106051316484814E-14</v>
      </c>
      <c r="R2384" s="18">
        <f t="shared" si="410"/>
        <v>5753.6750000000002</v>
      </c>
      <c r="S2384" s="18">
        <v>0</v>
      </c>
    </row>
    <row r="2385" spans="1:19" ht="15" customHeight="1" x14ac:dyDescent="0.2">
      <c r="A2385" s="14">
        <f t="shared" si="412"/>
        <v>2346</v>
      </c>
      <c r="B2385" s="31" t="s">
        <v>2002</v>
      </c>
      <c r="C2385" s="15" t="s">
        <v>3</v>
      </c>
      <c r="D2385" s="31" t="s">
        <v>1708</v>
      </c>
      <c r="E2385" s="31"/>
      <c r="F2385" s="73" t="s">
        <v>4</v>
      </c>
      <c r="G2385" s="32">
        <v>39828</v>
      </c>
      <c r="H2385" s="29">
        <v>3000</v>
      </c>
      <c r="I2385" s="17">
        <v>0</v>
      </c>
      <c r="J2385" s="17">
        <f t="shared" si="421"/>
        <v>2850</v>
      </c>
      <c r="K2385" s="17">
        <f t="shared" si="406"/>
        <v>150</v>
      </c>
      <c r="L2385" s="23">
        <f t="shared" si="400"/>
        <v>150</v>
      </c>
      <c r="M2385" s="33">
        <v>10</v>
      </c>
      <c r="N2385" s="18">
        <f t="shared" si="407"/>
        <v>11.219178082191782</v>
      </c>
      <c r="O2385" s="23">
        <f t="shared" si="423"/>
        <v>1425</v>
      </c>
      <c r="P2385" s="18">
        <f t="shared" si="409"/>
        <v>12.219178082191782</v>
      </c>
      <c r="Q2385" s="18">
        <f t="shared" si="411"/>
        <v>0</v>
      </c>
      <c r="R2385" s="18">
        <f t="shared" si="410"/>
        <v>1425</v>
      </c>
      <c r="S2385" s="18">
        <v>0</v>
      </c>
    </row>
    <row r="2386" spans="1:19" ht="15" customHeight="1" x14ac:dyDescent="0.2">
      <c r="A2386" s="14">
        <f t="shared" si="412"/>
        <v>2347</v>
      </c>
      <c r="B2386" s="31" t="s">
        <v>2003</v>
      </c>
      <c r="C2386" s="15" t="s">
        <v>3</v>
      </c>
      <c r="D2386" s="31" t="s">
        <v>1708</v>
      </c>
      <c r="E2386" s="31"/>
      <c r="F2386" s="73" t="s">
        <v>4</v>
      </c>
      <c r="G2386" s="32">
        <v>41320</v>
      </c>
      <c r="H2386" s="29">
        <v>3000</v>
      </c>
      <c r="I2386" s="17">
        <v>0</v>
      </c>
      <c r="J2386" s="17">
        <v>891.69863013698625</v>
      </c>
      <c r="K2386" s="17">
        <f t="shared" si="406"/>
        <v>2108.3013698630139</v>
      </c>
      <c r="L2386" s="23">
        <f t="shared" si="400"/>
        <v>150</v>
      </c>
      <c r="M2386" s="33">
        <v>10</v>
      </c>
      <c r="N2386" s="18">
        <f t="shared" si="407"/>
        <v>7.1315068493150688</v>
      </c>
      <c r="O2386" s="23">
        <f>(H2386-L2386)/M2386*N2386-J2386</f>
        <v>1140.7808219178082</v>
      </c>
      <c r="P2386" s="18">
        <f t="shared" si="409"/>
        <v>8.131506849315068</v>
      </c>
      <c r="Q2386" s="18">
        <f t="shared" si="411"/>
        <v>195.8301369863012</v>
      </c>
      <c r="R2386" s="18">
        <f t="shared" si="410"/>
        <v>1336.6109589041093</v>
      </c>
      <c r="S2386" s="18">
        <v>0</v>
      </c>
    </row>
    <row r="2387" spans="1:19" ht="15" customHeight="1" x14ac:dyDescent="0.2">
      <c r="A2387" s="14">
        <f t="shared" si="412"/>
        <v>2348</v>
      </c>
      <c r="B2387" s="31" t="s">
        <v>2004</v>
      </c>
      <c r="C2387" s="15" t="s">
        <v>3</v>
      </c>
      <c r="D2387" s="31" t="s">
        <v>1708</v>
      </c>
      <c r="E2387" s="31"/>
      <c r="F2387" s="73" t="s">
        <v>4</v>
      </c>
      <c r="G2387" s="32">
        <v>39083</v>
      </c>
      <c r="H2387" s="29">
        <v>2970</v>
      </c>
      <c r="I2387" s="17">
        <v>0</v>
      </c>
      <c r="J2387" s="17">
        <f t="shared" si="421"/>
        <v>2821.5</v>
      </c>
      <c r="K2387" s="17">
        <f t="shared" si="406"/>
        <v>148.5</v>
      </c>
      <c r="L2387" s="23">
        <f t="shared" si="400"/>
        <v>148.5</v>
      </c>
      <c r="M2387" s="33">
        <v>10</v>
      </c>
      <c r="N2387" s="18">
        <f t="shared" si="407"/>
        <v>13.260273972602739</v>
      </c>
      <c r="O2387" s="23">
        <f>(H2387-K2387)/2</f>
        <v>1410.75</v>
      </c>
      <c r="P2387" s="18">
        <f t="shared" si="409"/>
        <v>14.260273972602739</v>
      </c>
      <c r="Q2387" s="18">
        <f t="shared" si="411"/>
        <v>0</v>
      </c>
      <c r="R2387" s="18">
        <f t="shared" si="410"/>
        <v>1410.75</v>
      </c>
      <c r="S2387" s="18">
        <v>0</v>
      </c>
    </row>
    <row r="2388" spans="1:19" ht="15" customHeight="1" x14ac:dyDescent="0.2">
      <c r="A2388" s="14">
        <f t="shared" si="412"/>
        <v>2349</v>
      </c>
      <c r="B2388" s="31" t="s">
        <v>2005</v>
      </c>
      <c r="C2388" s="15" t="s">
        <v>3</v>
      </c>
      <c r="D2388" s="31" t="s">
        <v>1708</v>
      </c>
      <c r="E2388" s="31"/>
      <c r="F2388" s="73" t="s">
        <v>4</v>
      </c>
      <c r="G2388" s="32">
        <v>41578</v>
      </c>
      <c r="H2388" s="29">
        <v>2922.45</v>
      </c>
      <c r="I2388" s="17">
        <v>0</v>
      </c>
      <c r="J2388" s="17">
        <v>672.40370136986292</v>
      </c>
      <c r="K2388" s="17">
        <f t="shared" si="406"/>
        <v>2250.0462986301368</v>
      </c>
      <c r="L2388" s="23">
        <f t="shared" si="400"/>
        <v>146.1225</v>
      </c>
      <c r="M2388" s="33">
        <v>10</v>
      </c>
      <c r="N2388" s="18">
        <f t="shared" si="407"/>
        <v>6.4246575342465757</v>
      </c>
      <c r="O2388" s="23">
        <f>(H2388-L2388)/M2388*N2388-J2388</f>
        <v>1111.2916376712328</v>
      </c>
      <c r="P2388" s="18">
        <f t="shared" si="409"/>
        <v>7.4246575342465757</v>
      </c>
      <c r="Q2388" s="18">
        <f t="shared" si="411"/>
        <v>210.3923798630137</v>
      </c>
      <c r="R2388" s="18">
        <f t="shared" si="410"/>
        <v>1321.6840175342465</v>
      </c>
      <c r="S2388" s="18">
        <v>0</v>
      </c>
    </row>
    <row r="2389" spans="1:19" ht="15" customHeight="1" x14ac:dyDescent="0.2">
      <c r="A2389" s="14">
        <f t="shared" si="412"/>
        <v>2350</v>
      </c>
      <c r="B2389" s="31" t="s">
        <v>1846</v>
      </c>
      <c r="C2389" s="15" t="s">
        <v>3</v>
      </c>
      <c r="D2389" s="31" t="s">
        <v>1708</v>
      </c>
      <c r="E2389" s="31"/>
      <c r="F2389" s="73" t="s">
        <v>4</v>
      </c>
      <c r="G2389" s="32">
        <v>40709</v>
      </c>
      <c r="H2389" s="29">
        <v>2897</v>
      </c>
      <c r="I2389" s="17">
        <v>0</v>
      </c>
      <c r="J2389" s="17">
        <v>1321.7860136986303</v>
      </c>
      <c r="K2389" s="17">
        <f t="shared" si="406"/>
        <v>1575.2139863013697</v>
      </c>
      <c r="L2389" s="23">
        <f t="shared" ref="L2389:L2452" si="424">H2389*0.05</f>
        <v>144.85</v>
      </c>
      <c r="M2389" s="33">
        <v>10</v>
      </c>
      <c r="N2389" s="18">
        <f t="shared" si="407"/>
        <v>8.8054794520547937</v>
      </c>
      <c r="O2389" s="23">
        <f>(H2389-L2389)/M2389*N2389-J2389</f>
        <v>1101.6140136986298</v>
      </c>
      <c r="P2389" s="18">
        <f t="shared" si="409"/>
        <v>9.8054794520547937</v>
      </c>
      <c r="Q2389" s="18">
        <f t="shared" si="411"/>
        <v>143.03639863013697</v>
      </c>
      <c r="R2389" s="18">
        <f t="shared" si="410"/>
        <v>1244.6504123287668</v>
      </c>
      <c r="S2389" s="18">
        <v>0</v>
      </c>
    </row>
    <row r="2390" spans="1:19" ht="15" customHeight="1" x14ac:dyDescent="0.2">
      <c r="A2390" s="14">
        <f t="shared" si="412"/>
        <v>2351</v>
      </c>
      <c r="B2390" s="31" t="s">
        <v>2006</v>
      </c>
      <c r="C2390" s="15" t="s">
        <v>3</v>
      </c>
      <c r="D2390" s="31" t="s">
        <v>1708</v>
      </c>
      <c r="E2390" s="31"/>
      <c r="F2390" s="73" t="s">
        <v>4</v>
      </c>
      <c r="G2390" s="32">
        <v>41324</v>
      </c>
      <c r="H2390" s="29">
        <v>2850</v>
      </c>
      <c r="I2390" s="17">
        <v>0</v>
      </c>
      <c r="J2390" s="17">
        <v>844.14657534246567</v>
      </c>
      <c r="K2390" s="17">
        <f t="shared" si="406"/>
        <v>2005.8534246575343</v>
      </c>
      <c r="L2390" s="23">
        <f t="shared" si="424"/>
        <v>142.5</v>
      </c>
      <c r="M2390" s="33">
        <v>10</v>
      </c>
      <c r="N2390" s="18">
        <f t="shared" si="407"/>
        <v>7.1205479452054794</v>
      </c>
      <c r="O2390" s="23">
        <f>(H2390-L2390)/M2390*N2390-J2390</f>
        <v>1083.7417808219179</v>
      </c>
      <c r="P2390" s="18">
        <f t="shared" si="409"/>
        <v>8.1205479452054803</v>
      </c>
      <c r="Q2390" s="18">
        <f t="shared" si="411"/>
        <v>186.3353424657536</v>
      </c>
      <c r="R2390" s="18">
        <f t="shared" si="410"/>
        <v>1270.0771232876716</v>
      </c>
      <c r="S2390" s="18">
        <v>0</v>
      </c>
    </row>
    <row r="2391" spans="1:19" ht="15" customHeight="1" x14ac:dyDescent="0.2">
      <c r="A2391" s="14">
        <f t="shared" si="412"/>
        <v>2352</v>
      </c>
      <c r="B2391" s="31" t="s">
        <v>1820</v>
      </c>
      <c r="C2391" s="15" t="s">
        <v>3</v>
      </c>
      <c r="D2391" s="31" t="s">
        <v>1708</v>
      </c>
      <c r="E2391" s="31"/>
      <c r="F2391" s="73" t="s">
        <v>4</v>
      </c>
      <c r="G2391" s="32">
        <v>34316</v>
      </c>
      <c r="H2391" s="29">
        <v>3933</v>
      </c>
      <c r="I2391" s="17">
        <v>0</v>
      </c>
      <c r="J2391" s="17">
        <f t="shared" ref="J2391:J2399" si="425">H2391-L2391</f>
        <v>3736.35</v>
      </c>
      <c r="K2391" s="17">
        <f t="shared" si="406"/>
        <v>196.65000000000009</v>
      </c>
      <c r="L2391" s="23">
        <f t="shared" si="424"/>
        <v>196.65</v>
      </c>
      <c r="M2391" s="33">
        <v>10</v>
      </c>
      <c r="N2391" s="18">
        <f t="shared" si="407"/>
        <v>26.32054794520548</v>
      </c>
      <c r="O2391" s="23">
        <f t="shared" ref="O2391:O2396" si="426">(H2391-K2391)/2</f>
        <v>1868.175</v>
      </c>
      <c r="P2391" s="18">
        <f t="shared" si="409"/>
        <v>27.32054794520548</v>
      </c>
      <c r="Q2391" s="18">
        <f t="shared" si="411"/>
        <v>8.5265128291212035E-15</v>
      </c>
      <c r="R2391" s="18">
        <f t="shared" si="410"/>
        <v>1868.175</v>
      </c>
      <c r="S2391" s="18">
        <v>0</v>
      </c>
    </row>
    <row r="2392" spans="1:19" ht="15" customHeight="1" x14ac:dyDescent="0.2">
      <c r="A2392" s="14">
        <f t="shared" si="412"/>
        <v>2353</v>
      </c>
      <c r="B2392" s="31" t="s">
        <v>2007</v>
      </c>
      <c r="C2392" s="15" t="s">
        <v>3</v>
      </c>
      <c r="D2392" s="31" t="s">
        <v>1708</v>
      </c>
      <c r="E2392" s="31"/>
      <c r="F2392" s="73" t="s">
        <v>4</v>
      </c>
      <c r="G2392" s="32">
        <v>34316</v>
      </c>
      <c r="H2392" s="29">
        <v>2700</v>
      </c>
      <c r="I2392" s="17">
        <v>0</v>
      </c>
      <c r="J2392" s="17">
        <f t="shared" si="425"/>
        <v>2565</v>
      </c>
      <c r="K2392" s="17">
        <f t="shared" si="406"/>
        <v>135</v>
      </c>
      <c r="L2392" s="23">
        <f t="shared" si="424"/>
        <v>135</v>
      </c>
      <c r="M2392" s="33">
        <v>10</v>
      </c>
      <c r="N2392" s="18">
        <f t="shared" si="407"/>
        <v>26.32054794520548</v>
      </c>
      <c r="O2392" s="23">
        <f t="shared" si="426"/>
        <v>1282.5</v>
      </c>
      <c r="P2392" s="18">
        <f t="shared" si="409"/>
        <v>27.32054794520548</v>
      </c>
      <c r="Q2392" s="18">
        <f t="shared" si="411"/>
        <v>0</v>
      </c>
      <c r="R2392" s="18">
        <f t="shared" si="410"/>
        <v>1282.5</v>
      </c>
      <c r="S2392" s="18">
        <v>0</v>
      </c>
    </row>
    <row r="2393" spans="1:19" ht="15" customHeight="1" x14ac:dyDescent="0.2">
      <c r="A2393" s="14">
        <f t="shared" si="412"/>
        <v>2354</v>
      </c>
      <c r="B2393" s="31" t="s">
        <v>2008</v>
      </c>
      <c r="C2393" s="15" t="s">
        <v>3</v>
      </c>
      <c r="D2393" s="31" t="s">
        <v>1708</v>
      </c>
      <c r="E2393" s="31"/>
      <c r="F2393" s="73" t="s">
        <v>4</v>
      </c>
      <c r="G2393" s="32">
        <v>39083</v>
      </c>
      <c r="H2393" s="29">
        <v>2699.99</v>
      </c>
      <c r="I2393" s="17">
        <v>0</v>
      </c>
      <c r="J2393" s="17">
        <f t="shared" si="425"/>
        <v>2564.9904999999999</v>
      </c>
      <c r="K2393" s="17">
        <f t="shared" si="406"/>
        <v>134.9994999999999</v>
      </c>
      <c r="L2393" s="23">
        <f t="shared" si="424"/>
        <v>134.99949999999998</v>
      </c>
      <c r="M2393" s="33">
        <v>10</v>
      </c>
      <c r="N2393" s="18">
        <f t="shared" si="407"/>
        <v>13.260273972602739</v>
      </c>
      <c r="O2393" s="23">
        <f t="shared" si="426"/>
        <v>1282.4952499999999</v>
      </c>
      <c r="P2393" s="18">
        <f t="shared" si="409"/>
        <v>14.260273972602739</v>
      </c>
      <c r="Q2393" s="18">
        <f t="shared" si="411"/>
        <v>-8.5265128291212035E-15</v>
      </c>
      <c r="R2393" s="18">
        <f t="shared" si="410"/>
        <v>1282.4952499999999</v>
      </c>
      <c r="S2393" s="18">
        <v>0</v>
      </c>
    </row>
    <row r="2394" spans="1:19" ht="15" customHeight="1" x14ac:dyDescent="0.2">
      <c r="A2394" s="14">
        <f t="shared" si="412"/>
        <v>2355</v>
      </c>
      <c r="B2394" s="31" t="s">
        <v>2009</v>
      </c>
      <c r="C2394" s="15" t="s">
        <v>3</v>
      </c>
      <c r="D2394" s="31" t="s">
        <v>1708</v>
      </c>
      <c r="E2394" s="31"/>
      <c r="F2394" s="73" t="s">
        <v>4</v>
      </c>
      <c r="G2394" s="32">
        <v>34316</v>
      </c>
      <c r="H2394" s="29">
        <v>2350</v>
      </c>
      <c r="I2394" s="17">
        <v>0</v>
      </c>
      <c r="J2394" s="17">
        <f t="shared" si="425"/>
        <v>2232.5</v>
      </c>
      <c r="K2394" s="17">
        <f t="shared" si="406"/>
        <v>117.5</v>
      </c>
      <c r="L2394" s="23">
        <f t="shared" si="424"/>
        <v>117.5</v>
      </c>
      <c r="M2394" s="33">
        <v>10</v>
      </c>
      <c r="N2394" s="18">
        <f t="shared" si="407"/>
        <v>26.32054794520548</v>
      </c>
      <c r="O2394" s="23">
        <f t="shared" si="426"/>
        <v>1116.25</v>
      </c>
      <c r="P2394" s="18">
        <f t="shared" si="409"/>
        <v>27.32054794520548</v>
      </c>
      <c r="Q2394" s="18">
        <f t="shared" si="411"/>
        <v>0</v>
      </c>
      <c r="R2394" s="18">
        <f t="shared" si="410"/>
        <v>1116.25</v>
      </c>
      <c r="S2394" s="18">
        <v>0</v>
      </c>
    </row>
    <row r="2395" spans="1:19" ht="15" customHeight="1" x14ac:dyDescent="0.2">
      <c r="A2395" s="14">
        <f t="shared" si="412"/>
        <v>2356</v>
      </c>
      <c r="B2395" s="31" t="s">
        <v>2010</v>
      </c>
      <c r="C2395" s="15" t="s">
        <v>3</v>
      </c>
      <c r="D2395" s="31" t="s">
        <v>1708</v>
      </c>
      <c r="E2395" s="31"/>
      <c r="F2395" s="73" t="s">
        <v>4</v>
      </c>
      <c r="G2395" s="32">
        <v>34316</v>
      </c>
      <c r="H2395" s="29">
        <v>1748</v>
      </c>
      <c r="I2395" s="17">
        <v>0</v>
      </c>
      <c r="J2395" s="17">
        <f t="shared" si="425"/>
        <v>1660.6</v>
      </c>
      <c r="K2395" s="17">
        <f t="shared" si="406"/>
        <v>87.400000000000091</v>
      </c>
      <c r="L2395" s="23">
        <f t="shared" si="424"/>
        <v>87.4</v>
      </c>
      <c r="M2395" s="33">
        <v>10</v>
      </c>
      <c r="N2395" s="18">
        <f t="shared" si="407"/>
        <v>26.32054794520548</v>
      </c>
      <c r="O2395" s="23">
        <f t="shared" si="426"/>
        <v>830.3</v>
      </c>
      <c r="P2395" s="18">
        <f t="shared" si="409"/>
        <v>27.32054794520548</v>
      </c>
      <c r="Q2395" s="18">
        <f t="shared" si="411"/>
        <v>8.5265128291212035E-15</v>
      </c>
      <c r="R2395" s="18">
        <f t="shared" si="410"/>
        <v>830.3</v>
      </c>
      <c r="S2395" s="18">
        <v>0</v>
      </c>
    </row>
    <row r="2396" spans="1:19" ht="15" customHeight="1" x14ac:dyDescent="0.2">
      <c r="A2396" s="14">
        <f t="shared" si="412"/>
        <v>2357</v>
      </c>
      <c r="B2396" s="31" t="s">
        <v>2011</v>
      </c>
      <c r="C2396" s="15" t="s">
        <v>3</v>
      </c>
      <c r="D2396" s="31" t="s">
        <v>1708</v>
      </c>
      <c r="E2396" s="31"/>
      <c r="F2396" s="73" t="s">
        <v>4</v>
      </c>
      <c r="G2396" s="32">
        <v>41713</v>
      </c>
      <c r="H2396" s="29">
        <v>2550</v>
      </c>
      <c r="I2396" s="17">
        <v>0</v>
      </c>
      <c r="J2396" s="17">
        <f t="shared" si="425"/>
        <v>2422.5</v>
      </c>
      <c r="K2396" s="17">
        <f t="shared" si="406"/>
        <v>127.5</v>
      </c>
      <c r="L2396" s="23">
        <f t="shared" si="424"/>
        <v>127.5</v>
      </c>
      <c r="M2396" s="33">
        <v>5</v>
      </c>
      <c r="N2396" s="18">
        <f t="shared" si="407"/>
        <v>6.0547945205479454</v>
      </c>
      <c r="O2396" s="23">
        <f t="shared" si="426"/>
        <v>1211.25</v>
      </c>
      <c r="P2396" s="18">
        <f t="shared" si="409"/>
        <v>7.0547945205479454</v>
      </c>
      <c r="Q2396" s="18">
        <f t="shared" si="411"/>
        <v>0</v>
      </c>
      <c r="R2396" s="18">
        <f t="shared" si="410"/>
        <v>1211.25</v>
      </c>
      <c r="S2396" s="18">
        <v>0</v>
      </c>
    </row>
    <row r="2397" spans="1:19" ht="15" customHeight="1" x14ac:dyDescent="0.2">
      <c r="A2397" s="14">
        <f t="shared" si="412"/>
        <v>2358</v>
      </c>
      <c r="B2397" s="31" t="s">
        <v>2012</v>
      </c>
      <c r="C2397" s="15" t="s">
        <v>3</v>
      </c>
      <c r="D2397" s="31" t="s">
        <v>1708</v>
      </c>
      <c r="E2397" s="31"/>
      <c r="F2397" s="73" t="s">
        <v>4</v>
      </c>
      <c r="G2397" s="32">
        <v>40954</v>
      </c>
      <c r="H2397" s="29">
        <v>2544.33</v>
      </c>
      <c r="I2397" s="17">
        <v>0</v>
      </c>
      <c r="J2397" s="17">
        <v>998.63209808219176</v>
      </c>
      <c r="K2397" s="17">
        <f t="shared" si="406"/>
        <v>1545.6979019178082</v>
      </c>
      <c r="L2397" s="23">
        <f t="shared" si="424"/>
        <v>127.2165</v>
      </c>
      <c r="M2397" s="33">
        <v>10</v>
      </c>
      <c r="N2397" s="18">
        <f t="shared" si="407"/>
        <v>8.1342465753424662</v>
      </c>
      <c r="O2397" s="23">
        <f>(H2397-L2397)/M2397*N2397-J2397</f>
        <v>967.50762287671228</v>
      </c>
      <c r="P2397" s="18">
        <f t="shared" si="409"/>
        <v>9.1342465753424662</v>
      </c>
      <c r="Q2397" s="18">
        <f t="shared" si="411"/>
        <v>141.84814019178083</v>
      </c>
      <c r="R2397" s="18">
        <f t="shared" si="410"/>
        <v>1109.3557630684932</v>
      </c>
      <c r="S2397" s="18">
        <v>0</v>
      </c>
    </row>
    <row r="2398" spans="1:19" ht="15" customHeight="1" x14ac:dyDescent="0.2">
      <c r="A2398" s="14">
        <f t="shared" si="412"/>
        <v>2359</v>
      </c>
      <c r="B2398" s="31" t="s">
        <v>2013</v>
      </c>
      <c r="C2398" s="15" t="s">
        <v>3</v>
      </c>
      <c r="D2398" s="31" t="s">
        <v>1708</v>
      </c>
      <c r="E2398" s="31"/>
      <c r="F2398" s="73" t="s">
        <v>4</v>
      </c>
      <c r="G2398" s="32">
        <v>34316</v>
      </c>
      <c r="H2398" s="29">
        <v>1140</v>
      </c>
      <c r="I2398" s="17">
        <v>0</v>
      </c>
      <c r="J2398" s="17">
        <f t="shared" si="425"/>
        <v>1083</v>
      </c>
      <c r="K2398" s="17">
        <f t="shared" si="406"/>
        <v>57</v>
      </c>
      <c r="L2398" s="23">
        <f t="shared" si="424"/>
        <v>57</v>
      </c>
      <c r="M2398" s="33">
        <v>10</v>
      </c>
      <c r="N2398" s="18">
        <f t="shared" si="407"/>
        <v>26.32054794520548</v>
      </c>
      <c r="O2398" s="23">
        <f t="shared" ref="O2398:O2399" si="427">(H2398-K2398)/2</f>
        <v>541.5</v>
      </c>
      <c r="P2398" s="18">
        <f t="shared" si="409"/>
        <v>27.32054794520548</v>
      </c>
      <c r="Q2398" s="18">
        <f t="shared" si="411"/>
        <v>0</v>
      </c>
      <c r="R2398" s="18">
        <f t="shared" si="410"/>
        <v>541.5</v>
      </c>
      <c r="S2398" s="18">
        <v>0</v>
      </c>
    </row>
    <row r="2399" spans="1:19" ht="15" customHeight="1" x14ac:dyDescent="0.2">
      <c r="A2399" s="14">
        <f t="shared" si="412"/>
        <v>2360</v>
      </c>
      <c r="B2399" s="31" t="s">
        <v>2014</v>
      </c>
      <c r="C2399" s="15" t="s">
        <v>3</v>
      </c>
      <c r="D2399" s="31" t="s">
        <v>1708</v>
      </c>
      <c r="E2399" s="31"/>
      <c r="F2399" s="73" t="s">
        <v>4</v>
      </c>
      <c r="G2399" s="32">
        <v>34316</v>
      </c>
      <c r="H2399" s="29">
        <v>656</v>
      </c>
      <c r="I2399" s="17">
        <v>0</v>
      </c>
      <c r="J2399" s="17">
        <f t="shared" si="425"/>
        <v>623.20000000000005</v>
      </c>
      <c r="K2399" s="17">
        <f t="shared" si="406"/>
        <v>32.799999999999955</v>
      </c>
      <c r="L2399" s="23">
        <f t="shared" si="424"/>
        <v>32.800000000000004</v>
      </c>
      <c r="M2399" s="33">
        <v>10</v>
      </c>
      <c r="N2399" s="18">
        <f t="shared" si="407"/>
        <v>26.32054794520548</v>
      </c>
      <c r="O2399" s="23">
        <f t="shared" si="427"/>
        <v>311.60000000000002</v>
      </c>
      <c r="P2399" s="18">
        <f t="shared" si="409"/>
        <v>27.32054794520548</v>
      </c>
      <c r="Q2399" s="18">
        <f t="shared" si="411"/>
        <v>-4.9737991503207018E-15</v>
      </c>
      <c r="R2399" s="18">
        <f t="shared" si="410"/>
        <v>311.60000000000002</v>
      </c>
      <c r="S2399" s="18">
        <v>0</v>
      </c>
    </row>
    <row r="2400" spans="1:19" ht="15" customHeight="1" x14ac:dyDescent="0.2">
      <c r="A2400" s="14">
        <f t="shared" si="412"/>
        <v>2361</v>
      </c>
      <c r="B2400" s="31" t="s">
        <v>2015</v>
      </c>
      <c r="C2400" s="15" t="s">
        <v>3</v>
      </c>
      <c r="D2400" s="31" t="s">
        <v>1708</v>
      </c>
      <c r="E2400" s="31"/>
      <c r="F2400" s="73" t="s">
        <v>4</v>
      </c>
      <c r="G2400" s="32">
        <v>40648</v>
      </c>
      <c r="H2400" s="29">
        <v>2456.86</v>
      </c>
      <c r="I2400" s="17">
        <v>0</v>
      </c>
      <c r="J2400" s="17">
        <v>1159.9744761643838</v>
      </c>
      <c r="K2400" s="17">
        <f t="shared" si="406"/>
        <v>1296.8855238356164</v>
      </c>
      <c r="L2400" s="23">
        <f t="shared" si="424"/>
        <v>122.84300000000002</v>
      </c>
      <c r="M2400" s="33">
        <v>10</v>
      </c>
      <c r="N2400" s="18">
        <f t="shared" si="407"/>
        <v>8.9726027397260282</v>
      </c>
      <c r="O2400" s="23">
        <f>(H2400-L2400)/M2400*N2400-J2400</f>
        <v>934.24625671232889</v>
      </c>
      <c r="P2400" s="18">
        <f t="shared" si="409"/>
        <v>9.9726027397260282</v>
      </c>
      <c r="Q2400" s="18">
        <f t="shared" si="411"/>
        <v>117.40425238356164</v>
      </c>
      <c r="R2400" s="18">
        <f t="shared" si="410"/>
        <v>1051.6505090958906</v>
      </c>
      <c r="S2400" s="18">
        <v>0</v>
      </c>
    </row>
    <row r="2401" spans="1:19" ht="15" customHeight="1" x14ac:dyDescent="0.2">
      <c r="A2401" s="14">
        <f t="shared" si="412"/>
        <v>2362</v>
      </c>
      <c r="B2401" s="31" t="s">
        <v>2016</v>
      </c>
      <c r="C2401" s="15" t="s">
        <v>3</v>
      </c>
      <c r="D2401" s="31" t="s">
        <v>1708</v>
      </c>
      <c r="E2401" s="31"/>
      <c r="F2401" s="73" t="s">
        <v>4</v>
      </c>
      <c r="G2401" s="32">
        <v>41654</v>
      </c>
      <c r="H2401" s="29">
        <v>2388.33</v>
      </c>
      <c r="I2401" s="17">
        <v>0</v>
      </c>
      <c r="J2401" s="17">
        <v>502.26907068493148</v>
      </c>
      <c r="K2401" s="17">
        <f t="shared" si="406"/>
        <v>1886.0609293150685</v>
      </c>
      <c r="L2401" s="23">
        <f t="shared" si="424"/>
        <v>119.4165</v>
      </c>
      <c r="M2401" s="33">
        <v>10</v>
      </c>
      <c r="N2401" s="18">
        <f t="shared" si="407"/>
        <v>6.2164383561643834</v>
      </c>
      <c r="O2401" s="23">
        <f>(H2401-L2401)/M2401*N2401-J2401</f>
        <v>908.18702013698658</v>
      </c>
      <c r="P2401" s="18">
        <f t="shared" si="409"/>
        <v>7.2164383561643834</v>
      </c>
      <c r="Q2401" s="18">
        <f t="shared" si="411"/>
        <v>176.66444293150687</v>
      </c>
      <c r="R2401" s="18">
        <f t="shared" si="410"/>
        <v>1084.8514630684936</v>
      </c>
      <c r="S2401" s="18">
        <v>0</v>
      </c>
    </row>
    <row r="2402" spans="1:19" ht="15" customHeight="1" x14ac:dyDescent="0.2">
      <c r="A2402" s="14">
        <f t="shared" si="412"/>
        <v>2363</v>
      </c>
      <c r="B2402" s="31" t="s">
        <v>2017</v>
      </c>
      <c r="C2402" s="15" t="s">
        <v>3</v>
      </c>
      <c r="D2402" s="31" t="s">
        <v>1708</v>
      </c>
      <c r="E2402" s="31"/>
      <c r="F2402" s="73" t="s">
        <v>4</v>
      </c>
      <c r="G2402" s="32">
        <v>34318</v>
      </c>
      <c r="H2402" s="29">
        <v>1584</v>
      </c>
      <c r="I2402" s="17">
        <v>0</v>
      </c>
      <c r="J2402" s="17">
        <f t="shared" ref="J2402:J2429" si="428">H2402-L2402</f>
        <v>1504.8</v>
      </c>
      <c r="K2402" s="17">
        <f t="shared" si="406"/>
        <v>79.200000000000045</v>
      </c>
      <c r="L2402" s="23">
        <f t="shared" si="424"/>
        <v>79.2</v>
      </c>
      <c r="M2402" s="33">
        <v>10</v>
      </c>
      <c r="N2402" s="18">
        <f t="shared" si="407"/>
        <v>26.315068493150687</v>
      </c>
      <c r="O2402" s="23">
        <f t="shared" ref="O2402:O2404" si="429">(H2402-K2402)/2</f>
        <v>752.4</v>
      </c>
      <c r="P2402" s="18">
        <f t="shared" si="409"/>
        <v>27.315068493150687</v>
      </c>
      <c r="Q2402" s="18">
        <f t="shared" si="411"/>
        <v>4.2632564145606017E-15</v>
      </c>
      <c r="R2402" s="18">
        <f t="shared" si="410"/>
        <v>752.4</v>
      </c>
      <c r="S2402" s="18">
        <v>0</v>
      </c>
    </row>
    <row r="2403" spans="1:19" ht="15" customHeight="1" x14ac:dyDescent="0.2">
      <c r="A2403" s="14">
        <f t="shared" si="412"/>
        <v>2364</v>
      </c>
      <c r="B2403" s="31" t="s">
        <v>2018</v>
      </c>
      <c r="C2403" s="15" t="s">
        <v>3</v>
      </c>
      <c r="D2403" s="31" t="s">
        <v>1708</v>
      </c>
      <c r="E2403" s="31"/>
      <c r="F2403" s="73" t="s">
        <v>4</v>
      </c>
      <c r="G2403" s="32">
        <v>41501</v>
      </c>
      <c r="H2403" s="29">
        <v>2341.13</v>
      </c>
      <c r="I2403" s="17">
        <v>0</v>
      </c>
      <c r="J2403" s="17">
        <f t="shared" si="428"/>
        <v>2224.0735</v>
      </c>
      <c r="K2403" s="17">
        <f t="shared" si="406"/>
        <v>117.05650000000014</v>
      </c>
      <c r="L2403" s="23">
        <f t="shared" si="424"/>
        <v>117.05650000000001</v>
      </c>
      <c r="M2403" s="33">
        <v>5</v>
      </c>
      <c r="N2403" s="18">
        <f t="shared" si="407"/>
        <v>6.6356164383561644</v>
      </c>
      <c r="O2403" s="23">
        <f t="shared" si="429"/>
        <v>1112.03675</v>
      </c>
      <c r="P2403" s="18">
        <f t="shared" si="409"/>
        <v>7.6356164383561644</v>
      </c>
      <c r="Q2403" s="18">
        <f t="shared" si="411"/>
        <v>2.5579538487363607E-14</v>
      </c>
      <c r="R2403" s="18">
        <f t="shared" si="410"/>
        <v>1112.03675</v>
      </c>
      <c r="S2403" s="18">
        <v>0</v>
      </c>
    </row>
    <row r="2404" spans="1:19" ht="15" customHeight="1" x14ac:dyDescent="0.2">
      <c r="A2404" s="14">
        <f t="shared" si="412"/>
        <v>2365</v>
      </c>
      <c r="B2404" s="31" t="s">
        <v>1809</v>
      </c>
      <c r="C2404" s="15" t="s">
        <v>3</v>
      </c>
      <c r="D2404" s="31" t="s">
        <v>1708</v>
      </c>
      <c r="E2404" s="31"/>
      <c r="F2404" s="73" t="s">
        <v>4</v>
      </c>
      <c r="G2404" s="32">
        <v>34323</v>
      </c>
      <c r="H2404" s="29">
        <v>5813</v>
      </c>
      <c r="I2404" s="17">
        <v>0</v>
      </c>
      <c r="J2404" s="17">
        <f t="shared" si="428"/>
        <v>5522.35</v>
      </c>
      <c r="K2404" s="17">
        <f t="shared" si="406"/>
        <v>290.64999999999964</v>
      </c>
      <c r="L2404" s="23">
        <f t="shared" si="424"/>
        <v>290.65000000000003</v>
      </c>
      <c r="M2404" s="33">
        <v>10</v>
      </c>
      <c r="N2404" s="18">
        <f t="shared" si="407"/>
        <v>26.301369863013697</v>
      </c>
      <c r="O2404" s="23">
        <f t="shared" si="429"/>
        <v>2761.1750000000002</v>
      </c>
      <c r="P2404" s="18">
        <f t="shared" si="409"/>
        <v>27.301369863013697</v>
      </c>
      <c r="Q2404" s="18">
        <f t="shared" si="411"/>
        <v>-3.9790393202565614E-14</v>
      </c>
      <c r="R2404" s="18">
        <f t="shared" si="410"/>
        <v>2761.1750000000002</v>
      </c>
      <c r="S2404" s="18">
        <v>0</v>
      </c>
    </row>
    <row r="2405" spans="1:19" ht="15" customHeight="1" x14ac:dyDescent="0.2">
      <c r="A2405" s="14">
        <f t="shared" si="412"/>
        <v>2366</v>
      </c>
      <c r="B2405" s="31" t="s">
        <v>2019</v>
      </c>
      <c r="C2405" s="15" t="s">
        <v>3</v>
      </c>
      <c r="D2405" s="31" t="s">
        <v>1708</v>
      </c>
      <c r="E2405" s="31"/>
      <c r="F2405" s="73" t="s">
        <v>4</v>
      </c>
      <c r="G2405" s="32">
        <v>40589</v>
      </c>
      <c r="H2405" s="29">
        <v>2284.85</v>
      </c>
      <c r="I2405" s="17">
        <v>0</v>
      </c>
      <c r="J2405" s="17">
        <v>1113.848725342466</v>
      </c>
      <c r="K2405" s="17">
        <f t="shared" si="406"/>
        <v>1171.0012746575339</v>
      </c>
      <c r="L2405" s="23">
        <f t="shared" si="424"/>
        <v>114.24250000000001</v>
      </c>
      <c r="M2405" s="33">
        <v>10</v>
      </c>
      <c r="N2405" s="18">
        <f t="shared" si="407"/>
        <v>9.1342465753424662</v>
      </c>
      <c r="O2405" s="23">
        <f>(H2405-L2405)/M2405*N2405-J2405</f>
        <v>868.83768698630138</v>
      </c>
      <c r="P2405" s="18">
        <f t="shared" si="409"/>
        <v>10.134246575342466</v>
      </c>
      <c r="Q2405" s="18">
        <f t="shared" si="411"/>
        <v>105.67587746575339</v>
      </c>
      <c r="R2405" s="18">
        <f t="shared" si="410"/>
        <v>974.51356445205477</v>
      </c>
      <c r="S2405" s="18">
        <v>0</v>
      </c>
    </row>
    <row r="2406" spans="1:19" ht="15" customHeight="1" x14ac:dyDescent="0.2">
      <c r="A2406" s="14">
        <f t="shared" si="412"/>
        <v>2367</v>
      </c>
      <c r="B2406" s="31" t="s">
        <v>2020</v>
      </c>
      <c r="C2406" s="15" t="s">
        <v>3</v>
      </c>
      <c r="D2406" s="31" t="s">
        <v>1708</v>
      </c>
      <c r="E2406" s="31"/>
      <c r="F2406" s="73" t="s">
        <v>4</v>
      </c>
      <c r="G2406" s="32">
        <v>34334</v>
      </c>
      <c r="H2406" s="29">
        <v>675</v>
      </c>
      <c r="I2406" s="17">
        <v>0</v>
      </c>
      <c r="J2406" s="17">
        <f t="shared" si="428"/>
        <v>641.25</v>
      </c>
      <c r="K2406" s="17">
        <f t="shared" ref="K2406:K2469" si="430">H2406+I2406-J2406</f>
        <v>33.75</v>
      </c>
      <c r="L2406" s="23">
        <f t="shared" si="424"/>
        <v>33.75</v>
      </c>
      <c r="M2406" s="33">
        <v>10</v>
      </c>
      <c r="N2406" s="18">
        <f t="shared" ref="N2406:N2469" si="431">IF(($N$35-G2406+1)/365&gt;0,($N$35-G2406+1)/365,0)</f>
        <v>26.271232876712329</v>
      </c>
      <c r="O2406" s="23">
        <f t="shared" ref="O2406:O2413" si="432">(H2406-K2406)/2</f>
        <v>320.625</v>
      </c>
      <c r="P2406" s="18">
        <f t="shared" ref="P2406:P2469" si="433">($P$35-G2406+1)/365</f>
        <v>27.271232876712329</v>
      </c>
      <c r="Q2406" s="18">
        <f t="shared" si="411"/>
        <v>0</v>
      </c>
      <c r="R2406" s="18">
        <f t="shared" ref="R2406:R2469" si="434">Q2406+O2406</f>
        <v>320.625</v>
      </c>
      <c r="S2406" s="18">
        <v>0</v>
      </c>
    </row>
    <row r="2407" spans="1:19" ht="15" customHeight="1" x14ac:dyDescent="0.2">
      <c r="A2407" s="14">
        <f t="shared" si="412"/>
        <v>2368</v>
      </c>
      <c r="B2407" s="31" t="s">
        <v>2021</v>
      </c>
      <c r="C2407" s="15" t="s">
        <v>3</v>
      </c>
      <c r="D2407" s="31" t="s">
        <v>1708</v>
      </c>
      <c r="E2407" s="31"/>
      <c r="F2407" s="73" t="s">
        <v>4</v>
      </c>
      <c r="G2407" s="32">
        <v>34380</v>
      </c>
      <c r="H2407" s="29">
        <v>575</v>
      </c>
      <c r="I2407" s="17">
        <v>0</v>
      </c>
      <c r="J2407" s="17">
        <f t="shared" si="428"/>
        <v>546.25</v>
      </c>
      <c r="K2407" s="17">
        <f t="shared" si="430"/>
        <v>28.75</v>
      </c>
      <c r="L2407" s="23">
        <f t="shared" si="424"/>
        <v>28.75</v>
      </c>
      <c r="M2407" s="33">
        <v>10</v>
      </c>
      <c r="N2407" s="18">
        <f t="shared" si="431"/>
        <v>26.145205479452056</v>
      </c>
      <c r="O2407" s="23">
        <f t="shared" si="432"/>
        <v>273.125</v>
      </c>
      <c r="P2407" s="18">
        <f t="shared" si="433"/>
        <v>27.145205479452056</v>
      </c>
      <c r="Q2407" s="18">
        <f t="shared" si="411"/>
        <v>0</v>
      </c>
      <c r="R2407" s="18">
        <f t="shared" si="434"/>
        <v>273.125</v>
      </c>
      <c r="S2407" s="18">
        <v>0</v>
      </c>
    </row>
    <row r="2408" spans="1:19" ht="15" customHeight="1" x14ac:dyDescent="0.2">
      <c r="A2408" s="14">
        <f t="shared" si="412"/>
        <v>2369</v>
      </c>
      <c r="B2408" s="31" t="s">
        <v>2022</v>
      </c>
      <c r="C2408" s="15" t="s">
        <v>3</v>
      </c>
      <c r="D2408" s="31" t="s">
        <v>1708</v>
      </c>
      <c r="E2408" s="31"/>
      <c r="F2408" s="73" t="s">
        <v>4</v>
      </c>
      <c r="G2408" s="32">
        <v>34408</v>
      </c>
      <c r="H2408" s="29">
        <v>6746</v>
      </c>
      <c r="I2408" s="17">
        <v>0</v>
      </c>
      <c r="J2408" s="17">
        <f t="shared" si="428"/>
        <v>6408.7</v>
      </c>
      <c r="K2408" s="17">
        <f t="shared" si="430"/>
        <v>337.30000000000018</v>
      </c>
      <c r="L2408" s="23">
        <f t="shared" si="424"/>
        <v>337.3</v>
      </c>
      <c r="M2408" s="33">
        <v>10</v>
      </c>
      <c r="N2408" s="18">
        <f t="shared" si="431"/>
        <v>26.068493150684933</v>
      </c>
      <c r="O2408" s="23">
        <f t="shared" si="432"/>
        <v>3204.35</v>
      </c>
      <c r="P2408" s="18">
        <f t="shared" si="433"/>
        <v>27.068493150684933</v>
      </c>
      <c r="Q2408" s="18">
        <f t="shared" ref="Q2408:Q2471" si="435">(P2408-N2408)/M2408*(K2408-L2408)</f>
        <v>1.7053025658242407E-14</v>
      </c>
      <c r="R2408" s="18">
        <f t="shared" si="434"/>
        <v>3204.35</v>
      </c>
      <c r="S2408" s="18">
        <v>0</v>
      </c>
    </row>
    <row r="2409" spans="1:19" ht="15" customHeight="1" x14ac:dyDescent="0.2">
      <c r="A2409" s="14">
        <f t="shared" si="412"/>
        <v>2370</v>
      </c>
      <c r="B2409" s="31" t="s">
        <v>2023</v>
      </c>
      <c r="C2409" s="15" t="s">
        <v>3</v>
      </c>
      <c r="D2409" s="31" t="s">
        <v>1708</v>
      </c>
      <c r="E2409" s="31"/>
      <c r="F2409" s="73" t="s">
        <v>4</v>
      </c>
      <c r="G2409" s="32">
        <v>34500</v>
      </c>
      <c r="H2409" s="29">
        <v>3789</v>
      </c>
      <c r="I2409" s="17">
        <v>0</v>
      </c>
      <c r="J2409" s="17">
        <f t="shared" si="428"/>
        <v>3599.55</v>
      </c>
      <c r="K2409" s="17">
        <f t="shared" si="430"/>
        <v>189.44999999999982</v>
      </c>
      <c r="L2409" s="23">
        <f t="shared" si="424"/>
        <v>189.45000000000002</v>
      </c>
      <c r="M2409" s="33">
        <v>10</v>
      </c>
      <c r="N2409" s="18">
        <f t="shared" si="431"/>
        <v>25.816438356164383</v>
      </c>
      <c r="O2409" s="23">
        <f t="shared" si="432"/>
        <v>1799.7750000000001</v>
      </c>
      <c r="P2409" s="18">
        <f t="shared" si="433"/>
        <v>26.816438356164383</v>
      </c>
      <c r="Q2409" s="18">
        <f t="shared" si="435"/>
        <v>-1.9895196601282807E-14</v>
      </c>
      <c r="R2409" s="18">
        <f t="shared" si="434"/>
        <v>1799.7750000000001</v>
      </c>
      <c r="S2409" s="18">
        <v>0</v>
      </c>
    </row>
    <row r="2410" spans="1:19" ht="15" customHeight="1" x14ac:dyDescent="0.2">
      <c r="A2410" s="14">
        <f t="shared" si="412"/>
        <v>2371</v>
      </c>
      <c r="B2410" s="31" t="s">
        <v>2024</v>
      </c>
      <c r="C2410" s="15" t="s">
        <v>3</v>
      </c>
      <c r="D2410" s="31" t="s">
        <v>1708</v>
      </c>
      <c r="E2410" s="31"/>
      <c r="F2410" s="73" t="s">
        <v>4</v>
      </c>
      <c r="G2410" s="32">
        <v>41348</v>
      </c>
      <c r="H2410" s="29">
        <v>2232.4699999999998</v>
      </c>
      <c r="I2410" s="17">
        <v>0</v>
      </c>
      <c r="J2410" s="17">
        <f t="shared" si="428"/>
        <v>2120.8464999999997</v>
      </c>
      <c r="K2410" s="17">
        <f t="shared" si="430"/>
        <v>111.62350000000015</v>
      </c>
      <c r="L2410" s="23">
        <f t="shared" si="424"/>
        <v>111.62349999999999</v>
      </c>
      <c r="M2410" s="33">
        <v>5</v>
      </c>
      <c r="N2410" s="18">
        <f t="shared" si="431"/>
        <v>7.0547945205479454</v>
      </c>
      <c r="O2410" s="23">
        <f t="shared" si="432"/>
        <v>1060.4232499999998</v>
      </c>
      <c r="P2410" s="18">
        <f t="shared" si="433"/>
        <v>8.0547945205479454</v>
      </c>
      <c r="Q2410" s="18">
        <f t="shared" si="435"/>
        <v>3.1263880373444411E-14</v>
      </c>
      <c r="R2410" s="18">
        <f t="shared" si="434"/>
        <v>1060.4232499999998</v>
      </c>
      <c r="S2410" s="18">
        <v>0</v>
      </c>
    </row>
    <row r="2411" spans="1:19" ht="15" customHeight="1" x14ac:dyDescent="0.2">
      <c r="A2411" s="14">
        <f t="shared" ref="A2411:A2474" si="436">+A2410+1</f>
        <v>2372</v>
      </c>
      <c r="B2411" s="31" t="s">
        <v>2025</v>
      </c>
      <c r="C2411" s="15" t="s">
        <v>3</v>
      </c>
      <c r="D2411" s="31" t="s">
        <v>1708</v>
      </c>
      <c r="E2411" s="31"/>
      <c r="F2411" s="73" t="s">
        <v>4</v>
      </c>
      <c r="G2411" s="32">
        <v>34789</v>
      </c>
      <c r="H2411" s="29">
        <v>399</v>
      </c>
      <c r="I2411" s="17">
        <v>0</v>
      </c>
      <c r="J2411" s="17">
        <f t="shared" si="428"/>
        <v>379.05</v>
      </c>
      <c r="K2411" s="17">
        <f t="shared" si="430"/>
        <v>19.949999999999989</v>
      </c>
      <c r="L2411" s="23">
        <f t="shared" si="424"/>
        <v>19.950000000000003</v>
      </c>
      <c r="M2411" s="33">
        <v>10</v>
      </c>
      <c r="N2411" s="18">
        <f t="shared" si="431"/>
        <v>25.024657534246575</v>
      </c>
      <c r="O2411" s="23">
        <f t="shared" si="432"/>
        <v>189.52500000000001</v>
      </c>
      <c r="P2411" s="18">
        <f t="shared" si="433"/>
        <v>26.024657534246575</v>
      </c>
      <c r="Q2411" s="18">
        <f t="shared" si="435"/>
        <v>-1.4210854715202005E-15</v>
      </c>
      <c r="R2411" s="18">
        <f t="shared" si="434"/>
        <v>189.52500000000001</v>
      </c>
      <c r="S2411" s="18">
        <v>0</v>
      </c>
    </row>
    <row r="2412" spans="1:19" ht="15" customHeight="1" x14ac:dyDescent="0.2">
      <c r="A2412" s="14">
        <f t="shared" si="436"/>
        <v>2373</v>
      </c>
      <c r="B2412" s="31" t="s">
        <v>1831</v>
      </c>
      <c r="C2412" s="15" t="s">
        <v>3</v>
      </c>
      <c r="D2412" s="31" t="s">
        <v>1708</v>
      </c>
      <c r="E2412" s="31"/>
      <c r="F2412" s="73" t="s">
        <v>4</v>
      </c>
      <c r="G2412" s="32">
        <v>34500</v>
      </c>
      <c r="H2412" s="29">
        <v>968</v>
      </c>
      <c r="I2412" s="17">
        <v>0</v>
      </c>
      <c r="J2412" s="17">
        <f t="shared" si="428"/>
        <v>919.6</v>
      </c>
      <c r="K2412" s="17">
        <f t="shared" si="430"/>
        <v>48.399999999999977</v>
      </c>
      <c r="L2412" s="23">
        <f t="shared" si="424"/>
        <v>48.400000000000006</v>
      </c>
      <c r="M2412" s="33">
        <v>10</v>
      </c>
      <c r="N2412" s="18">
        <f t="shared" si="431"/>
        <v>25.816438356164383</v>
      </c>
      <c r="O2412" s="23">
        <f t="shared" si="432"/>
        <v>459.8</v>
      </c>
      <c r="P2412" s="18">
        <f t="shared" si="433"/>
        <v>26.816438356164383</v>
      </c>
      <c r="Q2412" s="18">
        <f t="shared" si="435"/>
        <v>-2.8421709430404009E-15</v>
      </c>
      <c r="R2412" s="18">
        <f t="shared" si="434"/>
        <v>459.8</v>
      </c>
      <c r="S2412" s="18">
        <v>0</v>
      </c>
    </row>
    <row r="2413" spans="1:19" ht="15" customHeight="1" x14ac:dyDescent="0.2">
      <c r="A2413" s="14">
        <f t="shared" si="436"/>
        <v>2374</v>
      </c>
      <c r="B2413" s="31" t="s">
        <v>2026</v>
      </c>
      <c r="C2413" s="15" t="s">
        <v>3</v>
      </c>
      <c r="D2413" s="31" t="s">
        <v>1708</v>
      </c>
      <c r="E2413" s="31"/>
      <c r="F2413" s="73" t="s">
        <v>4</v>
      </c>
      <c r="G2413" s="32">
        <v>34865</v>
      </c>
      <c r="H2413" s="29">
        <v>12507</v>
      </c>
      <c r="I2413" s="17">
        <v>0</v>
      </c>
      <c r="J2413" s="17">
        <f t="shared" si="428"/>
        <v>11881.65</v>
      </c>
      <c r="K2413" s="17">
        <f t="shared" si="430"/>
        <v>625.35000000000036</v>
      </c>
      <c r="L2413" s="23">
        <f t="shared" si="424"/>
        <v>625.35</v>
      </c>
      <c r="M2413" s="33">
        <v>5</v>
      </c>
      <c r="N2413" s="18">
        <f t="shared" si="431"/>
        <v>24.816438356164383</v>
      </c>
      <c r="O2413" s="23">
        <f t="shared" si="432"/>
        <v>5940.8249999999998</v>
      </c>
      <c r="P2413" s="18">
        <f t="shared" si="433"/>
        <v>25.816438356164383</v>
      </c>
      <c r="Q2413" s="18">
        <f t="shared" si="435"/>
        <v>6.8212102632969628E-14</v>
      </c>
      <c r="R2413" s="18">
        <f t="shared" si="434"/>
        <v>5940.8249999999998</v>
      </c>
      <c r="S2413" s="18">
        <v>0</v>
      </c>
    </row>
    <row r="2414" spans="1:19" ht="15" customHeight="1" x14ac:dyDescent="0.2">
      <c r="A2414" s="14">
        <f t="shared" si="436"/>
        <v>2375</v>
      </c>
      <c r="B2414" s="31" t="s">
        <v>1846</v>
      </c>
      <c r="C2414" s="15" t="s">
        <v>3</v>
      </c>
      <c r="D2414" s="31" t="s">
        <v>1708</v>
      </c>
      <c r="E2414" s="31"/>
      <c r="F2414" s="73" t="s">
        <v>4</v>
      </c>
      <c r="G2414" s="32">
        <v>40648</v>
      </c>
      <c r="H2414" s="29">
        <v>2200</v>
      </c>
      <c r="I2414" s="17">
        <v>0</v>
      </c>
      <c r="J2414" s="17">
        <v>1038.7013698630137</v>
      </c>
      <c r="K2414" s="17">
        <f t="shared" si="430"/>
        <v>1161.2986301369863</v>
      </c>
      <c r="L2414" s="23">
        <f t="shared" si="424"/>
        <v>110</v>
      </c>
      <c r="M2414" s="33">
        <v>10</v>
      </c>
      <c r="N2414" s="18">
        <f t="shared" si="431"/>
        <v>8.9726027397260282</v>
      </c>
      <c r="O2414" s="23">
        <f>(H2414-L2414)/M2414*N2414-J2414</f>
        <v>836.57260273972611</v>
      </c>
      <c r="P2414" s="18">
        <f t="shared" si="433"/>
        <v>9.9726027397260282</v>
      </c>
      <c r="Q2414" s="18">
        <f t="shared" si="435"/>
        <v>105.12986301369864</v>
      </c>
      <c r="R2414" s="18">
        <f t="shared" si="434"/>
        <v>941.7024657534248</v>
      </c>
      <c r="S2414" s="18">
        <v>0</v>
      </c>
    </row>
    <row r="2415" spans="1:19" ht="15" customHeight="1" x14ac:dyDescent="0.2">
      <c r="A2415" s="14">
        <f t="shared" si="436"/>
        <v>2376</v>
      </c>
      <c r="B2415" s="31" t="s">
        <v>2027</v>
      </c>
      <c r="C2415" s="15" t="s">
        <v>3</v>
      </c>
      <c r="D2415" s="31" t="s">
        <v>1708</v>
      </c>
      <c r="E2415" s="31"/>
      <c r="F2415" s="73" t="s">
        <v>4</v>
      </c>
      <c r="G2415" s="32">
        <v>34958</v>
      </c>
      <c r="H2415" s="29">
        <v>149673</v>
      </c>
      <c r="I2415" s="17">
        <v>0</v>
      </c>
      <c r="J2415" s="17">
        <f>H2415-L2415-30000</f>
        <v>112189.35</v>
      </c>
      <c r="K2415" s="17">
        <f t="shared" si="430"/>
        <v>37483.649999999994</v>
      </c>
      <c r="L2415" s="23">
        <f t="shared" si="424"/>
        <v>7483.6500000000005</v>
      </c>
      <c r="M2415" s="33">
        <v>5</v>
      </c>
      <c r="N2415" s="18">
        <f t="shared" si="431"/>
        <v>24.561643835616437</v>
      </c>
      <c r="O2415" s="23">
        <f t="shared" ref="O2415:O2421" si="437">(H2415-K2415)/2</f>
        <v>56094.675000000003</v>
      </c>
      <c r="P2415" s="18">
        <f t="shared" si="433"/>
        <v>25.561643835616437</v>
      </c>
      <c r="Q2415" s="18">
        <f t="shared" si="435"/>
        <v>5999.9999999999991</v>
      </c>
      <c r="R2415" s="18">
        <f t="shared" si="434"/>
        <v>62094.675000000003</v>
      </c>
      <c r="S2415" s="18">
        <v>0</v>
      </c>
    </row>
    <row r="2416" spans="1:19" ht="15" customHeight="1" x14ac:dyDescent="0.2">
      <c r="A2416" s="14">
        <f t="shared" si="436"/>
        <v>2377</v>
      </c>
      <c r="B2416" s="31" t="s">
        <v>2028</v>
      </c>
      <c r="C2416" s="15" t="s">
        <v>3</v>
      </c>
      <c r="D2416" s="31" t="s">
        <v>1708</v>
      </c>
      <c r="E2416" s="31"/>
      <c r="F2416" s="73" t="s">
        <v>4</v>
      </c>
      <c r="G2416" s="32">
        <v>41440</v>
      </c>
      <c r="H2416" s="29">
        <v>2200</v>
      </c>
      <c r="I2416" s="17">
        <v>0</v>
      </c>
      <c r="J2416" s="17">
        <f t="shared" si="428"/>
        <v>2090</v>
      </c>
      <c r="K2416" s="17">
        <f t="shared" si="430"/>
        <v>110</v>
      </c>
      <c r="L2416" s="23">
        <f t="shared" si="424"/>
        <v>110</v>
      </c>
      <c r="M2416" s="33">
        <v>5</v>
      </c>
      <c r="N2416" s="18">
        <f t="shared" si="431"/>
        <v>6.8027397260273972</v>
      </c>
      <c r="O2416" s="23">
        <f t="shared" si="437"/>
        <v>1045</v>
      </c>
      <c r="P2416" s="18">
        <f t="shared" si="433"/>
        <v>7.8027397260273972</v>
      </c>
      <c r="Q2416" s="18">
        <f t="shared" si="435"/>
        <v>0</v>
      </c>
      <c r="R2416" s="18">
        <f t="shared" si="434"/>
        <v>1045</v>
      </c>
      <c r="S2416" s="18">
        <v>0</v>
      </c>
    </row>
    <row r="2417" spans="1:19" ht="15" customHeight="1" x14ac:dyDescent="0.2">
      <c r="A2417" s="14">
        <f t="shared" si="436"/>
        <v>2378</v>
      </c>
      <c r="B2417" s="31" t="s">
        <v>2029</v>
      </c>
      <c r="C2417" s="15" t="s">
        <v>3</v>
      </c>
      <c r="D2417" s="31" t="s">
        <v>1708</v>
      </c>
      <c r="E2417" s="31"/>
      <c r="F2417" s="73" t="s">
        <v>4</v>
      </c>
      <c r="G2417" s="32">
        <v>34500</v>
      </c>
      <c r="H2417" s="29">
        <v>415</v>
      </c>
      <c r="I2417" s="17">
        <v>0</v>
      </c>
      <c r="J2417" s="17">
        <f t="shared" si="428"/>
        <v>394.25</v>
      </c>
      <c r="K2417" s="17">
        <f t="shared" si="430"/>
        <v>20.75</v>
      </c>
      <c r="L2417" s="23">
        <f t="shared" si="424"/>
        <v>20.75</v>
      </c>
      <c r="M2417" s="33">
        <v>10</v>
      </c>
      <c r="N2417" s="18">
        <f t="shared" si="431"/>
        <v>25.816438356164383</v>
      </c>
      <c r="O2417" s="23">
        <f t="shared" si="437"/>
        <v>197.125</v>
      </c>
      <c r="P2417" s="18">
        <f t="shared" si="433"/>
        <v>26.816438356164383</v>
      </c>
      <c r="Q2417" s="18">
        <f t="shared" si="435"/>
        <v>0</v>
      </c>
      <c r="R2417" s="18">
        <f t="shared" si="434"/>
        <v>197.125</v>
      </c>
      <c r="S2417" s="18">
        <v>0</v>
      </c>
    </row>
    <row r="2418" spans="1:19" ht="15" customHeight="1" x14ac:dyDescent="0.2">
      <c r="A2418" s="14">
        <f t="shared" si="436"/>
        <v>2379</v>
      </c>
      <c r="B2418" s="31" t="s">
        <v>2030</v>
      </c>
      <c r="C2418" s="15" t="s">
        <v>3</v>
      </c>
      <c r="D2418" s="31" t="s">
        <v>1708</v>
      </c>
      <c r="E2418" s="31"/>
      <c r="F2418" s="73" t="s">
        <v>4</v>
      </c>
      <c r="G2418" s="32">
        <v>34699</v>
      </c>
      <c r="H2418" s="29">
        <v>2824</v>
      </c>
      <c r="I2418" s="17">
        <v>0</v>
      </c>
      <c r="J2418" s="17">
        <f t="shared" si="428"/>
        <v>2682.8</v>
      </c>
      <c r="K2418" s="17">
        <f t="shared" si="430"/>
        <v>141.19999999999982</v>
      </c>
      <c r="L2418" s="23">
        <f t="shared" si="424"/>
        <v>141.20000000000002</v>
      </c>
      <c r="M2418" s="33">
        <v>10</v>
      </c>
      <c r="N2418" s="18">
        <f t="shared" si="431"/>
        <v>25.271232876712329</v>
      </c>
      <c r="O2418" s="23">
        <f t="shared" si="437"/>
        <v>1341.4</v>
      </c>
      <c r="P2418" s="18">
        <f t="shared" si="433"/>
        <v>26.271232876712329</v>
      </c>
      <c r="Q2418" s="18">
        <f t="shared" si="435"/>
        <v>-1.9895196601282807E-14</v>
      </c>
      <c r="R2418" s="18">
        <f t="shared" si="434"/>
        <v>1341.4</v>
      </c>
      <c r="S2418" s="18">
        <v>0</v>
      </c>
    </row>
    <row r="2419" spans="1:19" ht="15" customHeight="1" x14ac:dyDescent="0.2">
      <c r="A2419" s="14">
        <f t="shared" si="436"/>
        <v>2380</v>
      </c>
      <c r="B2419" s="31" t="s">
        <v>2031</v>
      </c>
      <c r="C2419" s="15" t="s">
        <v>3</v>
      </c>
      <c r="D2419" s="31" t="s">
        <v>1708</v>
      </c>
      <c r="E2419" s="31"/>
      <c r="F2419" s="73" t="s">
        <v>4</v>
      </c>
      <c r="G2419" s="32">
        <v>35018</v>
      </c>
      <c r="H2419" s="29">
        <v>12497</v>
      </c>
      <c r="I2419" s="17">
        <v>0</v>
      </c>
      <c r="J2419" s="17">
        <f t="shared" si="428"/>
        <v>11872.15</v>
      </c>
      <c r="K2419" s="17">
        <f t="shared" si="430"/>
        <v>624.85000000000036</v>
      </c>
      <c r="L2419" s="23">
        <f t="shared" si="424"/>
        <v>624.85</v>
      </c>
      <c r="M2419" s="33">
        <v>5</v>
      </c>
      <c r="N2419" s="18">
        <f t="shared" si="431"/>
        <v>24.397260273972602</v>
      </c>
      <c r="O2419" s="23">
        <f t="shared" si="437"/>
        <v>5936.0749999999998</v>
      </c>
      <c r="P2419" s="18">
        <f t="shared" si="433"/>
        <v>25.397260273972602</v>
      </c>
      <c r="Q2419" s="18">
        <f t="shared" si="435"/>
        <v>6.8212102632969628E-14</v>
      </c>
      <c r="R2419" s="18">
        <f t="shared" si="434"/>
        <v>5936.0749999999998</v>
      </c>
      <c r="S2419" s="18">
        <v>0</v>
      </c>
    </row>
    <row r="2420" spans="1:19" ht="15" customHeight="1" x14ac:dyDescent="0.2">
      <c r="A2420" s="14">
        <f t="shared" si="436"/>
        <v>2381</v>
      </c>
      <c r="B2420" s="31" t="s">
        <v>2032</v>
      </c>
      <c r="C2420" s="15" t="s">
        <v>3</v>
      </c>
      <c r="D2420" s="31" t="s">
        <v>1708</v>
      </c>
      <c r="E2420" s="31"/>
      <c r="F2420" s="73" t="s">
        <v>4</v>
      </c>
      <c r="G2420" s="32">
        <v>34700</v>
      </c>
      <c r="H2420" s="29">
        <v>6600</v>
      </c>
      <c r="I2420" s="17">
        <v>0</v>
      </c>
      <c r="J2420" s="17">
        <f t="shared" si="428"/>
        <v>6270</v>
      </c>
      <c r="K2420" s="17">
        <f t="shared" si="430"/>
        <v>330</v>
      </c>
      <c r="L2420" s="23">
        <f t="shared" si="424"/>
        <v>330</v>
      </c>
      <c r="M2420" s="33">
        <v>10</v>
      </c>
      <c r="N2420" s="18">
        <f t="shared" si="431"/>
        <v>25.268493150684932</v>
      </c>
      <c r="O2420" s="23">
        <f t="shared" si="437"/>
        <v>3135</v>
      </c>
      <c r="P2420" s="18">
        <f t="shared" si="433"/>
        <v>26.268493150684932</v>
      </c>
      <c r="Q2420" s="18">
        <f t="shared" si="435"/>
        <v>0</v>
      </c>
      <c r="R2420" s="18">
        <f t="shared" si="434"/>
        <v>3135</v>
      </c>
      <c r="S2420" s="18">
        <v>0</v>
      </c>
    </row>
    <row r="2421" spans="1:19" ht="15" customHeight="1" x14ac:dyDescent="0.2">
      <c r="A2421" s="14">
        <f t="shared" si="436"/>
        <v>2382</v>
      </c>
      <c r="B2421" s="31" t="s">
        <v>2033</v>
      </c>
      <c r="C2421" s="15" t="s">
        <v>3</v>
      </c>
      <c r="D2421" s="31" t="s">
        <v>1708</v>
      </c>
      <c r="E2421" s="31"/>
      <c r="F2421" s="73" t="s">
        <v>4</v>
      </c>
      <c r="G2421" s="32">
        <v>34700</v>
      </c>
      <c r="H2421" s="29">
        <v>3220</v>
      </c>
      <c r="I2421" s="17">
        <v>0</v>
      </c>
      <c r="J2421" s="17">
        <f t="shared" si="428"/>
        <v>3059</v>
      </c>
      <c r="K2421" s="17">
        <f t="shared" si="430"/>
        <v>161</v>
      </c>
      <c r="L2421" s="23">
        <f t="shared" si="424"/>
        <v>161</v>
      </c>
      <c r="M2421" s="33">
        <v>10</v>
      </c>
      <c r="N2421" s="18">
        <f t="shared" si="431"/>
        <v>25.268493150684932</v>
      </c>
      <c r="O2421" s="23">
        <f t="shared" si="437"/>
        <v>1529.5</v>
      </c>
      <c r="P2421" s="18">
        <f t="shared" si="433"/>
        <v>26.268493150684932</v>
      </c>
      <c r="Q2421" s="18">
        <f t="shared" si="435"/>
        <v>0</v>
      </c>
      <c r="R2421" s="18">
        <f t="shared" si="434"/>
        <v>1529.5</v>
      </c>
      <c r="S2421" s="18">
        <v>0</v>
      </c>
    </row>
    <row r="2422" spans="1:19" ht="15" customHeight="1" x14ac:dyDescent="0.2">
      <c r="A2422" s="14">
        <f t="shared" si="436"/>
        <v>2383</v>
      </c>
      <c r="B2422" s="31" t="s">
        <v>2034</v>
      </c>
      <c r="C2422" s="15" t="s">
        <v>3</v>
      </c>
      <c r="D2422" s="31" t="s">
        <v>1708</v>
      </c>
      <c r="E2422" s="31"/>
      <c r="F2422" s="73" t="s">
        <v>4</v>
      </c>
      <c r="G2422" s="32">
        <v>40983</v>
      </c>
      <c r="H2422" s="29">
        <v>2150.9</v>
      </c>
      <c r="I2422" s="17">
        <v>0</v>
      </c>
      <c r="J2422" s="17">
        <v>827.97864246575341</v>
      </c>
      <c r="K2422" s="17">
        <f t="shared" si="430"/>
        <v>1322.9213575342467</v>
      </c>
      <c r="L2422" s="23">
        <f t="shared" si="424"/>
        <v>107.54500000000002</v>
      </c>
      <c r="M2422" s="33">
        <v>10</v>
      </c>
      <c r="N2422" s="18">
        <f t="shared" si="431"/>
        <v>8.0547945205479454</v>
      </c>
      <c r="O2422" s="23">
        <f>(H2422-L2422)/M2422*N2422-J2422</f>
        <v>817.90182328767128</v>
      </c>
      <c r="P2422" s="18">
        <f t="shared" si="433"/>
        <v>9.0547945205479454</v>
      </c>
      <c r="Q2422" s="18">
        <f t="shared" si="435"/>
        <v>121.53763575342467</v>
      </c>
      <c r="R2422" s="18">
        <f t="shared" si="434"/>
        <v>939.43945904109592</v>
      </c>
      <c r="S2422" s="18">
        <v>0</v>
      </c>
    </row>
    <row r="2423" spans="1:19" ht="15" customHeight="1" x14ac:dyDescent="0.2">
      <c r="A2423" s="14">
        <f t="shared" si="436"/>
        <v>2384</v>
      </c>
      <c r="B2423" s="31" t="s">
        <v>2035</v>
      </c>
      <c r="C2423" s="15" t="s">
        <v>3</v>
      </c>
      <c r="D2423" s="31" t="s">
        <v>1708</v>
      </c>
      <c r="E2423" s="31"/>
      <c r="F2423" s="73" t="s">
        <v>4</v>
      </c>
      <c r="G2423" s="32">
        <v>34700</v>
      </c>
      <c r="H2423" s="29">
        <v>1938</v>
      </c>
      <c r="I2423" s="17">
        <v>0</v>
      </c>
      <c r="J2423" s="17">
        <f t="shared" si="428"/>
        <v>1841.1</v>
      </c>
      <c r="K2423" s="17">
        <f t="shared" si="430"/>
        <v>96.900000000000091</v>
      </c>
      <c r="L2423" s="23">
        <f t="shared" si="424"/>
        <v>96.9</v>
      </c>
      <c r="M2423" s="33">
        <v>10</v>
      </c>
      <c r="N2423" s="18">
        <f t="shared" si="431"/>
        <v>25.268493150684932</v>
      </c>
      <c r="O2423" s="23">
        <f t="shared" ref="O2423:O2429" si="438">(H2423-K2423)/2</f>
        <v>920.55</v>
      </c>
      <c r="P2423" s="18">
        <f t="shared" si="433"/>
        <v>26.268493150684932</v>
      </c>
      <c r="Q2423" s="18">
        <f t="shared" si="435"/>
        <v>8.5265128291212035E-15</v>
      </c>
      <c r="R2423" s="18">
        <f t="shared" si="434"/>
        <v>920.55</v>
      </c>
      <c r="S2423" s="18">
        <v>0</v>
      </c>
    </row>
    <row r="2424" spans="1:19" ht="15" customHeight="1" x14ac:dyDescent="0.2">
      <c r="A2424" s="14">
        <f t="shared" si="436"/>
        <v>2385</v>
      </c>
      <c r="B2424" s="31" t="s">
        <v>2036</v>
      </c>
      <c r="C2424" s="15" t="s">
        <v>3</v>
      </c>
      <c r="D2424" s="31" t="s">
        <v>1708</v>
      </c>
      <c r="E2424" s="31"/>
      <c r="F2424" s="73" t="s">
        <v>4</v>
      </c>
      <c r="G2424" s="32">
        <v>39767</v>
      </c>
      <c r="H2424" s="29">
        <v>2102.25</v>
      </c>
      <c r="I2424" s="17">
        <v>0</v>
      </c>
      <c r="J2424" s="17">
        <f t="shared" si="428"/>
        <v>1997.1375</v>
      </c>
      <c r="K2424" s="17">
        <f t="shared" si="430"/>
        <v>105.11249999999995</v>
      </c>
      <c r="L2424" s="23">
        <f t="shared" si="424"/>
        <v>105.11250000000001</v>
      </c>
      <c r="M2424" s="33">
        <v>10</v>
      </c>
      <c r="N2424" s="18">
        <f t="shared" si="431"/>
        <v>11.386301369863014</v>
      </c>
      <c r="O2424" s="23">
        <f t="shared" si="438"/>
        <v>998.56875000000002</v>
      </c>
      <c r="P2424" s="18">
        <f t="shared" si="433"/>
        <v>12.386301369863014</v>
      </c>
      <c r="Q2424" s="18">
        <f t="shared" si="435"/>
        <v>-5.6843418860808018E-15</v>
      </c>
      <c r="R2424" s="18">
        <f t="shared" si="434"/>
        <v>998.56875000000002</v>
      </c>
      <c r="S2424" s="18">
        <v>0</v>
      </c>
    </row>
    <row r="2425" spans="1:19" ht="15" customHeight="1" x14ac:dyDescent="0.2">
      <c r="A2425" s="14">
        <f t="shared" si="436"/>
        <v>2386</v>
      </c>
      <c r="B2425" s="31" t="s">
        <v>2037</v>
      </c>
      <c r="C2425" s="15" t="s">
        <v>3</v>
      </c>
      <c r="D2425" s="31" t="s">
        <v>1708</v>
      </c>
      <c r="E2425" s="31"/>
      <c r="F2425" s="73" t="s">
        <v>4</v>
      </c>
      <c r="G2425" s="32">
        <v>41654</v>
      </c>
      <c r="H2425" s="29">
        <v>2101.1999999999998</v>
      </c>
      <c r="I2425" s="17">
        <v>0</v>
      </c>
      <c r="J2425" s="17">
        <f t="shared" si="428"/>
        <v>1996.1399999999999</v>
      </c>
      <c r="K2425" s="17">
        <f t="shared" si="430"/>
        <v>105.05999999999995</v>
      </c>
      <c r="L2425" s="23">
        <f t="shared" si="424"/>
        <v>105.06</v>
      </c>
      <c r="M2425" s="33">
        <v>5</v>
      </c>
      <c r="N2425" s="18">
        <f t="shared" si="431"/>
        <v>6.2164383561643834</v>
      </c>
      <c r="O2425" s="23">
        <f t="shared" si="438"/>
        <v>998.06999999999994</v>
      </c>
      <c r="P2425" s="18">
        <f t="shared" si="433"/>
        <v>7.2164383561643834</v>
      </c>
      <c r="Q2425" s="18">
        <f t="shared" si="435"/>
        <v>-1.1368683772161604E-14</v>
      </c>
      <c r="R2425" s="18">
        <f t="shared" si="434"/>
        <v>998.06999999999994</v>
      </c>
      <c r="S2425" s="18">
        <v>0</v>
      </c>
    </row>
    <row r="2426" spans="1:19" ht="15" customHeight="1" x14ac:dyDescent="0.2">
      <c r="A2426" s="14">
        <f t="shared" si="436"/>
        <v>2387</v>
      </c>
      <c r="B2426" s="31" t="s">
        <v>2038</v>
      </c>
      <c r="C2426" s="15" t="s">
        <v>3</v>
      </c>
      <c r="D2426" s="31" t="s">
        <v>1708</v>
      </c>
      <c r="E2426" s="31"/>
      <c r="F2426" s="73" t="s">
        <v>4</v>
      </c>
      <c r="G2426" s="32">
        <v>34700</v>
      </c>
      <c r="H2426" s="29">
        <v>1200</v>
      </c>
      <c r="I2426" s="17">
        <v>0</v>
      </c>
      <c r="J2426" s="17">
        <f t="shared" si="428"/>
        <v>1140</v>
      </c>
      <c r="K2426" s="17">
        <f t="shared" si="430"/>
        <v>60</v>
      </c>
      <c r="L2426" s="23">
        <f t="shared" si="424"/>
        <v>60</v>
      </c>
      <c r="M2426" s="33">
        <v>10</v>
      </c>
      <c r="N2426" s="18">
        <f t="shared" si="431"/>
        <v>25.268493150684932</v>
      </c>
      <c r="O2426" s="23">
        <f t="shared" si="438"/>
        <v>570</v>
      </c>
      <c r="P2426" s="18">
        <f t="shared" si="433"/>
        <v>26.268493150684932</v>
      </c>
      <c r="Q2426" s="18">
        <f t="shared" si="435"/>
        <v>0</v>
      </c>
      <c r="R2426" s="18">
        <f t="shared" si="434"/>
        <v>570</v>
      </c>
      <c r="S2426" s="18">
        <v>0</v>
      </c>
    </row>
    <row r="2427" spans="1:19" ht="15" customHeight="1" x14ac:dyDescent="0.2">
      <c r="A2427" s="14">
        <f t="shared" si="436"/>
        <v>2388</v>
      </c>
      <c r="B2427" s="31" t="s">
        <v>2039</v>
      </c>
      <c r="C2427" s="15" t="s">
        <v>3</v>
      </c>
      <c r="D2427" s="31" t="s">
        <v>1708</v>
      </c>
      <c r="E2427" s="31"/>
      <c r="F2427" s="73" t="s">
        <v>4</v>
      </c>
      <c r="G2427" s="32">
        <v>34700</v>
      </c>
      <c r="H2427" s="29">
        <v>847</v>
      </c>
      <c r="I2427" s="17">
        <v>0</v>
      </c>
      <c r="J2427" s="17">
        <f t="shared" si="428"/>
        <v>804.65</v>
      </c>
      <c r="K2427" s="17">
        <f t="shared" si="430"/>
        <v>42.350000000000023</v>
      </c>
      <c r="L2427" s="23">
        <f t="shared" si="424"/>
        <v>42.35</v>
      </c>
      <c r="M2427" s="33">
        <v>10</v>
      </c>
      <c r="N2427" s="18">
        <f t="shared" si="431"/>
        <v>25.268493150684932</v>
      </c>
      <c r="O2427" s="23">
        <f t="shared" si="438"/>
        <v>402.32499999999999</v>
      </c>
      <c r="P2427" s="18">
        <f t="shared" si="433"/>
        <v>26.268493150684932</v>
      </c>
      <c r="Q2427" s="18">
        <f t="shared" si="435"/>
        <v>2.1316282072803009E-15</v>
      </c>
      <c r="R2427" s="18">
        <f t="shared" si="434"/>
        <v>402.32499999999999</v>
      </c>
      <c r="S2427" s="18">
        <v>0</v>
      </c>
    </row>
    <row r="2428" spans="1:19" ht="15" customHeight="1" x14ac:dyDescent="0.2">
      <c r="A2428" s="14">
        <f t="shared" si="436"/>
        <v>2389</v>
      </c>
      <c r="B2428" s="31" t="s">
        <v>2040</v>
      </c>
      <c r="C2428" s="15" t="s">
        <v>3</v>
      </c>
      <c r="D2428" s="31" t="s">
        <v>1708</v>
      </c>
      <c r="E2428" s="31"/>
      <c r="F2428" s="73" t="s">
        <v>4</v>
      </c>
      <c r="G2428" s="32">
        <v>34700</v>
      </c>
      <c r="H2428" s="29">
        <v>126</v>
      </c>
      <c r="I2428" s="17">
        <v>0</v>
      </c>
      <c r="J2428" s="17">
        <f t="shared" si="428"/>
        <v>119.7</v>
      </c>
      <c r="K2428" s="17">
        <f t="shared" si="430"/>
        <v>6.2999999999999972</v>
      </c>
      <c r="L2428" s="23">
        <f t="shared" si="424"/>
        <v>6.3000000000000007</v>
      </c>
      <c r="M2428" s="33">
        <v>10</v>
      </c>
      <c r="N2428" s="18">
        <f t="shared" si="431"/>
        <v>25.268493150684932</v>
      </c>
      <c r="O2428" s="23">
        <f t="shared" si="438"/>
        <v>59.85</v>
      </c>
      <c r="P2428" s="18">
        <f t="shared" si="433"/>
        <v>26.268493150684932</v>
      </c>
      <c r="Q2428" s="18">
        <f t="shared" si="435"/>
        <v>-3.5527136788005011E-16</v>
      </c>
      <c r="R2428" s="18">
        <f t="shared" si="434"/>
        <v>59.85</v>
      </c>
      <c r="S2428" s="18">
        <v>0</v>
      </c>
    </row>
    <row r="2429" spans="1:19" ht="15" customHeight="1" x14ac:dyDescent="0.2">
      <c r="A2429" s="14">
        <f t="shared" si="436"/>
        <v>2390</v>
      </c>
      <c r="B2429" s="31" t="s">
        <v>2041</v>
      </c>
      <c r="C2429" s="15" t="s">
        <v>3</v>
      </c>
      <c r="D2429" s="31" t="s">
        <v>1708</v>
      </c>
      <c r="E2429" s="31"/>
      <c r="F2429" s="73" t="s">
        <v>4</v>
      </c>
      <c r="G2429" s="32">
        <v>34700</v>
      </c>
      <c r="H2429" s="29">
        <v>49</v>
      </c>
      <c r="I2429" s="17">
        <v>0</v>
      </c>
      <c r="J2429" s="17">
        <f t="shared" si="428"/>
        <v>46.55</v>
      </c>
      <c r="K2429" s="17">
        <f t="shared" si="430"/>
        <v>2.4500000000000028</v>
      </c>
      <c r="L2429" s="23">
        <f t="shared" si="424"/>
        <v>2.4500000000000002</v>
      </c>
      <c r="M2429" s="33">
        <v>10</v>
      </c>
      <c r="N2429" s="18">
        <f t="shared" si="431"/>
        <v>25.268493150684932</v>
      </c>
      <c r="O2429" s="23">
        <f t="shared" si="438"/>
        <v>23.274999999999999</v>
      </c>
      <c r="P2429" s="18">
        <f t="shared" si="433"/>
        <v>26.268493150684932</v>
      </c>
      <c r="Q2429" s="18">
        <f t="shared" si="435"/>
        <v>2.6645352591003761E-16</v>
      </c>
      <c r="R2429" s="18">
        <f t="shared" si="434"/>
        <v>23.274999999999999</v>
      </c>
      <c r="S2429" s="18">
        <v>0</v>
      </c>
    </row>
    <row r="2430" spans="1:19" ht="15" customHeight="1" x14ac:dyDescent="0.2">
      <c r="A2430" s="14">
        <f t="shared" si="436"/>
        <v>2391</v>
      </c>
      <c r="B2430" s="31" t="s">
        <v>1900</v>
      </c>
      <c r="C2430" s="15" t="s">
        <v>3</v>
      </c>
      <c r="D2430" s="31" t="s">
        <v>1708</v>
      </c>
      <c r="E2430" s="31"/>
      <c r="F2430" s="73" t="s">
        <v>4</v>
      </c>
      <c r="G2430" s="32">
        <v>40589</v>
      </c>
      <c r="H2430" s="29">
        <v>1920</v>
      </c>
      <c r="I2430" s="17">
        <v>0</v>
      </c>
      <c r="J2430" s="17">
        <v>935.98684931506864</v>
      </c>
      <c r="K2430" s="17">
        <f t="shared" si="430"/>
        <v>984.01315068493136</v>
      </c>
      <c r="L2430" s="23">
        <f t="shared" si="424"/>
        <v>96</v>
      </c>
      <c r="M2430" s="33">
        <v>10</v>
      </c>
      <c r="N2430" s="18">
        <f t="shared" si="431"/>
        <v>9.1342465753424662</v>
      </c>
      <c r="O2430" s="23">
        <f>(H2430-L2430)/M2430*N2430-J2430</f>
        <v>730.09972602739731</v>
      </c>
      <c r="P2430" s="18">
        <f t="shared" si="433"/>
        <v>10.134246575342466</v>
      </c>
      <c r="Q2430" s="18">
        <f t="shared" si="435"/>
        <v>88.801315068493139</v>
      </c>
      <c r="R2430" s="18">
        <f t="shared" si="434"/>
        <v>818.90104109589049</v>
      </c>
      <c r="S2430" s="18">
        <v>0</v>
      </c>
    </row>
    <row r="2431" spans="1:19" ht="15" customHeight="1" x14ac:dyDescent="0.2">
      <c r="A2431" s="14">
        <f t="shared" si="436"/>
        <v>2392</v>
      </c>
      <c r="B2431" s="31" t="s">
        <v>1900</v>
      </c>
      <c r="C2431" s="15" t="s">
        <v>3</v>
      </c>
      <c r="D2431" s="31" t="s">
        <v>1708</v>
      </c>
      <c r="E2431" s="31"/>
      <c r="F2431" s="73" t="s">
        <v>4</v>
      </c>
      <c r="G2431" s="32">
        <v>40617</v>
      </c>
      <c r="H2431" s="29">
        <v>1920</v>
      </c>
      <c r="I2431" s="17">
        <v>0</v>
      </c>
      <c r="J2431" s="17">
        <v>921.99452054794529</v>
      </c>
      <c r="K2431" s="17">
        <f t="shared" si="430"/>
        <v>998.00547945205471</v>
      </c>
      <c r="L2431" s="23">
        <f t="shared" si="424"/>
        <v>96</v>
      </c>
      <c r="M2431" s="33">
        <v>10</v>
      </c>
      <c r="N2431" s="18">
        <f t="shared" si="431"/>
        <v>9.0575342465753419</v>
      </c>
      <c r="O2431" s="23">
        <f>(H2431-L2431)/M2431*N2431-J2431</f>
        <v>730.09972602739708</v>
      </c>
      <c r="P2431" s="18">
        <f t="shared" si="433"/>
        <v>10.057534246575342</v>
      </c>
      <c r="Q2431" s="18">
        <f t="shared" si="435"/>
        <v>90.200547945205471</v>
      </c>
      <c r="R2431" s="18">
        <f t="shared" si="434"/>
        <v>820.30027397260255</v>
      </c>
      <c r="S2431" s="18">
        <v>0</v>
      </c>
    </row>
    <row r="2432" spans="1:19" ht="15" customHeight="1" x14ac:dyDescent="0.2">
      <c r="A2432" s="14">
        <f t="shared" si="436"/>
        <v>2393</v>
      </c>
      <c r="B2432" s="31" t="s">
        <v>2042</v>
      </c>
      <c r="C2432" s="15" t="s">
        <v>3</v>
      </c>
      <c r="D2432" s="31" t="s">
        <v>1708</v>
      </c>
      <c r="E2432" s="31"/>
      <c r="F2432" s="73" t="s">
        <v>4</v>
      </c>
      <c r="G2432" s="32">
        <v>34700</v>
      </c>
      <c r="H2432" s="29">
        <v>18</v>
      </c>
      <c r="I2432" s="17">
        <v>0</v>
      </c>
      <c r="J2432" s="17">
        <f t="shared" ref="J2432:J2433" si="439">H2432-L2432</f>
        <v>17.100000000000001</v>
      </c>
      <c r="K2432" s="17">
        <f t="shared" si="430"/>
        <v>0.89999999999999858</v>
      </c>
      <c r="L2432" s="23">
        <f t="shared" si="424"/>
        <v>0.9</v>
      </c>
      <c r="M2432" s="33">
        <v>10</v>
      </c>
      <c r="N2432" s="18">
        <f t="shared" si="431"/>
        <v>25.268493150684932</v>
      </c>
      <c r="O2432" s="23">
        <f t="shared" ref="O2432:O2433" si="440">(H2432-K2432)/2</f>
        <v>8.5500000000000007</v>
      </c>
      <c r="P2432" s="18">
        <f t="shared" si="433"/>
        <v>26.268493150684932</v>
      </c>
      <c r="Q2432" s="18">
        <f t="shared" si="435"/>
        <v>-1.4432899320127036E-16</v>
      </c>
      <c r="R2432" s="18">
        <f t="shared" si="434"/>
        <v>8.5500000000000007</v>
      </c>
      <c r="S2432" s="18">
        <v>0</v>
      </c>
    </row>
    <row r="2433" spans="1:19" ht="15" customHeight="1" x14ac:dyDescent="0.2">
      <c r="A2433" s="14">
        <f t="shared" si="436"/>
        <v>2394</v>
      </c>
      <c r="B2433" s="31" t="s">
        <v>2043</v>
      </c>
      <c r="C2433" s="15" t="s">
        <v>3</v>
      </c>
      <c r="D2433" s="31" t="s">
        <v>1708</v>
      </c>
      <c r="E2433" s="31"/>
      <c r="F2433" s="73" t="s">
        <v>4</v>
      </c>
      <c r="G2433" s="32">
        <v>39887</v>
      </c>
      <c r="H2433" s="29">
        <v>1847.07</v>
      </c>
      <c r="I2433" s="17">
        <v>0</v>
      </c>
      <c r="J2433" s="17">
        <f t="shared" si="439"/>
        <v>1754.7165</v>
      </c>
      <c r="K2433" s="17">
        <f t="shared" si="430"/>
        <v>92.35349999999994</v>
      </c>
      <c r="L2433" s="23">
        <f t="shared" si="424"/>
        <v>92.353499999999997</v>
      </c>
      <c r="M2433" s="33">
        <v>10</v>
      </c>
      <c r="N2433" s="18">
        <f t="shared" si="431"/>
        <v>11.057534246575342</v>
      </c>
      <c r="O2433" s="23">
        <f t="shared" si="440"/>
        <v>877.35825</v>
      </c>
      <c r="P2433" s="18">
        <f t="shared" si="433"/>
        <v>12.057534246575342</v>
      </c>
      <c r="Q2433" s="18">
        <f t="shared" si="435"/>
        <v>-5.6843418860808018E-15</v>
      </c>
      <c r="R2433" s="18">
        <f t="shared" si="434"/>
        <v>877.35825</v>
      </c>
      <c r="S2433" s="18">
        <v>0</v>
      </c>
    </row>
    <row r="2434" spans="1:19" ht="15" customHeight="1" x14ac:dyDescent="0.2">
      <c r="A2434" s="14">
        <f t="shared" si="436"/>
        <v>2395</v>
      </c>
      <c r="B2434" s="31" t="s">
        <v>2044</v>
      </c>
      <c r="C2434" s="15" t="s">
        <v>3</v>
      </c>
      <c r="D2434" s="31" t="s">
        <v>1708</v>
      </c>
      <c r="E2434" s="31"/>
      <c r="F2434" s="73" t="s">
        <v>4</v>
      </c>
      <c r="G2434" s="32">
        <v>41654</v>
      </c>
      <c r="H2434" s="29">
        <v>1830.83</v>
      </c>
      <c r="I2434" s="17">
        <v>0</v>
      </c>
      <c r="J2434" s="17">
        <v>385.02605698630128</v>
      </c>
      <c r="K2434" s="17">
        <f t="shared" si="430"/>
        <v>1445.8039430136987</v>
      </c>
      <c r="L2434" s="23">
        <f t="shared" si="424"/>
        <v>91.541499999999999</v>
      </c>
      <c r="M2434" s="33">
        <v>10</v>
      </c>
      <c r="N2434" s="18">
        <f t="shared" si="431"/>
        <v>6.2164383561643834</v>
      </c>
      <c r="O2434" s="23">
        <f>(H2434-L2434)/M2434*N2434-J2434</f>
        <v>696.19191739726034</v>
      </c>
      <c r="P2434" s="18">
        <f t="shared" si="433"/>
        <v>7.2164383561643834</v>
      </c>
      <c r="Q2434" s="18">
        <f t="shared" si="435"/>
        <v>135.42624430136988</v>
      </c>
      <c r="R2434" s="18">
        <f t="shared" si="434"/>
        <v>831.61816169863027</v>
      </c>
      <c r="S2434" s="18">
        <v>0</v>
      </c>
    </row>
    <row r="2435" spans="1:19" ht="15" customHeight="1" x14ac:dyDescent="0.2">
      <c r="A2435" s="14">
        <f t="shared" si="436"/>
        <v>2396</v>
      </c>
      <c r="B2435" s="31" t="s">
        <v>1793</v>
      </c>
      <c r="C2435" s="15" t="s">
        <v>3</v>
      </c>
      <c r="D2435" s="31" t="s">
        <v>1708</v>
      </c>
      <c r="E2435" s="31"/>
      <c r="F2435" s="73" t="s">
        <v>4</v>
      </c>
      <c r="G2435" s="32">
        <v>41348</v>
      </c>
      <c r="H2435" s="29">
        <v>1825</v>
      </c>
      <c r="I2435" s="17">
        <v>0</v>
      </c>
      <c r="J2435" s="17">
        <v>529.15</v>
      </c>
      <c r="K2435" s="17">
        <f t="shared" si="430"/>
        <v>1295.8499999999999</v>
      </c>
      <c r="L2435" s="23">
        <f t="shared" si="424"/>
        <v>91.25</v>
      </c>
      <c r="M2435" s="33">
        <v>10</v>
      </c>
      <c r="N2435" s="18">
        <f t="shared" si="431"/>
        <v>7.0547945205479454</v>
      </c>
      <c r="O2435" s="23">
        <f>(H2435-L2435)/M2435*N2435-J2435</f>
        <v>693.97500000000002</v>
      </c>
      <c r="P2435" s="18">
        <f t="shared" si="433"/>
        <v>8.0547945205479454</v>
      </c>
      <c r="Q2435" s="18">
        <f t="shared" si="435"/>
        <v>120.46</v>
      </c>
      <c r="R2435" s="18">
        <f t="shared" si="434"/>
        <v>814.43500000000006</v>
      </c>
      <c r="S2435" s="18">
        <v>0</v>
      </c>
    </row>
    <row r="2436" spans="1:19" ht="15" customHeight="1" x14ac:dyDescent="0.2">
      <c r="A2436" s="14">
        <f t="shared" si="436"/>
        <v>2397</v>
      </c>
      <c r="B2436" s="31" t="s">
        <v>2045</v>
      </c>
      <c r="C2436" s="15" t="s">
        <v>3</v>
      </c>
      <c r="D2436" s="31" t="s">
        <v>1708</v>
      </c>
      <c r="E2436" s="31"/>
      <c r="F2436" s="73" t="s">
        <v>4</v>
      </c>
      <c r="G2436" s="32">
        <v>40162</v>
      </c>
      <c r="H2436" s="29">
        <v>1820</v>
      </c>
      <c r="I2436" s="17">
        <v>0</v>
      </c>
      <c r="J2436" s="17">
        <f t="shared" ref="J2436:J2438" si="441">H2436-L2436</f>
        <v>1729</v>
      </c>
      <c r="K2436" s="17">
        <f t="shared" si="430"/>
        <v>91</v>
      </c>
      <c r="L2436" s="23">
        <f t="shared" si="424"/>
        <v>91</v>
      </c>
      <c r="M2436" s="33">
        <v>10</v>
      </c>
      <c r="N2436" s="18">
        <f t="shared" si="431"/>
        <v>10.304109589041095</v>
      </c>
      <c r="O2436" s="23">
        <f>(H2436-K2436)/2</f>
        <v>864.5</v>
      </c>
      <c r="P2436" s="18">
        <f t="shared" si="433"/>
        <v>11.304109589041095</v>
      </c>
      <c r="Q2436" s="18">
        <f t="shared" si="435"/>
        <v>0</v>
      </c>
      <c r="R2436" s="18">
        <f t="shared" si="434"/>
        <v>864.5</v>
      </c>
      <c r="S2436" s="18">
        <v>0</v>
      </c>
    </row>
    <row r="2437" spans="1:19" ht="15" customHeight="1" x14ac:dyDescent="0.2">
      <c r="A2437" s="14">
        <f t="shared" si="436"/>
        <v>2398</v>
      </c>
      <c r="B2437" s="31" t="s">
        <v>2046</v>
      </c>
      <c r="C2437" s="15" t="s">
        <v>3</v>
      </c>
      <c r="D2437" s="31" t="s">
        <v>1708</v>
      </c>
      <c r="E2437" s="31"/>
      <c r="F2437" s="73" t="s">
        <v>4</v>
      </c>
      <c r="G2437" s="32">
        <v>41348</v>
      </c>
      <c r="H2437" s="29">
        <v>1800</v>
      </c>
      <c r="I2437" s="17">
        <v>0</v>
      </c>
      <c r="J2437" s="17">
        <v>521.90136986301377</v>
      </c>
      <c r="K2437" s="17">
        <f t="shared" si="430"/>
        <v>1278.0986301369862</v>
      </c>
      <c r="L2437" s="23">
        <f t="shared" si="424"/>
        <v>90</v>
      </c>
      <c r="M2437" s="33">
        <v>10</v>
      </c>
      <c r="N2437" s="18">
        <f t="shared" si="431"/>
        <v>7.0547945205479454</v>
      </c>
      <c r="O2437" s="23">
        <f>(H2437-L2437)/M2437*N2437-J2437</f>
        <v>684.46849315068494</v>
      </c>
      <c r="P2437" s="18">
        <f t="shared" si="433"/>
        <v>8.0547945205479454</v>
      </c>
      <c r="Q2437" s="18">
        <f t="shared" si="435"/>
        <v>118.80986301369863</v>
      </c>
      <c r="R2437" s="18">
        <f t="shared" si="434"/>
        <v>803.27835616438358</v>
      </c>
      <c r="S2437" s="18">
        <v>0</v>
      </c>
    </row>
    <row r="2438" spans="1:19" ht="15" customHeight="1" x14ac:dyDescent="0.2">
      <c r="A2438" s="14">
        <f t="shared" si="436"/>
        <v>2399</v>
      </c>
      <c r="B2438" s="31" t="s">
        <v>2047</v>
      </c>
      <c r="C2438" s="15" t="s">
        <v>3</v>
      </c>
      <c r="D2438" s="31" t="s">
        <v>1708</v>
      </c>
      <c r="E2438" s="31"/>
      <c r="F2438" s="73" t="s">
        <v>4</v>
      </c>
      <c r="G2438" s="32">
        <v>39736</v>
      </c>
      <c r="H2438" s="29">
        <v>1798.75</v>
      </c>
      <c r="I2438" s="17">
        <v>0</v>
      </c>
      <c r="J2438" s="17">
        <f t="shared" si="441"/>
        <v>1708.8125</v>
      </c>
      <c r="K2438" s="17">
        <f t="shared" si="430"/>
        <v>89.9375</v>
      </c>
      <c r="L2438" s="23">
        <f t="shared" si="424"/>
        <v>89.9375</v>
      </c>
      <c r="M2438" s="33">
        <v>10</v>
      </c>
      <c r="N2438" s="18">
        <f t="shared" si="431"/>
        <v>11.471232876712328</v>
      </c>
      <c r="O2438" s="23">
        <f>(H2438-K2438)/2</f>
        <v>854.40625</v>
      </c>
      <c r="P2438" s="18">
        <f t="shared" si="433"/>
        <v>12.471232876712328</v>
      </c>
      <c r="Q2438" s="18">
        <f t="shared" si="435"/>
        <v>0</v>
      </c>
      <c r="R2438" s="18">
        <f t="shared" si="434"/>
        <v>854.40625</v>
      </c>
      <c r="S2438" s="18">
        <v>0</v>
      </c>
    </row>
    <row r="2439" spans="1:19" ht="15" customHeight="1" x14ac:dyDescent="0.2">
      <c r="A2439" s="14">
        <f t="shared" si="436"/>
        <v>2400</v>
      </c>
      <c r="B2439" s="31" t="s">
        <v>2048</v>
      </c>
      <c r="C2439" s="15" t="s">
        <v>3</v>
      </c>
      <c r="D2439" s="31" t="s">
        <v>1708</v>
      </c>
      <c r="E2439" s="31"/>
      <c r="F2439" s="73" t="s">
        <v>4</v>
      </c>
      <c r="G2439" s="32">
        <v>41228</v>
      </c>
      <c r="H2439" s="29">
        <v>1784.72</v>
      </c>
      <c r="I2439" s="17">
        <v>0</v>
      </c>
      <c r="J2439" s="17">
        <v>573.21294684931502</v>
      </c>
      <c r="K2439" s="17">
        <f t="shared" si="430"/>
        <v>1211.5070531506849</v>
      </c>
      <c r="L2439" s="23">
        <f t="shared" si="424"/>
        <v>89.236000000000004</v>
      </c>
      <c r="M2439" s="33">
        <v>10</v>
      </c>
      <c r="N2439" s="18">
        <f t="shared" si="431"/>
        <v>7.3835616438356162</v>
      </c>
      <c r="O2439" s="23">
        <f>(H2439-L2439)/M2439*N2439-J2439</f>
        <v>678.65811616438339</v>
      </c>
      <c r="P2439" s="18">
        <f t="shared" si="433"/>
        <v>8.3835616438356162</v>
      </c>
      <c r="Q2439" s="18">
        <f t="shared" si="435"/>
        <v>112.22710531506848</v>
      </c>
      <c r="R2439" s="18">
        <f t="shared" si="434"/>
        <v>790.88522147945184</v>
      </c>
      <c r="S2439" s="18">
        <v>0</v>
      </c>
    </row>
    <row r="2440" spans="1:19" ht="15" customHeight="1" x14ac:dyDescent="0.2">
      <c r="A2440" s="14">
        <f t="shared" si="436"/>
        <v>2401</v>
      </c>
      <c r="B2440" s="31" t="s">
        <v>2049</v>
      </c>
      <c r="C2440" s="15" t="s">
        <v>3</v>
      </c>
      <c r="D2440" s="31" t="s">
        <v>1708</v>
      </c>
      <c r="E2440" s="31"/>
      <c r="F2440" s="73" t="s">
        <v>4</v>
      </c>
      <c r="G2440" s="32">
        <v>41258</v>
      </c>
      <c r="H2440" s="29">
        <v>1766.62</v>
      </c>
      <c r="I2440" s="17">
        <v>0</v>
      </c>
      <c r="J2440" s="17">
        <v>553.60546739726033</v>
      </c>
      <c r="K2440" s="17">
        <f t="shared" si="430"/>
        <v>1213.0145326027396</v>
      </c>
      <c r="L2440" s="23">
        <f t="shared" si="424"/>
        <v>88.331000000000003</v>
      </c>
      <c r="M2440" s="33">
        <v>10</v>
      </c>
      <c r="N2440" s="18">
        <f t="shared" si="431"/>
        <v>7.3013698630136989</v>
      </c>
      <c r="O2440" s="23">
        <f>(H2440-L2440)/M2440*N2440-J2440</f>
        <v>671.7754052054795</v>
      </c>
      <c r="P2440" s="18">
        <f t="shared" si="433"/>
        <v>8.3013698630136989</v>
      </c>
      <c r="Q2440" s="18">
        <f t="shared" si="435"/>
        <v>112.46835326027397</v>
      </c>
      <c r="R2440" s="18">
        <f t="shared" si="434"/>
        <v>784.24375846575344</v>
      </c>
      <c r="S2440" s="18">
        <v>0</v>
      </c>
    </row>
    <row r="2441" spans="1:19" ht="15" customHeight="1" x14ac:dyDescent="0.2">
      <c r="A2441" s="14">
        <f t="shared" si="436"/>
        <v>2402</v>
      </c>
      <c r="B2441" s="31" t="s">
        <v>2050</v>
      </c>
      <c r="C2441" s="15" t="s">
        <v>3</v>
      </c>
      <c r="D2441" s="31" t="s">
        <v>1708</v>
      </c>
      <c r="E2441" s="31"/>
      <c r="F2441" s="73" t="s">
        <v>4</v>
      </c>
      <c r="G2441" s="32">
        <v>40892</v>
      </c>
      <c r="H2441" s="29">
        <v>1755</v>
      </c>
      <c r="I2441" s="17">
        <v>0</v>
      </c>
      <c r="J2441" s="17">
        <v>717.14589041095894</v>
      </c>
      <c r="K2441" s="17">
        <f t="shared" si="430"/>
        <v>1037.8541095890409</v>
      </c>
      <c r="L2441" s="23">
        <f t="shared" si="424"/>
        <v>87.75</v>
      </c>
      <c r="M2441" s="33">
        <v>10</v>
      </c>
      <c r="N2441" s="18">
        <f t="shared" si="431"/>
        <v>8.3041095890410954</v>
      </c>
      <c r="O2441" s="23">
        <f>(H2441-L2441)/M2441*N2441-J2441</f>
        <v>667.3567808219176</v>
      </c>
      <c r="P2441" s="18">
        <f t="shared" si="433"/>
        <v>9.3041095890410954</v>
      </c>
      <c r="Q2441" s="18">
        <f t="shared" si="435"/>
        <v>95.010410958904103</v>
      </c>
      <c r="R2441" s="18">
        <f t="shared" si="434"/>
        <v>762.36719178082171</v>
      </c>
      <c r="S2441" s="18">
        <v>0</v>
      </c>
    </row>
    <row r="2442" spans="1:19" ht="15" customHeight="1" x14ac:dyDescent="0.2">
      <c r="A2442" s="14">
        <f t="shared" si="436"/>
        <v>2403</v>
      </c>
      <c r="B2442" s="31" t="s">
        <v>2051</v>
      </c>
      <c r="C2442" s="15" t="s">
        <v>3</v>
      </c>
      <c r="D2442" s="31" t="s">
        <v>1708</v>
      </c>
      <c r="E2442" s="31"/>
      <c r="F2442" s="73" t="s">
        <v>4</v>
      </c>
      <c r="G2442" s="32">
        <v>35065</v>
      </c>
      <c r="H2442" s="29">
        <v>52035</v>
      </c>
      <c r="I2442" s="17">
        <v>0</v>
      </c>
      <c r="J2442" s="17">
        <f t="shared" ref="J2442" si="442">H2442-L2442</f>
        <v>49433.25</v>
      </c>
      <c r="K2442" s="17">
        <f t="shared" si="430"/>
        <v>2601.75</v>
      </c>
      <c r="L2442" s="23">
        <f t="shared" si="424"/>
        <v>2601.75</v>
      </c>
      <c r="M2442" s="33">
        <v>10</v>
      </c>
      <c r="N2442" s="18">
        <f t="shared" si="431"/>
        <v>24.268493150684932</v>
      </c>
      <c r="O2442" s="23">
        <f>(H2442-K2442)/2</f>
        <v>24716.625</v>
      </c>
      <c r="P2442" s="18">
        <f t="shared" si="433"/>
        <v>25.268493150684932</v>
      </c>
      <c r="Q2442" s="18">
        <f t="shared" si="435"/>
        <v>0</v>
      </c>
      <c r="R2442" s="18">
        <f t="shared" si="434"/>
        <v>24716.625</v>
      </c>
      <c r="S2442" s="18">
        <v>0</v>
      </c>
    </row>
    <row r="2443" spans="1:19" ht="15" customHeight="1" x14ac:dyDescent="0.2">
      <c r="A2443" s="14">
        <f t="shared" si="436"/>
        <v>2404</v>
      </c>
      <c r="B2443" s="31" t="s">
        <v>2052</v>
      </c>
      <c r="C2443" s="15" t="s">
        <v>3</v>
      </c>
      <c r="D2443" s="31" t="s">
        <v>1708</v>
      </c>
      <c r="E2443" s="31"/>
      <c r="F2443" s="73" t="s">
        <v>4</v>
      </c>
      <c r="G2443" s="32">
        <v>41136</v>
      </c>
      <c r="H2443" s="29">
        <v>1736.63</v>
      </c>
      <c r="I2443" s="17">
        <v>0</v>
      </c>
      <c r="J2443" s="17">
        <v>599.35145506849312</v>
      </c>
      <c r="K2443" s="17">
        <f t="shared" si="430"/>
        <v>1137.278544931507</v>
      </c>
      <c r="L2443" s="23">
        <f t="shared" si="424"/>
        <v>86.831500000000005</v>
      </c>
      <c r="M2443" s="33">
        <v>10</v>
      </c>
      <c r="N2443" s="18">
        <f t="shared" si="431"/>
        <v>7.6356164383561644</v>
      </c>
      <c r="O2443" s="23">
        <f>(H2443-L2443)/M2443*N2443-J2443</f>
        <v>660.37139958904118</v>
      </c>
      <c r="P2443" s="18">
        <f t="shared" si="433"/>
        <v>8.6356164383561644</v>
      </c>
      <c r="Q2443" s="18">
        <f t="shared" si="435"/>
        <v>105.0447044931507</v>
      </c>
      <c r="R2443" s="18">
        <f t="shared" si="434"/>
        <v>765.41610408219185</v>
      </c>
      <c r="S2443" s="18">
        <v>0</v>
      </c>
    </row>
    <row r="2444" spans="1:19" ht="15" customHeight="1" x14ac:dyDescent="0.2">
      <c r="A2444" s="14">
        <f t="shared" si="436"/>
        <v>2405</v>
      </c>
      <c r="B2444" s="31" t="s">
        <v>2053</v>
      </c>
      <c r="C2444" s="15" t="s">
        <v>3</v>
      </c>
      <c r="D2444" s="31" t="s">
        <v>1708</v>
      </c>
      <c r="E2444" s="31"/>
      <c r="F2444" s="73" t="s">
        <v>4</v>
      </c>
      <c r="G2444" s="32">
        <v>40983</v>
      </c>
      <c r="H2444" s="29">
        <v>1708.96</v>
      </c>
      <c r="I2444" s="17">
        <v>0</v>
      </c>
      <c r="J2444" s="17">
        <v>657.85595835616448</v>
      </c>
      <c r="K2444" s="17">
        <f t="shared" si="430"/>
        <v>1051.1040416438354</v>
      </c>
      <c r="L2444" s="23">
        <f t="shared" si="424"/>
        <v>85.448000000000008</v>
      </c>
      <c r="M2444" s="33">
        <v>10</v>
      </c>
      <c r="N2444" s="18">
        <f t="shared" si="431"/>
        <v>8.0547945205479454</v>
      </c>
      <c r="O2444" s="23">
        <f>(H2444-L2444)/M2444*N2444-J2444</f>
        <v>649.84959780821907</v>
      </c>
      <c r="P2444" s="18">
        <f t="shared" si="433"/>
        <v>9.0547945205479454</v>
      </c>
      <c r="Q2444" s="18">
        <f t="shared" si="435"/>
        <v>96.565604164383558</v>
      </c>
      <c r="R2444" s="18">
        <f t="shared" si="434"/>
        <v>746.41520197260263</v>
      </c>
      <c r="S2444" s="18">
        <v>0</v>
      </c>
    </row>
    <row r="2445" spans="1:19" ht="15" customHeight="1" x14ac:dyDescent="0.2">
      <c r="A2445" s="14">
        <f t="shared" si="436"/>
        <v>2406</v>
      </c>
      <c r="B2445" s="31" t="s">
        <v>2054</v>
      </c>
      <c r="C2445" s="15" t="s">
        <v>3</v>
      </c>
      <c r="D2445" s="31" t="s">
        <v>1708</v>
      </c>
      <c r="E2445" s="31"/>
      <c r="F2445" s="73" t="s">
        <v>4</v>
      </c>
      <c r="G2445" s="32">
        <v>35065</v>
      </c>
      <c r="H2445" s="29">
        <v>41184</v>
      </c>
      <c r="I2445" s="17">
        <v>0</v>
      </c>
      <c r="J2445" s="17">
        <f t="shared" ref="J2445:J2492" si="443">H2445-L2445</f>
        <v>39124.800000000003</v>
      </c>
      <c r="K2445" s="17">
        <f t="shared" si="430"/>
        <v>2059.1999999999971</v>
      </c>
      <c r="L2445" s="23">
        <f t="shared" si="424"/>
        <v>2059.2000000000003</v>
      </c>
      <c r="M2445" s="33">
        <v>10</v>
      </c>
      <c r="N2445" s="18">
        <f t="shared" si="431"/>
        <v>24.268493150684932</v>
      </c>
      <c r="O2445" s="23">
        <f t="shared" ref="O2445:O2447" si="444">(H2445-K2445)/2</f>
        <v>19562.400000000001</v>
      </c>
      <c r="P2445" s="18">
        <f t="shared" si="433"/>
        <v>25.268493150684932</v>
      </c>
      <c r="Q2445" s="18">
        <f t="shared" si="435"/>
        <v>-3.1832314562052491E-13</v>
      </c>
      <c r="R2445" s="18">
        <f t="shared" si="434"/>
        <v>19562.400000000001</v>
      </c>
      <c r="S2445" s="18">
        <v>0</v>
      </c>
    </row>
    <row r="2446" spans="1:19" ht="15" customHeight="1" x14ac:dyDescent="0.2">
      <c r="A2446" s="14">
        <f t="shared" si="436"/>
        <v>2407</v>
      </c>
      <c r="B2446" s="31" t="s">
        <v>2055</v>
      </c>
      <c r="C2446" s="15" t="s">
        <v>3</v>
      </c>
      <c r="D2446" s="31" t="s">
        <v>1708</v>
      </c>
      <c r="E2446" s="31"/>
      <c r="F2446" s="73" t="s">
        <v>4</v>
      </c>
      <c r="G2446" s="32">
        <v>35065</v>
      </c>
      <c r="H2446" s="29">
        <v>11179</v>
      </c>
      <c r="I2446" s="17">
        <v>0</v>
      </c>
      <c r="J2446" s="17">
        <f t="shared" si="443"/>
        <v>10620.05</v>
      </c>
      <c r="K2446" s="17">
        <f t="shared" si="430"/>
        <v>558.95000000000073</v>
      </c>
      <c r="L2446" s="23">
        <f t="shared" si="424"/>
        <v>558.95000000000005</v>
      </c>
      <c r="M2446" s="33">
        <v>10</v>
      </c>
      <c r="N2446" s="18">
        <f t="shared" si="431"/>
        <v>24.268493150684932</v>
      </c>
      <c r="O2446" s="23">
        <f t="shared" si="444"/>
        <v>5310.0249999999996</v>
      </c>
      <c r="P2446" s="18">
        <f t="shared" si="433"/>
        <v>25.268493150684932</v>
      </c>
      <c r="Q2446" s="18">
        <f t="shared" si="435"/>
        <v>6.8212102632969628E-14</v>
      </c>
      <c r="R2446" s="18">
        <f t="shared" si="434"/>
        <v>5310.0249999999996</v>
      </c>
      <c r="S2446" s="18">
        <v>0</v>
      </c>
    </row>
    <row r="2447" spans="1:19" ht="15" customHeight="1" x14ac:dyDescent="0.2">
      <c r="A2447" s="14">
        <f t="shared" si="436"/>
        <v>2408</v>
      </c>
      <c r="B2447" s="31" t="s">
        <v>2056</v>
      </c>
      <c r="C2447" s="15" t="s">
        <v>3</v>
      </c>
      <c r="D2447" s="31" t="s">
        <v>1708</v>
      </c>
      <c r="E2447" s="31"/>
      <c r="F2447" s="73" t="s">
        <v>4</v>
      </c>
      <c r="G2447" s="32">
        <v>35065</v>
      </c>
      <c r="H2447" s="29">
        <v>10415</v>
      </c>
      <c r="I2447" s="17">
        <v>0</v>
      </c>
      <c r="J2447" s="17">
        <f t="shared" si="443"/>
        <v>9894.25</v>
      </c>
      <c r="K2447" s="17">
        <f t="shared" si="430"/>
        <v>520.75</v>
      </c>
      <c r="L2447" s="23">
        <f t="shared" si="424"/>
        <v>520.75</v>
      </c>
      <c r="M2447" s="33">
        <v>10</v>
      </c>
      <c r="N2447" s="18">
        <f t="shared" si="431"/>
        <v>24.268493150684932</v>
      </c>
      <c r="O2447" s="23">
        <f t="shared" si="444"/>
        <v>4947.125</v>
      </c>
      <c r="P2447" s="18">
        <f t="shared" si="433"/>
        <v>25.268493150684932</v>
      </c>
      <c r="Q2447" s="18">
        <f t="shared" si="435"/>
        <v>0</v>
      </c>
      <c r="R2447" s="18">
        <f t="shared" si="434"/>
        <v>4947.125</v>
      </c>
      <c r="S2447" s="18">
        <v>0</v>
      </c>
    </row>
    <row r="2448" spans="1:19" ht="15" customHeight="1" x14ac:dyDescent="0.2">
      <c r="A2448" s="14">
        <f t="shared" si="436"/>
        <v>2409</v>
      </c>
      <c r="B2448" s="31" t="s">
        <v>2047</v>
      </c>
      <c r="C2448" s="15" t="s">
        <v>3</v>
      </c>
      <c r="D2448" s="31" t="s">
        <v>1708</v>
      </c>
      <c r="E2448" s="31"/>
      <c r="F2448" s="73" t="s">
        <v>4</v>
      </c>
      <c r="G2448" s="32">
        <v>40678</v>
      </c>
      <c r="H2448" s="29">
        <v>1690.65</v>
      </c>
      <c r="I2448" s="17">
        <v>0</v>
      </c>
      <c r="J2448" s="17">
        <v>785.01743013698638</v>
      </c>
      <c r="K2448" s="17">
        <f t="shared" si="430"/>
        <v>905.63256986301371</v>
      </c>
      <c r="L2448" s="23">
        <f t="shared" si="424"/>
        <v>84.532500000000013</v>
      </c>
      <c r="M2448" s="33">
        <v>10</v>
      </c>
      <c r="N2448" s="18">
        <f t="shared" si="431"/>
        <v>8.8904109589041092</v>
      </c>
      <c r="O2448" s="23">
        <f>(H2448-L2448)/M2448*N2448-J2448</f>
        <v>642.88703219178069</v>
      </c>
      <c r="P2448" s="18">
        <f t="shared" si="433"/>
        <v>9.8904109589041092</v>
      </c>
      <c r="Q2448" s="18">
        <f t="shared" si="435"/>
        <v>82.110006986301372</v>
      </c>
      <c r="R2448" s="18">
        <f t="shared" si="434"/>
        <v>724.9970391780821</v>
      </c>
      <c r="S2448" s="18">
        <v>0</v>
      </c>
    </row>
    <row r="2449" spans="1:19" ht="15" customHeight="1" x14ac:dyDescent="0.2">
      <c r="A2449" s="14">
        <f t="shared" si="436"/>
        <v>2410</v>
      </c>
      <c r="B2449" s="31" t="s">
        <v>2053</v>
      </c>
      <c r="C2449" s="15" t="s">
        <v>3</v>
      </c>
      <c r="D2449" s="31" t="s">
        <v>1708</v>
      </c>
      <c r="E2449" s="31"/>
      <c r="F2449" s="73" t="s">
        <v>4</v>
      </c>
      <c r="G2449" s="32">
        <v>41075</v>
      </c>
      <c r="H2449" s="29">
        <v>1680.86</v>
      </c>
      <c r="I2449" s="17">
        <v>0</v>
      </c>
      <c r="J2449" s="17">
        <f t="shared" si="443"/>
        <v>1596.817</v>
      </c>
      <c r="K2449" s="17">
        <f t="shared" si="430"/>
        <v>84.042999999999893</v>
      </c>
      <c r="L2449" s="23">
        <f t="shared" si="424"/>
        <v>84.043000000000006</v>
      </c>
      <c r="M2449" s="33">
        <v>5</v>
      </c>
      <c r="N2449" s="18">
        <f t="shared" si="431"/>
        <v>7.8027397260273972</v>
      </c>
      <c r="O2449" s="23">
        <f t="shared" ref="O2449:O2455" si="445">(H2449-K2449)/2</f>
        <v>798.4085</v>
      </c>
      <c r="P2449" s="18">
        <f t="shared" si="433"/>
        <v>8.8027397260273972</v>
      </c>
      <c r="Q2449" s="18">
        <f t="shared" si="435"/>
        <v>-2.2737367544323207E-14</v>
      </c>
      <c r="R2449" s="18">
        <f t="shared" si="434"/>
        <v>798.4085</v>
      </c>
      <c r="S2449" s="18">
        <v>0</v>
      </c>
    </row>
    <row r="2450" spans="1:19" ht="15" customHeight="1" x14ac:dyDescent="0.2">
      <c r="A2450" s="14">
        <f t="shared" si="436"/>
        <v>2411</v>
      </c>
      <c r="B2450" s="31" t="s">
        <v>2057</v>
      </c>
      <c r="C2450" s="15" t="s">
        <v>3</v>
      </c>
      <c r="D2450" s="31" t="s">
        <v>1708</v>
      </c>
      <c r="E2450" s="31"/>
      <c r="F2450" s="73" t="s">
        <v>4</v>
      </c>
      <c r="G2450" s="32">
        <v>35065</v>
      </c>
      <c r="H2450" s="29">
        <v>9050</v>
      </c>
      <c r="I2450" s="17">
        <v>0</v>
      </c>
      <c r="J2450" s="17">
        <f t="shared" si="443"/>
        <v>8597.5</v>
      </c>
      <c r="K2450" s="17">
        <f t="shared" si="430"/>
        <v>452.5</v>
      </c>
      <c r="L2450" s="23">
        <f t="shared" si="424"/>
        <v>452.5</v>
      </c>
      <c r="M2450" s="33">
        <v>10</v>
      </c>
      <c r="N2450" s="18">
        <f t="shared" si="431"/>
        <v>24.268493150684932</v>
      </c>
      <c r="O2450" s="23">
        <f t="shared" si="445"/>
        <v>4298.75</v>
      </c>
      <c r="P2450" s="18">
        <f t="shared" si="433"/>
        <v>25.268493150684932</v>
      </c>
      <c r="Q2450" s="18">
        <f t="shared" si="435"/>
        <v>0</v>
      </c>
      <c r="R2450" s="18">
        <f t="shared" si="434"/>
        <v>4298.75</v>
      </c>
      <c r="S2450" s="18">
        <v>0</v>
      </c>
    </row>
    <row r="2451" spans="1:19" ht="15" customHeight="1" x14ac:dyDescent="0.2">
      <c r="A2451" s="14">
        <f t="shared" si="436"/>
        <v>2412</v>
      </c>
      <c r="B2451" s="31" t="s">
        <v>2058</v>
      </c>
      <c r="C2451" s="15" t="s">
        <v>3</v>
      </c>
      <c r="D2451" s="31" t="s">
        <v>1708</v>
      </c>
      <c r="E2451" s="31"/>
      <c r="F2451" s="73" t="s">
        <v>4</v>
      </c>
      <c r="G2451" s="32">
        <v>35065</v>
      </c>
      <c r="H2451" s="29">
        <v>6771</v>
      </c>
      <c r="I2451" s="17">
        <v>0</v>
      </c>
      <c r="J2451" s="17">
        <f t="shared" si="443"/>
        <v>6432.45</v>
      </c>
      <c r="K2451" s="17">
        <f t="shared" si="430"/>
        <v>338.55000000000018</v>
      </c>
      <c r="L2451" s="23">
        <f t="shared" si="424"/>
        <v>338.55</v>
      </c>
      <c r="M2451" s="33">
        <v>10</v>
      </c>
      <c r="N2451" s="18">
        <f t="shared" si="431"/>
        <v>24.268493150684932</v>
      </c>
      <c r="O2451" s="23">
        <f t="shared" si="445"/>
        <v>3216.2249999999999</v>
      </c>
      <c r="P2451" s="18">
        <f t="shared" si="433"/>
        <v>25.268493150684932</v>
      </c>
      <c r="Q2451" s="18">
        <f t="shared" si="435"/>
        <v>1.7053025658242407E-14</v>
      </c>
      <c r="R2451" s="18">
        <f t="shared" si="434"/>
        <v>3216.2249999999999</v>
      </c>
      <c r="S2451" s="18">
        <v>0</v>
      </c>
    </row>
    <row r="2452" spans="1:19" ht="15" customHeight="1" x14ac:dyDescent="0.2">
      <c r="A2452" s="14">
        <f t="shared" si="436"/>
        <v>2413</v>
      </c>
      <c r="B2452" s="31" t="s">
        <v>1854</v>
      </c>
      <c r="C2452" s="15" t="s">
        <v>3</v>
      </c>
      <c r="D2452" s="31" t="s">
        <v>1708</v>
      </c>
      <c r="E2452" s="31"/>
      <c r="F2452" s="73" t="s">
        <v>4</v>
      </c>
      <c r="G2452" s="32">
        <v>35065</v>
      </c>
      <c r="H2452" s="29">
        <v>4544</v>
      </c>
      <c r="I2452" s="17">
        <v>0</v>
      </c>
      <c r="J2452" s="17">
        <f t="shared" si="443"/>
        <v>4316.8</v>
      </c>
      <c r="K2452" s="17">
        <f t="shared" si="430"/>
        <v>227.19999999999982</v>
      </c>
      <c r="L2452" s="23">
        <f t="shared" si="424"/>
        <v>227.20000000000002</v>
      </c>
      <c r="M2452" s="33">
        <v>10</v>
      </c>
      <c r="N2452" s="18">
        <f t="shared" si="431"/>
        <v>24.268493150684932</v>
      </c>
      <c r="O2452" s="23">
        <f t="shared" si="445"/>
        <v>2158.4</v>
      </c>
      <c r="P2452" s="18">
        <f t="shared" si="433"/>
        <v>25.268493150684932</v>
      </c>
      <c r="Q2452" s="18">
        <f t="shared" si="435"/>
        <v>-1.9895196601282807E-14</v>
      </c>
      <c r="R2452" s="18">
        <f t="shared" si="434"/>
        <v>2158.4</v>
      </c>
      <c r="S2452" s="18">
        <v>0</v>
      </c>
    </row>
    <row r="2453" spans="1:19" ht="15" customHeight="1" x14ac:dyDescent="0.2">
      <c r="A2453" s="14">
        <f t="shared" si="436"/>
        <v>2414</v>
      </c>
      <c r="B2453" s="31" t="s">
        <v>2059</v>
      </c>
      <c r="C2453" s="15" t="s">
        <v>3</v>
      </c>
      <c r="D2453" s="31" t="s">
        <v>1708</v>
      </c>
      <c r="E2453" s="31"/>
      <c r="F2453" s="73" t="s">
        <v>4</v>
      </c>
      <c r="G2453" s="32">
        <v>35065</v>
      </c>
      <c r="H2453" s="29">
        <v>3840</v>
      </c>
      <c r="I2453" s="17">
        <v>0</v>
      </c>
      <c r="J2453" s="17">
        <f t="shared" si="443"/>
        <v>3648</v>
      </c>
      <c r="K2453" s="17">
        <f t="shared" si="430"/>
        <v>192</v>
      </c>
      <c r="L2453" s="23">
        <f t="shared" ref="L2453:L2516" si="446">H2453*0.05</f>
        <v>192</v>
      </c>
      <c r="M2453" s="33">
        <v>10</v>
      </c>
      <c r="N2453" s="18">
        <f t="shared" si="431"/>
        <v>24.268493150684932</v>
      </c>
      <c r="O2453" s="23">
        <f t="shared" si="445"/>
        <v>1824</v>
      </c>
      <c r="P2453" s="18">
        <f t="shared" si="433"/>
        <v>25.268493150684932</v>
      </c>
      <c r="Q2453" s="18">
        <f t="shared" si="435"/>
        <v>0</v>
      </c>
      <c r="R2453" s="18">
        <f t="shared" si="434"/>
        <v>1824</v>
      </c>
      <c r="S2453" s="18">
        <v>0</v>
      </c>
    </row>
    <row r="2454" spans="1:19" ht="15" customHeight="1" x14ac:dyDescent="0.2">
      <c r="A2454" s="14">
        <f t="shared" si="436"/>
        <v>2415</v>
      </c>
      <c r="B2454" s="31" t="s">
        <v>1287</v>
      </c>
      <c r="C2454" s="15" t="s">
        <v>3</v>
      </c>
      <c r="D2454" s="31" t="s">
        <v>1708</v>
      </c>
      <c r="E2454" s="31"/>
      <c r="F2454" s="73" t="s">
        <v>4</v>
      </c>
      <c r="G2454" s="32">
        <v>41258</v>
      </c>
      <c r="H2454" s="29">
        <v>1601.18</v>
      </c>
      <c r="I2454" s="17">
        <v>0</v>
      </c>
      <c r="J2454" s="17">
        <f t="shared" si="443"/>
        <v>1521.1210000000001</v>
      </c>
      <c r="K2454" s="17">
        <f t="shared" si="430"/>
        <v>80.058999999999969</v>
      </c>
      <c r="L2454" s="23">
        <f t="shared" si="446"/>
        <v>80.059000000000012</v>
      </c>
      <c r="M2454" s="33">
        <v>5</v>
      </c>
      <c r="N2454" s="18">
        <f t="shared" si="431"/>
        <v>7.3013698630136989</v>
      </c>
      <c r="O2454" s="23">
        <f t="shared" si="445"/>
        <v>760.56050000000005</v>
      </c>
      <c r="P2454" s="18">
        <f t="shared" si="433"/>
        <v>8.3013698630136989</v>
      </c>
      <c r="Q2454" s="18">
        <f t="shared" si="435"/>
        <v>-8.5265128291212035E-15</v>
      </c>
      <c r="R2454" s="18">
        <f t="shared" si="434"/>
        <v>760.56050000000005</v>
      </c>
      <c r="S2454" s="18">
        <v>0</v>
      </c>
    </row>
    <row r="2455" spans="1:19" ht="15" customHeight="1" x14ac:dyDescent="0.2">
      <c r="A2455" s="14">
        <f t="shared" si="436"/>
        <v>2416</v>
      </c>
      <c r="B2455" s="31" t="s">
        <v>1287</v>
      </c>
      <c r="C2455" s="15" t="s">
        <v>3</v>
      </c>
      <c r="D2455" s="31" t="s">
        <v>1708</v>
      </c>
      <c r="E2455" s="31"/>
      <c r="F2455" s="73" t="s">
        <v>4</v>
      </c>
      <c r="G2455" s="32">
        <v>41320</v>
      </c>
      <c r="H2455" s="29">
        <v>1601.18</v>
      </c>
      <c r="I2455" s="17">
        <v>0</v>
      </c>
      <c r="J2455" s="17">
        <f t="shared" si="443"/>
        <v>1521.1210000000001</v>
      </c>
      <c r="K2455" s="17">
        <f t="shared" si="430"/>
        <v>80.058999999999969</v>
      </c>
      <c r="L2455" s="23">
        <f t="shared" si="446"/>
        <v>80.059000000000012</v>
      </c>
      <c r="M2455" s="33">
        <v>5</v>
      </c>
      <c r="N2455" s="18">
        <f t="shared" si="431"/>
        <v>7.1315068493150688</v>
      </c>
      <c r="O2455" s="23">
        <f t="shared" si="445"/>
        <v>760.56050000000005</v>
      </c>
      <c r="P2455" s="18">
        <f t="shared" si="433"/>
        <v>8.131506849315068</v>
      </c>
      <c r="Q2455" s="18">
        <f t="shared" si="435"/>
        <v>-8.526512829121194E-15</v>
      </c>
      <c r="R2455" s="18">
        <f t="shared" si="434"/>
        <v>760.56050000000005</v>
      </c>
      <c r="S2455" s="18">
        <v>0</v>
      </c>
    </row>
    <row r="2456" spans="1:19" ht="15" customHeight="1" x14ac:dyDescent="0.2">
      <c r="A2456" s="14">
        <f t="shared" si="436"/>
        <v>2417</v>
      </c>
      <c r="B2456" s="31" t="s">
        <v>1840</v>
      </c>
      <c r="C2456" s="15" t="s">
        <v>3</v>
      </c>
      <c r="D2456" s="31" t="s">
        <v>1708</v>
      </c>
      <c r="E2456" s="31"/>
      <c r="F2456" s="73" t="s">
        <v>4</v>
      </c>
      <c r="G2456" s="32">
        <v>41320</v>
      </c>
      <c r="H2456" s="29">
        <v>1586.68</v>
      </c>
      <c r="I2456" s="17">
        <v>0</v>
      </c>
      <c r="J2456" s="17">
        <v>471.61346082191778</v>
      </c>
      <c r="K2456" s="17">
        <f t="shared" si="430"/>
        <v>1115.0665391780822</v>
      </c>
      <c r="L2456" s="23">
        <f t="shared" si="446"/>
        <v>79.334000000000003</v>
      </c>
      <c r="M2456" s="33">
        <v>10</v>
      </c>
      <c r="N2456" s="18">
        <f t="shared" si="431"/>
        <v>7.1315068493150688</v>
      </c>
      <c r="O2456" s="23">
        <f>(H2456-L2456)/M2456*N2456-J2456</f>
        <v>603.35137150684943</v>
      </c>
      <c r="P2456" s="18">
        <f t="shared" si="433"/>
        <v>8.131506849315068</v>
      </c>
      <c r="Q2456" s="18">
        <f t="shared" si="435"/>
        <v>103.57325391780812</v>
      </c>
      <c r="R2456" s="18">
        <f t="shared" si="434"/>
        <v>706.92462542465751</v>
      </c>
      <c r="S2456" s="18">
        <v>0</v>
      </c>
    </row>
    <row r="2457" spans="1:19" ht="15" customHeight="1" x14ac:dyDescent="0.2">
      <c r="A2457" s="14">
        <f t="shared" si="436"/>
        <v>2418</v>
      </c>
      <c r="B2457" s="31" t="s">
        <v>2060</v>
      </c>
      <c r="C2457" s="15" t="s">
        <v>3</v>
      </c>
      <c r="D2457" s="31" t="s">
        <v>1708</v>
      </c>
      <c r="E2457" s="31"/>
      <c r="F2457" s="73" t="s">
        <v>4</v>
      </c>
      <c r="G2457" s="32">
        <v>35065</v>
      </c>
      <c r="H2457" s="29">
        <v>3360</v>
      </c>
      <c r="I2457" s="17">
        <v>0</v>
      </c>
      <c r="J2457" s="17">
        <f t="shared" si="443"/>
        <v>3192</v>
      </c>
      <c r="K2457" s="17">
        <f t="shared" si="430"/>
        <v>168</v>
      </c>
      <c r="L2457" s="23">
        <f t="shared" si="446"/>
        <v>168</v>
      </c>
      <c r="M2457" s="33">
        <v>10</v>
      </c>
      <c r="N2457" s="18">
        <f t="shared" si="431"/>
        <v>24.268493150684932</v>
      </c>
      <c r="O2457" s="23">
        <f t="shared" ref="O2457:O2459" si="447">(H2457-K2457)/2</f>
        <v>1596</v>
      </c>
      <c r="P2457" s="18">
        <f t="shared" si="433"/>
        <v>25.268493150684932</v>
      </c>
      <c r="Q2457" s="18">
        <f t="shared" si="435"/>
        <v>0</v>
      </c>
      <c r="R2457" s="18">
        <f t="shared" si="434"/>
        <v>1596</v>
      </c>
      <c r="S2457" s="18">
        <v>0</v>
      </c>
    </row>
    <row r="2458" spans="1:19" ht="15" customHeight="1" x14ac:dyDescent="0.2">
      <c r="A2458" s="14">
        <f t="shared" si="436"/>
        <v>2419</v>
      </c>
      <c r="B2458" s="31" t="s">
        <v>1840</v>
      </c>
      <c r="C2458" s="15" t="s">
        <v>3</v>
      </c>
      <c r="D2458" s="31" t="s">
        <v>1708</v>
      </c>
      <c r="E2458" s="31"/>
      <c r="F2458" s="73" t="s">
        <v>4</v>
      </c>
      <c r="G2458" s="32">
        <v>39828</v>
      </c>
      <c r="H2458" s="29">
        <v>1571.73</v>
      </c>
      <c r="I2458" s="17">
        <v>0</v>
      </c>
      <c r="J2458" s="17">
        <f t="shared" si="443"/>
        <v>1493.1435000000001</v>
      </c>
      <c r="K2458" s="17">
        <f t="shared" si="430"/>
        <v>78.586499999999887</v>
      </c>
      <c r="L2458" s="23">
        <f t="shared" si="446"/>
        <v>78.586500000000001</v>
      </c>
      <c r="M2458" s="33">
        <v>10</v>
      </c>
      <c r="N2458" s="18">
        <f t="shared" si="431"/>
        <v>11.219178082191782</v>
      </c>
      <c r="O2458" s="23">
        <f t="shared" si="447"/>
        <v>746.57175000000007</v>
      </c>
      <c r="P2458" s="18">
        <f t="shared" si="433"/>
        <v>12.219178082191782</v>
      </c>
      <c r="Q2458" s="18">
        <f t="shared" si="435"/>
        <v>-1.1368683772161604E-14</v>
      </c>
      <c r="R2458" s="18">
        <f t="shared" si="434"/>
        <v>746.57175000000007</v>
      </c>
      <c r="S2458" s="18">
        <v>0</v>
      </c>
    </row>
    <row r="2459" spans="1:19" ht="15" customHeight="1" x14ac:dyDescent="0.2">
      <c r="A2459" s="14">
        <f t="shared" si="436"/>
        <v>2420</v>
      </c>
      <c r="B2459" s="31" t="s">
        <v>1817</v>
      </c>
      <c r="C2459" s="15" t="s">
        <v>3</v>
      </c>
      <c r="D2459" s="31" t="s">
        <v>1708</v>
      </c>
      <c r="E2459" s="31"/>
      <c r="F2459" s="73" t="s">
        <v>4</v>
      </c>
      <c r="G2459" s="32">
        <v>35065</v>
      </c>
      <c r="H2459" s="29">
        <v>3000</v>
      </c>
      <c r="I2459" s="17">
        <v>0</v>
      </c>
      <c r="J2459" s="17">
        <f t="shared" si="443"/>
        <v>2850</v>
      </c>
      <c r="K2459" s="17">
        <f t="shared" si="430"/>
        <v>150</v>
      </c>
      <c r="L2459" s="23">
        <f t="shared" si="446"/>
        <v>150</v>
      </c>
      <c r="M2459" s="33">
        <v>10</v>
      </c>
      <c r="N2459" s="18">
        <f t="shared" si="431"/>
        <v>24.268493150684932</v>
      </c>
      <c r="O2459" s="23">
        <f t="shared" si="447"/>
        <v>1425</v>
      </c>
      <c r="P2459" s="18">
        <f t="shared" si="433"/>
        <v>25.268493150684932</v>
      </c>
      <c r="Q2459" s="18">
        <f t="shared" si="435"/>
        <v>0</v>
      </c>
      <c r="R2459" s="18">
        <f t="shared" si="434"/>
        <v>1425</v>
      </c>
      <c r="S2459" s="18">
        <v>0</v>
      </c>
    </row>
    <row r="2460" spans="1:19" ht="15" customHeight="1" x14ac:dyDescent="0.2">
      <c r="A2460" s="14">
        <f t="shared" si="436"/>
        <v>2421</v>
      </c>
      <c r="B2460" s="31" t="s">
        <v>1831</v>
      </c>
      <c r="C2460" s="15" t="s">
        <v>3</v>
      </c>
      <c r="D2460" s="31" t="s">
        <v>1708</v>
      </c>
      <c r="E2460" s="31"/>
      <c r="F2460" s="73" t="s">
        <v>4</v>
      </c>
      <c r="G2460" s="32">
        <v>41379</v>
      </c>
      <c r="H2460" s="29">
        <v>1550</v>
      </c>
      <c r="I2460" s="17">
        <v>0</v>
      </c>
      <c r="J2460" s="17">
        <v>436.90890410958906</v>
      </c>
      <c r="K2460" s="17">
        <f t="shared" si="430"/>
        <v>1113.091095890411</v>
      </c>
      <c r="L2460" s="23">
        <f t="shared" si="446"/>
        <v>77.5</v>
      </c>
      <c r="M2460" s="33">
        <v>10</v>
      </c>
      <c r="N2460" s="18">
        <f t="shared" si="431"/>
        <v>6.9698630136986299</v>
      </c>
      <c r="O2460" s="23">
        <f>(H2460-L2460)/M2460*N2460-J2460</f>
        <v>589.40342465753429</v>
      </c>
      <c r="P2460" s="18">
        <f t="shared" si="433"/>
        <v>7.9698630136986299</v>
      </c>
      <c r="Q2460" s="18">
        <f t="shared" si="435"/>
        <v>103.5591095890411</v>
      </c>
      <c r="R2460" s="18">
        <f t="shared" si="434"/>
        <v>692.96253424657539</v>
      </c>
      <c r="S2460" s="18">
        <v>0</v>
      </c>
    </row>
    <row r="2461" spans="1:19" ht="15" customHeight="1" x14ac:dyDescent="0.2">
      <c r="A2461" s="14">
        <f t="shared" si="436"/>
        <v>2422</v>
      </c>
      <c r="B2461" s="31" t="s">
        <v>2061</v>
      </c>
      <c r="C2461" s="15" t="s">
        <v>3</v>
      </c>
      <c r="D2461" s="31" t="s">
        <v>1708</v>
      </c>
      <c r="E2461" s="31"/>
      <c r="F2461" s="73" t="s">
        <v>4</v>
      </c>
      <c r="G2461" s="32">
        <v>35065</v>
      </c>
      <c r="H2461" s="29">
        <v>2589</v>
      </c>
      <c r="I2461" s="17">
        <v>0</v>
      </c>
      <c r="J2461" s="17">
        <f t="shared" si="443"/>
        <v>2459.5500000000002</v>
      </c>
      <c r="K2461" s="17">
        <f t="shared" si="430"/>
        <v>129.44999999999982</v>
      </c>
      <c r="L2461" s="23">
        <f t="shared" si="446"/>
        <v>129.45000000000002</v>
      </c>
      <c r="M2461" s="33">
        <v>10</v>
      </c>
      <c r="N2461" s="18">
        <f t="shared" si="431"/>
        <v>24.268493150684932</v>
      </c>
      <c r="O2461" s="23">
        <f t="shared" ref="O2461:O2462" si="448">(H2461-K2461)/2</f>
        <v>1229.7750000000001</v>
      </c>
      <c r="P2461" s="18">
        <f t="shared" si="433"/>
        <v>25.268493150684932</v>
      </c>
      <c r="Q2461" s="18">
        <f t="shared" si="435"/>
        <v>-1.9895196601282807E-14</v>
      </c>
      <c r="R2461" s="18">
        <f t="shared" si="434"/>
        <v>1229.7750000000001</v>
      </c>
      <c r="S2461" s="18">
        <v>0</v>
      </c>
    </row>
    <row r="2462" spans="1:19" ht="15" customHeight="1" x14ac:dyDescent="0.2">
      <c r="A2462" s="14">
        <f t="shared" si="436"/>
        <v>2423</v>
      </c>
      <c r="B2462" s="31" t="s">
        <v>2062</v>
      </c>
      <c r="C2462" s="15" t="s">
        <v>3</v>
      </c>
      <c r="D2462" s="31" t="s">
        <v>1708</v>
      </c>
      <c r="E2462" s="31"/>
      <c r="F2462" s="73" t="s">
        <v>4</v>
      </c>
      <c r="G2462" s="32">
        <v>35065</v>
      </c>
      <c r="H2462" s="29">
        <v>2280</v>
      </c>
      <c r="I2462" s="17">
        <v>0</v>
      </c>
      <c r="J2462" s="17">
        <f t="shared" si="443"/>
        <v>2166</v>
      </c>
      <c r="K2462" s="17">
        <f t="shared" si="430"/>
        <v>114</v>
      </c>
      <c r="L2462" s="23">
        <f t="shared" si="446"/>
        <v>114</v>
      </c>
      <c r="M2462" s="33">
        <v>10</v>
      </c>
      <c r="N2462" s="18">
        <f t="shared" si="431"/>
        <v>24.268493150684932</v>
      </c>
      <c r="O2462" s="23">
        <f t="shared" si="448"/>
        <v>1083</v>
      </c>
      <c r="P2462" s="18">
        <f t="shared" si="433"/>
        <v>25.268493150684932</v>
      </c>
      <c r="Q2462" s="18">
        <f t="shared" si="435"/>
        <v>0</v>
      </c>
      <c r="R2462" s="18">
        <f t="shared" si="434"/>
        <v>1083</v>
      </c>
      <c r="S2462" s="18">
        <v>0</v>
      </c>
    </row>
    <row r="2463" spans="1:19" ht="15" customHeight="1" x14ac:dyDescent="0.2">
      <c r="A2463" s="14">
        <f t="shared" si="436"/>
        <v>2424</v>
      </c>
      <c r="B2463" s="31" t="s">
        <v>2063</v>
      </c>
      <c r="C2463" s="15" t="s">
        <v>3</v>
      </c>
      <c r="D2463" s="31" t="s">
        <v>1708</v>
      </c>
      <c r="E2463" s="31"/>
      <c r="F2463" s="73" t="s">
        <v>4</v>
      </c>
      <c r="G2463" s="32">
        <v>41348</v>
      </c>
      <c r="H2463" s="29">
        <v>1478.47</v>
      </c>
      <c r="I2463" s="17">
        <v>0</v>
      </c>
      <c r="J2463" s="17">
        <v>428.67528794520547</v>
      </c>
      <c r="K2463" s="17">
        <f t="shared" si="430"/>
        <v>1049.7947120547947</v>
      </c>
      <c r="L2463" s="23">
        <f t="shared" si="446"/>
        <v>73.923500000000004</v>
      </c>
      <c r="M2463" s="33">
        <v>10</v>
      </c>
      <c r="N2463" s="18">
        <f t="shared" si="431"/>
        <v>7.0547945205479454</v>
      </c>
      <c r="O2463" s="23">
        <f>(H2463-L2463)/M2463*N2463-J2463</f>
        <v>562.20340726027393</v>
      </c>
      <c r="P2463" s="18">
        <f t="shared" si="433"/>
        <v>8.0547945205479454</v>
      </c>
      <c r="Q2463" s="18">
        <f t="shared" si="435"/>
        <v>97.587121205479477</v>
      </c>
      <c r="R2463" s="18">
        <f t="shared" si="434"/>
        <v>659.79052846575337</v>
      </c>
      <c r="S2463" s="18">
        <v>0</v>
      </c>
    </row>
    <row r="2464" spans="1:19" ht="15" customHeight="1" x14ac:dyDescent="0.2">
      <c r="A2464" s="14">
        <f t="shared" si="436"/>
        <v>2425</v>
      </c>
      <c r="B2464" s="31" t="s">
        <v>2064</v>
      </c>
      <c r="C2464" s="15" t="s">
        <v>3</v>
      </c>
      <c r="D2464" s="31" t="s">
        <v>1708</v>
      </c>
      <c r="E2464" s="31"/>
      <c r="F2464" s="73" t="s">
        <v>4</v>
      </c>
      <c r="G2464" s="32">
        <v>35065</v>
      </c>
      <c r="H2464" s="29">
        <v>2230</v>
      </c>
      <c r="I2464" s="17">
        <v>0</v>
      </c>
      <c r="J2464" s="17">
        <f t="shared" si="443"/>
        <v>2118.5</v>
      </c>
      <c r="K2464" s="17">
        <f t="shared" si="430"/>
        <v>111.5</v>
      </c>
      <c r="L2464" s="23">
        <f t="shared" si="446"/>
        <v>111.5</v>
      </c>
      <c r="M2464" s="33">
        <v>10</v>
      </c>
      <c r="N2464" s="18">
        <f t="shared" si="431"/>
        <v>24.268493150684932</v>
      </c>
      <c r="O2464" s="23">
        <f t="shared" ref="O2464:O2470" si="449">(H2464-K2464)/2</f>
        <v>1059.25</v>
      </c>
      <c r="P2464" s="18">
        <f t="shared" si="433"/>
        <v>25.268493150684932</v>
      </c>
      <c r="Q2464" s="18">
        <f t="shared" si="435"/>
        <v>0</v>
      </c>
      <c r="R2464" s="18">
        <f t="shared" si="434"/>
        <v>1059.25</v>
      </c>
      <c r="S2464" s="18">
        <v>0</v>
      </c>
    </row>
    <row r="2465" spans="1:19" ht="15" customHeight="1" x14ac:dyDescent="0.2">
      <c r="A2465" s="14">
        <f t="shared" si="436"/>
        <v>2426</v>
      </c>
      <c r="B2465" s="31" t="s">
        <v>2065</v>
      </c>
      <c r="C2465" s="15" t="s">
        <v>3</v>
      </c>
      <c r="D2465" s="31" t="s">
        <v>1708</v>
      </c>
      <c r="E2465" s="31"/>
      <c r="F2465" s="73" t="s">
        <v>4</v>
      </c>
      <c r="G2465" s="32">
        <v>35065</v>
      </c>
      <c r="H2465" s="29">
        <v>1462</v>
      </c>
      <c r="I2465" s="17">
        <v>0</v>
      </c>
      <c r="J2465" s="17">
        <f t="shared" si="443"/>
        <v>1388.9</v>
      </c>
      <c r="K2465" s="17">
        <f t="shared" si="430"/>
        <v>73.099999999999909</v>
      </c>
      <c r="L2465" s="23">
        <f t="shared" si="446"/>
        <v>73.100000000000009</v>
      </c>
      <c r="M2465" s="33">
        <v>10</v>
      </c>
      <c r="N2465" s="18">
        <f t="shared" si="431"/>
        <v>24.268493150684932</v>
      </c>
      <c r="O2465" s="23">
        <f t="shared" si="449"/>
        <v>694.45</v>
      </c>
      <c r="P2465" s="18">
        <f t="shared" si="433"/>
        <v>25.268493150684932</v>
      </c>
      <c r="Q2465" s="18">
        <f t="shared" si="435"/>
        <v>-9.9475983006414035E-15</v>
      </c>
      <c r="R2465" s="18">
        <f t="shared" si="434"/>
        <v>694.45</v>
      </c>
      <c r="S2465" s="18">
        <v>0</v>
      </c>
    </row>
    <row r="2466" spans="1:19" ht="15" customHeight="1" x14ac:dyDescent="0.2">
      <c r="A2466" s="14">
        <f t="shared" si="436"/>
        <v>2427</v>
      </c>
      <c r="B2466" s="31" t="s">
        <v>2066</v>
      </c>
      <c r="C2466" s="15" t="s">
        <v>3</v>
      </c>
      <c r="D2466" s="31" t="s">
        <v>1708</v>
      </c>
      <c r="E2466" s="31"/>
      <c r="F2466" s="73" t="s">
        <v>4</v>
      </c>
      <c r="G2466" s="32">
        <v>35065</v>
      </c>
      <c r="H2466" s="29">
        <v>1460</v>
      </c>
      <c r="I2466" s="17">
        <v>0</v>
      </c>
      <c r="J2466" s="17">
        <f t="shared" si="443"/>
        <v>1387</v>
      </c>
      <c r="K2466" s="17">
        <f t="shared" si="430"/>
        <v>73</v>
      </c>
      <c r="L2466" s="23">
        <f t="shared" si="446"/>
        <v>73</v>
      </c>
      <c r="M2466" s="33">
        <v>10</v>
      </c>
      <c r="N2466" s="18">
        <f t="shared" si="431"/>
        <v>24.268493150684932</v>
      </c>
      <c r="O2466" s="23">
        <f t="shared" si="449"/>
        <v>693.5</v>
      </c>
      <c r="P2466" s="18">
        <f t="shared" si="433"/>
        <v>25.268493150684932</v>
      </c>
      <c r="Q2466" s="18">
        <f t="shared" si="435"/>
        <v>0</v>
      </c>
      <c r="R2466" s="18">
        <f t="shared" si="434"/>
        <v>693.5</v>
      </c>
      <c r="S2466" s="18">
        <v>0</v>
      </c>
    </row>
    <row r="2467" spans="1:19" ht="15" customHeight="1" x14ac:dyDescent="0.2">
      <c r="A2467" s="14">
        <f t="shared" si="436"/>
        <v>2428</v>
      </c>
      <c r="B2467" s="31" t="s">
        <v>2067</v>
      </c>
      <c r="C2467" s="15" t="s">
        <v>3</v>
      </c>
      <c r="D2467" s="31" t="s">
        <v>1708</v>
      </c>
      <c r="E2467" s="31"/>
      <c r="F2467" s="73" t="s">
        <v>4</v>
      </c>
      <c r="G2467" s="32">
        <v>35140</v>
      </c>
      <c r="H2467" s="29">
        <v>24105</v>
      </c>
      <c r="I2467" s="17">
        <v>0</v>
      </c>
      <c r="J2467" s="17">
        <f t="shared" si="443"/>
        <v>22899.75</v>
      </c>
      <c r="K2467" s="17">
        <f t="shared" si="430"/>
        <v>1205.25</v>
      </c>
      <c r="L2467" s="23">
        <f t="shared" si="446"/>
        <v>1205.25</v>
      </c>
      <c r="M2467" s="33">
        <v>5</v>
      </c>
      <c r="N2467" s="18">
        <f t="shared" si="431"/>
        <v>24.063013698630137</v>
      </c>
      <c r="O2467" s="23">
        <f t="shared" si="449"/>
        <v>11449.875</v>
      </c>
      <c r="P2467" s="18">
        <f t="shared" si="433"/>
        <v>25.063013698630137</v>
      </c>
      <c r="Q2467" s="18">
        <f t="shared" si="435"/>
        <v>0</v>
      </c>
      <c r="R2467" s="18">
        <f t="shared" si="434"/>
        <v>11449.875</v>
      </c>
      <c r="S2467" s="18">
        <v>0</v>
      </c>
    </row>
    <row r="2468" spans="1:19" ht="15" customHeight="1" x14ac:dyDescent="0.2">
      <c r="A2468" s="14">
        <f t="shared" si="436"/>
        <v>2429</v>
      </c>
      <c r="B2468" s="31" t="s">
        <v>2068</v>
      </c>
      <c r="C2468" s="15" t="s">
        <v>3</v>
      </c>
      <c r="D2468" s="31" t="s">
        <v>1708</v>
      </c>
      <c r="E2468" s="31"/>
      <c r="F2468" s="73" t="s">
        <v>4</v>
      </c>
      <c r="G2468" s="32">
        <v>35065</v>
      </c>
      <c r="H2468" s="29">
        <v>1300</v>
      </c>
      <c r="I2468" s="17">
        <v>0</v>
      </c>
      <c r="J2468" s="17">
        <f t="shared" si="443"/>
        <v>1235</v>
      </c>
      <c r="K2468" s="17">
        <f t="shared" si="430"/>
        <v>65</v>
      </c>
      <c r="L2468" s="23">
        <f t="shared" si="446"/>
        <v>65</v>
      </c>
      <c r="M2468" s="33">
        <v>10</v>
      </c>
      <c r="N2468" s="18">
        <f t="shared" si="431"/>
        <v>24.268493150684932</v>
      </c>
      <c r="O2468" s="23">
        <f t="shared" si="449"/>
        <v>617.5</v>
      </c>
      <c r="P2468" s="18">
        <f t="shared" si="433"/>
        <v>25.268493150684932</v>
      </c>
      <c r="Q2468" s="18">
        <f t="shared" si="435"/>
        <v>0</v>
      </c>
      <c r="R2468" s="18">
        <f t="shared" si="434"/>
        <v>617.5</v>
      </c>
      <c r="S2468" s="18">
        <v>0</v>
      </c>
    </row>
    <row r="2469" spans="1:19" ht="15" customHeight="1" x14ac:dyDescent="0.2">
      <c r="A2469" s="14">
        <f t="shared" si="436"/>
        <v>2430</v>
      </c>
      <c r="B2469" s="31" t="s">
        <v>2069</v>
      </c>
      <c r="C2469" s="15" t="s">
        <v>3</v>
      </c>
      <c r="D2469" s="31" t="s">
        <v>1708</v>
      </c>
      <c r="E2469" s="31"/>
      <c r="F2469" s="73" t="s">
        <v>4</v>
      </c>
      <c r="G2469" s="32">
        <v>35065</v>
      </c>
      <c r="H2469" s="29">
        <v>1057</v>
      </c>
      <c r="I2469" s="17">
        <v>0</v>
      </c>
      <c r="J2469" s="17">
        <f t="shared" si="443"/>
        <v>1004.15</v>
      </c>
      <c r="K2469" s="17">
        <f t="shared" si="430"/>
        <v>52.850000000000023</v>
      </c>
      <c r="L2469" s="23">
        <f t="shared" si="446"/>
        <v>52.85</v>
      </c>
      <c r="M2469" s="33">
        <v>10</v>
      </c>
      <c r="N2469" s="18">
        <f t="shared" si="431"/>
        <v>24.268493150684932</v>
      </c>
      <c r="O2469" s="23">
        <f t="shared" si="449"/>
        <v>502.07499999999999</v>
      </c>
      <c r="P2469" s="18">
        <f t="shared" si="433"/>
        <v>25.268493150684932</v>
      </c>
      <c r="Q2469" s="18">
        <f t="shared" si="435"/>
        <v>2.1316282072803009E-15</v>
      </c>
      <c r="R2469" s="18">
        <f t="shared" si="434"/>
        <v>502.07499999999999</v>
      </c>
      <c r="S2469" s="18">
        <v>0</v>
      </c>
    </row>
    <row r="2470" spans="1:19" ht="15" customHeight="1" x14ac:dyDescent="0.2">
      <c r="A2470" s="14">
        <f t="shared" si="436"/>
        <v>2431</v>
      </c>
      <c r="B2470" s="31" t="s">
        <v>2070</v>
      </c>
      <c r="C2470" s="15" t="s">
        <v>3</v>
      </c>
      <c r="D2470" s="31" t="s">
        <v>1708</v>
      </c>
      <c r="E2470" s="31"/>
      <c r="F2470" s="73" t="s">
        <v>4</v>
      </c>
      <c r="G2470" s="32">
        <v>35065</v>
      </c>
      <c r="H2470" s="29">
        <v>718</v>
      </c>
      <c r="I2470" s="17">
        <v>0</v>
      </c>
      <c r="J2470" s="17">
        <f t="shared" si="443"/>
        <v>682.1</v>
      </c>
      <c r="K2470" s="17">
        <f t="shared" ref="K2470:K2533" si="450">H2470+I2470-J2470</f>
        <v>35.899999999999977</v>
      </c>
      <c r="L2470" s="23">
        <f t="shared" si="446"/>
        <v>35.9</v>
      </c>
      <c r="M2470" s="33">
        <v>10</v>
      </c>
      <c r="N2470" s="18">
        <f t="shared" ref="N2470:N2533" si="451">IF(($N$35-G2470+1)/365&gt;0,($N$35-G2470+1)/365,0)</f>
        <v>24.268493150684932</v>
      </c>
      <c r="O2470" s="23">
        <f t="shared" si="449"/>
        <v>341.05</v>
      </c>
      <c r="P2470" s="18">
        <f t="shared" ref="P2470:P2533" si="452">($P$35-G2470+1)/365</f>
        <v>25.268493150684932</v>
      </c>
      <c r="Q2470" s="18">
        <f t="shared" si="435"/>
        <v>-2.1316282072803009E-15</v>
      </c>
      <c r="R2470" s="18">
        <f t="shared" ref="R2470:R2533" si="453">Q2470+O2470</f>
        <v>341.05</v>
      </c>
      <c r="S2470" s="18">
        <v>0</v>
      </c>
    </row>
    <row r="2471" spans="1:19" ht="15" customHeight="1" x14ac:dyDescent="0.2">
      <c r="A2471" s="14">
        <f t="shared" si="436"/>
        <v>2432</v>
      </c>
      <c r="B2471" s="31" t="s">
        <v>2047</v>
      </c>
      <c r="C2471" s="15" t="s">
        <v>3</v>
      </c>
      <c r="D2471" s="31" t="s">
        <v>1708</v>
      </c>
      <c r="E2471" s="31"/>
      <c r="F2471" s="73" t="s">
        <v>4</v>
      </c>
      <c r="G2471" s="32">
        <v>40436</v>
      </c>
      <c r="H2471" s="29">
        <v>1408.08</v>
      </c>
      <c r="I2471" s="17">
        <v>0</v>
      </c>
      <c r="J2471" s="17">
        <f t="shared" si="443"/>
        <v>1337.6759999999999</v>
      </c>
      <c r="K2471" s="17">
        <f t="shared" si="450"/>
        <v>70.403999999999996</v>
      </c>
      <c r="L2471" s="23">
        <f t="shared" si="446"/>
        <v>70.403999999999996</v>
      </c>
      <c r="M2471" s="33">
        <v>10</v>
      </c>
      <c r="N2471" s="18">
        <f t="shared" si="451"/>
        <v>9.5534246575342472</v>
      </c>
      <c r="O2471" s="17">
        <v>1337.6759999999999</v>
      </c>
      <c r="P2471" s="18">
        <f t="shared" si="452"/>
        <v>10.553424657534247</v>
      </c>
      <c r="Q2471" s="18">
        <f t="shared" si="435"/>
        <v>0</v>
      </c>
      <c r="R2471" s="18">
        <f t="shared" si="453"/>
        <v>1337.6759999999999</v>
      </c>
      <c r="S2471" s="18">
        <v>0</v>
      </c>
    </row>
    <row r="2472" spans="1:19" ht="15" customHeight="1" x14ac:dyDescent="0.2">
      <c r="A2472" s="14">
        <f t="shared" si="436"/>
        <v>2433</v>
      </c>
      <c r="B2472" s="31" t="s">
        <v>2071</v>
      </c>
      <c r="C2472" s="15" t="s">
        <v>3</v>
      </c>
      <c r="D2472" s="31" t="s">
        <v>1708</v>
      </c>
      <c r="E2472" s="31"/>
      <c r="F2472" s="73" t="s">
        <v>4</v>
      </c>
      <c r="G2472" s="32">
        <v>35065</v>
      </c>
      <c r="H2472" s="29">
        <v>528</v>
      </c>
      <c r="I2472" s="17">
        <v>0</v>
      </c>
      <c r="J2472" s="17">
        <f t="shared" si="443"/>
        <v>501.6</v>
      </c>
      <c r="K2472" s="17">
        <f t="shared" si="450"/>
        <v>26.399999999999977</v>
      </c>
      <c r="L2472" s="23">
        <f t="shared" si="446"/>
        <v>26.400000000000002</v>
      </c>
      <c r="M2472" s="33">
        <v>10</v>
      </c>
      <c r="N2472" s="18">
        <f t="shared" si="451"/>
        <v>24.268493150684932</v>
      </c>
      <c r="O2472" s="23">
        <f t="shared" ref="O2472:O2475" si="454">(H2472-K2472)/2</f>
        <v>250.8</v>
      </c>
      <c r="P2472" s="18">
        <f t="shared" si="452"/>
        <v>25.268493150684932</v>
      </c>
      <c r="Q2472" s="18">
        <f t="shared" ref="Q2472:Q2535" si="455">(P2472-N2472)/M2472*(K2472-L2472)</f>
        <v>-2.4868995751603509E-15</v>
      </c>
      <c r="R2472" s="18">
        <f t="shared" si="453"/>
        <v>250.8</v>
      </c>
      <c r="S2472" s="18">
        <v>0</v>
      </c>
    </row>
    <row r="2473" spans="1:19" ht="15" customHeight="1" x14ac:dyDescent="0.2">
      <c r="A2473" s="14">
        <f t="shared" si="436"/>
        <v>2434</v>
      </c>
      <c r="B2473" s="31" t="s">
        <v>2072</v>
      </c>
      <c r="C2473" s="15" t="s">
        <v>3</v>
      </c>
      <c r="D2473" s="31" t="s">
        <v>1708</v>
      </c>
      <c r="E2473" s="31"/>
      <c r="F2473" s="73" t="s">
        <v>4</v>
      </c>
      <c r="G2473" s="32">
        <v>39828</v>
      </c>
      <c r="H2473" s="29">
        <v>1365</v>
      </c>
      <c r="I2473" s="17">
        <v>0</v>
      </c>
      <c r="J2473" s="17">
        <f t="shared" si="443"/>
        <v>1296.75</v>
      </c>
      <c r="K2473" s="17">
        <f t="shared" si="450"/>
        <v>68.25</v>
      </c>
      <c r="L2473" s="23">
        <f t="shared" si="446"/>
        <v>68.25</v>
      </c>
      <c r="M2473" s="33">
        <v>10</v>
      </c>
      <c r="N2473" s="18">
        <f t="shared" si="451"/>
        <v>11.219178082191782</v>
      </c>
      <c r="O2473" s="23">
        <f t="shared" si="454"/>
        <v>648.375</v>
      </c>
      <c r="P2473" s="18">
        <f t="shared" si="452"/>
        <v>12.219178082191782</v>
      </c>
      <c r="Q2473" s="18">
        <f t="shared" si="455"/>
        <v>0</v>
      </c>
      <c r="R2473" s="18">
        <f t="shared" si="453"/>
        <v>648.375</v>
      </c>
      <c r="S2473" s="18">
        <v>0</v>
      </c>
    </row>
    <row r="2474" spans="1:19" ht="15" customHeight="1" x14ac:dyDescent="0.2">
      <c r="A2474" s="14">
        <f t="shared" si="436"/>
        <v>2435</v>
      </c>
      <c r="B2474" s="31" t="s">
        <v>2073</v>
      </c>
      <c r="C2474" s="15" t="s">
        <v>3</v>
      </c>
      <c r="D2474" s="31" t="s">
        <v>1708</v>
      </c>
      <c r="E2474" s="31"/>
      <c r="F2474" s="73" t="s">
        <v>4</v>
      </c>
      <c r="G2474" s="32">
        <v>35065</v>
      </c>
      <c r="H2474" s="29">
        <v>475</v>
      </c>
      <c r="I2474" s="17">
        <v>0</v>
      </c>
      <c r="J2474" s="17">
        <f t="shared" si="443"/>
        <v>451.25</v>
      </c>
      <c r="K2474" s="17">
        <f t="shared" si="450"/>
        <v>23.75</v>
      </c>
      <c r="L2474" s="23">
        <f t="shared" si="446"/>
        <v>23.75</v>
      </c>
      <c r="M2474" s="33">
        <v>10</v>
      </c>
      <c r="N2474" s="18">
        <f t="shared" si="451"/>
        <v>24.268493150684932</v>
      </c>
      <c r="O2474" s="23">
        <f t="shared" si="454"/>
        <v>225.625</v>
      </c>
      <c r="P2474" s="18">
        <f t="shared" si="452"/>
        <v>25.268493150684932</v>
      </c>
      <c r="Q2474" s="18">
        <f t="shared" si="455"/>
        <v>0</v>
      </c>
      <c r="R2474" s="18">
        <f t="shared" si="453"/>
        <v>225.625</v>
      </c>
      <c r="S2474" s="18">
        <v>0</v>
      </c>
    </row>
    <row r="2475" spans="1:19" ht="15" customHeight="1" x14ac:dyDescent="0.2">
      <c r="A2475" s="14">
        <f t="shared" ref="A2475:A2538" si="456">+A2474+1</f>
        <v>2436</v>
      </c>
      <c r="B2475" s="31" t="s">
        <v>2074</v>
      </c>
      <c r="C2475" s="15" t="s">
        <v>3</v>
      </c>
      <c r="D2475" s="31" t="s">
        <v>1708</v>
      </c>
      <c r="E2475" s="31"/>
      <c r="F2475" s="73" t="s">
        <v>4</v>
      </c>
      <c r="G2475" s="32">
        <v>35065</v>
      </c>
      <c r="H2475" s="29">
        <v>350</v>
      </c>
      <c r="I2475" s="17">
        <v>0</v>
      </c>
      <c r="J2475" s="17">
        <f t="shared" si="443"/>
        <v>332.5</v>
      </c>
      <c r="K2475" s="17">
        <f t="shared" si="450"/>
        <v>17.5</v>
      </c>
      <c r="L2475" s="23">
        <f t="shared" si="446"/>
        <v>17.5</v>
      </c>
      <c r="M2475" s="33">
        <v>10</v>
      </c>
      <c r="N2475" s="18">
        <f t="shared" si="451"/>
        <v>24.268493150684932</v>
      </c>
      <c r="O2475" s="23">
        <f t="shared" si="454"/>
        <v>166.25</v>
      </c>
      <c r="P2475" s="18">
        <f t="shared" si="452"/>
        <v>25.268493150684932</v>
      </c>
      <c r="Q2475" s="18">
        <f t="shared" si="455"/>
        <v>0</v>
      </c>
      <c r="R2475" s="18">
        <f t="shared" si="453"/>
        <v>166.25</v>
      </c>
      <c r="S2475" s="18">
        <v>0</v>
      </c>
    </row>
    <row r="2476" spans="1:19" ht="15" customHeight="1" x14ac:dyDescent="0.2">
      <c r="A2476" s="14">
        <f t="shared" si="456"/>
        <v>2437</v>
      </c>
      <c r="B2476" s="31" t="s">
        <v>2075</v>
      </c>
      <c r="C2476" s="15" t="s">
        <v>3</v>
      </c>
      <c r="D2476" s="31" t="s">
        <v>1708</v>
      </c>
      <c r="E2476" s="31"/>
      <c r="F2476" s="73" t="s">
        <v>4</v>
      </c>
      <c r="G2476" s="32">
        <v>41289</v>
      </c>
      <c r="H2476" s="29">
        <v>1341.98</v>
      </c>
      <c r="I2476" s="17">
        <v>0</v>
      </c>
      <c r="J2476" s="17">
        <v>409.70833232876709</v>
      </c>
      <c r="K2476" s="17">
        <f t="shared" si="450"/>
        <v>932.27166767123299</v>
      </c>
      <c r="L2476" s="23">
        <f t="shared" si="446"/>
        <v>67.099000000000004</v>
      </c>
      <c r="M2476" s="33">
        <v>10</v>
      </c>
      <c r="N2476" s="18">
        <f t="shared" si="451"/>
        <v>7.2164383561643834</v>
      </c>
      <c r="O2476" s="23">
        <f>(H2476-L2476)/M2476*N2476-J2476</f>
        <v>510.30168246575346</v>
      </c>
      <c r="P2476" s="18">
        <f t="shared" si="452"/>
        <v>8.2164383561643834</v>
      </c>
      <c r="Q2476" s="18">
        <f t="shared" si="455"/>
        <v>86.517266767123303</v>
      </c>
      <c r="R2476" s="18">
        <f t="shared" si="453"/>
        <v>596.81894923287678</v>
      </c>
      <c r="S2476" s="18">
        <v>0</v>
      </c>
    </row>
    <row r="2477" spans="1:19" ht="15" customHeight="1" x14ac:dyDescent="0.2">
      <c r="A2477" s="14">
        <f t="shared" si="456"/>
        <v>2438</v>
      </c>
      <c r="B2477" s="31" t="s">
        <v>2076</v>
      </c>
      <c r="C2477" s="15" t="s">
        <v>3</v>
      </c>
      <c r="D2477" s="31" t="s">
        <v>1708</v>
      </c>
      <c r="E2477" s="31"/>
      <c r="F2477" s="73" t="s">
        <v>4</v>
      </c>
      <c r="G2477" s="32">
        <v>35065</v>
      </c>
      <c r="H2477" s="29">
        <v>350</v>
      </c>
      <c r="I2477" s="17">
        <v>0</v>
      </c>
      <c r="J2477" s="17">
        <f t="shared" si="443"/>
        <v>332.5</v>
      </c>
      <c r="K2477" s="17">
        <f t="shared" si="450"/>
        <v>17.5</v>
      </c>
      <c r="L2477" s="23">
        <f t="shared" si="446"/>
        <v>17.5</v>
      </c>
      <c r="M2477" s="33">
        <v>10</v>
      </c>
      <c r="N2477" s="18">
        <f t="shared" si="451"/>
        <v>24.268493150684932</v>
      </c>
      <c r="O2477" s="23">
        <f t="shared" ref="O2477:O2478" si="457">(H2477-K2477)/2</f>
        <v>166.25</v>
      </c>
      <c r="P2477" s="18">
        <f t="shared" si="452"/>
        <v>25.268493150684932</v>
      </c>
      <c r="Q2477" s="18">
        <f t="shared" si="455"/>
        <v>0</v>
      </c>
      <c r="R2477" s="18">
        <f t="shared" si="453"/>
        <v>166.25</v>
      </c>
      <c r="S2477" s="18">
        <v>0</v>
      </c>
    </row>
    <row r="2478" spans="1:19" ht="15" customHeight="1" x14ac:dyDescent="0.2">
      <c r="A2478" s="14">
        <f t="shared" si="456"/>
        <v>2439</v>
      </c>
      <c r="B2478" s="31" t="s">
        <v>2077</v>
      </c>
      <c r="C2478" s="15" t="s">
        <v>3</v>
      </c>
      <c r="D2478" s="31" t="s">
        <v>1708</v>
      </c>
      <c r="E2478" s="31"/>
      <c r="F2478" s="73" t="s">
        <v>4</v>
      </c>
      <c r="G2478" s="32">
        <v>35065</v>
      </c>
      <c r="H2478" s="29">
        <v>225</v>
      </c>
      <c r="I2478" s="17">
        <v>0</v>
      </c>
      <c r="J2478" s="17">
        <f t="shared" si="443"/>
        <v>213.75</v>
      </c>
      <c r="K2478" s="17">
        <f t="shared" si="450"/>
        <v>11.25</v>
      </c>
      <c r="L2478" s="23">
        <f t="shared" si="446"/>
        <v>11.25</v>
      </c>
      <c r="M2478" s="33">
        <v>10</v>
      </c>
      <c r="N2478" s="18">
        <f t="shared" si="451"/>
        <v>24.268493150684932</v>
      </c>
      <c r="O2478" s="23">
        <f t="shared" si="457"/>
        <v>106.875</v>
      </c>
      <c r="P2478" s="18">
        <f t="shared" si="452"/>
        <v>25.268493150684932</v>
      </c>
      <c r="Q2478" s="18">
        <f t="shared" si="455"/>
        <v>0</v>
      </c>
      <c r="R2478" s="18">
        <f t="shared" si="453"/>
        <v>106.875</v>
      </c>
      <c r="S2478" s="18">
        <v>0</v>
      </c>
    </row>
    <row r="2479" spans="1:19" ht="15" customHeight="1" x14ac:dyDescent="0.2">
      <c r="A2479" s="14">
        <f t="shared" si="456"/>
        <v>2440</v>
      </c>
      <c r="B2479" s="31" t="s">
        <v>2078</v>
      </c>
      <c r="C2479" s="15" t="s">
        <v>3</v>
      </c>
      <c r="D2479" s="31" t="s">
        <v>1708</v>
      </c>
      <c r="E2479" s="31"/>
      <c r="F2479" s="73" t="s">
        <v>4</v>
      </c>
      <c r="G2479" s="32">
        <v>40648</v>
      </c>
      <c r="H2479" s="29">
        <v>1279.76</v>
      </c>
      <c r="I2479" s="17">
        <v>0</v>
      </c>
      <c r="J2479" s="17">
        <v>604.22202958904097</v>
      </c>
      <c r="K2479" s="17">
        <f t="shared" si="450"/>
        <v>675.53797041095902</v>
      </c>
      <c r="L2479" s="23">
        <f t="shared" si="446"/>
        <v>63.988</v>
      </c>
      <c r="M2479" s="33">
        <v>10</v>
      </c>
      <c r="N2479" s="18">
        <f t="shared" si="451"/>
        <v>8.9726027397260282</v>
      </c>
      <c r="O2479" s="23">
        <f>(H2479-L2479)/M2479*N2479-J2479</f>
        <v>486.64188821917821</v>
      </c>
      <c r="P2479" s="18">
        <f t="shared" si="452"/>
        <v>9.9726027397260282</v>
      </c>
      <c r="Q2479" s="18">
        <f t="shared" si="455"/>
        <v>61.154997041095911</v>
      </c>
      <c r="R2479" s="18">
        <f t="shared" si="453"/>
        <v>547.79688526027417</v>
      </c>
      <c r="S2479" s="18">
        <v>0</v>
      </c>
    </row>
    <row r="2480" spans="1:19" ht="15" customHeight="1" x14ac:dyDescent="0.2">
      <c r="A2480" s="14">
        <f t="shared" si="456"/>
        <v>2441</v>
      </c>
      <c r="B2480" s="31" t="s">
        <v>2079</v>
      </c>
      <c r="C2480" s="15" t="s">
        <v>3</v>
      </c>
      <c r="D2480" s="31" t="s">
        <v>1708</v>
      </c>
      <c r="E2480" s="31"/>
      <c r="F2480" s="73" t="s">
        <v>4</v>
      </c>
      <c r="G2480" s="32">
        <v>35065</v>
      </c>
      <c r="H2480" s="29">
        <v>225</v>
      </c>
      <c r="I2480" s="17">
        <v>0</v>
      </c>
      <c r="J2480" s="17">
        <f t="shared" si="443"/>
        <v>213.75</v>
      </c>
      <c r="K2480" s="17">
        <f t="shared" si="450"/>
        <v>11.25</v>
      </c>
      <c r="L2480" s="23">
        <f t="shared" si="446"/>
        <v>11.25</v>
      </c>
      <c r="M2480" s="33">
        <v>10</v>
      </c>
      <c r="N2480" s="18">
        <f t="shared" si="451"/>
        <v>24.268493150684932</v>
      </c>
      <c r="O2480" s="23">
        <f t="shared" ref="O2480:O2490" si="458">(H2480-K2480)/2</f>
        <v>106.875</v>
      </c>
      <c r="P2480" s="18">
        <f t="shared" si="452"/>
        <v>25.268493150684932</v>
      </c>
      <c r="Q2480" s="18">
        <f t="shared" si="455"/>
        <v>0</v>
      </c>
      <c r="R2480" s="18">
        <f t="shared" si="453"/>
        <v>106.875</v>
      </c>
      <c r="S2480" s="18">
        <v>0</v>
      </c>
    </row>
    <row r="2481" spans="1:19" ht="15" customHeight="1" x14ac:dyDescent="0.2">
      <c r="A2481" s="14">
        <f t="shared" si="456"/>
        <v>2442</v>
      </c>
      <c r="B2481" s="31" t="s">
        <v>2080</v>
      </c>
      <c r="C2481" s="15" t="s">
        <v>3</v>
      </c>
      <c r="D2481" s="31" t="s">
        <v>1708</v>
      </c>
      <c r="E2481" s="31"/>
      <c r="F2481" s="73" t="s">
        <v>4</v>
      </c>
      <c r="G2481" s="32">
        <v>35065</v>
      </c>
      <c r="H2481" s="29">
        <v>30</v>
      </c>
      <c r="I2481" s="17">
        <v>0</v>
      </c>
      <c r="J2481" s="17">
        <f t="shared" si="443"/>
        <v>28.5</v>
      </c>
      <c r="K2481" s="17">
        <f t="shared" si="450"/>
        <v>1.5</v>
      </c>
      <c r="L2481" s="23">
        <f t="shared" si="446"/>
        <v>1.5</v>
      </c>
      <c r="M2481" s="33">
        <v>10</v>
      </c>
      <c r="N2481" s="18">
        <f t="shared" si="451"/>
        <v>24.268493150684932</v>
      </c>
      <c r="O2481" s="23">
        <f t="shared" si="458"/>
        <v>14.25</v>
      </c>
      <c r="P2481" s="18">
        <f t="shared" si="452"/>
        <v>25.268493150684932</v>
      </c>
      <c r="Q2481" s="18">
        <f t="shared" si="455"/>
        <v>0</v>
      </c>
      <c r="R2481" s="18">
        <f t="shared" si="453"/>
        <v>14.25</v>
      </c>
      <c r="S2481" s="18">
        <v>0</v>
      </c>
    </row>
    <row r="2482" spans="1:19" ht="15" customHeight="1" x14ac:dyDescent="0.2">
      <c r="A2482" s="14">
        <f t="shared" si="456"/>
        <v>2443</v>
      </c>
      <c r="B2482" s="31" t="s">
        <v>2081</v>
      </c>
      <c r="C2482" s="15" t="s">
        <v>3</v>
      </c>
      <c r="D2482" s="31" t="s">
        <v>1708</v>
      </c>
      <c r="E2482" s="31"/>
      <c r="F2482" s="73" t="s">
        <v>4</v>
      </c>
      <c r="G2482" s="32">
        <v>39083</v>
      </c>
      <c r="H2482" s="29">
        <v>1215</v>
      </c>
      <c r="I2482" s="17">
        <v>0</v>
      </c>
      <c r="J2482" s="17">
        <f t="shared" si="443"/>
        <v>1154.25</v>
      </c>
      <c r="K2482" s="17">
        <f t="shared" si="450"/>
        <v>60.75</v>
      </c>
      <c r="L2482" s="23">
        <f t="shared" si="446"/>
        <v>60.75</v>
      </c>
      <c r="M2482" s="33">
        <v>10</v>
      </c>
      <c r="N2482" s="18">
        <f t="shared" si="451"/>
        <v>13.260273972602739</v>
      </c>
      <c r="O2482" s="23">
        <f t="shared" si="458"/>
        <v>577.125</v>
      </c>
      <c r="P2482" s="18">
        <f t="shared" si="452"/>
        <v>14.260273972602739</v>
      </c>
      <c r="Q2482" s="18">
        <f t="shared" si="455"/>
        <v>0</v>
      </c>
      <c r="R2482" s="18">
        <f t="shared" si="453"/>
        <v>577.125</v>
      </c>
      <c r="S2482" s="18">
        <v>0</v>
      </c>
    </row>
    <row r="2483" spans="1:19" ht="15" customHeight="1" x14ac:dyDescent="0.2">
      <c r="A2483" s="14">
        <f t="shared" si="456"/>
        <v>2444</v>
      </c>
      <c r="B2483" s="31" t="s">
        <v>2082</v>
      </c>
      <c r="C2483" s="15" t="s">
        <v>3</v>
      </c>
      <c r="D2483" s="31" t="s">
        <v>1708</v>
      </c>
      <c r="E2483" s="31"/>
      <c r="F2483" s="73" t="s">
        <v>4</v>
      </c>
      <c r="G2483" s="32">
        <v>35431</v>
      </c>
      <c r="H2483" s="29">
        <v>27330</v>
      </c>
      <c r="I2483" s="17">
        <v>0</v>
      </c>
      <c r="J2483" s="17">
        <f t="shared" si="443"/>
        <v>25963.5</v>
      </c>
      <c r="K2483" s="17">
        <f t="shared" si="450"/>
        <v>1366.5</v>
      </c>
      <c r="L2483" s="23">
        <f t="shared" si="446"/>
        <v>1366.5</v>
      </c>
      <c r="M2483" s="33">
        <v>10</v>
      </c>
      <c r="N2483" s="18">
        <f t="shared" si="451"/>
        <v>23.265753424657536</v>
      </c>
      <c r="O2483" s="23">
        <f t="shared" si="458"/>
        <v>12981.75</v>
      </c>
      <c r="P2483" s="18">
        <f t="shared" si="452"/>
        <v>24.265753424657536</v>
      </c>
      <c r="Q2483" s="18">
        <f t="shared" si="455"/>
        <v>0</v>
      </c>
      <c r="R2483" s="18">
        <f t="shared" si="453"/>
        <v>12981.75</v>
      </c>
      <c r="S2483" s="18">
        <v>0</v>
      </c>
    </row>
    <row r="2484" spans="1:19" ht="15" customHeight="1" x14ac:dyDescent="0.2">
      <c r="A2484" s="14">
        <f t="shared" si="456"/>
        <v>2445</v>
      </c>
      <c r="B2484" s="31" t="s">
        <v>1293</v>
      </c>
      <c r="C2484" s="15" t="s">
        <v>3</v>
      </c>
      <c r="D2484" s="31" t="s">
        <v>1708</v>
      </c>
      <c r="E2484" s="31"/>
      <c r="F2484" s="73" t="s">
        <v>4</v>
      </c>
      <c r="G2484" s="32">
        <v>41470</v>
      </c>
      <c r="H2484" s="29">
        <v>1116.24</v>
      </c>
      <c r="I2484" s="17">
        <v>0</v>
      </c>
      <c r="J2484" s="17">
        <f t="shared" si="443"/>
        <v>1060.4280000000001</v>
      </c>
      <c r="K2484" s="17">
        <f t="shared" si="450"/>
        <v>55.811999999999898</v>
      </c>
      <c r="L2484" s="23">
        <f t="shared" si="446"/>
        <v>55.812000000000005</v>
      </c>
      <c r="M2484" s="33">
        <v>5</v>
      </c>
      <c r="N2484" s="18">
        <f t="shared" si="451"/>
        <v>6.720547945205479</v>
      </c>
      <c r="O2484" s="23">
        <f t="shared" si="458"/>
        <v>530.21400000000006</v>
      </c>
      <c r="P2484" s="18">
        <f t="shared" si="452"/>
        <v>7.720547945205479</v>
      </c>
      <c r="Q2484" s="18">
        <f t="shared" si="455"/>
        <v>-2.1316282072803006E-14</v>
      </c>
      <c r="R2484" s="18">
        <f t="shared" si="453"/>
        <v>530.21400000000006</v>
      </c>
      <c r="S2484" s="18">
        <v>0</v>
      </c>
    </row>
    <row r="2485" spans="1:19" ht="15" customHeight="1" x14ac:dyDescent="0.2">
      <c r="A2485" s="14">
        <f t="shared" si="456"/>
        <v>2446</v>
      </c>
      <c r="B2485" s="31" t="s">
        <v>1293</v>
      </c>
      <c r="C2485" s="15" t="s">
        <v>3</v>
      </c>
      <c r="D2485" s="31" t="s">
        <v>1708</v>
      </c>
      <c r="E2485" s="31"/>
      <c r="F2485" s="73" t="s">
        <v>4</v>
      </c>
      <c r="G2485" s="32">
        <v>41440</v>
      </c>
      <c r="H2485" s="29">
        <v>1116.23</v>
      </c>
      <c r="I2485" s="17">
        <v>0</v>
      </c>
      <c r="J2485" s="17">
        <f t="shared" si="443"/>
        <v>1060.4185</v>
      </c>
      <c r="K2485" s="17">
        <f t="shared" si="450"/>
        <v>55.811500000000024</v>
      </c>
      <c r="L2485" s="23">
        <f t="shared" si="446"/>
        <v>55.811500000000002</v>
      </c>
      <c r="M2485" s="33">
        <v>5</v>
      </c>
      <c r="N2485" s="18">
        <f t="shared" si="451"/>
        <v>6.8027397260273972</v>
      </c>
      <c r="O2485" s="23">
        <f t="shared" si="458"/>
        <v>530.20925</v>
      </c>
      <c r="P2485" s="18">
        <f t="shared" si="452"/>
        <v>7.8027397260273972</v>
      </c>
      <c r="Q2485" s="18">
        <f t="shared" si="455"/>
        <v>4.2632564145606017E-15</v>
      </c>
      <c r="R2485" s="18">
        <f t="shared" si="453"/>
        <v>530.20925</v>
      </c>
      <c r="S2485" s="18">
        <v>0</v>
      </c>
    </row>
    <row r="2486" spans="1:19" ht="15" customHeight="1" x14ac:dyDescent="0.2">
      <c r="A2486" s="14">
        <f t="shared" si="456"/>
        <v>2447</v>
      </c>
      <c r="B2486" s="31" t="s">
        <v>1287</v>
      </c>
      <c r="C2486" s="15" t="s">
        <v>3</v>
      </c>
      <c r="D2486" s="31" t="s">
        <v>1708</v>
      </c>
      <c r="E2486" s="31"/>
      <c r="F2486" s="73" t="s">
        <v>4</v>
      </c>
      <c r="G2486" s="32">
        <v>41044</v>
      </c>
      <c r="H2486" s="29">
        <v>1096.6400000000001</v>
      </c>
      <c r="I2486" s="17">
        <v>0</v>
      </c>
      <c r="J2486" s="17">
        <f t="shared" si="443"/>
        <v>1041.808</v>
      </c>
      <c r="K2486" s="17">
        <f t="shared" si="450"/>
        <v>54.832000000000107</v>
      </c>
      <c r="L2486" s="23">
        <f t="shared" si="446"/>
        <v>54.832000000000008</v>
      </c>
      <c r="M2486" s="33">
        <v>5</v>
      </c>
      <c r="N2486" s="18">
        <f t="shared" si="451"/>
        <v>7.8876712328767127</v>
      </c>
      <c r="O2486" s="23">
        <f t="shared" si="458"/>
        <v>520.904</v>
      </c>
      <c r="P2486" s="18">
        <f t="shared" si="452"/>
        <v>8.8876712328767127</v>
      </c>
      <c r="Q2486" s="18">
        <f t="shared" si="455"/>
        <v>1.9895196601282807E-14</v>
      </c>
      <c r="R2486" s="18">
        <f t="shared" si="453"/>
        <v>520.904</v>
      </c>
      <c r="S2486" s="18">
        <v>0</v>
      </c>
    </row>
    <row r="2487" spans="1:19" ht="15" customHeight="1" x14ac:dyDescent="0.2">
      <c r="A2487" s="14">
        <f t="shared" si="456"/>
        <v>2448</v>
      </c>
      <c r="B2487" s="31" t="s">
        <v>2083</v>
      </c>
      <c r="C2487" s="15" t="s">
        <v>3</v>
      </c>
      <c r="D2487" s="31" t="s">
        <v>1708</v>
      </c>
      <c r="E2487" s="31"/>
      <c r="F2487" s="73" t="s">
        <v>4</v>
      </c>
      <c r="G2487" s="32">
        <v>35431</v>
      </c>
      <c r="H2487" s="29">
        <v>10440</v>
      </c>
      <c r="I2487" s="17">
        <v>0</v>
      </c>
      <c r="J2487" s="17">
        <f t="shared" si="443"/>
        <v>9918</v>
      </c>
      <c r="K2487" s="17">
        <f t="shared" si="450"/>
        <v>522</v>
      </c>
      <c r="L2487" s="23">
        <f t="shared" si="446"/>
        <v>522</v>
      </c>
      <c r="M2487" s="33">
        <v>10</v>
      </c>
      <c r="N2487" s="18">
        <f t="shared" si="451"/>
        <v>23.265753424657536</v>
      </c>
      <c r="O2487" s="23">
        <f t="shared" si="458"/>
        <v>4959</v>
      </c>
      <c r="P2487" s="18">
        <f t="shared" si="452"/>
        <v>24.265753424657536</v>
      </c>
      <c r="Q2487" s="18">
        <f t="shared" si="455"/>
        <v>0</v>
      </c>
      <c r="R2487" s="18">
        <f t="shared" si="453"/>
        <v>4959</v>
      </c>
      <c r="S2487" s="18">
        <v>0</v>
      </c>
    </row>
    <row r="2488" spans="1:19" ht="15" customHeight="1" x14ac:dyDescent="0.2">
      <c r="A2488" s="14">
        <f t="shared" si="456"/>
        <v>2449</v>
      </c>
      <c r="B2488" s="31" t="s">
        <v>2084</v>
      </c>
      <c r="C2488" s="15" t="s">
        <v>3</v>
      </c>
      <c r="D2488" s="31" t="s">
        <v>1708</v>
      </c>
      <c r="E2488" s="31"/>
      <c r="F2488" s="73" t="s">
        <v>4</v>
      </c>
      <c r="G2488" s="32">
        <v>35431</v>
      </c>
      <c r="H2488" s="29">
        <v>8041</v>
      </c>
      <c r="I2488" s="17">
        <v>0</v>
      </c>
      <c r="J2488" s="17">
        <f t="shared" si="443"/>
        <v>7638.95</v>
      </c>
      <c r="K2488" s="17">
        <f t="shared" si="450"/>
        <v>402.05000000000018</v>
      </c>
      <c r="L2488" s="23">
        <f t="shared" si="446"/>
        <v>402.05</v>
      </c>
      <c r="M2488" s="33">
        <v>10</v>
      </c>
      <c r="N2488" s="18">
        <f t="shared" si="451"/>
        <v>23.265753424657536</v>
      </c>
      <c r="O2488" s="23">
        <f t="shared" si="458"/>
        <v>3819.4749999999999</v>
      </c>
      <c r="P2488" s="18">
        <f t="shared" si="452"/>
        <v>24.265753424657536</v>
      </c>
      <c r="Q2488" s="18">
        <f t="shared" si="455"/>
        <v>1.7053025658242407E-14</v>
      </c>
      <c r="R2488" s="18">
        <f t="shared" si="453"/>
        <v>3819.4749999999999</v>
      </c>
      <c r="S2488" s="18">
        <v>0</v>
      </c>
    </row>
    <row r="2489" spans="1:19" ht="15" customHeight="1" x14ac:dyDescent="0.2">
      <c r="A2489" s="14">
        <f t="shared" si="456"/>
        <v>2450</v>
      </c>
      <c r="B2489" s="31" t="s">
        <v>2065</v>
      </c>
      <c r="C2489" s="15" t="s">
        <v>3</v>
      </c>
      <c r="D2489" s="31" t="s">
        <v>1708</v>
      </c>
      <c r="E2489" s="31"/>
      <c r="F2489" s="73" t="s">
        <v>4</v>
      </c>
      <c r="G2489" s="32">
        <v>35431</v>
      </c>
      <c r="H2489" s="29">
        <v>7730</v>
      </c>
      <c r="I2489" s="17">
        <v>0</v>
      </c>
      <c r="J2489" s="17">
        <f t="shared" si="443"/>
        <v>7343.5</v>
      </c>
      <c r="K2489" s="17">
        <f t="shared" si="450"/>
        <v>386.5</v>
      </c>
      <c r="L2489" s="23">
        <f t="shared" si="446"/>
        <v>386.5</v>
      </c>
      <c r="M2489" s="33">
        <v>10</v>
      </c>
      <c r="N2489" s="18">
        <f t="shared" si="451"/>
        <v>23.265753424657536</v>
      </c>
      <c r="O2489" s="23">
        <f t="shared" si="458"/>
        <v>3671.75</v>
      </c>
      <c r="P2489" s="18">
        <f t="shared" si="452"/>
        <v>24.265753424657536</v>
      </c>
      <c r="Q2489" s="18">
        <f t="shared" si="455"/>
        <v>0</v>
      </c>
      <c r="R2489" s="18">
        <f t="shared" si="453"/>
        <v>3671.75</v>
      </c>
      <c r="S2489" s="18">
        <v>0</v>
      </c>
    </row>
    <row r="2490" spans="1:19" ht="15" customHeight="1" x14ac:dyDescent="0.2">
      <c r="A2490" s="14">
        <f t="shared" si="456"/>
        <v>2451</v>
      </c>
      <c r="B2490" s="31" t="s">
        <v>2085</v>
      </c>
      <c r="C2490" s="15" t="s">
        <v>3</v>
      </c>
      <c r="D2490" s="31" t="s">
        <v>1708</v>
      </c>
      <c r="E2490" s="31"/>
      <c r="F2490" s="73" t="s">
        <v>4</v>
      </c>
      <c r="G2490" s="32">
        <v>35431</v>
      </c>
      <c r="H2490" s="29">
        <v>6140</v>
      </c>
      <c r="I2490" s="17">
        <v>0</v>
      </c>
      <c r="J2490" s="17">
        <f t="shared" si="443"/>
        <v>5833</v>
      </c>
      <c r="K2490" s="17">
        <f t="shared" si="450"/>
        <v>307</v>
      </c>
      <c r="L2490" s="23">
        <f t="shared" si="446"/>
        <v>307</v>
      </c>
      <c r="M2490" s="33">
        <v>10</v>
      </c>
      <c r="N2490" s="18">
        <f t="shared" si="451"/>
        <v>23.265753424657536</v>
      </c>
      <c r="O2490" s="23">
        <f t="shared" si="458"/>
        <v>2916.5</v>
      </c>
      <c r="P2490" s="18">
        <f t="shared" si="452"/>
        <v>24.265753424657536</v>
      </c>
      <c r="Q2490" s="18">
        <f t="shared" si="455"/>
        <v>0</v>
      </c>
      <c r="R2490" s="18">
        <f t="shared" si="453"/>
        <v>2916.5</v>
      </c>
      <c r="S2490" s="18">
        <v>0</v>
      </c>
    </row>
    <row r="2491" spans="1:19" ht="15" customHeight="1" x14ac:dyDescent="0.2">
      <c r="A2491" s="14">
        <f t="shared" si="456"/>
        <v>2452</v>
      </c>
      <c r="B2491" s="31" t="s">
        <v>2086</v>
      </c>
      <c r="C2491" s="15" t="s">
        <v>3</v>
      </c>
      <c r="D2491" s="31" t="s">
        <v>1708</v>
      </c>
      <c r="E2491" s="31"/>
      <c r="F2491" s="73" t="s">
        <v>4</v>
      </c>
      <c r="G2491" s="32">
        <v>41578</v>
      </c>
      <c r="H2491" s="29">
        <v>1000</v>
      </c>
      <c r="I2491" s="17">
        <v>0</v>
      </c>
      <c r="J2491" s="17">
        <v>230.08219178082189</v>
      </c>
      <c r="K2491" s="17">
        <f t="shared" si="450"/>
        <v>769.91780821917814</v>
      </c>
      <c r="L2491" s="23">
        <f t="shared" si="446"/>
        <v>50</v>
      </c>
      <c r="M2491" s="33">
        <v>10</v>
      </c>
      <c r="N2491" s="18">
        <f t="shared" si="451"/>
        <v>6.4246575342465757</v>
      </c>
      <c r="O2491" s="23">
        <f>(H2491-L2491)/M2491*N2491-J2491</f>
        <v>380.26027397260282</v>
      </c>
      <c r="P2491" s="18">
        <f t="shared" si="452"/>
        <v>7.4246575342465757</v>
      </c>
      <c r="Q2491" s="18">
        <f t="shared" si="455"/>
        <v>71.991780821917814</v>
      </c>
      <c r="R2491" s="18">
        <f t="shared" si="453"/>
        <v>452.25205479452063</v>
      </c>
      <c r="S2491" s="18">
        <v>0</v>
      </c>
    </row>
    <row r="2492" spans="1:19" ht="15" customHeight="1" x14ac:dyDescent="0.2">
      <c r="A2492" s="14">
        <f t="shared" si="456"/>
        <v>2453</v>
      </c>
      <c r="B2492" s="31" t="s">
        <v>1557</v>
      </c>
      <c r="C2492" s="15" t="s">
        <v>3</v>
      </c>
      <c r="D2492" s="31" t="s">
        <v>1708</v>
      </c>
      <c r="E2492" s="31"/>
      <c r="F2492" s="73" t="s">
        <v>4</v>
      </c>
      <c r="G2492" s="32">
        <v>41258</v>
      </c>
      <c r="H2492" s="29">
        <v>997.44</v>
      </c>
      <c r="I2492" s="17">
        <v>0</v>
      </c>
      <c r="J2492" s="17">
        <f t="shared" si="443"/>
        <v>947.5680000000001</v>
      </c>
      <c r="K2492" s="17">
        <f t="shared" si="450"/>
        <v>49.871999999999957</v>
      </c>
      <c r="L2492" s="23">
        <f t="shared" si="446"/>
        <v>49.872000000000007</v>
      </c>
      <c r="M2492" s="33">
        <v>5</v>
      </c>
      <c r="N2492" s="18">
        <f t="shared" si="451"/>
        <v>7.3013698630136989</v>
      </c>
      <c r="O2492" s="23">
        <f>(H2492-K2492)/2</f>
        <v>473.78400000000005</v>
      </c>
      <c r="P2492" s="18">
        <f t="shared" si="452"/>
        <v>8.3013698630136989</v>
      </c>
      <c r="Q2492" s="18">
        <f t="shared" si="455"/>
        <v>-9.9475983006414035E-15</v>
      </c>
      <c r="R2492" s="18">
        <f t="shared" si="453"/>
        <v>473.78400000000005</v>
      </c>
      <c r="S2492" s="18">
        <v>0</v>
      </c>
    </row>
    <row r="2493" spans="1:19" ht="15" customHeight="1" x14ac:dyDescent="0.2">
      <c r="A2493" s="14">
        <f t="shared" si="456"/>
        <v>2454</v>
      </c>
      <c r="B2493" s="31" t="s">
        <v>2087</v>
      </c>
      <c r="C2493" s="15" t="s">
        <v>3</v>
      </c>
      <c r="D2493" s="31" t="s">
        <v>1708</v>
      </c>
      <c r="E2493" s="31"/>
      <c r="F2493" s="73" t="s">
        <v>4</v>
      </c>
      <c r="G2493" s="32">
        <v>40892</v>
      </c>
      <c r="H2493" s="29">
        <v>980</v>
      </c>
      <c r="I2493" s="17">
        <v>0</v>
      </c>
      <c r="J2493" s="17">
        <v>400.45753424657534</v>
      </c>
      <c r="K2493" s="17">
        <f t="shared" si="450"/>
        <v>579.54246575342472</v>
      </c>
      <c r="L2493" s="23">
        <f t="shared" si="446"/>
        <v>49</v>
      </c>
      <c r="M2493" s="33">
        <v>10</v>
      </c>
      <c r="N2493" s="18">
        <f t="shared" si="451"/>
        <v>8.3041095890410954</v>
      </c>
      <c r="O2493" s="23">
        <f>(H2493-L2493)/M2493*N2493-J2493</f>
        <v>372.65506849315062</v>
      </c>
      <c r="P2493" s="18">
        <f t="shared" si="452"/>
        <v>9.3041095890410954</v>
      </c>
      <c r="Q2493" s="18">
        <f t="shared" si="455"/>
        <v>53.054246575342475</v>
      </c>
      <c r="R2493" s="18">
        <f t="shared" si="453"/>
        <v>425.70931506849308</v>
      </c>
      <c r="S2493" s="18">
        <v>0</v>
      </c>
    </row>
    <row r="2494" spans="1:19" ht="15" customHeight="1" x14ac:dyDescent="0.2">
      <c r="A2494" s="14">
        <f t="shared" si="456"/>
        <v>2455</v>
      </c>
      <c r="B2494" s="31" t="s">
        <v>2087</v>
      </c>
      <c r="C2494" s="15" t="s">
        <v>3</v>
      </c>
      <c r="D2494" s="31" t="s">
        <v>1708</v>
      </c>
      <c r="E2494" s="31"/>
      <c r="F2494" s="73" t="s">
        <v>4</v>
      </c>
      <c r="G2494" s="32">
        <v>40954</v>
      </c>
      <c r="H2494" s="29">
        <v>973.4</v>
      </c>
      <c r="I2494" s="17">
        <v>0</v>
      </c>
      <c r="J2494" s="17">
        <v>382.05283287671233</v>
      </c>
      <c r="K2494" s="17">
        <f t="shared" si="450"/>
        <v>591.34716712328759</v>
      </c>
      <c r="L2494" s="23">
        <f t="shared" si="446"/>
        <v>48.67</v>
      </c>
      <c r="M2494" s="33">
        <v>10</v>
      </c>
      <c r="N2494" s="18">
        <f t="shared" si="451"/>
        <v>8.1342465753424662</v>
      </c>
      <c r="O2494" s="23">
        <f>(H2494-L2494)/M2494*N2494-J2494</f>
        <v>370.14535068493154</v>
      </c>
      <c r="P2494" s="18">
        <f t="shared" si="452"/>
        <v>9.1342465753424662</v>
      </c>
      <c r="Q2494" s="18">
        <f t="shared" si="455"/>
        <v>54.267716712328763</v>
      </c>
      <c r="R2494" s="18">
        <f t="shared" si="453"/>
        <v>424.41306739726031</v>
      </c>
      <c r="S2494" s="18">
        <v>0</v>
      </c>
    </row>
    <row r="2495" spans="1:19" ht="15" customHeight="1" x14ac:dyDescent="0.2">
      <c r="A2495" s="14">
        <f t="shared" si="456"/>
        <v>2456</v>
      </c>
      <c r="B2495" s="31" t="s">
        <v>1817</v>
      </c>
      <c r="C2495" s="15" t="s">
        <v>3</v>
      </c>
      <c r="D2495" s="31" t="s">
        <v>1708</v>
      </c>
      <c r="E2495" s="31"/>
      <c r="F2495" s="73" t="s">
        <v>4</v>
      </c>
      <c r="G2495" s="32">
        <v>35431</v>
      </c>
      <c r="H2495" s="29">
        <v>3750</v>
      </c>
      <c r="I2495" s="17">
        <v>0</v>
      </c>
      <c r="J2495" s="17">
        <f t="shared" ref="J2495:J2534" si="459">H2495-L2495</f>
        <v>3562.5</v>
      </c>
      <c r="K2495" s="17">
        <f t="shared" si="450"/>
        <v>187.5</v>
      </c>
      <c r="L2495" s="23">
        <f t="shared" si="446"/>
        <v>187.5</v>
      </c>
      <c r="M2495" s="33">
        <v>10</v>
      </c>
      <c r="N2495" s="18">
        <f t="shared" si="451"/>
        <v>23.265753424657536</v>
      </c>
      <c r="O2495" s="23">
        <f t="shared" ref="O2495:O2499" si="460">(H2495-K2495)/2</f>
        <v>1781.25</v>
      </c>
      <c r="P2495" s="18">
        <f t="shared" si="452"/>
        <v>24.265753424657536</v>
      </c>
      <c r="Q2495" s="18">
        <f t="shared" si="455"/>
        <v>0</v>
      </c>
      <c r="R2495" s="18">
        <f t="shared" si="453"/>
        <v>1781.25</v>
      </c>
      <c r="S2495" s="18">
        <v>0</v>
      </c>
    </row>
    <row r="2496" spans="1:19" ht="15" customHeight="1" x14ac:dyDescent="0.2">
      <c r="A2496" s="14">
        <f t="shared" si="456"/>
        <v>2457</v>
      </c>
      <c r="B2496" s="31" t="s">
        <v>2088</v>
      </c>
      <c r="C2496" s="15" t="s">
        <v>3</v>
      </c>
      <c r="D2496" s="31" t="s">
        <v>1708</v>
      </c>
      <c r="E2496" s="31"/>
      <c r="F2496" s="73" t="s">
        <v>4</v>
      </c>
      <c r="G2496" s="32">
        <v>35431</v>
      </c>
      <c r="H2496" s="29">
        <v>3609</v>
      </c>
      <c r="I2496" s="17">
        <v>0</v>
      </c>
      <c r="J2496" s="17">
        <f t="shared" si="459"/>
        <v>3428.55</v>
      </c>
      <c r="K2496" s="17">
        <f t="shared" si="450"/>
        <v>180.44999999999982</v>
      </c>
      <c r="L2496" s="23">
        <f t="shared" si="446"/>
        <v>180.45000000000002</v>
      </c>
      <c r="M2496" s="33">
        <v>10</v>
      </c>
      <c r="N2496" s="18">
        <f t="shared" si="451"/>
        <v>23.265753424657536</v>
      </c>
      <c r="O2496" s="23">
        <f t="shared" si="460"/>
        <v>1714.2750000000001</v>
      </c>
      <c r="P2496" s="18">
        <f t="shared" si="452"/>
        <v>24.265753424657536</v>
      </c>
      <c r="Q2496" s="18">
        <f t="shared" si="455"/>
        <v>-1.9895196601282807E-14</v>
      </c>
      <c r="R2496" s="18">
        <f t="shared" si="453"/>
        <v>1714.2750000000001</v>
      </c>
      <c r="S2496" s="18">
        <v>0</v>
      </c>
    </row>
    <row r="2497" spans="1:19" ht="15" customHeight="1" x14ac:dyDescent="0.2">
      <c r="A2497" s="14">
        <f t="shared" si="456"/>
        <v>2458</v>
      </c>
      <c r="B2497" s="31" t="s">
        <v>2089</v>
      </c>
      <c r="C2497" s="15" t="s">
        <v>3</v>
      </c>
      <c r="D2497" s="31" t="s">
        <v>1708</v>
      </c>
      <c r="E2497" s="31"/>
      <c r="F2497" s="73" t="s">
        <v>4</v>
      </c>
      <c r="G2497" s="32">
        <v>39948</v>
      </c>
      <c r="H2497" s="29">
        <v>943.04</v>
      </c>
      <c r="I2497" s="17">
        <v>0</v>
      </c>
      <c r="J2497" s="17">
        <f t="shared" si="459"/>
        <v>895.88799999999992</v>
      </c>
      <c r="K2497" s="17">
        <f t="shared" si="450"/>
        <v>47.152000000000044</v>
      </c>
      <c r="L2497" s="23">
        <f t="shared" si="446"/>
        <v>47.152000000000001</v>
      </c>
      <c r="M2497" s="33">
        <v>10</v>
      </c>
      <c r="N2497" s="18">
        <f t="shared" si="451"/>
        <v>10.890410958904109</v>
      </c>
      <c r="O2497" s="23">
        <f t="shared" si="460"/>
        <v>447.94399999999996</v>
      </c>
      <c r="P2497" s="18">
        <f t="shared" si="452"/>
        <v>11.890410958904109</v>
      </c>
      <c r="Q2497" s="18">
        <f t="shared" si="455"/>
        <v>4.2632564145606017E-15</v>
      </c>
      <c r="R2497" s="18">
        <f t="shared" si="453"/>
        <v>447.94399999999996</v>
      </c>
      <c r="S2497" s="18">
        <v>0</v>
      </c>
    </row>
    <row r="2498" spans="1:19" ht="15" customHeight="1" x14ac:dyDescent="0.2">
      <c r="A2498" s="14">
        <f t="shared" si="456"/>
        <v>2459</v>
      </c>
      <c r="B2498" s="31" t="s">
        <v>1840</v>
      </c>
      <c r="C2498" s="15" t="s">
        <v>3</v>
      </c>
      <c r="D2498" s="31" t="s">
        <v>1708</v>
      </c>
      <c r="E2498" s="31"/>
      <c r="F2498" s="73" t="s">
        <v>4</v>
      </c>
      <c r="G2498" s="32">
        <v>39767</v>
      </c>
      <c r="H2498" s="29">
        <v>931.59</v>
      </c>
      <c r="I2498" s="17">
        <v>0</v>
      </c>
      <c r="J2498" s="17">
        <f t="shared" si="459"/>
        <v>885.01049999999998</v>
      </c>
      <c r="K2498" s="17">
        <f t="shared" si="450"/>
        <v>46.579500000000053</v>
      </c>
      <c r="L2498" s="23">
        <f t="shared" si="446"/>
        <v>46.579500000000003</v>
      </c>
      <c r="M2498" s="33">
        <v>10</v>
      </c>
      <c r="N2498" s="18">
        <f t="shared" si="451"/>
        <v>11.386301369863014</v>
      </c>
      <c r="O2498" s="23">
        <f t="shared" si="460"/>
        <v>442.50524999999999</v>
      </c>
      <c r="P2498" s="18">
        <f t="shared" si="452"/>
        <v>12.386301369863014</v>
      </c>
      <c r="Q2498" s="18">
        <f t="shared" si="455"/>
        <v>4.9737991503207018E-15</v>
      </c>
      <c r="R2498" s="18">
        <f t="shared" si="453"/>
        <v>442.50524999999999</v>
      </c>
      <c r="S2498" s="18">
        <v>0</v>
      </c>
    </row>
    <row r="2499" spans="1:19" ht="15" customHeight="1" x14ac:dyDescent="0.2">
      <c r="A2499" s="14">
        <f t="shared" si="456"/>
        <v>2460</v>
      </c>
      <c r="B2499" s="31" t="s">
        <v>2090</v>
      </c>
      <c r="C2499" s="15" t="s">
        <v>3</v>
      </c>
      <c r="D2499" s="31" t="s">
        <v>1708</v>
      </c>
      <c r="E2499" s="31"/>
      <c r="F2499" s="73" t="s">
        <v>4</v>
      </c>
      <c r="G2499" s="32">
        <v>35431</v>
      </c>
      <c r="H2499" s="29">
        <v>3170</v>
      </c>
      <c r="I2499" s="17">
        <v>0</v>
      </c>
      <c r="J2499" s="17">
        <f t="shared" si="459"/>
        <v>3011.5</v>
      </c>
      <c r="K2499" s="17">
        <f t="shared" si="450"/>
        <v>158.5</v>
      </c>
      <c r="L2499" s="23">
        <f t="shared" si="446"/>
        <v>158.5</v>
      </c>
      <c r="M2499" s="33">
        <v>10</v>
      </c>
      <c r="N2499" s="18">
        <f t="shared" si="451"/>
        <v>23.265753424657536</v>
      </c>
      <c r="O2499" s="23">
        <f t="shared" si="460"/>
        <v>1505.75</v>
      </c>
      <c r="P2499" s="18">
        <f t="shared" si="452"/>
        <v>24.265753424657536</v>
      </c>
      <c r="Q2499" s="18">
        <f t="shared" si="455"/>
        <v>0</v>
      </c>
      <c r="R2499" s="18">
        <f t="shared" si="453"/>
        <v>1505.75</v>
      </c>
      <c r="S2499" s="18">
        <v>0</v>
      </c>
    </row>
    <row r="2500" spans="1:19" ht="15" customHeight="1" x14ac:dyDescent="0.2">
      <c r="A2500" s="14">
        <f t="shared" si="456"/>
        <v>2461</v>
      </c>
      <c r="B2500" s="31" t="s">
        <v>1958</v>
      </c>
      <c r="C2500" s="15" t="s">
        <v>3</v>
      </c>
      <c r="D2500" s="31" t="s">
        <v>1708</v>
      </c>
      <c r="E2500" s="31"/>
      <c r="F2500" s="73" t="s">
        <v>4</v>
      </c>
      <c r="G2500" s="32">
        <v>41320</v>
      </c>
      <c r="H2500" s="29">
        <v>900</v>
      </c>
      <c r="I2500" s="17">
        <v>0</v>
      </c>
      <c r="J2500" s="17">
        <v>267.50958904109586</v>
      </c>
      <c r="K2500" s="17">
        <f t="shared" si="450"/>
        <v>632.49041095890414</v>
      </c>
      <c r="L2500" s="23">
        <f t="shared" si="446"/>
        <v>45</v>
      </c>
      <c r="M2500" s="33">
        <v>10</v>
      </c>
      <c r="N2500" s="18">
        <f t="shared" si="451"/>
        <v>7.1315068493150688</v>
      </c>
      <c r="O2500" s="23">
        <f>(H2500-L2500)/M2500*N2500-J2500</f>
        <v>342.23424657534247</v>
      </c>
      <c r="P2500" s="18">
        <f t="shared" si="452"/>
        <v>8.131506849315068</v>
      </c>
      <c r="Q2500" s="18">
        <f t="shared" si="455"/>
        <v>58.749041095890362</v>
      </c>
      <c r="R2500" s="18">
        <f t="shared" si="453"/>
        <v>400.9832876712328</v>
      </c>
      <c r="S2500" s="18">
        <v>0</v>
      </c>
    </row>
    <row r="2501" spans="1:19" ht="15" customHeight="1" x14ac:dyDescent="0.2">
      <c r="A2501" s="14">
        <f t="shared" si="456"/>
        <v>2462</v>
      </c>
      <c r="B2501" s="31" t="s">
        <v>1854</v>
      </c>
      <c r="C2501" s="15" t="s">
        <v>3</v>
      </c>
      <c r="D2501" s="31" t="s">
        <v>1708</v>
      </c>
      <c r="E2501" s="31"/>
      <c r="F2501" s="73" t="s">
        <v>4</v>
      </c>
      <c r="G2501" s="32">
        <v>35431</v>
      </c>
      <c r="H2501" s="29">
        <v>2510</v>
      </c>
      <c r="I2501" s="17">
        <v>0</v>
      </c>
      <c r="J2501" s="17">
        <f t="shared" si="459"/>
        <v>2384.5</v>
      </c>
      <c r="K2501" s="17">
        <f t="shared" si="450"/>
        <v>125.5</v>
      </c>
      <c r="L2501" s="23">
        <f t="shared" si="446"/>
        <v>125.5</v>
      </c>
      <c r="M2501" s="33">
        <v>10</v>
      </c>
      <c r="N2501" s="18">
        <f t="shared" si="451"/>
        <v>23.265753424657536</v>
      </c>
      <c r="O2501" s="23">
        <f t="shared" ref="O2501:O2505" si="461">(H2501-K2501)/2</f>
        <v>1192.25</v>
      </c>
      <c r="P2501" s="18">
        <f t="shared" si="452"/>
        <v>24.265753424657536</v>
      </c>
      <c r="Q2501" s="18">
        <f t="shared" si="455"/>
        <v>0</v>
      </c>
      <c r="R2501" s="18">
        <f t="shared" si="453"/>
        <v>1192.25</v>
      </c>
      <c r="S2501" s="18">
        <v>0</v>
      </c>
    </row>
    <row r="2502" spans="1:19" ht="15" customHeight="1" x14ac:dyDescent="0.2">
      <c r="A2502" s="14">
        <f t="shared" si="456"/>
        <v>2463</v>
      </c>
      <c r="B2502" s="31" t="s">
        <v>2091</v>
      </c>
      <c r="C2502" s="15" t="s">
        <v>3</v>
      </c>
      <c r="D2502" s="31" t="s">
        <v>1708</v>
      </c>
      <c r="E2502" s="31"/>
      <c r="F2502" s="73" t="s">
        <v>4</v>
      </c>
      <c r="G2502" s="32">
        <v>35431</v>
      </c>
      <c r="H2502" s="29">
        <v>1842</v>
      </c>
      <c r="I2502" s="17">
        <v>0</v>
      </c>
      <c r="J2502" s="17">
        <f t="shared" si="459"/>
        <v>1749.9</v>
      </c>
      <c r="K2502" s="17">
        <f t="shared" si="450"/>
        <v>92.099999999999909</v>
      </c>
      <c r="L2502" s="23">
        <f t="shared" si="446"/>
        <v>92.100000000000009</v>
      </c>
      <c r="M2502" s="33">
        <v>10</v>
      </c>
      <c r="N2502" s="18">
        <f t="shared" si="451"/>
        <v>23.265753424657536</v>
      </c>
      <c r="O2502" s="23">
        <f t="shared" si="461"/>
        <v>874.95</v>
      </c>
      <c r="P2502" s="18">
        <f t="shared" si="452"/>
        <v>24.265753424657536</v>
      </c>
      <c r="Q2502" s="18">
        <f t="shared" si="455"/>
        <v>-9.9475983006414035E-15</v>
      </c>
      <c r="R2502" s="18">
        <f t="shared" si="453"/>
        <v>874.95</v>
      </c>
      <c r="S2502" s="18">
        <v>0</v>
      </c>
    </row>
    <row r="2503" spans="1:19" ht="15" customHeight="1" x14ac:dyDescent="0.2">
      <c r="A2503" s="14">
        <f t="shared" si="456"/>
        <v>2464</v>
      </c>
      <c r="B2503" s="31" t="s">
        <v>2092</v>
      </c>
      <c r="C2503" s="15" t="s">
        <v>3</v>
      </c>
      <c r="D2503" s="31" t="s">
        <v>1708</v>
      </c>
      <c r="E2503" s="31"/>
      <c r="F2503" s="73" t="s">
        <v>4</v>
      </c>
      <c r="G2503" s="32">
        <v>35431</v>
      </c>
      <c r="H2503" s="29">
        <v>128</v>
      </c>
      <c r="I2503" s="17">
        <v>0</v>
      </c>
      <c r="J2503" s="17">
        <f t="shared" si="459"/>
        <v>121.6</v>
      </c>
      <c r="K2503" s="17">
        <f t="shared" si="450"/>
        <v>6.4000000000000057</v>
      </c>
      <c r="L2503" s="23">
        <f t="shared" si="446"/>
        <v>6.4</v>
      </c>
      <c r="M2503" s="33">
        <v>10</v>
      </c>
      <c r="N2503" s="18">
        <f t="shared" si="451"/>
        <v>23.265753424657536</v>
      </c>
      <c r="O2503" s="23">
        <f t="shared" si="461"/>
        <v>60.8</v>
      </c>
      <c r="P2503" s="18">
        <f t="shared" si="452"/>
        <v>24.265753424657536</v>
      </c>
      <c r="Q2503" s="18">
        <f t="shared" si="455"/>
        <v>5.3290705182007522E-16</v>
      </c>
      <c r="R2503" s="18">
        <f t="shared" si="453"/>
        <v>60.8</v>
      </c>
      <c r="S2503" s="18">
        <v>0</v>
      </c>
    </row>
    <row r="2504" spans="1:19" ht="15" customHeight="1" x14ac:dyDescent="0.2">
      <c r="A2504" s="14">
        <f t="shared" si="456"/>
        <v>2465</v>
      </c>
      <c r="B2504" s="31" t="s">
        <v>2093</v>
      </c>
      <c r="C2504" s="15" t="s">
        <v>3</v>
      </c>
      <c r="D2504" s="31" t="s">
        <v>1708</v>
      </c>
      <c r="E2504" s="31"/>
      <c r="F2504" s="73" t="s">
        <v>4</v>
      </c>
      <c r="G2504" s="32">
        <v>35431</v>
      </c>
      <c r="H2504" s="29">
        <v>46</v>
      </c>
      <c r="I2504" s="17">
        <v>0</v>
      </c>
      <c r="J2504" s="17">
        <f t="shared" si="459"/>
        <v>43.7</v>
      </c>
      <c r="K2504" s="17">
        <f t="shared" si="450"/>
        <v>2.2999999999999972</v>
      </c>
      <c r="L2504" s="23">
        <f t="shared" si="446"/>
        <v>2.3000000000000003</v>
      </c>
      <c r="M2504" s="33">
        <v>10</v>
      </c>
      <c r="N2504" s="18">
        <f t="shared" si="451"/>
        <v>23.265753424657536</v>
      </c>
      <c r="O2504" s="23">
        <f t="shared" si="461"/>
        <v>21.85</v>
      </c>
      <c r="P2504" s="18">
        <f t="shared" si="452"/>
        <v>24.265753424657536</v>
      </c>
      <c r="Q2504" s="18">
        <f t="shared" si="455"/>
        <v>-3.1086244689504386E-16</v>
      </c>
      <c r="R2504" s="18">
        <f t="shared" si="453"/>
        <v>21.85</v>
      </c>
      <c r="S2504" s="18">
        <v>0</v>
      </c>
    </row>
    <row r="2505" spans="1:19" ht="15" customHeight="1" x14ac:dyDescent="0.2">
      <c r="A2505" s="14">
        <f t="shared" si="456"/>
        <v>2466</v>
      </c>
      <c r="B2505" s="31" t="s">
        <v>2094</v>
      </c>
      <c r="C2505" s="15" t="s">
        <v>3</v>
      </c>
      <c r="D2505" s="31" t="s">
        <v>1708</v>
      </c>
      <c r="E2505" s="31"/>
      <c r="F2505" s="73" t="s">
        <v>4</v>
      </c>
      <c r="G2505" s="32">
        <v>41105</v>
      </c>
      <c r="H2505" s="29">
        <v>845.54</v>
      </c>
      <c r="I2505" s="17">
        <v>0</v>
      </c>
      <c r="J2505" s="17">
        <f t="shared" si="459"/>
        <v>803.26299999999992</v>
      </c>
      <c r="K2505" s="17">
        <f t="shared" si="450"/>
        <v>42.277000000000044</v>
      </c>
      <c r="L2505" s="23">
        <f t="shared" si="446"/>
        <v>42.277000000000001</v>
      </c>
      <c r="M2505" s="33">
        <v>5</v>
      </c>
      <c r="N2505" s="18">
        <f t="shared" si="451"/>
        <v>7.720547945205479</v>
      </c>
      <c r="O2505" s="23">
        <f t="shared" si="461"/>
        <v>401.63149999999996</v>
      </c>
      <c r="P2505" s="18">
        <f t="shared" si="452"/>
        <v>8.7205479452054799</v>
      </c>
      <c r="Q2505" s="18">
        <f t="shared" si="455"/>
        <v>8.5265128291212098E-15</v>
      </c>
      <c r="R2505" s="18">
        <f t="shared" si="453"/>
        <v>401.63149999999996</v>
      </c>
      <c r="S2505" s="18">
        <v>0</v>
      </c>
    </row>
    <row r="2506" spans="1:19" ht="15" customHeight="1" x14ac:dyDescent="0.2">
      <c r="A2506" s="14">
        <f t="shared" si="456"/>
        <v>2467</v>
      </c>
      <c r="B2506" s="31" t="s">
        <v>2095</v>
      </c>
      <c r="C2506" s="15" t="s">
        <v>3</v>
      </c>
      <c r="D2506" s="31" t="s">
        <v>1708</v>
      </c>
      <c r="E2506" s="31"/>
      <c r="F2506" s="73" t="s">
        <v>4</v>
      </c>
      <c r="G2506" s="32">
        <v>40739</v>
      </c>
      <c r="H2506" s="29">
        <v>845.32</v>
      </c>
      <c r="I2506" s="17">
        <v>0</v>
      </c>
      <c r="J2506" s="17">
        <v>379.08549095890413</v>
      </c>
      <c r="K2506" s="17">
        <f t="shared" si="450"/>
        <v>466.23450904109592</v>
      </c>
      <c r="L2506" s="23">
        <f t="shared" si="446"/>
        <v>42.266000000000005</v>
      </c>
      <c r="M2506" s="33">
        <v>10</v>
      </c>
      <c r="N2506" s="18">
        <f t="shared" si="451"/>
        <v>8.7232876712328764</v>
      </c>
      <c r="O2506" s="23">
        <f>(H2506-L2506)/M2506*N2506-J2506</f>
        <v>321.4416147945206</v>
      </c>
      <c r="P2506" s="18">
        <f t="shared" si="452"/>
        <v>9.7232876712328764</v>
      </c>
      <c r="Q2506" s="18">
        <f t="shared" si="455"/>
        <v>42.396850904109591</v>
      </c>
      <c r="R2506" s="18">
        <f t="shared" si="453"/>
        <v>363.83846569863022</v>
      </c>
      <c r="S2506" s="18">
        <v>0</v>
      </c>
    </row>
    <row r="2507" spans="1:19" ht="15" customHeight="1" x14ac:dyDescent="0.2">
      <c r="A2507" s="14">
        <f t="shared" si="456"/>
        <v>2468</v>
      </c>
      <c r="B2507" s="31" t="s">
        <v>1293</v>
      </c>
      <c r="C2507" s="15" t="s">
        <v>3</v>
      </c>
      <c r="D2507" s="31" t="s">
        <v>1708</v>
      </c>
      <c r="E2507" s="31"/>
      <c r="F2507" s="73" t="s">
        <v>4</v>
      </c>
      <c r="G2507" s="32">
        <v>41470</v>
      </c>
      <c r="H2507" s="29">
        <v>835.32</v>
      </c>
      <c r="I2507" s="17">
        <v>0</v>
      </c>
      <c r="J2507" s="17">
        <f t="shared" si="459"/>
        <v>793.55400000000009</v>
      </c>
      <c r="K2507" s="17">
        <f t="shared" si="450"/>
        <v>41.765999999999963</v>
      </c>
      <c r="L2507" s="23">
        <f t="shared" si="446"/>
        <v>41.766000000000005</v>
      </c>
      <c r="M2507" s="33">
        <v>5</v>
      </c>
      <c r="N2507" s="18">
        <f t="shared" si="451"/>
        <v>6.720547945205479</v>
      </c>
      <c r="O2507" s="23">
        <f t="shared" ref="O2507:O2514" si="462">(H2507-K2507)/2</f>
        <v>396.77700000000004</v>
      </c>
      <c r="P2507" s="18">
        <f t="shared" si="452"/>
        <v>7.720547945205479</v>
      </c>
      <c r="Q2507" s="18">
        <f t="shared" si="455"/>
        <v>-8.5265128291212035E-15</v>
      </c>
      <c r="R2507" s="18">
        <f t="shared" si="453"/>
        <v>396.77700000000004</v>
      </c>
      <c r="S2507" s="18">
        <v>0</v>
      </c>
    </row>
    <row r="2508" spans="1:19" ht="15" customHeight="1" x14ac:dyDescent="0.2">
      <c r="A2508" s="14">
        <f t="shared" si="456"/>
        <v>2469</v>
      </c>
      <c r="B2508" s="31" t="s">
        <v>2011</v>
      </c>
      <c r="C2508" s="15" t="s">
        <v>3</v>
      </c>
      <c r="D2508" s="31" t="s">
        <v>1708</v>
      </c>
      <c r="E2508" s="31"/>
      <c r="F2508" s="73" t="s">
        <v>4</v>
      </c>
      <c r="G2508" s="32">
        <v>41685</v>
      </c>
      <c r="H2508" s="29">
        <v>835.32</v>
      </c>
      <c r="I2508" s="17">
        <v>0</v>
      </c>
      <c r="J2508" s="17">
        <f t="shared" si="459"/>
        <v>793.55400000000009</v>
      </c>
      <c r="K2508" s="17">
        <f t="shared" si="450"/>
        <v>41.765999999999963</v>
      </c>
      <c r="L2508" s="23">
        <f t="shared" si="446"/>
        <v>41.766000000000005</v>
      </c>
      <c r="M2508" s="33">
        <v>5</v>
      </c>
      <c r="N2508" s="18">
        <f t="shared" si="451"/>
        <v>6.1315068493150688</v>
      </c>
      <c r="O2508" s="23">
        <f t="shared" si="462"/>
        <v>396.77700000000004</v>
      </c>
      <c r="P2508" s="18">
        <f t="shared" si="452"/>
        <v>7.1315068493150688</v>
      </c>
      <c r="Q2508" s="18">
        <f t="shared" si="455"/>
        <v>-8.5265128291212035E-15</v>
      </c>
      <c r="R2508" s="18">
        <f t="shared" si="453"/>
        <v>396.77700000000004</v>
      </c>
      <c r="S2508" s="18">
        <v>0</v>
      </c>
    </row>
    <row r="2509" spans="1:19" ht="15" customHeight="1" x14ac:dyDescent="0.2">
      <c r="A2509" s="14">
        <f t="shared" si="456"/>
        <v>2470</v>
      </c>
      <c r="B2509" s="31" t="s">
        <v>2096</v>
      </c>
      <c r="C2509" s="15" t="s">
        <v>3</v>
      </c>
      <c r="D2509" s="31" t="s">
        <v>1708</v>
      </c>
      <c r="E2509" s="31"/>
      <c r="F2509" s="73" t="s">
        <v>4</v>
      </c>
      <c r="G2509" s="32">
        <v>35796</v>
      </c>
      <c r="H2509" s="29">
        <v>41236</v>
      </c>
      <c r="I2509" s="17">
        <v>0</v>
      </c>
      <c r="J2509" s="17">
        <f t="shared" si="459"/>
        <v>39174.199999999997</v>
      </c>
      <c r="K2509" s="17">
        <f t="shared" si="450"/>
        <v>2061.8000000000029</v>
      </c>
      <c r="L2509" s="23">
        <f t="shared" si="446"/>
        <v>2061.8000000000002</v>
      </c>
      <c r="M2509" s="33">
        <v>10</v>
      </c>
      <c r="N2509" s="18">
        <f t="shared" si="451"/>
        <v>22.265753424657536</v>
      </c>
      <c r="O2509" s="23">
        <f t="shared" si="462"/>
        <v>19587.099999999999</v>
      </c>
      <c r="P2509" s="18">
        <f t="shared" si="452"/>
        <v>23.265753424657536</v>
      </c>
      <c r="Q2509" s="18">
        <f t="shared" si="455"/>
        <v>2.7284841053187851E-13</v>
      </c>
      <c r="R2509" s="18">
        <f t="shared" si="453"/>
        <v>19587.099999999999</v>
      </c>
      <c r="S2509" s="18">
        <v>0</v>
      </c>
    </row>
    <row r="2510" spans="1:19" ht="15" customHeight="1" x14ac:dyDescent="0.2">
      <c r="A2510" s="14">
        <f t="shared" si="456"/>
        <v>2471</v>
      </c>
      <c r="B2510" s="31" t="s">
        <v>2097</v>
      </c>
      <c r="C2510" s="15" t="s">
        <v>3</v>
      </c>
      <c r="D2510" s="31" t="s">
        <v>1708</v>
      </c>
      <c r="E2510" s="31"/>
      <c r="F2510" s="73" t="s">
        <v>4</v>
      </c>
      <c r="G2510" s="32">
        <v>35796</v>
      </c>
      <c r="H2510" s="29">
        <v>38165</v>
      </c>
      <c r="I2510" s="17">
        <v>0</v>
      </c>
      <c r="J2510" s="17">
        <f t="shared" si="459"/>
        <v>36256.75</v>
      </c>
      <c r="K2510" s="17">
        <f t="shared" si="450"/>
        <v>1908.25</v>
      </c>
      <c r="L2510" s="23">
        <f t="shared" si="446"/>
        <v>1908.25</v>
      </c>
      <c r="M2510" s="33">
        <v>10</v>
      </c>
      <c r="N2510" s="18">
        <f t="shared" si="451"/>
        <v>22.265753424657536</v>
      </c>
      <c r="O2510" s="23">
        <f t="shared" si="462"/>
        <v>18128.375</v>
      </c>
      <c r="P2510" s="18">
        <f t="shared" si="452"/>
        <v>23.265753424657536</v>
      </c>
      <c r="Q2510" s="18">
        <f t="shared" si="455"/>
        <v>0</v>
      </c>
      <c r="R2510" s="18">
        <f t="shared" si="453"/>
        <v>18128.375</v>
      </c>
      <c r="S2510" s="18">
        <v>0</v>
      </c>
    </row>
    <row r="2511" spans="1:19" ht="15" customHeight="1" x14ac:dyDescent="0.2">
      <c r="A2511" s="14">
        <f t="shared" si="456"/>
        <v>2472</v>
      </c>
      <c r="B2511" s="31" t="s">
        <v>2098</v>
      </c>
      <c r="C2511" s="15" t="s">
        <v>3</v>
      </c>
      <c r="D2511" s="31" t="s">
        <v>1708</v>
      </c>
      <c r="E2511" s="31"/>
      <c r="F2511" s="73" t="s">
        <v>4</v>
      </c>
      <c r="G2511" s="32">
        <v>35796</v>
      </c>
      <c r="H2511" s="29">
        <v>31125</v>
      </c>
      <c r="I2511" s="17">
        <v>0</v>
      </c>
      <c r="J2511" s="17">
        <f t="shared" si="459"/>
        <v>29568.75</v>
      </c>
      <c r="K2511" s="17">
        <f t="shared" si="450"/>
        <v>1556.25</v>
      </c>
      <c r="L2511" s="23">
        <f t="shared" si="446"/>
        <v>1556.25</v>
      </c>
      <c r="M2511" s="33">
        <v>10</v>
      </c>
      <c r="N2511" s="18">
        <f t="shared" si="451"/>
        <v>22.265753424657536</v>
      </c>
      <c r="O2511" s="23">
        <f t="shared" si="462"/>
        <v>14784.375</v>
      </c>
      <c r="P2511" s="18">
        <f t="shared" si="452"/>
        <v>23.265753424657536</v>
      </c>
      <c r="Q2511" s="18">
        <f t="shared" si="455"/>
        <v>0</v>
      </c>
      <c r="R2511" s="18">
        <f t="shared" si="453"/>
        <v>14784.375</v>
      </c>
      <c r="S2511" s="18">
        <v>0</v>
      </c>
    </row>
    <row r="2512" spans="1:19" ht="15" customHeight="1" x14ac:dyDescent="0.2">
      <c r="A2512" s="14">
        <f t="shared" si="456"/>
        <v>2473</v>
      </c>
      <c r="B2512" s="31" t="s">
        <v>2099</v>
      </c>
      <c r="C2512" s="15" t="s">
        <v>3</v>
      </c>
      <c r="D2512" s="31" t="s">
        <v>1708</v>
      </c>
      <c r="E2512" s="31"/>
      <c r="F2512" s="73" t="s">
        <v>4</v>
      </c>
      <c r="G2512" s="32">
        <v>35796</v>
      </c>
      <c r="H2512" s="29">
        <v>25124</v>
      </c>
      <c r="I2512" s="17">
        <v>0</v>
      </c>
      <c r="J2512" s="17">
        <f t="shared" si="459"/>
        <v>23867.8</v>
      </c>
      <c r="K2512" s="17">
        <f t="shared" si="450"/>
        <v>1256.2000000000007</v>
      </c>
      <c r="L2512" s="23">
        <f t="shared" si="446"/>
        <v>1256.2</v>
      </c>
      <c r="M2512" s="33">
        <v>10</v>
      </c>
      <c r="N2512" s="18">
        <f t="shared" si="451"/>
        <v>22.265753424657536</v>
      </c>
      <c r="O2512" s="23">
        <f t="shared" si="462"/>
        <v>11933.9</v>
      </c>
      <c r="P2512" s="18">
        <f t="shared" si="452"/>
        <v>23.265753424657536</v>
      </c>
      <c r="Q2512" s="18">
        <f t="shared" si="455"/>
        <v>6.8212102632969628E-14</v>
      </c>
      <c r="R2512" s="18">
        <f t="shared" si="453"/>
        <v>11933.9</v>
      </c>
      <c r="S2512" s="18">
        <v>0</v>
      </c>
    </row>
    <row r="2513" spans="1:19" ht="15" customHeight="1" x14ac:dyDescent="0.2">
      <c r="A2513" s="14">
        <f t="shared" si="456"/>
        <v>2474</v>
      </c>
      <c r="B2513" s="31" t="s">
        <v>2100</v>
      </c>
      <c r="C2513" s="15" t="s">
        <v>3</v>
      </c>
      <c r="D2513" s="31" t="s">
        <v>1708</v>
      </c>
      <c r="E2513" s="31"/>
      <c r="F2513" s="73" t="s">
        <v>4</v>
      </c>
      <c r="G2513" s="32">
        <v>35796</v>
      </c>
      <c r="H2513" s="29">
        <v>16347</v>
      </c>
      <c r="I2513" s="17">
        <v>0</v>
      </c>
      <c r="J2513" s="17">
        <f t="shared" si="459"/>
        <v>15529.65</v>
      </c>
      <c r="K2513" s="17">
        <f t="shared" si="450"/>
        <v>817.35000000000036</v>
      </c>
      <c r="L2513" s="23">
        <f t="shared" si="446"/>
        <v>817.35</v>
      </c>
      <c r="M2513" s="33">
        <v>10</v>
      </c>
      <c r="N2513" s="18">
        <f t="shared" si="451"/>
        <v>22.265753424657536</v>
      </c>
      <c r="O2513" s="23">
        <f t="shared" si="462"/>
        <v>7764.8249999999998</v>
      </c>
      <c r="P2513" s="18">
        <f t="shared" si="452"/>
        <v>23.265753424657536</v>
      </c>
      <c r="Q2513" s="18">
        <f t="shared" si="455"/>
        <v>3.4106051316484814E-14</v>
      </c>
      <c r="R2513" s="18">
        <f t="shared" si="453"/>
        <v>7764.8249999999998</v>
      </c>
      <c r="S2513" s="18">
        <v>0</v>
      </c>
    </row>
    <row r="2514" spans="1:19" ht="15" customHeight="1" x14ac:dyDescent="0.2">
      <c r="A2514" s="14">
        <f t="shared" si="456"/>
        <v>2475</v>
      </c>
      <c r="B2514" s="31" t="s">
        <v>2101</v>
      </c>
      <c r="C2514" s="15" t="s">
        <v>3</v>
      </c>
      <c r="D2514" s="31" t="s">
        <v>1708</v>
      </c>
      <c r="E2514" s="31"/>
      <c r="F2514" s="73" t="s">
        <v>4</v>
      </c>
      <c r="G2514" s="32">
        <v>35796</v>
      </c>
      <c r="H2514" s="29">
        <v>14728</v>
      </c>
      <c r="I2514" s="17">
        <v>0</v>
      </c>
      <c r="J2514" s="17">
        <f t="shared" si="459"/>
        <v>13991.6</v>
      </c>
      <c r="K2514" s="17">
        <f t="shared" si="450"/>
        <v>736.39999999999964</v>
      </c>
      <c r="L2514" s="23">
        <f t="shared" si="446"/>
        <v>736.40000000000009</v>
      </c>
      <c r="M2514" s="33">
        <v>10</v>
      </c>
      <c r="N2514" s="18">
        <f t="shared" si="451"/>
        <v>22.265753424657536</v>
      </c>
      <c r="O2514" s="23">
        <f t="shared" si="462"/>
        <v>6995.8</v>
      </c>
      <c r="P2514" s="18">
        <f t="shared" si="452"/>
        <v>23.265753424657536</v>
      </c>
      <c r="Q2514" s="18">
        <f t="shared" si="455"/>
        <v>-4.5474735088646414E-14</v>
      </c>
      <c r="R2514" s="18">
        <f t="shared" si="453"/>
        <v>6995.8</v>
      </c>
      <c r="S2514" s="18">
        <v>0</v>
      </c>
    </row>
    <row r="2515" spans="1:19" ht="15" customHeight="1" x14ac:dyDescent="0.2">
      <c r="A2515" s="14">
        <f t="shared" si="456"/>
        <v>2476</v>
      </c>
      <c r="B2515" s="31" t="s">
        <v>2102</v>
      </c>
      <c r="C2515" s="15" t="s">
        <v>3</v>
      </c>
      <c r="D2515" s="31" t="s">
        <v>1708</v>
      </c>
      <c r="E2515" s="31"/>
      <c r="F2515" s="73" t="s">
        <v>4</v>
      </c>
      <c r="G2515" s="32">
        <v>40436</v>
      </c>
      <c r="H2515" s="29">
        <v>691</v>
      </c>
      <c r="I2515" s="17">
        <v>0</v>
      </c>
      <c r="J2515" s="17">
        <v>364.37471232876715</v>
      </c>
      <c r="K2515" s="17">
        <f t="shared" si="450"/>
        <v>326.62528767123285</v>
      </c>
      <c r="L2515" s="23">
        <f t="shared" si="446"/>
        <v>34.550000000000004</v>
      </c>
      <c r="M2515" s="33">
        <v>10</v>
      </c>
      <c r="N2515" s="18">
        <f t="shared" si="451"/>
        <v>9.5534246575342472</v>
      </c>
      <c r="O2515" s="23">
        <f>(H2515-L2515)/M2515*N2515-J2515</f>
        <v>262.75984931506866</v>
      </c>
      <c r="P2515" s="18">
        <f t="shared" si="452"/>
        <v>10.553424657534247</v>
      </c>
      <c r="Q2515" s="18">
        <f t="shared" si="455"/>
        <v>29.207528767123286</v>
      </c>
      <c r="R2515" s="18">
        <f t="shared" si="453"/>
        <v>291.96737808219194</v>
      </c>
      <c r="S2515" s="18">
        <v>0</v>
      </c>
    </row>
    <row r="2516" spans="1:19" ht="15" customHeight="1" x14ac:dyDescent="0.2">
      <c r="A2516" s="14">
        <f t="shared" si="456"/>
        <v>2477</v>
      </c>
      <c r="B2516" s="31" t="s">
        <v>2103</v>
      </c>
      <c r="C2516" s="15" t="s">
        <v>3</v>
      </c>
      <c r="D2516" s="31" t="s">
        <v>1708</v>
      </c>
      <c r="E2516" s="31"/>
      <c r="F2516" s="73" t="s">
        <v>4</v>
      </c>
      <c r="G2516" s="32">
        <v>35796</v>
      </c>
      <c r="H2516" s="29">
        <v>12130</v>
      </c>
      <c r="I2516" s="17">
        <v>0</v>
      </c>
      <c r="J2516" s="17">
        <f t="shared" si="459"/>
        <v>11523.5</v>
      </c>
      <c r="K2516" s="17">
        <f t="shared" si="450"/>
        <v>606.5</v>
      </c>
      <c r="L2516" s="23">
        <f t="shared" si="446"/>
        <v>606.5</v>
      </c>
      <c r="M2516" s="33">
        <v>10</v>
      </c>
      <c r="N2516" s="18">
        <f t="shared" si="451"/>
        <v>22.265753424657536</v>
      </c>
      <c r="O2516" s="23">
        <f t="shared" ref="O2516:O2528" si="463">(H2516-K2516)/2</f>
        <v>5761.75</v>
      </c>
      <c r="P2516" s="18">
        <f t="shared" si="452"/>
        <v>23.265753424657536</v>
      </c>
      <c r="Q2516" s="18">
        <f t="shared" si="455"/>
        <v>0</v>
      </c>
      <c r="R2516" s="18">
        <f t="shared" si="453"/>
        <v>5761.75</v>
      </c>
      <c r="S2516" s="18">
        <v>0</v>
      </c>
    </row>
    <row r="2517" spans="1:19" ht="15" customHeight="1" x14ac:dyDescent="0.2">
      <c r="A2517" s="14">
        <f t="shared" si="456"/>
        <v>2478</v>
      </c>
      <c r="B2517" s="31" t="s">
        <v>2104</v>
      </c>
      <c r="C2517" s="15" t="s">
        <v>3</v>
      </c>
      <c r="D2517" s="31" t="s">
        <v>1708</v>
      </c>
      <c r="E2517" s="31"/>
      <c r="F2517" s="73" t="s">
        <v>4</v>
      </c>
      <c r="G2517" s="32">
        <v>35796</v>
      </c>
      <c r="H2517" s="29">
        <v>10980</v>
      </c>
      <c r="I2517" s="17">
        <v>0</v>
      </c>
      <c r="J2517" s="17">
        <f t="shared" si="459"/>
        <v>10431</v>
      </c>
      <c r="K2517" s="17">
        <f t="shared" si="450"/>
        <v>549</v>
      </c>
      <c r="L2517" s="23">
        <f t="shared" ref="L2517:L2580" si="464">H2517*0.05</f>
        <v>549</v>
      </c>
      <c r="M2517" s="33">
        <v>10</v>
      </c>
      <c r="N2517" s="18">
        <f t="shared" si="451"/>
        <v>22.265753424657536</v>
      </c>
      <c r="O2517" s="23">
        <f t="shared" si="463"/>
        <v>5215.5</v>
      </c>
      <c r="P2517" s="18">
        <f t="shared" si="452"/>
        <v>23.265753424657536</v>
      </c>
      <c r="Q2517" s="18">
        <f t="shared" si="455"/>
        <v>0</v>
      </c>
      <c r="R2517" s="18">
        <f t="shared" si="453"/>
        <v>5215.5</v>
      </c>
      <c r="S2517" s="18">
        <v>0</v>
      </c>
    </row>
    <row r="2518" spans="1:19" ht="15" customHeight="1" x14ac:dyDescent="0.2">
      <c r="A2518" s="14">
        <f t="shared" si="456"/>
        <v>2479</v>
      </c>
      <c r="B2518" s="31" t="s">
        <v>2105</v>
      </c>
      <c r="C2518" s="15" t="s">
        <v>3</v>
      </c>
      <c r="D2518" s="31" t="s">
        <v>1708</v>
      </c>
      <c r="E2518" s="31"/>
      <c r="F2518" s="73" t="s">
        <v>4</v>
      </c>
      <c r="G2518" s="32">
        <v>35796</v>
      </c>
      <c r="H2518" s="29">
        <v>9040</v>
      </c>
      <c r="I2518" s="17">
        <v>0</v>
      </c>
      <c r="J2518" s="17">
        <f t="shared" si="459"/>
        <v>8588</v>
      </c>
      <c r="K2518" s="17">
        <f t="shared" si="450"/>
        <v>452</v>
      </c>
      <c r="L2518" s="23">
        <f t="shared" si="464"/>
        <v>452</v>
      </c>
      <c r="M2518" s="33">
        <v>10</v>
      </c>
      <c r="N2518" s="18">
        <f t="shared" si="451"/>
        <v>22.265753424657536</v>
      </c>
      <c r="O2518" s="23">
        <f t="shared" si="463"/>
        <v>4294</v>
      </c>
      <c r="P2518" s="18">
        <f t="shared" si="452"/>
        <v>23.265753424657536</v>
      </c>
      <c r="Q2518" s="18">
        <f t="shared" si="455"/>
        <v>0</v>
      </c>
      <c r="R2518" s="18">
        <f t="shared" si="453"/>
        <v>4294</v>
      </c>
      <c r="S2518" s="18">
        <v>0</v>
      </c>
    </row>
    <row r="2519" spans="1:19" ht="15" customHeight="1" x14ac:dyDescent="0.2">
      <c r="A2519" s="14">
        <f t="shared" si="456"/>
        <v>2480</v>
      </c>
      <c r="B2519" s="31" t="s">
        <v>2106</v>
      </c>
      <c r="C2519" s="15" t="s">
        <v>3</v>
      </c>
      <c r="D2519" s="31" t="s">
        <v>1708</v>
      </c>
      <c r="E2519" s="31"/>
      <c r="F2519" s="73" t="s">
        <v>4</v>
      </c>
      <c r="G2519" s="32">
        <v>35796</v>
      </c>
      <c r="H2519" s="29">
        <v>6600</v>
      </c>
      <c r="I2519" s="17">
        <v>0</v>
      </c>
      <c r="J2519" s="17">
        <f t="shared" si="459"/>
        <v>6270</v>
      </c>
      <c r="K2519" s="17">
        <f t="shared" si="450"/>
        <v>330</v>
      </c>
      <c r="L2519" s="23">
        <f t="shared" si="464"/>
        <v>330</v>
      </c>
      <c r="M2519" s="33">
        <v>10</v>
      </c>
      <c r="N2519" s="18">
        <f t="shared" si="451"/>
        <v>22.265753424657536</v>
      </c>
      <c r="O2519" s="23">
        <f t="shared" si="463"/>
        <v>3135</v>
      </c>
      <c r="P2519" s="18">
        <f t="shared" si="452"/>
        <v>23.265753424657536</v>
      </c>
      <c r="Q2519" s="18">
        <f t="shared" si="455"/>
        <v>0</v>
      </c>
      <c r="R2519" s="18">
        <f t="shared" si="453"/>
        <v>3135</v>
      </c>
      <c r="S2519" s="18">
        <v>0</v>
      </c>
    </row>
    <row r="2520" spans="1:19" ht="15" customHeight="1" x14ac:dyDescent="0.2">
      <c r="A2520" s="14">
        <f t="shared" si="456"/>
        <v>2481</v>
      </c>
      <c r="B2520" s="31" t="s">
        <v>2107</v>
      </c>
      <c r="C2520" s="15" t="s">
        <v>3</v>
      </c>
      <c r="D2520" s="31" t="s">
        <v>1708</v>
      </c>
      <c r="E2520" s="31"/>
      <c r="F2520" s="73" t="s">
        <v>4</v>
      </c>
      <c r="G2520" s="32">
        <v>35796</v>
      </c>
      <c r="H2520" s="29">
        <v>5665</v>
      </c>
      <c r="I2520" s="17">
        <v>0</v>
      </c>
      <c r="J2520" s="17">
        <f t="shared" si="459"/>
        <v>5381.75</v>
      </c>
      <c r="K2520" s="17">
        <f t="shared" si="450"/>
        <v>283.25</v>
      </c>
      <c r="L2520" s="23">
        <f t="shared" si="464"/>
        <v>283.25</v>
      </c>
      <c r="M2520" s="33">
        <v>10</v>
      </c>
      <c r="N2520" s="18">
        <f t="shared" si="451"/>
        <v>22.265753424657536</v>
      </c>
      <c r="O2520" s="23">
        <f t="shared" si="463"/>
        <v>2690.875</v>
      </c>
      <c r="P2520" s="18">
        <f t="shared" si="452"/>
        <v>23.265753424657536</v>
      </c>
      <c r="Q2520" s="18">
        <f t="shared" si="455"/>
        <v>0</v>
      </c>
      <c r="R2520" s="18">
        <f t="shared" si="453"/>
        <v>2690.875</v>
      </c>
      <c r="S2520" s="18">
        <v>0</v>
      </c>
    </row>
    <row r="2521" spans="1:19" ht="15" customHeight="1" x14ac:dyDescent="0.2">
      <c r="A2521" s="14">
        <f t="shared" si="456"/>
        <v>2482</v>
      </c>
      <c r="B2521" s="31" t="s">
        <v>1811</v>
      </c>
      <c r="C2521" s="15" t="s">
        <v>3</v>
      </c>
      <c r="D2521" s="31" t="s">
        <v>1708</v>
      </c>
      <c r="E2521" s="31"/>
      <c r="F2521" s="73" t="s">
        <v>4</v>
      </c>
      <c r="G2521" s="32">
        <v>35796</v>
      </c>
      <c r="H2521" s="29">
        <v>4500</v>
      </c>
      <c r="I2521" s="17">
        <v>0</v>
      </c>
      <c r="J2521" s="17">
        <f t="shared" si="459"/>
        <v>4275</v>
      </c>
      <c r="K2521" s="17">
        <f t="shared" si="450"/>
        <v>225</v>
      </c>
      <c r="L2521" s="23">
        <f t="shared" si="464"/>
        <v>225</v>
      </c>
      <c r="M2521" s="33">
        <v>10</v>
      </c>
      <c r="N2521" s="18">
        <f t="shared" si="451"/>
        <v>22.265753424657536</v>
      </c>
      <c r="O2521" s="23">
        <f t="shared" si="463"/>
        <v>2137.5</v>
      </c>
      <c r="P2521" s="18">
        <f t="shared" si="452"/>
        <v>23.265753424657536</v>
      </c>
      <c r="Q2521" s="18">
        <f t="shared" si="455"/>
        <v>0</v>
      </c>
      <c r="R2521" s="18">
        <f t="shared" si="453"/>
        <v>2137.5</v>
      </c>
      <c r="S2521" s="18">
        <v>0</v>
      </c>
    </row>
    <row r="2522" spans="1:19" ht="15" customHeight="1" x14ac:dyDescent="0.2">
      <c r="A2522" s="14">
        <f t="shared" si="456"/>
        <v>2483</v>
      </c>
      <c r="B2522" s="31" t="s">
        <v>2108</v>
      </c>
      <c r="C2522" s="15" t="s">
        <v>3</v>
      </c>
      <c r="D2522" s="31" t="s">
        <v>1708</v>
      </c>
      <c r="E2522" s="31"/>
      <c r="F2522" s="73" t="s">
        <v>4</v>
      </c>
      <c r="G2522" s="32">
        <v>35796</v>
      </c>
      <c r="H2522" s="29">
        <v>3174</v>
      </c>
      <c r="I2522" s="17">
        <v>0</v>
      </c>
      <c r="J2522" s="17">
        <f t="shared" si="459"/>
        <v>3015.3</v>
      </c>
      <c r="K2522" s="17">
        <f t="shared" si="450"/>
        <v>158.69999999999982</v>
      </c>
      <c r="L2522" s="23">
        <f t="shared" si="464"/>
        <v>158.70000000000002</v>
      </c>
      <c r="M2522" s="33">
        <v>10</v>
      </c>
      <c r="N2522" s="18">
        <f t="shared" si="451"/>
        <v>22.265753424657536</v>
      </c>
      <c r="O2522" s="23">
        <f t="shared" si="463"/>
        <v>1507.65</v>
      </c>
      <c r="P2522" s="18">
        <f t="shared" si="452"/>
        <v>23.265753424657536</v>
      </c>
      <c r="Q2522" s="18">
        <f t="shared" si="455"/>
        <v>-1.9895196601282807E-14</v>
      </c>
      <c r="R2522" s="18">
        <f t="shared" si="453"/>
        <v>1507.65</v>
      </c>
      <c r="S2522" s="18">
        <v>0</v>
      </c>
    </row>
    <row r="2523" spans="1:19" ht="15" customHeight="1" x14ac:dyDescent="0.2">
      <c r="A2523" s="14">
        <f t="shared" si="456"/>
        <v>2484</v>
      </c>
      <c r="B2523" s="31" t="s">
        <v>1822</v>
      </c>
      <c r="C2523" s="15" t="s">
        <v>3</v>
      </c>
      <c r="D2523" s="31" t="s">
        <v>1708</v>
      </c>
      <c r="E2523" s="31"/>
      <c r="F2523" s="73" t="s">
        <v>4</v>
      </c>
      <c r="G2523" s="32">
        <v>35796</v>
      </c>
      <c r="H2523" s="29">
        <v>2280</v>
      </c>
      <c r="I2523" s="17">
        <v>0</v>
      </c>
      <c r="J2523" s="17">
        <f t="shared" si="459"/>
        <v>2166</v>
      </c>
      <c r="K2523" s="17">
        <f t="shared" si="450"/>
        <v>114</v>
      </c>
      <c r="L2523" s="23">
        <f t="shared" si="464"/>
        <v>114</v>
      </c>
      <c r="M2523" s="33">
        <v>10</v>
      </c>
      <c r="N2523" s="18">
        <f t="shared" si="451"/>
        <v>22.265753424657536</v>
      </c>
      <c r="O2523" s="23">
        <f t="shared" si="463"/>
        <v>1083</v>
      </c>
      <c r="P2523" s="18">
        <f t="shared" si="452"/>
        <v>23.265753424657536</v>
      </c>
      <c r="Q2523" s="18">
        <f t="shared" si="455"/>
        <v>0</v>
      </c>
      <c r="R2523" s="18">
        <f t="shared" si="453"/>
        <v>1083</v>
      </c>
      <c r="S2523" s="18">
        <v>0</v>
      </c>
    </row>
    <row r="2524" spans="1:19" ht="15" customHeight="1" x14ac:dyDescent="0.2">
      <c r="A2524" s="14">
        <f t="shared" si="456"/>
        <v>2485</v>
      </c>
      <c r="B2524" s="31" t="s">
        <v>1831</v>
      </c>
      <c r="C2524" s="15" t="s">
        <v>3</v>
      </c>
      <c r="D2524" s="31" t="s">
        <v>1708</v>
      </c>
      <c r="E2524" s="31"/>
      <c r="F2524" s="73" t="s">
        <v>4</v>
      </c>
      <c r="G2524" s="32">
        <v>39887</v>
      </c>
      <c r="H2524" s="29">
        <v>600</v>
      </c>
      <c r="I2524" s="17">
        <v>0</v>
      </c>
      <c r="J2524" s="17">
        <f t="shared" si="459"/>
        <v>570</v>
      </c>
      <c r="K2524" s="17">
        <f t="shared" si="450"/>
        <v>30</v>
      </c>
      <c r="L2524" s="23">
        <f t="shared" si="464"/>
        <v>30</v>
      </c>
      <c r="M2524" s="33">
        <v>10</v>
      </c>
      <c r="N2524" s="18">
        <f t="shared" si="451"/>
        <v>11.057534246575342</v>
      </c>
      <c r="O2524" s="23">
        <f t="shared" si="463"/>
        <v>285</v>
      </c>
      <c r="P2524" s="18">
        <f t="shared" si="452"/>
        <v>12.057534246575342</v>
      </c>
      <c r="Q2524" s="18">
        <f t="shared" si="455"/>
        <v>0</v>
      </c>
      <c r="R2524" s="18">
        <f t="shared" si="453"/>
        <v>285</v>
      </c>
      <c r="S2524" s="18">
        <v>0</v>
      </c>
    </row>
    <row r="2525" spans="1:19" ht="15" customHeight="1" x14ac:dyDescent="0.2">
      <c r="A2525" s="14">
        <f t="shared" si="456"/>
        <v>2486</v>
      </c>
      <c r="B2525" s="31" t="s">
        <v>1831</v>
      </c>
      <c r="C2525" s="15" t="s">
        <v>3</v>
      </c>
      <c r="D2525" s="31" t="s">
        <v>1708</v>
      </c>
      <c r="E2525" s="31"/>
      <c r="F2525" s="73" t="s">
        <v>4</v>
      </c>
      <c r="G2525" s="32">
        <v>40101</v>
      </c>
      <c r="H2525" s="29">
        <v>600</v>
      </c>
      <c r="I2525" s="17">
        <v>0</v>
      </c>
      <c r="J2525" s="17">
        <f t="shared" si="459"/>
        <v>570</v>
      </c>
      <c r="K2525" s="17">
        <f t="shared" si="450"/>
        <v>30</v>
      </c>
      <c r="L2525" s="23">
        <f t="shared" si="464"/>
        <v>30</v>
      </c>
      <c r="M2525" s="33">
        <v>10</v>
      </c>
      <c r="N2525" s="18">
        <f t="shared" si="451"/>
        <v>10.471232876712328</v>
      </c>
      <c r="O2525" s="23">
        <f t="shared" si="463"/>
        <v>285</v>
      </c>
      <c r="P2525" s="18">
        <f t="shared" si="452"/>
        <v>11.471232876712328</v>
      </c>
      <c r="Q2525" s="18">
        <f t="shared" si="455"/>
        <v>0</v>
      </c>
      <c r="R2525" s="18">
        <f t="shared" si="453"/>
        <v>285</v>
      </c>
      <c r="S2525" s="18">
        <v>0</v>
      </c>
    </row>
    <row r="2526" spans="1:19" ht="15" customHeight="1" x14ac:dyDescent="0.2">
      <c r="A2526" s="14">
        <f t="shared" si="456"/>
        <v>2487</v>
      </c>
      <c r="B2526" s="31" t="s">
        <v>2109</v>
      </c>
      <c r="C2526" s="15" t="s">
        <v>3</v>
      </c>
      <c r="D2526" s="31" t="s">
        <v>1708</v>
      </c>
      <c r="E2526" s="31"/>
      <c r="F2526" s="73" t="s">
        <v>4</v>
      </c>
      <c r="G2526" s="32">
        <v>35796</v>
      </c>
      <c r="H2526" s="29">
        <v>1831</v>
      </c>
      <c r="I2526" s="17">
        <v>0</v>
      </c>
      <c r="J2526" s="17">
        <f t="shared" si="459"/>
        <v>1739.45</v>
      </c>
      <c r="K2526" s="17">
        <f t="shared" si="450"/>
        <v>91.549999999999955</v>
      </c>
      <c r="L2526" s="23">
        <f t="shared" si="464"/>
        <v>91.550000000000011</v>
      </c>
      <c r="M2526" s="33">
        <v>10</v>
      </c>
      <c r="N2526" s="18">
        <f t="shared" si="451"/>
        <v>22.265753424657536</v>
      </c>
      <c r="O2526" s="23">
        <f t="shared" si="463"/>
        <v>869.72500000000002</v>
      </c>
      <c r="P2526" s="18">
        <f t="shared" si="452"/>
        <v>23.265753424657536</v>
      </c>
      <c r="Q2526" s="18">
        <f t="shared" si="455"/>
        <v>-5.6843418860808018E-15</v>
      </c>
      <c r="R2526" s="18">
        <f t="shared" si="453"/>
        <v>869.72500000000002</v>
      </c>
      <c r="S2526" s="18">
        <v>0</v>
      </c>
    </row>
    <row r="2527" spans="1:19" ht="15" customHeight="1" x14ac:dyDescent="0.2">
      <c r="A2527" s="14">
        <f t="shared" si="456"/>
        <v>2488</v>
      </c>
      <c r="B2527" s="31" t="s">
        <v>2110</v>
      </c>
      <c r="C2527" s="15" t="s">
        <v>3</v>
      </c>
      <c r="D2527" s="31" t="s">
        <v>1708</v>
      </c>
      <c r="E2527" s="31"/>
      <c r="F2527" s="73" t="s">
        <v>4</v>
      </c>
      <c r="G2527" s="32">
        <v>35796</v>
      </c>
      <c r="H2527" s="29">
        <v>620</v>
      </c>
      <c r="I2527" s="17">
        <v>0</v>
      </c>
      <c r="J2527" s="17">
        <f t="shared" si="459"/>
        <v>589</v>
      </c>
      <c r="K2527" s="17">
        <f t="shared" si="450"/>
        <v>31</v>
      </c>
      <c r="L2527" s="23">
        <f t="shared" si="464"/>
        <v>31</v>
      </c>
      <c r="M2527" s="33">
        <v>10</v>
      </c>
      <c r="N2527" s="18">
        <f t="shared" si="451"/>
        <v>22.265753424657536</v>
      </c>
      <c r="O2527" s="23">
        <f t="shared" si="463"/>
        <v>294.5</v>
      </c>
      <c r="P2527" s="18">
        <f t="shared" si="452"/>
        <v>23.265753424657536</v>
      </c>
      <c r="Q2527" s="18">
        <f t="shared" si="455"/>
        <v>0</v>
      </c>
      <c r="R2527" s="18">
        <f t="shared" si="453"/>
        <v>294.5</v>
      </c>
      <c r="S2527" s="18">
        <v>0</v>
      </c>
    </row>
    <row r="2528" spans="1:19" ht="15" customHeight="1" x14ac:dyDescent="0.2">
      <c r="A2528" s="14">
        <f t="shared" si="456"/>
        <v>2489</v>
      </c>
      <c r="B2528" s="31" t="s">
        <v>2111</v>
      </c>
      <c r="C2528" s="15" t="s">
        <v>3</v>
      </c>
      <c r="D2528" s="31" t="s">
        <v>1708</v>
      </c>
      <c r="E2528" s="31"/>
      <c r="F2528" s="73" t="s">
        <v>4</v>
      </c>
      <c r="G2528" s="32">
        <v>35796</v>
      </c>
      <c r="H2528" s="29">
        <v>578</v>
      </c>
      <c r="I2528" s="17">
        <v>0</v>
      </c>
      <c r="J2528" s="17">
        <f t="shared" si="459"/>
        <v>549.1</v>
      </c>
      <c r="K2528" s="17">
        <f t="shared" si="450"/>
        <v>28.899999999999977</v>
      </c>
      <c r="L2528" s="23">
        <f t="shared" si="464"/>
        <v>28.900000000000002</v>
      </c>
      <c r="M2528" s="33">
        <v>10</v>
      </c>
      <c r="N2528" s="18">
        <f t="shared" si="451"/>
        <v>22.265753424657536</v>
      </c>
      <c r="O2528" s="23">
        <f t="shared" si="463"/>
        <v>274.55</v>
      </c>
      <c r="P2528" s="18">
        <f t="shared" si="452"/>
        <v>23.265753424657536</v>
      </c>
      <c r="Q2528" s="18">
        <f t="shared" si="455"/>
        <v>-2.4868995751603509E-15</v>
      </c>
      <c r="R2528" s="18">
        <f t="shared" si="453"/>
        <v>274.55</v>
      </c>
      <c r="S2528" s="18">
        <v>0</v>
      </c>
    </row>
    <row r="2529" spans="1:19" ht="15" customHeight="1" x14ac:dyDescent="0.2">
      <c r="A2529" s="14">
        <f t="shared" si="456"/>
        <v>2490</v>
      </c>
      <c r="B2529" s="31" t="s">
        <v>2112</v>
      </c>
      <c r="C2529" s="15" t="s">
        <v>3</v>
      </c>
      <c r="D2529" s="31" t="s">
        <v>1708</v>
      </c>
      <c r="E2529" s="31"/>
      <c r="F2529" s="73" t="s">
        <v>4</v>
      </c>
      <c r="G2529" s="32">
        <v>40739</v>
      </c>
      <c r="H2529" s="29">
        <v>560</v>
      </c>
      <c r="I2529" s="17">
        <v>0</v>
      </c>
      <c r="J2529" s="17">
        <v>251.13315068493151</v>
      </c>
      <c r="K2529" s="17">
        <f t="shared" si="450"/>
        <v>308.86684931506852</v>
      </c>
      <c r="L2529" s="23">
        <f t="shared" si="464"/>
        <v>28</v>
      </c>
      <c r="M2529" s="33">
        <v>10</v>
      </c>
      <c r="N2529" s="18">
        <f t="shared" si="451"/>
        <v>8.7232876712328764</v>
      </c>
      <c r="O2529" s="23">
        <f>(H2529-L2529)/M2529*N2529-J2529</f>
        <v>212.94575342465757</v>
      </c>
      <c r="P2529" s="18">
        <f t="shared" si="452"/>
        <v>9.7232876712328764</v>
      </c>
      <c r="Q2529" s="18">
        <f t="shared" si="455"/>
        <v>28.086684931506852</v>
      </c>
      <c r="R2529" s="18">
        <f t="shared" si="453"/>
        <v>241.03243835616442</v>
      </c>
      <c r="S2529" s="18">
        <v>0</v>
      </c>
    </row>
    <row r="2530" spans="1:19" ht="15" customHeight="1" x14ac:dyDescent="0.2">
      <c r="A2530" s="14">
        <f t="shared" si="456"/>
        <v>2491</v>
      </c>
      <c r="B2530" s="31" t="s">
        <v>1772</v>
      </c>
      <c r="C2530" s="15" t="s">
        <v>3</v>
      </c>
      <c r="D2530" s="31" t="s">
        <v>1708</v>
      </c>
      <c r="E2530" s="31"/>
      <c r="F2530" s="73" t="s">
        <v>4</v>
      </c>
      <c r="G2530" s="32">
        <v>39675</v>
      </c>
      <c r="H2530" s="29">
        <v>554.83000000000004</v>
      </c>
      <c r="I2530" s="17">
        <v>0</v>
      </c>
      <c r="J2530" s="17">
        <f t="shared" si="459"/>
        <v>527.08850000000007</v>
      </c>
      <c r="K2530" s="17">
        <f t="shared" si="450"/>
        <v>27.741499999999974</v>
      </c>
      <c r="L2530" s="23">
        <f t="shared" si="464"/>
        <v>27.741500000000002</v>
      </c>
      <c r="M2530" s="33">
        <v>10</v>
      </c>
      <c r="N2530" s="18">
        <f t="shared" si="451"/>
        <v>11.638356164383561</v>
      </c>
      <c r="O2530" s="23">
        <f t="shared" ref="O2530:O2531" si="465">(H2530-K2530)/2</f>
        <v>263.54425000000003</v>
      </c>
      <c r="P2530" s="18">
        <f t="shared" si="452"/>
        <v>12.638356164383561</v>
      </c>
      <c r="Q2530" s="18">
        <f t="shared" si="455"/>
        <v>-2.8421709430404009E-15</v>
      </c>
      <c r="R2530" s="18">
        <f t="shared" si="453"/>
        <v>263.54425000000003</v>
      </c>
      <c r="S2530" s="18">
        <v>0</v>
      </c>
    </row>
    <row r="2531" spans="1:19" ht="15" customHeight="1" x14ac:dyDescent="0.2">
      <c r="A2531" s="14">
        <f t="shared" si="456"/>
        <v>2492</v>
      </c>
      <c r="B2531" s="31" t="s">
        <v>2113</v>
      </c>
      <c r="C2531" s="15" t="s">
        <v>3</v>
      </c>
      <c r="D2531" s="31" t="s">
        <v>1708</v>
      </c>
      <c r="E2531" s="31"/>
      <c r="F2531" s="73" t="s">
        <v>4</v>
      </c>
      <c r="G2531" s="32">
        <v>39083</v>
      </c>
      <c r="H2531" s="29">
        <v>540</v>
      </c>
      <c r="I2531" s="17">
        <v>0</v>
      </c>
      <c r="J2531" s="17">
        <f t="shared" si="459"/>
        <v>513</v>
      </c>
      <c r="K2531" s="17">
        <f t="shared" si="450"/>
        <v>27</v>
      </c>
      <c r="L2531" s="23">
        <f t="shared" si="464"/>
        <v>27</v>
      </c>
      <c r="M2531" s="33">
        <v>10</v>
      </c>
      <c r="N2531" s="18">
        <f t="shared" si="451"/>
        <v>13.260273972602739</v>
      </c>
      <c r="O2531" s="23">
        <f t="shared" si="465"/>
        <v>256.5</v>
      </c>
      <c r="P2531" s="18">
        <f t="shared" si="452"/>
        <v>14.260273972602739</v>
      </c>
      <c r="Q2531" s="18">
        <f t="shared" si="455"/>
        <v>0</v>
      </c>
      <c r="R2531" s="18">
        <f t="shared" si="453"/>
        <v>256.5</v>
      </c>
      <c r="S2531" s="18">
        <v>0</v>
      </c>
    </row>
    <row r="2532" spans="1:19" ht="15" customHeight="1" x14ac:dyDescent="0.2">
      <c r="A2532" s="14">
        <f t="shared" si="456"/>
        <v>2493</v>
      </c>
      <c r="B2532" s="31" t="s">
        <v>1840</v>
      </c>
      <c r="C2532" s="15" t="s">
        <v>3</v>
      </c>
      <c r="D2532" s="31" t="s">
        <v>1708</v>
      </c>
      <c r="E2532" s="31"/>
      <c r="F2532" s="73" t="s">
        <v>4</v>
      </c>
      <c r="G2532" s="32">
        <v>41348</v>
      </c>
      <c r="H2532" s="29">
        <v>528</v>
      </c>
      <c r="I2532" s="17">
        <v>0</v>
      </c>
      <c r="J2532" s="17">
        <v>153.09106849315071</v>
      </c>
      <c r="K2532" s="17">
        <f t="shared" si="450"/>
        <v>374.90893150684929</v>
      </c>
      <c r="L2532" s="23">
        <f t="shared" si="464"/>
        <v>26.400000000000002</v>
      </c>
      <c r="M2532" s="33">
        <v>10</v>
      </c>
      <c r="N2532" s="18">
        <f t="shared" si="451"/>
        <v>7.0547945205479454</v>
      </c>
      <c r="O2532" s="23">
        <f>(H2532-L2532)/M2532*N2532-J2532</f>
        <v>200.77742465753425</v>
      </c>
      <c r="P2532" s="18">
        <f t="shared" si="452"/>
        <v>8.0547945205479454</v>
      </c>
      <c r="Q2532" s="18">
        <f t="shared" si="455"/>
        <v>34.850893150684932</v>
      </c>
      <c r="R2532" s="18">
        <f t="shared" si="453"/>
        <v>235.62831780821918</v>
      </c>
      <c r="S2532" s="18">
        <v>0</v>
      </c>
    </row>
    <row r="2533" spans="1:19" ht="15" customHeight="1" x14ac:dyDescent="0.2">
      <c r="A2533" s="14">
        <f t="shared" si="456"/>
        <v>2494</v>
      </c>
      <c r="B2533" s="31" t="s">
        <v>2114</v>
      </c>
      <c r="C2533" s="15" t="s">
        <v>3</v>
      </c>
      <c r="D2533" s="31" t="s">
        <v>1708</v>
      </c>
      <c r="E2533" s="31"/>
      <c r="F2533" s="73" t="s">
        <v>4</v>
      </c>
      <c r="G2533" s="32">
        <v>36161</v>
      </c>
      <c r="H2533" s="29">
        <v>96585</v>
      </c>
      <c r="I2533" s="17">
        <v>0</v>
      </c>
      <c r="J2533" s="17">
        <f t="shared" si="459"/>
        <v>91755.75</v>
      </c>
      <c r="K2533" s="17">
        <f t="shared" si="450"/>
        <v>4829.25</v>
      </c>
      <c r="L2533" s="23">
        <f t="shared" si="464"/>
        <v>4829.25</v>
      </c>
      <c r="M2533" s="33">
        <v>10</v>
      </c>
      <c r="N2533" s="18">
        <f t="shared" si="451"/>
        <v>21.265753424657536</v>
      </c>
      <c r="O2533" s="23">
        <f t="shared" ref="O2533:O2534" si="466">(H2533-K2533)/2</f>
        <v>45877.875</v>
      </c>
      <c r="P2533" s="18">
        <f t="shared" si="452"/>
        <v>22.265753424657536</v>
      </c>
      <c r="Q2533" s="18">
        <f t="shared" si="455"/>
        <v>0</v>
      </c>
      <c r="R2533" s="18">
        <f t="shared" si="453"/>
        <v>45877.875</v>
      </c>
      <c r="S2533" s="18">
        <v>0</v>
      </c>
    </row>
    <row r="2534" spans="1:19" ht="15" customHeight="1" x14ac:dyDescent="0.2">
      <c r="A2534" s="14">
        <f t="shared" si="456"/>
        <v>2495</v>
      </c>
      <c r="B2534" s="31" t="s">
        <v>2115</v>
      </c>
      <c r="C2534" s="15" t="s">
        <v>3</v>
      </c>
      <c r="D2534" s="31" t="s">
        <v>1708</v>
      </c>
      <c r="E2534" s="31"/>
      <c r="F2534" s="73" t="s">
        <v>4</v>
      </c>
      <c r="G2534" s="32">
        <v>36161</v>
      </c>
      <c r="H2534" s="29">
        <v>43209</v>
      </c>
      <c r="I2534" s="17">
        <v>0</v>
      </c>
      <c r="J2534" s="17">
        <f t="shared" si="459"/>
        <v>41048.550000000003</v>
      </c>
      <c r="K2534" s="17">
        <f t="shared" ref="K2534:K2597" si="467">H2534+I2534-J2534</f>
        <v>2160.4499999999971</v>
      </c>
      <c r="L2534" s="23">
        <f t="shared" si="464"/>
        <v>2160.4500000000003</v>
      </c>
      <c r="M2534" s="33">
        <v>10</v>
      </c>
      <c r="N2534" s="18">
        <f t="shared" ref="N2534:N2597" si="468">IF(($N$35-G2534+1)/365&gt;0,($N$35-G2534+1)/365,0)</f>
        <v>21.265753424657536</v>
      </c>
      <c r="O2534" s="23">
        <f t="shared" si="466"/>
        <v>20524.275000000001</v>
      </c>
      <c r="P2534" s="18">
        <f t="shared" ref="P2534:P2597" si="469">($P$35-G2534+1)/365</f>
        <v>22.265753424657536</v>
      </c>
      <c r="Q2534" s="18">
        <f t="shared" si="455"/>
        <v>-3.1832314562052491E-13</v>
      </c>
      <c r="R2534" s="18">
        <f t="shared" ref="R2534:R2597" si="470">Q2534+O2534</f>
        <v>20524.275000000001</v>
      </c>
      <c r="S2534" s="18">
        <v>0</v>
      </c>
    </row>
    <row r="2535" spans="1:19" ht="15" customHeight="1" x14ac:dyDescent="0.2">
      <c r="A2535" s="14">
        <f t="shared" si="456"/>
        <v>2496</v>
      </c>
      <c r="B2535" s="31" t="s">
        <v>2116</v>
      </c>
      <c r="C2535" s="15" t="s">
        <v>3</v>
      </c>
      <c r="D2535" s="31" t="s">
        <v>1708</v>
      </c>
      <c r="E2535" s="31"/>
      <c r="F2535" s="73" t="s">
        <v>4</v>
      </c>
      <c r="G2535" s="32">
        <v>40983</v>
      </c>
      <c r="H2535" s="29">
        <v>488.1</v>
      </c>
      <c r="I2535" s="17">
        <v>0</v>
      </c>
      <c r="J2535" s="17">
        <v>187.89175479452055</v>
      </c>
      <c r="K2535" s="17">
        <f t="shared" si="467"/>
        <v>300.20824520547944</v>
      </c>
      <c r="L2535" s="23">
        <f t="shared" si="464"/>
        <v>24.405000000000001</v>
      </c>
      <c r="M2535" s="33">
        <v>10</v>
      </c>
      <c r="N2535" s="18">
        <f t="shared" si="468"/>
        <v>8.0547945205479454</v>
      </c>
      <c r="O2535" s="23">
        <f>(H2535-L2535)/M2535*N2535-J2535</f>
        <v>185.6050397260274</v>
      </c>
      <c r="P2535" s="18">
        <f t="shared" si="469"/>
        <v>9.0547945205479454</v>
      </c>
      <c r="Q2535" s="18">
        <f t="shared" si="455"/>
        <v>27.580324520547947</v>
      </c>
      <c r="R2535" s="18">
        <f t="shared" si="470"/>
        <v>213.18536424657535</v>
      </c>
      <c r="S2535" s="18">
        <v>0</v>
      </c>
    </row>
    <row r="2536" spans="1:19" ht="15" customHeight="1" x14ac:dyDescent="0.2">
      <c r="A2536" s="14">
        <f t="shared" si="456"/>
        <v>2497</v>
      </c>
      <c r="B2536" s="31" t="s">
        <v>2117</v>
      </c>
      <c r="C2536" s="15" t="s">
        <v>3</v>
      </c>
      <c r="D2536" s="31" t="s">
        <v>1708</v>
      </c>
      <c r="E2536" s="31"/>
      <c r="F2536" s="73" t="s">
        <v>4</v>
      </c>
      <c r="G2536" s="32">
        <v>40983</v>
      </c>
      <c r="H2536" s="29">
        <v>486.66</v>
      </c>
      <c r="I2536" s="17">
        <v>0</v>
      </c>
      <c r="J2536" s="17">
        <v>187.33743369863015</v>
      </c>
      <c r="K2536" s="17">
        <f t="shared" si="467"/>
        <v>299.32256630136987</v>
      </c>
      <c r="L2536" s="23">
        <f t="shared" si="464"/>
        <v>24.333000000000002</v>
      </c>
      <c r="M2536" s="33">
        <v>10</v>
      </c>
      <c r="N2536" s="18">
        <f t="shared" si="468"/>
        <v>8.0547945205479454</v>
      </c>
      <c r="O2536" s="23">
        <f>(H2536-L2536)/M2536*N2536-J2536</f>
        <v>185.05746493150684</v>
      </c>
      <c r="P2536" s="18">
        <f t="shared" si="469"/>
        <v>9.0547945205479454</v>
      </c>
      <c r="Q2536" s="18">
        <f t="shared" ref="Q2536:Q2599" si="471">(P2536-N2536)/M2536*(K2536-L2536)</f>
        <v>27.498956630136988</v>
      </c>
      <c r="R2536" s="18">
        <f t="shared" si="470"/>
        <v>212.55642156164384</v>
      </c>
      <c r="S2536" s="18">
        <v>0</v>
      </c>
    </row>
    <row r="2537" spans="1:19" ht="15" customHeight="1" x14ac:dyDescent="0.2">
      <c r="A2537" s="14">
        <f t="shared" si="456"/>
        <v>2498</v>
      </c>
      <c r="B2537" s="31" t="s">
        <v>2118</v>
      </c>
      <c r="C2537" s="15" t="s">
        <v>3</v>
      </c>
      <c r="D2537" s="31" t="s">
        <v>1708</v>
      </c>
      <c r="E2537" s="31"/>
      <c r="F2537" s="73" t="s">
        <v>4</v>
      </c>
      <c r="G2537" s="32">
        <v>36161</v>
      </c>
      <c r="H2537" s="29">
        <v>42731</v>
      </c>
      <c r="I2537" s="17">
        <v>0</v>
      </c>
      <c r="J2537" s="17">
        <f t="shared" ref="J2537:J2539" si="472">H2537-L2537</f>
        <v>40594.449999999997</v>
      </c>
      <c r="K2537" s="17">
        <f t="shared" si="467"/>
        <v>2136.5500000000029</v>
      </c>
      <c r="L2537" s="23">
        <f t="shared" si="464"/>
        <v>2136.5500000000002</v>
      </c>
      <c r="M2537" s="33">
        <v>10</v>
      </c>
      <c r="N2537" s="18">
        <f t="shared" si="468"/>
        <v>21.265753424657536</v>
      </c>
      <c r="O2537" s="23">
        <f t="shared" ref="O2537:O2539" si="473">(H2537-K2537)/2</f>
        <v>20297.224999999999</v>
      </c>
      <c r="P2537" s="18">
        <f t="shared" si="469"/>
        <v>22.265753424657536</v>
      </c>
      <c r="Q2537" s="18">
        <f t="shared" si="471"/>
        <v>2.7284841053187851E-13</v>
      </c>
      <c r="R2537" s="18">
        <f t="shared" si="470"/>
        <v>20297.224999999999</v>
      </c>
      <c r="S2537" s="18">
        <v>0</v>
      </c>
    </row>
    <row r="2538" spans="1:19" ht="15" customHeight="1" x14ac:dyDescent="0.2">
      <c r="A2538" s="14">
        <f t="shared" si="456"/>
        <v>2499</v>
      </c>
      <c r="B2538" s="31" t="s">
        <v>2119</v>
      </c>
      <c r="C2538" s="15" t="s">
        <v>3</v>
      </c>
      <c r="D2538" s="31" t="s">
        <v>1708</v>
      </c>
      <c r="E2538" s="31"/>
      <c r="F2538" s="73" t="s">
        <v>4</v>
      </c>
      <c r="G2538" s="32">
        <v>36161</v>
      </c>
      <c r="H2538" s="29">
        <v>41475</v>
      </c>
      <c r="I2538" s="17">
        <v>0</v>
      </c>
      <c r="J2538" s="17">
        <f t="shared" si="472"/>
        <v>39401.25</v>
      </c>
      <c r="K2538" s="17">
        <f t="shared" si="467"/>
        <v>2073.75</v>
      </c>
      <c r="L2538" s="23">
        <f t="shared" si="464"/>
        <v>2073.75</v>
      </c>
      <c r="M2538" s="33">
        <v>10</v>
      </c>
      <c r="N2538" s="18">
        <f t="shared" si="468"/>
        <v>21.265753424657536</v>
      </c>
      <c r="O2538" s="23">
        <f t="shared" si="473"/>
        <v>19700.625</v>
      </c>
      <c r="P2538" s="18">
        <f t="shared" si="469"/>
        <v>22.265753424657536</v>
      </c>
      <c r="Q2538" s="18">
        <f t="shared" si="471"/>
        <v>0</v>
      </c>
      <c r="R2538" s="18">
        <f t="shared" si="470"/>
        <v>19700.625</v>
      </c>
      <c r="S2538" s="18">
        <v>0</v>
      </c>
    </row>
    <row r="2539" spans="1:19" ht="15" customHeight="1" x14ac:dyDescent="0.2">
      <c r="A2539" s="14">
        <f t="shared" ref="A2539:A2602" si="474">+A2538+1</f>
        <v>2500</v>
      </c>
      <c r="B2539" s="31" t="s">
        <v>2120</v>
      </c>
      <c r="C2539" s="15" t="s">
        <v>3</v>
      </c>
      <c r="D2539" s="31" t="s">
        <v>1708</v>
      </c>
      <c r="E2539" s="31"/>
      <c r="F2539" s="73" t="s">
        <v>4</v>
      </c>
      <c r="G2539" s="32">
        <v>36161</v>
      </c>
      <c r="H2539" s="29">
        <v>39079</v>
      </c>
      <c r="I2539" s="17">
        <v>0</v>
      </c>
      <c r="J2539" s="17">
        <f t="shared" si="472"/>
        <v>37125.050000000003</v>
      </c>
      <c r="K2539" s="17">
        <f t="shared" si="467"/>
        <v>1953.9499999999971</v>
      </c>
      <c r="L2539" s="23">
        <f t="shared" si="464"/>
        <v>1953.95</v>
      </c>
      <c r="M2539" s="33">
        <v>10</v>
      </c>
      <c r="N2539" s="18">
        <f t="shared" si="468"/>
        <v>21.265753424657536</v>
      </c>
      <c r="O2539" s="23">
        <f t="shared" si="473"/>
        <v>18562.525000000001</v>
      </c>
      <c r="P2539" s="18">
        <f t="shared" si="469"/>
        <v>22.265753424657536</v>
      </c>
      <c r="Q2539" s="18">
        <f t="shared" si="471"/>
        <v>-2.9558577807620169E-13</v>
      </c>
      <c r="R2539" s="18">
        <f t="shared" si="470"/>
        <v>18562.525000000001</v>
      </c>
      <c r="S2539" s="18">
        <v>0</v>
      </c>
    </row>
    <row r="2540" spans="1:19" ht="15" customHeight="1" x14ac:dyDescent="0.2">
      <c r="A2540" s="14">
        <f t="shared" si="474"/>
        <v>2501</v>
      </c>
      <c r="B2540" s="31" t="s">
        <v>1831</v>
      </c>
      <c r="C2540" s="15" t="s">
        <v>3</v>
      </c>
      <c r="D2540" s="31" t="s">
        <v>1708</v>
      </c>
      <c r="E2540" s="31"/>
      <c r="F2540" s="73" t="s">
        <v>4</v>
      </c>
      <c r="G2540" s="32">
        <v>41200</v>
      </c>
      <c r="H2540" s="29">
        <v>475</v>
      </c>
      <c r="I2540" s="17">
        <v>0</v>
      </c>
      <c r="J2540" s="17">
        <v>156.02123287671233</v>
      </c>
      <c r="K2540" s="17">
        <f t="shared" si="467"/>
        <v>318.97876712328764</v>
      </c>
      <c r="L2540" s="23">
        <f t="shared" si="464"/>
        <v>23.75</v>
      </c>
      <c r="M2540" s="33">
        <v>10</v>
      </c>
      <c r="N2540" s="18">
        <f t="shared" si="468"/>
        <v>7.4602739726027396</v>
      </c>
      <c r="O2540" s="23">
        <f>(H2540-L2540)/M2540*N2540-J2540</f>
        <v>180.62363013698629</v>
      </c>
      <c r="P2540" s="18">
        <f t="shared" si="469"/>
        <v>8.4602739726027405</v>
      </c>
      <c r="Q2540" s="18">
        <f t="shared" si="471"/>
        <v>29.522876712328792</v>
      </c>
      <c r="R2540" s="18">
        <f t="shared" si="470"/>
        <v>210.14650684931507</v>
      </c>
      <c r="S2540" s="18">
        <v>0</v>
      </c>
    </row>
    <row r="2541" spans="1:19" ht="15" customHeight="1" x14ac:dyDescent="0.2">
      <c r="A2541" s="14">
        <f t="shared" si="474"/>
        <v>2502</v>
      </c>
      <c r="B2541" s="31" t="s">
        <v>2121</v>
      </c>
      <c r="C2541" s="15" t="s">
        <v>3</v>
      </c>
      <c r="D2541" s="31" t="s">
        <v>1708</v>
      </c>
      <c r="E2541" s="31"/>
      <c r="F2541" s="73" t="s">
        <v>4</v>
      </c>
      <c r="G2541" s="32">
        <v>41348</v>
      </c>
      <c r="H2541" s="29">
        <v>475</v>
      </c>
      <c r="I2541" s="17">
        <v>0</v>
      </c>
      <c r="J2541" s="17">
        <v>137.72397260273974</v>
      </c>
      <c r="K2541" s="17">
        <f t="shared" si="467"/>
        <v>337.27602739726024</v>
      </c>
      <c r="L2541" s="23">
        <f t="shared" si="464"/>
        <v>23.75</v>
      </c>
      <c r="M2541" s="33">
        <v>10</v>
      </c>
      <c r="N2541" s="18">
        <f t="shared" si="468"/>
        <v>7.0547945205479454</v>
      </c>
      <c r="O2541" s="23">
        <f>(H2541-L2541)/M2541*N2541-J2541</f>
        <v>180.62363013698629</v>
      </c>
      <c r="P2541" s="18">
        <f t="shared" si="469"/>
        <v>8.0547945205479454</v>
      </c>
      <c r="Q2541" s="18">
        <f t="shared" si="471"/>
        <v>31.352602739726024</v>
      </c>
      <c r="R2541" s="18">
        <f t="shared" si="470"/>
        <v>211.97623287671232</v>
      </c>
      <c r="S2541" s="18">
        <v>0</v>
      </c>
    </row>
    <row r="2542" spans="1:19" ht="15" customHeight="1" x14ac:dyDescent="0.2">
      <c r="A2542" s="14">
        <f t="shared" si="474"/>
        <v>2503</v>
      </c>
      <c r="B2542" s="31" t="s">
        <v>1831</v>
      </c>
      <c r="C2542" s="15" t="s">
        <v>3</v>
      </c>
      <c r="D2542" s="31" t="s">
        <v>1708</v>
      </c>
      <c r="E2542" s="31"/>
      <c r="F2542" s="73" t="s">
        <v>4</v>
      </c>
      <c r="G2542" s="32">
        <v>39736</v>
      </c>
      <c r="H2542" s="29">
        <v>473.25</v>
      </c>
      <c r="I2542" s="17">
        <v>0</v>
      </c>
      <c r="J2542" s="17">
        <f t="shared" ref="J2542:J2548" si="475">H2542-L2542</f>
        <v>449.58749999999998</v>
      </c>
      <c r="K2542" s="17">
        <f t="shared" si="467"/>
        <v>23.662500000000023</v>
      </c>
      <c r="L2542" s="23">
        <f t="shared" si="464"/>
        <v>23.662500000000001</v>
      </c>
      <c r="M2542" s="33">
        <v>10</v>
      </c>
      <c r="N2542" s="18">
        <f t="shared" si="468"/>
        <v>11.471232876712328</v>
      </c>
      <c r="O2542" s="23">
        <f>(H2542-K2542)/2</f>
        <v>224.79374999999999</v>
      </c>
      <c r="P2542" s="18">
        <f t="shared" si="469"/>
        <v>12.471232876712328</v>
      </c>
      <c r="Q2542" s="18">
        <f t="shared" si="471"/>
        <v>2.1316282072803009E-15</v>
      </c>
      <c r="R2542" s="18">
        <f t="shared" si="470"/>
        <v>224.79374999999999</v>
      </c>
      <c r="S2542" s="18">
        <v>0</v>
      </c>
    </row>
    <row r="2543" spans="1:19" ht="15" customHeight="1" x14ac:dyDescent="0.2">
      <c r="A2543" s="14">
        <f t="shared" si="474"/>
        <v>2504</v>
      </c>
      <c r="B2543" s="31" t="s">
        <v>2078</v>
      </c>
      <c r="C2543" s="15" t="s">
        <v>3</v>
      </c>
      <c r="D2543" s="31" t="s">
        <v>1708</v>
      </c>
      <c r="E2543" s="31"/>
      <c r="F2543" s="73" t="s">
        <v>4</v>
      </c>
      <c r="G2543" s="32">
        <v>40589</v>
      </c>
      <c r="H2543" s="29">
        <v>460</v>
      </c>
      <c r="I2543" s="17">
        <v>0</v>
      </c>
      <c r="J2543" s="17">
        <v>224.24684931506852</v>
      </c>
      <c r="K2543" s="17">
        <f t="shared" si="467"/>
        <v>235.75315068493148</v>
      </c>
      <c r="L2543" s="23">
        <f t="shared" si="464"/>
        <v>23</v>
      </c>
      <c r="M2543" s="33">
        <v>10</v>
      </c>
      <c r="N2543" s="18">
        <f t="shared" si="468"/>
        <v>9.1342465753424662</v>
      </c>
      <c r="O2543" s="23">
        <f>(H2543-L2543)/M2543*N2543-J2543</f>
        <v>174.9197260273973</v>
      </c>
      <c r="P2543" s="18">
        <f t="shared" si="469"/>
        <v>10.134246575342466</v>
      </c>
      <c r="Q2543" s="18">
        <f t="shared" si="471"/>
        <v>21.27531506849315</v>
      </c>
      <c r="R2543" s="18">
        <f t="shared" si="470"/>
        <v>196.19504109589045</v>
      </c>
      <c r="S2543" s="18">
        <v>0</v>
      </c>
    </row>
    <row r="2544" spans="1:19" ht="15" customHeight="1" x14ac:dyDescent="0.2">
      <c r="A2544" s="14">
        <f t="shared" si="474"/>
        <v>2505</v>
      </c>
      <c r="B2544" s="31" t="s">
        <v>2122</v>
      </c>
      <c r="C2544" s="15" t="s">
        <v>3</v>
      </c>
      <c r="D2544" s="31" t="s">
        <v>1708</v>
      </c>
      <c r="E2544" s="31"/>
      <c r="F2544" s="73" t="s">
        <v>4</v>
      </c>
      <c r="G2544" s="32">
        <v>36161</v>
      </c>
      <c r="H2544" s="29">
        <v>30259</v>
      </c>
      <c r="I2544" s="17">
        <v>0</v>
      </c>
      <c r="J2544" s="17">
        <f t="shared" si="475"/>
        <v>28746.05</v>
      </c>
      <c r="K2544" s="17">
        <f t="shared" si="467"/>
        <v>1512.9500000000007</v>
      </c>
      <c r="L2544" s="23">
        <f t="shared" si="464"/>
        <v>1512.95</v>
      </c>
      <c r="M2544" s="33">
        <v>10</v>
      </c>
      <c r="N2544" s="18">
        <f t="shared" si="468"/>
        <v>21.265753424657536</v>
      </c>
      <c r="O2544" s="23">
        <f t="shared" ref="O2544:O2548" si="476">(H2544-K2544)/2</f>
        <v>14373.025</v>
      </c>
      <c r="P2544" s="18">
        <f t="shared" si="469"/>
        <v>22.265753424657536</v>
      </c>
      <c r="Q2544" s="18">
        <f t="shared" si="471"/>
        <v>6.8212102632969628E-14</v>
      </c>
      <c r="R2544" s="18">
        <f t="shared" si="470"/>
        <v>14373.025</v>
      </c>
      <c r="S2544" s="18">
        <v>0</v>
      </c>
    </row>
    <row r="2545" spans="1:19" ht="15" customHeight="1" x14ac:dyDescent="0.2">
      <c r="A2545" s="14">
        <f t="shared" si="474"/>
        <v>2506</v>
      </c>
      <c r="B2545" s="31" t="s">
        <v>2123</v>
      </c>
      <c r="C2545" s="15" t="s">
        <v>3</v>
      </c>
      <c r="D2545" s="31" t="s">
        <v>1708</v>
      </c>
      <c r="E2545" s="31"/>
      <c r="F2545" s="73" t="s">
        <v>4</v>
      </c>
      <c r="G2545" s="32">
        <v>36161</v>
      </c>
      <c r="H2545" s="29">
        <v>25655</v>
      </c>
      <c r="I2545" s="17">
        <v>0</v>
      </c>
      <c r="J2545" s="17">
        <f t="shared" si="475"/>
        <v>24372.25</v>
      </c>
      <c r="K2545" s="17">
        <f t="shared" si="467"/>
        <v>1282.75</v>
      </c>
      <c r="L2545" s="23">
        <f t="shared" si="464"/>
        <v>1282.75</v>
      </c>
      <c r="M2545" s="33">
        <v>10</v>
      </c>
      <c r="N2545" s="18">
        <f t="shared" si="468"/>
        <v>21.265753424657536</v>
      </c>
      <c r="O2545" s="23">
        <f t="shared" si="476"/>
        <v>12186.125</v>
      </c>
      <c r="P2545" s="18">
        <f t="shared" si="469"/>
        <v>22.265753424657536</v>
      </c>
      <c r="Q2545" s="18">
        <f t="shared" si="471"/>
        <v>0</v>
      </c>
      <c r="R2545" s="18">
        <f t="shared" si="470"/>
        <v>12186.125</v>
      </c>
      <c r="S2545" s="18">
        <v>0</v>
      </c>
    </row>
    <row r="2546" spans="1:19" ht="15" customHeight="1" x14ac:dyDescent="0.2">
      <c r="A2546" s="14">
        <f t="shared" si="474"/>
        <v>2507</v>
      </c>
      <c r="B2546" s="31" t="s">
        <v>2124</v>
      </c>
      <c r="C2546" s="15" t="s">
        <v>3</v>
      </c>
      <c r="D2546" s="31" t="s">
        <v>1708</v>
      </c>
      <c r="E2546" s="31"/>
      <c r="F2546" s="73" t="s">
        <v>4</v>
      </c>
      <c r="G2546" s="32">
        <v>36161</v>
      </c>
      <c r="H2546" s="29">
        <v>20894</v>
      </c>
      <c r="I2546" s="17">
        <v>0</v>
      </c>
      <c r="J2546" s="17">
        <f t="shared" si="475"/>
        <v>19849.3</v>
      </c>
      <c r="K2546" s="17">
        <f t="shared" si="467"/>
        <v>1044.7000000000007</v>
      </c>
      <c r="L2546" s="23">
        <f t="shared" si="464"/>
        <v>1044.7</v>
      </c>
      <c r="M2546" s="33">
        <v>10</v>
      </c>
      <c r="N2546" s="18">
        <f t="shared" si="468"/>
        <v>21.265753424657536</v>
      </c>
      <c r="O2546" s="23">
        <f t="shared" si="476"/>
        <v>9924.65</v>
      </c>
      <c r="P2546" s="18">
        <f t="shared" si="469"/>
        <v>22.265753424657536</v>
      </c>
      <c r="Q2546" s="18">
        <f t="shared" si="471"/>
        <v>6.8212102632969628E-14</v>
      </c>
      <c r="R2546" s="18">
        <f t="shared" si="470"/>
        <v>9924.65</v>
      </c>
      <c r="S2546" s="18">
        <v>0</v>
      </c>
    </row>
    <row r="2547" spans="1:19" ht="15" customHeight="1" x14ac:dyDescent="0.2">
      <c r="A2547" s="14">
        <f t="shared" si="474"/>
        <v>2508</v>
      </c>
      <c r="B2547" s="31" t="s">
        <v>2125</v>
      </c>
      <c r="C2547" s="15" t="s">
        <v>3</v>
      </c>
      <c r="D2547" s="31" t="s">
        <v>1708</v>
      </c>
      <c r="E2547" s="31"/>
      <c r="F2547" s="73" t="s">
        <v>4</v>
      </c>
      <c r="G2547" s="32">
        <v>36161</v>
      </c>
      <c r="H2547" s="29">
        <v>17491</v>
      </c>
      <c r="I2547" s="17">
        <v>0</v>
      </c>
      <c r="J2547" s="17">
        <f t="shared" si="475"/>
        <v>16616.45</v>
      </c>
      <c r="K2547" s="17">
        <f t="shared" si="467"/>
        <v>874.54999999999927</v>
      </c>
      <c r="L2547" s="23">
        <f t="shared" si="464"/>
        <v>874.55000000000007</v>
      </c>
      <c r="M2547" s="33">
        <v>10</v>
      </c>
      <c r="N2547" s="18">
        <f t="shared" si="468"/>
        <v>21.265753424657536</v>
      </c>
      <c r="O2547" s="23">
        <f t="shared" si="476"/>
        <v>8308.2250000000004</v>
      </c>
      <c r="P2547" s="18">
        <f t="shared" si="469"/>
        <v>22.265753424657536</v>
      </c>
      <c r="Q2547" s="18">
        <f t="shared" si="471"/>
        <v>-7.9580786405131228E-14</v>
      </c>
      <c r="R2547" s="18">
        <f t="shared" si="470"/>
        <v>8308.2250000000004</v>
      </c>
      <c r="S2547" s="18">
        <v>0</v>
      </c>
    </row>
    <row r="2548" spans="1:19" ht="15" customHeight="1" x14ac:dyDescent="0.2">
      <c r="A2548" s="14">
        <f t="shared" si="474"/>
        <v>2509</v>
      </c>
      <c r="B2548" s="31" t="s">
        <v>2126</v>
      </c>
      <c r="C2548" s="15" t="s">
        <v>3</v>
      </c>
      <c r="D2548" s="31" t="s">
        <v>1708</v>
      </c>
      <c r="E2548" s="31"/>
      <c r="F2548" s="73" t="s">
        <v>4</v>
      </c>
      <c r="G2548" s="32">
        <v>36161</v>
      </c>
      <c r="H2548" s="29">
        <v>16740</v>
      </c>
      <c r="I2548" s="17">
        <v>0</v>
      </c>
      <c r="J2548" s="17">
        <f t="shared" si="475"/>
        <v>15903</v>
      </c>
      <c r="K2548" s="17">
        <f t="shared" si="467"/>
        <v>837</v>
      </c>
      <c r="L2548" s="23">
        <f t="shared" si="464"/>
        <v>837</v>
      </c>
      <c r="M2548" s="33">
        <v>10</v>
      </c>
      <c r="N2548" s="18">
        <f t="shared" si="468"/>
        <v>21.265753424657536</v>
      </c>
      <c r="O2548" s="23">
        <f t="shared" si="476"/>
        <v>7951.5</v>
      </c>
      <c r="P2548" s="18">
        <f t="shared" si="469"/>
        <v>22.265753424657536</v>
      </c>
      <c r="Q2548" s="18">
        <f t="shared" si="471"/>
        <v>0</v>
      </c>
      <c r="R2548" s="18">
        <f t="shared" si="470"/>
        <v>7951.5</v>
      </c>
      <c r="S2548" s="18">
        <v>0</v>
      </c>
    </row>
    <row r="2549" spans="1:19" ht="15" customHeight="1" x14ac:dyDescent="0.2">
      <c r="A2549" s="14">
        <f t="shared" si="474"/>
        <v>2510</v>
      </c>
      <c r="B2549" s="31" t="s">
        <v>2078</v>
      </c>
      <c r="C2549" s="15" t="s">
        <v>3</v>
      </c>
      <c r="D2549" s="31" t="s">
        <v>1708</v>
      </c>
      <c r="E2549" s="31"/>
      <c r="F2549" s="73" t="s">
        <v>4</v>
      </c>
      <c r="G2549" s="32">
        <v>40678</v>
      </c>
      <c r="H2549" s="29">
        <v>410</v>
      </c>
      <c r="I2549" s="17">
        <v>0</v>
      </c>
      <c r="J2549" s="17">
        <v>190.37479452054797</v>
      </c>
      <c r="K2549" s="17">
        <f t="shared" si="467"/>
        <v>219.62520547945203</v>
      </c>
      <c r="L2549" s="23">
        <f t="shared" si="464"/>
        <v>20.5</v>
      </c>
      <c r="M2549" s="33">
        <v>10</v>
      </c>
      <c r="N2549" s="18">
        <f t="shared" si="468"/>
        <v>8.8904109589041092</v>
      </c>
      <c r="O2549" s="23">
        <f>(H2549-L2549)/M2549*N2549-J2549</f>
        <v>155.9067123287671</v>
      </c>
      <c r="P2549" s="18">
        <f t="shared" si="469"/>
        <v>9.8904109589041092</v>
      </c>
      <c r="Q2549" s="18">
        <f t="shared" si="471"/>
        <v>19.912520547945206</v>
      </c>
      <c r="R2549" s="18">
        <f t="shared" si="470"/>
        <v>175.81923287671231</v>
      </c>
      <c r="S2549" s="18">
        <v>0</v>
      </c>
    </row>
    <row r="2550" spans="1:19" ht="15" customHeight="1" x14ac:dyDescent="0.2">
      <c r="A2550" s="14">
        <f t="shared" si="474"/>
        <v>2511</v>
      </c>
      <c r="B2550" s="31" t="s">
        <v>1772</v>
      </c>
      <c r="C2550" s="15" t="s">
        <v>3</v>
      </c>
      <c r="D2550" s="31" t="s">
        <v>1708</v>
      </c>
      <c r="E2550" s="31"/>
      <c r="F2550" s="73" t="s">
        <v>4</v>
      </c>
      <c r="G2550" s="32">
        <v>40283</v>
      </c>
      <c r="H2550" s="29">
        <v>406</v>
      </c>
      <c r="I2550" s="17">
        <v>0</v>
      </c>
      <c r="J2550" s="17">
        <v>230.25761643835617</v>
      </c>
      <c r="K2550" s="17">
        <f t="shared" si="467"/>
        <v>175.74238356164383</v>
      </c>
      <c r="L2550" s="23">
        <f t="shared" si="464"/>
        <v>20.3</v>
      </c>
      <c r="M2550" s="33">
        <v>10</v>
      </c>
      <c r="N2550" s="18">
        <f t="shared" si="468"/>
        <v>9.9726027397260282</v>
      </c>
      <c r="O2550" s="23">
        <f>(H2550-L2550)/M2550*N2550-J2550</f>
        <v>154.38567123287672</v>
      </c>
      <c r="P2550" s="18">
        <f t="shared" si="469"/>
        <v>10.972602739726028</v>
      </c>
      <c r="Q2550" s="18">
        <f t="shared" si="471"/>
        <v>15.544238356164383</v>
      </c>
      <c r="R2550" s="18">
        <f t="shared" si="470"/>
        <v>169.9299095890411</v>
      </c>
      <c r="S2550" s="18">
        <v>0</v>
      </c>
    </row>
    <row r="2551" spans="1:19" ht="15" customHeight="1" x14ac:dyDescent="0.2">
      <c r="A2551" s="14">
        <f t="shared" si="474"/>
        <v>2512</v>
      </c>
      <c r="B2551" s="31" t="s">
        <v>2127</v>
      </c>
      <c r="C2551" s="15" t="s">
        <v>3</v>
      </c>
      <c r="D2551" s="31" t="s">
        <v>1708</v>
      </c>
      <c r="E2551" s="31"/>
      <c r="F2551" s="73" t="s">
        <v>4</v>
      </c>
      <c r="G2551" s="32">
        <v>39448</v>
      </c>
      <c r="H2551" s="29">
        <v>379.2</v>
      </c>
      <c r="I2551" s="17">
        <v>0</v>
      </c>
      <c r="J2551" s="17">
        <f t="shared" ref="J2551:J2611" si="477">H2551-L2551</f>
        <v>360.24</v>
      </c>
      <c r="K2551" s="17">
        <f t="shared" si="467"/>
        <v>18.95999999999998</v>
      </c>
      <c r="L2551" s="23">
        <f t="shared" si="464"/>
        <v>18.96</v>
      </c>
      <c r="M2551" s="33">
        <v>10</v>
      </c>
      <c r="N2551" s="18">
        <f t="shared" si="468"/>
        <v>12.260273972602739</v>
      </c>
      <c r="O2551" s="23">
        <f t="shared" ref="O2551:O2564" si="478">(H2551-K2551)/2</f>
        <v>180.12</v>
      </c>
      <c r="P2551" s="18">
        <f t="shared" si="469"/>
        <v>13.260273972602739</v>
      </c>
      <c r="Q2551" s="18">
        <f t="shared" si="471"/>
        <v>-2.1316282072803009E-15</v>
      </c>
      <c r="R2551" s="18">
        <f t="shared" si="470"/>
        <v>180.12</v>
      </c>
      <c r="S2551" s="18">
        <v>0</v>
      </c>
    </row>
    <row r="2552" spans="1:19" ht="15" customHeight="1" x14ac:dyDescent="0.2">
      <c r="A2552" s="14">
        <f t="shared" si="474"/>
        <v>2513</v>
      </c>
      <c r="B2552" s="31" t="s">
        <v>2128</v>
      </c>
      <c r="C2552" s="15" t="s">
        <v>3</v>
      </c>
      <c r="D2552" s="31" t="s">
        <v>1708</v>
      </c>
      <c r="E2552" s="31"/>
      <c r="F2552" s="73" t="s">
        <v>4</v>
      </c>
      <c r="G2552" s="32">
        <v>36161</v>
      </c>
      <c r="H2552" s="29">
        <v>16100</v>
      </c>
      <c r="I2552" s="17">
        <v>0</v>
      </c>
      <c r="J2552" s="17">
        <f t="shared" si="477"/>
        <v>15295</v>
      </c>
      <c r="K2552" s="17">
        <f t="shared" si="467"/>
        <v>805</v>
      </c>
      <c r="L2552" s="23">
        <f t="shared" si="464"/>
        <v>805</v>
      </c>
      <c r="M2552" s="33">
        <v>10</v>
      </c>
      <c r="N2552" s="18">
        <f t="shared" si="468"/>
        <v>21.265753424657536</v>
      </c>
      <c r="O2552" s="23">
        <f t="shared" si="478"/>
        <v>7647.5</v>
      </c>
      <c r="P2552" s="18">
        <f t="shared" si="469"/>
        <v>22.265753424657536</v>
      </c>
      <c r="Q2552" s="18">
        <f t="shared" si="471"/>
        <v>0</v>
      </c>
      <c r="R2552" s="18">
        <f t="shared" si="470"/>
        <v>7647.5</v>
      </c>
      <c r="S2552" s="18">
        <v>0</v>
      </c>
    </row>
    <row r="2553" spans="1:19" ht="15" customHeight="1" x14ac:dyDescent="0.2">
      <c r="A2553" s="14">
        <f t="shared" si="474"/>
        <v>2514</v>
      </c>
      <c r="B2553" s="31" t="s">
        <v>2129</v>
      </c>
      <c r="C2553" s="15" t="s">
        <v>3</v>
      </c>
      <c r="D2553" s="31" t="s">
        <v>1708</v>
      </c>
      <c r="E2553" s="31"/>
      <c r="F2553" s="73" t="s">
        <v>4</v>
      </c>
      <c r="G2553" s="32">
        <v>36161</v>
      </c>
      <c r="H2553" s="29">
        <v>6750</v>
      </c>
      <c r="I2553" s="17">
        <v>0</v>
      </c>
      <c r="J2553" s="17">
        <f t="shared" si="477"/>
        <v>6412.5</v>
      </c>
      <c r="K2553" s="17">
        <f t="shared" si="467"/>
        <v>337.5</v>
      </c>
      <c r="L2553" s="23">
        <f t="shared" si="464"/>
        <v>337.5</v>
      </c>
      <c r="M2553" s="33">
        <v>10</v>
      </c>
      <c r="N2553" s="18">
        <f t="shared" si="468"/>
        <v>21.265753424657536</v>
      </c>
      <c r="O2553" s="23">
        <f t="shared" si="478"/>
        <v>3206.25</v>
      </c>
      <c r="P2553" s="18">
        <f t="shared" si="469"/>
        <v>22.265753424657536</v>
      </c>
      <c r="Q2553" s="18">
        <f t="shared" si="471"/>
        <v>0</v>
      </c>
      <c r="R2553" s="18">
        <f t="shared" si="470"/>
        <v>3206.25</v>
      </c>
      <c r="S2553" s="18">
        <v>0</v>
      </c>
    </row>
    <row r="2554" spans="1:19" ht="15" customHeight="1" x14ac:dyDescent="0.2">
      <c r="A2554" s="14">
        <f t="shared" si="474"/>
        <v>2515</v>
      </c>
      <c r="B2554" s="31" t="s">
        <v>2130</v>
      </c>
      <c r="C2554" s="15" t="s">
        <v>3</v>
      </c>
      <c r="D2554" s="31" t="s">
        <v>1708</v>
      </c>
      <c r="E2554" s="31"/>
      <c r="F2554" s="73" t="s">
        <v>4</v>
      </c>
      <c r="G2554" s="32">
        <v>36161</v>
      </c>
      <c r="H2554" s="29">
        <v>5944</v>
      </c>
      <c r="I2554" s="17">
        <v>0</v>
      </c>
      <c r="J2554" s="17">
        <f t="shared" si="477"/>
        <v>5646.8</v>
      </c>
      <c r="K2554" s="17">
        <f t="shared" si="467"/>
        <v>297.19999999999982</v>
      </c>
      <c r="L2554" s="23">
        <f t="shared" si="464"/>
        <v>297.2</v>
      </c>
      <c r="M2554" s="33">
        <v>10</v>
      </c>
      <c r="N2554" s="18">
        <f t="shared" si="468"/>
        <v>21.265753424657536</v>
      </c>
      <c r="O2554" s="23">
        <f t="shared" si="478"/>
        <v>2823.4</v>
      </c>
      <c r="P2554" s="18">
        <f t="shared" si="469"/>
        <v>22.265753424657536</v>
      </c>
      <c r="Q2554" s="18">
        <f t="shared" si="471"/>
        <v>-1.7053025658242407E-14</v>
      </c>
      <c r="R2554" s="18">
        <f t="shared" si="470"/>
        <v>2823.4</v>
      </c>
      <c r="S2554" s="18">
        <v>0</v>
      </c>
    </row>
    <row r="2555" spans="1:19" ht="15" customHeight="1" x14ac:dyDescent="0.2">
      <c r="A2555" s="14">
        <f t="shared" si="474"/>
        <v>2516</v>
      </c>
      <c r="B2555" s="31" t="s">
        <v>2131</v>
      </c>
      <c r="C2555" s="15" t="s">
        <v>3</v>
      </c>
      <c r="D2555" s="31" t="s">
        <v>1708</v>
      </c>
      <c r="E2555" s="31"/>
      <c r="F2555" s="73" t="s">
        <v>4</v>
      </c>
      <c r="G2555" s="32">
        <v>36161</v>
      </c>
      <c r="H2555" s="29">
        <v>4970</v>
      </c>
      <c r="I2555" s="17">
        <v>0</v>
      </c>
      <c r="J2555" s="17">
        <f t="shared" si="477"/>
        <v>4721.5</v>
      </c>
      <c r="K2555" s="17">
        <f t="shared" si="467"/>
        <v>248.5</v>
      </c>
      <c r="L2555" s="23">
        <f t="shared" si="464"/>
        <v>248.5</v>
      </c>
      <c r="M2555" s="33">
        <v>10</v>
      </c>
      <c r="N2555" s="18">
        <f t="shared" si="468"/>
        <v>21.265753424657536</v>
      </c>
      <c r="O2555" s="23">
        <f t="shared" si="478"/>
        <v>2360.75</v>
      </c>
      <c r="P2555" s="18">
        <f t="shared" si="469"/>
        <v>22.265753424657536</v>
      </c>
      <c r="Q2555" s="18">
        <f t="shared" si="471"/>
        <v>0</v>
      </c>
      <c r="R2555" s="18">
        <f t="shared" si="470"/>
        <v>2360.75</v>
      </c>
      <c r="S2555" s="18">
        <v>0</v>
      </c>
    </row>
    <row r="2556" spans="1:19" ht="15" customHeight="1" x14ac:dyDescent="0.2">
      <c r="A2556" s="14">
        <f t="shared" si="474"/>
        <v>2517</v>
      </c>
      <c r="B2556" s="31" t="s">
        <v>1840</v>
      </c>
      <c r="C2556" s="15" t="s">
        <v>3</v>
      </c>
      <c r="D2556" s="31" t="s">
        <v>1708</v>
      </c>
      <c r="E2556" s="31"/>
      <c r="F2556" s="73" t="s">
        <v>4</v>
      </c>
      <c r="G2556" s="32">
        <v>39859</v>
      </c>
      <c r="H2556" s="29">
        <v>314.35000000000002</v>
      </c>
      <c r="I2556" s="17">
        <v>0</v>
      </c>
      <c r="J2556" s="17">
        <f t="shared" si="477"/>
        <v>298.63250000000005</v>
      </c>
      <c r="K2556" s="17">
        <f t="shared" si="467"/>
        <v>15.717499999999973</v>
      </c>
      <c r="L2556" s="23">
        <f t="shared" si="464"/>
        <v>15.717500000000001</v>
      </c>
      <c r="M2556" s="33">
        <v>10</v>
      </c>
      <c r="N2556" s="18">
        <f t="shared" si="468"/>
        <v>11.134246575342466</v>
      </c>
      <c r="O2556" s="23">
        <f t="shared" si="478"/>
        <v>149.31625000000003</v>
      </c>
      <c r="P2556" s="18">
        <f t="shared" si="469"/>
        <v>12.134246575342466</v>
      </c>
      <c r="Q2556" s="18">
        <f t="shared" si="471"/>
        <v>-2.8421709430404009E-15</v>
      </c>
      <c r="R2556" s="18">
        <f t="shared" si="470"/>
        <v>149.31625000000003</v>
      </c>
      <c r="S2556" s="18">
        <v>0</v>
      </c>
    </row>
    <row r="2557" spans="1:19" ht="15" customHeight="1" x14ac:dyDescent="0.2">
      <c r="A2557" s="14">
        <f t="shared" si="474"/>
        <v>2518</v>
      </c>
      <c r="B2557" s="31" t="s">
        <v>1840</v>
      </c>
      <c r="C2557" s="15" t="s">
        <v>3</v>
      </c>
      <c r="D2557" s="31" t="s">
        <v>1708</v>
      </c>
      <c r="E2557" s="31"/>
      <c r="F2557" s="73" t="s">
        <v>4</v>
      </c>
      <c r="G2557" s="32">
        <v>39887</v>
      </c>
      <c r="H2557" s="29">
        <v>314.35000000000002</v>
      </c>
      <c r="I2557" s="17">
        <v>0</v>
      </c>
      <c r="J2557" s="17">
        <f t="shared" si="477"/>
        <v>298.63250000000005</v>
      </c>
      <c r="K2557" s="17">
        <f t="shared" si="467"/>
        <v>15.717499999999973</v>
      </c>
      <c r="L2557" s="23">
        <f t="shared" si="464"/>
        <v>15.717500000000001</v>
      </c>
      <c r="M2557" s="33">
        <v>10</v>
      </c>
      <c r="N2557" s="18">
        <f t="shared" si="468"/>
        <v>11.057534246575342</v>
      </c>
      <c r="O2557" s="23">
        <f t="shared" si="478"/>
        <v>149.31625000000003</v>
      </c>
      <c r="P2557" s="18">
        <f t="shared" si="469"/>
        <v>12.057534246575342</v>
      </c>
      <c r="Q2557" s="18">
        <f t="shared" si="471"/>
        <v>-2.8421709430404009E-15</v>
      </c>
      <c r="R2557" s="18">
        <f t="shared" si="470"/>
        <v>149.31625000000003</v>
      </c>
      <c r="S2557" s="18">
        <v>0</v>
      </c>
    </row>
    <row r="2558" spans="1:19" ht="15" customHeight="1" x14ac:dyDescent="0.2">
      <c r="A2558" s="14">
        <f t="shared" si="474"/>
        <v>2519</v>
      </c>
      <c r="B2558" s="31" t="s">
        <v>1840</v>
      </c>
      <c r="C2558" s="15" t="s">
        <v>3</v>
      </c>
      <c r="D2558" s="31" t="s">
        <v>1708</v>
      </c>
      <c r="E2558" s="31"/>
      <c r="F2558" s="73" t="s">
        <v>4</v>
      </c>
      <c r="G2558" s="32">
        <v>39918</v>
      </c>
      <c r="H2558" s="29">
        <v>314.33999999999997</v>
      </c>
      <c r="I2558" s="17">
        <v>0</v>
      </c>
      <c r="J2558" s="17">
        <f t="shared" si="477"/>
        <v>298.62299999999999</v>
      </c>
      <c r="K2558" s="17">
        <f t="shared" si="467"/>
        <v>15.716999999999985</v>
      </c>
      <c r="L2558" s="23">
        <f t="shared" si="464"/>
        <v>15.716999999999999</v>
      </c>
      <c r="M2558" s="33">
        <v>10</v>
      </c>
      <c r="N2558" s="18">
        <f t="shared" si="468"/>
        <v>10.972602739726028</v>
      </c>
      <c r="O2558" s="23">
        <f t="shared" si="478"/>
        <v>149.3115</v>
      </c>
      <c r="P2558" s="18">
        <f t="shared" si="469"/>
        <v>11.972602739726028</v>
      </c>
      <c r="Q2558" s="18">
        <f t="shared" si="471"/>
        <v>-1.4210854715202005E-15</v>
      </c>
      <c r="R2558" s="18">
        <f t="shared" si="470"/>
        <v>149.3115</v>
      </c>
      <c r="S2558" s="18">
        <v>0</v>
      </c>
    </row>
    <row r="2559" spans="1:19" ht="15" customHeight="1" x14ac:dyDescent="0.2">
      <c r="A2559" s="14">
        <f t="shared" si="474"/>
        <v>2520</v>
      </c>
      <c r="B2559" s="31" t="s">
        <v>2132</v>
      </c>
      <c r="C2559" s="15" t="s">
        <v>3</v>
      </c>
      <c r="D2559" s="31" t="s">
        <v>1708</v>
      </c>
      <c r="E2559" s="31"/>
      <c r="F2559" s="73" t="s">
        <v>4</v>
      </c>
      <c r="G2559" s="32">
        <v>36161</v>
      </c>
      <c r="H2559" s="29">
        <v>4776</v>
      </c>
      <c r="I2559" s="17">
        <v>0</v>
      </c>
      <c r="J2559" s="17">
        <f t="shared" si="477"/>
        <v>4537.2</v>
      </c>
      <c r="K2559" s="17">
        <f t="shared" si="467"/>
        <v>238.80000000000018</v>
      </c>
      <c r="L2559" s="23">
        <f t="shared" si="464"/>
        <v>238.8</v>
      </c>
      <c r="M2559" s="33">
        <v>10</v>
      </c>
      <c r="N2559" s="18">
        <f t="shared" si="468"/>
        <v>21.265753424657536</v>
      </c>
      <c r="O2559" s="23">
        <f t="shared" si="478"/>
        <v>2268.6</v>
      </c>
      <c r="P2559" s="18">
        <f t="shared" si="469"/>
        <v>22.265753424657536</v>
      </c>
      <c r="Q2559" s="18">
        <f t="shared" si="471"/>
        <v>1.7053025658242407E-14</v>
      </c>
      <c r="R2559" s="18">
        <f t="shared" si="470"/>
        <v>2268.6</v>
      </c>
      <c r="S2559" s="18">
        <v>0</v>
      </c>
    </row>
    <row r="2560" spans="1:19" ht="15" customHeight="1" x14ac:dyDescent="0.2">
      <c r="A2560" s="14">
        <f t="shared" si="474"/>
        <v>2521</v>
      </c>
      <c r="B2560" s="31" t="s">
        <v>2067</v>
      </c>
      <c r="C2560" s="15" t="s">
        <v>3</v>
      </c>
      <c r="D2560" s="31" t="s">
        <v>1708</v>
      </c>
      <c r="E2560" s="31"/>
      <c r="F2560" s="73" t="s">
        <v>4</v>
      </c>
      <c r="G2560" s="32">
        <v>36341</v>
      </c>
      <c r="H2560" s="29">
        <v>14500</v>
      </c>
      <c r="I2560" s="17">
        <v>0</v>
      </c>
      <c r="J2560" s="17">
        <f t="shared" si="477"/>
        <v>13775</v>
      </c>
      <c r="K2560" s="17">
        <f t="shared" si="467"/>
        <v>725</v>
      </c>
      <c r="L2560" s="23">
        <f t="shared" si="464"/>
        <v>725</v>
      </c>
      <c r="M2560" s="33">
        <v>5</v>
      </c>
      <c r="N2560" s="18">
        <f t="shared" si="468"/>
        <v>20.772602739726029</v>
      </c>
      <c r="O2560" s="23">
        <f t="shared" si="478"/>
        <v>6887.5</v>
      </c>
      <c r="P2560" s="18">
        <f t="shared" si="469"/>
        <v>21.772602739726029</v>
      </c>
      <c r="Q2560" s="18">
        <f t="shared" si="471"/>
        <v>0</v>
      </c>
      <c r="R2560" s="18">
        <f t="shared" si="470"/>
        <v>6887.5</v>
      </c>
      <c r="S2560" s="18">
        <v>0</v>
      </c>
    </row>
    <row r="2561" spans="1:19" ht="15" customHeight="1" x14ac:dyDescent="0.2">
      <c r="A2561" s="14">
        <f t="shared" si="474"/>
        <v>2522</v>
      </c>
      <c r="B2561" s="31" t="s">
        <v>2133</v>
      </c>
      <c r="C2561" s="15" t="s">
        <v>3</v>
      </c>
      <c r="D2561" s="31" t="s">
        <v>1708</v>
      </c>
      <c r="E2561" s="31"/>
      <c r="F2561" s="73" t="s">
        <v>4</v>
      </c>
      <c r="G2561" s="32">
        <v>36161</v>
      </c>
      <c r="H2561" s="29">
        <v>1640</v>
      </c>
      <c r="I2561" s="17">
        <v>0</v>
      </c>
      <c r="J2561" s="17">
        <f t="shared" si="477"/>
        <v>1558</v>
      </c>
      <c r="K2561" s="17">
        <f t="shared" si="467"/>
        <v>82</v>
      </c>
      <c r="L2561" s="23">
        <f t="shared" si="464"/>
        <v>82</v>
      </c>
      <c r="M2561" s="33">
        <v>10</v>
      </c>
      <c r="N2561" s="18">
        <f t="shared" si="468"/>
        <v>21.265753424657536</v>
      </c>
      <c r="O2561" s="23">
        <f t="shared" si="478"/>
        <v>779</v>
      </c>
      <c r="P2561" s="18">
        <f t="shared" si="469"/>
        <v>22.265753424657536</v>
      </c>
      <c r="Q2561" s="18">
        <f t="shared" si="471"/>
        <v>0</v>
      </c>
      <c r="R2561" s="18">
        <f t="shared" si="470"/>
        <v>779</v>
      </c>
      <c r="S2561" s="18">
        <v>0</v>
      </c>
    </row>
    <row r="2562" spans="1:19" ht="15" customHeight="1" x14ac:dyDescent="0.2">
      <c r="A2562" s="14">
        <f t="shared" si="474"/>
        <v>2523</v>
      </c>
      <c r="B2562" s="31" t="s">
        <v>2134</v>
      </c>
      <c r="C2562" s="15" t="s">
        <v>3</v>
      </c>
      <c r="D2562" s="31" t="s">
        <v>1708</v>
      </c>
      <c r="E2562" s="31"/>
      <c r="F2562" s="73" t="s">
        <v>4</v>
      </c>
      <c r="G2562" s="32">
        <v>36161</v>
      </c>
      <c r="H2562" s="29">
        <v>753</v>
      </c>
      <c r="I2562" s="17">
        <v>0</v>
      </c>
      <c r="J2562" s="17">
        <f t="shared" si="477"/>
        <v>715.35</v>
      </c>
      <c r="K2562" s="17">
        <f t="shared" si="467"/>
        <v>37.649999999999977</v>
      </c>
      <c r="L2562" s="23">
        <f t="shared" si="464"/>
        <v>37.65</v>
      </c>
      <c r="M2562" s="33">
        <v>10</v>
      </c>
      <c r="N2562" s="18">
        <f t="shared" si="468"/>
        <v>21.265753424657536</v>
      </c>
      <c r="O2562" s="23">
        <f t="shared" si="478"/>
        <v>357.67500000000001</v>
      </c>
      <c r="P2562" s="18">
        <f t="shared" si="469"/>
        <v>22.265753424657536</v>
      </c>
      <c r="Q2562" s="18">
        <f t="shared" si="471"/>
        <v>-2.1316282072803009E-15</v>
      </c>
      <c r="R2562" s="18">
        <f t="shared" si="470"/>
        <v>357.67500000000001</v>
      </c>
      <c r="S2562" s="18">
        <v>0</v>
      </c>
    </row>
    <row r="2563" spans="1:19" ht="15" customHeight="1" x14ac:dyDescent="0.2">
      <c r="A2563" s="14">
        <f t="shared" si="474"/>
        <v>2524</v>
      </c>
      <c r="B2563" s="31" t="s">
        <v>2135</v>
      </c>
      <c r="C2563" s="15" t="s">
        <v>3</v>
      </c>
      <c r="D2563" s="31" t="s">
        <v>1708</v>
      </c>
      <c r="E2563" s="31"/>
      <c r="F2563" s="73" t="s">
        <v>4</v>
      </c>
      <c r="G2563" s="32">
        <v>36161</v>
      </c>
      <c r="H2563" s="29">
        <v>600</v>
      </c>
      <c r="I2563" s="17">
        <v>0</v>
      </c>
      <c r="J2563" s="17">
        <f t="shared" si="477"/>
        <v>570</v>
      </c>
      <c r="K2563" s="17">
        <f t="shared" si="467"/>
        <v>30</v>
      </c>
      <c r="L2563" s="23">
        <f t="shared" si="464"/>
        <v>30</v>
      </c>
      <c r="M2563" s="33">
        <v>10</v>
      </c>
      <c r="N2563" s="18">
        <f t="shared" si="468"/>
        <v>21.265753424657536</v>
      </c>
      <c r="O2563" s="23">
        <f t="shared" si="478"/>
        <v>285</v>
      </c>
      <c r="P2563" s="18">
        <f t="shared" si="469"/>
        <v>22.265753424657536</v>
      </c>
      <c r="Q2563" s="18">
        <f t="shared" si="471"/>
        <v>0</v>
      </c>
      <c r="R2563" s="18">
        <f t="shared" si="470"/>
        <v>285</v>
      </c>
      <c r="S2563" s="18">
        <v>0</v>
      </c>
    </row>
    <row r="2564" spans="1:19" ht="15" customHeight="1" x14ac:dyDescent="0.2">
      <c r="A2564" s="14">
        <f t="shared" si="474"/>
        <v>2525</v>
      </c>
      <c r="B2564" s="31" t="s">
        <v>2136</v>
      </c>
      <c r="C2564" s="15" t="s">
        <v>3</v>
      </c>
      <c r="D2564" s="31" t="s">
        <v>1708</v>
      </c>
      <c r="E2564" s="31"/>
      <c r="F2564" s="73" t="s">
        <v>4</v>
      </c>
      <c r="G2564" s="32">
        <v>36161</v>
      </c>
      <c r="H2564" s="29">
        <v>120</v>
      </c>
      <c r="I2564" s="17">
        <v>0</v>
      </c>
      <c r="J2564" s="17">
        <f t="shared" si="477"/>
        <v>114</v>
      </c>
      <c r="K2564" s="17">
        <f t="shared" si="467"/>
        <v>6</v>
      </c>
      <c r="L2564" s="23">
        <f t="shared" si="464"/>
        <v>6</v>
      </c>
      <c r="M2564" s="33">
        <v>10</v>
      </c>
      <c r="N2564" s="18">
        <f t="shared" si="468"/>
        <v>21.265753424657536</v>
      </c>
      <c r="O2564" s="23">
        <f t="shared" si="478"/>
        <v>57</v>
      </c>
      <c r="P2564" s="18">
        <f t="shared" si="469"/>
        <v>22.265753424657536</v>
      </c>
      <c r="Q2564" s="18">
        <f t="shared" si="471"/>
        <v>0</v>
      </c>
      <c r="R2564" s="18">
        <f t="shared" si="470"/>
        <v>57</v>
      </c>
      <c r="S2564" s="18">
        <v>0</v>
      </c>
    </row>
    <row r="2565" spans="1:19" ht="15" customHeight="1" x14ac:dyDescent="0.2">
      <c r="A2565" s="14">
        <f t="shared" si="474"/>
        <v>2526</v>
      </c>
      <c r="B2565" s="31" t="s">
        <v>2137</v>
      </c>
      <c r="C2565" s="15" t="s">
        <v>3</v>
      </c>
      <c r="D2565" s="31" t="s">
        <v>1708</v>
      </c>
      <c r="E2565" s="31"/>
      <c r="F2565" s="73" t="s">
        <v>4</v>
      </c>
      <c r="G2565" s="32">
        <v>41654</v>
      </c>
      <c r="H2565" s="29">
        <v>242.56</v>
      </c>
      <c r="I2565" s="17">
        <v>0</v>
      </c>
      <c r="J2565" s="17">
        <v>51.010700273972603</v>
      </c>
      <c r="K2565" s="17">
        <f t="shared" si="467"/>
        <v>191.54929972602741</v>
      </c>
      <c r="L2565" s="23">
        <f t="shared" si="464"/>
        <v>12.128</v>
      </c>
      <c r="M2565" s="33">
        <v>10</v>
      </c>
      <c r="N2565" s="18">
        <f t="shared" si="468"/>
        <v>6.2164383561643834</v>
      </c>
      <c r="O2565" s="23">
        <f>(H2565-L2565)/M2565*N2565-J2565</f>
        <v>92.235932054794532</v>
      </c>
      <c r="P2565" s="18">
        <f t="shared" si="469"/>
        <v>7.2164383561643834</v>
      </c>
      <c r="Q2565" s="18">
        <f t="shared" si="471"/>
        <v>17.942129972602743</v>
      </c>
      <c r="R2565" s="18">
        <f t="shared" si="470"/>
        <v>110.17806202739727</v>
      </c>
      <c r="S2565" s="18">
        <v>0</v>
      </c>
    </row>
    <row r="2566" spans="1:19" ht="15" customHeight="1" x14ac:dyDescent="0.2">
      <c r="A2566" s="14">
        <f t="shared" si="474"/>
        <v>2527</v>
      </c>
      <c r="B2566" s="31" t="s">
        <v>2138</v>
      </c>
      <c r="C2566" s="15" t="s">
        <v>3</v>
      </c>
      <c r="D2566" s="31" t="s">
        <v>1708</v>
      </c>
      <c r="E2566" s="31"/>
      <c r="F2566" s="73" t="s">
        <v>4</v>
      </c>
      <c r="G2566" s="32">
        <v>36526</v>
      </c>
      <c r="H2566" s="29">
        <v>40815</v>
      </c>
      <c r="I2566" s="17">
        <v>0</v>
      </c>
      <c r="J2566" s="17">
        <f t="shared" si="477"/>
        <v>38774.25</v>
      </c>
      <c r="K2566" s="17">
        <f t="shared" si="467"/>
        <v>2040.75</v>
      </c>
      <c r="L2566" s="23">
        <f t="shared" si="464"/>
        <v>2040.75</v>
      </c>
      <c r="M2566" s="33">
        <v>10</v>
      </c>
      <c r="N2566" s="18">
        <f t="shared" si="468"/>
        <v>20.265753424657536</v>
      </c>
      <c r="O2566" s="23">
        <f t="shared" ref="O2566:O2571" si="479">(H2566-K2566)/2</f>
        <v>19387.125</v>
      </c>
      <c r="P2566" s="18">
        <f t="shared" si="469"/>
        <v>21.265753424657536</v>
      </c>
      <c r="Q2566" s="18">
        <f t="shared" si="471"/>
        <v>0</v>
      </c>
      <c r="R2566" s="18">
        <f t="shared" si="470"/>
        <v>19387.125</v>
      </c>
      <c r="S2566" s="18">
        <v>0</v>
      </c>
    </row>
    <row r="2567" spans="1:19" ht="15" customHeight="1" x14ac:dyDescent="0.2">
      <c r="A2567" s="14">
        <f t="shared" si="474"/>
        <v>2528</v>
      </c>
      <c r="B2567" s="31" t="s">
        <v>2139</v>
      </c>
      <c r="C2567" s="15" t="s">
        <v>3</v>
      </c>
      <c r="D2567" s="31" t="s">
        <v>1708</v>
      </c>
      <c r="E2567" s="31"/>
      <c r="F2567" s="73" t="s">
        <v>4</v>
      </c>
      <c r="G2567" s="32">
        <v>36526</v>
      </c>
      <c r="H2567" s="29">
        <v>21180</v>
      </c>
      <c r="I2567" s="17">
        <v>0</v>
      </c>
      <c r="J2567" s="17">
        <f t="shared" si="477"/>
        <v>20121</v>
      </c>
      <c r="K2567" s="17">
        <f t="shared" si="467"/>
        <v>1059</v>
      </c>
      <c r="L2567" s="23">
        <f t="shared" si="464"/>
        <v>1059</v>
      </c>
      <c r="M2567" s="33">
        <v>10</v>
      </c>
      <c r="N2567" s="18">
        <f t="shared" si="468"/>
        <v>20.265753424657536</v>
      </c>
      <c r="O2567" s="23">
        <f t="shared" si="479"/>
        <v>10060.5</v>
      </c>
      <c r="P2567" s="18">
        <f t="shared" si="469"/>
        <v>21.265753424657536</v>
      </c>
      <c r="Q2567" s="18">
        <f t="shared" si="471"/>
        <v>0</v>
      </c>
      <c r="R2567" s="18">
        <f t="shared" si="470"/>
        <v>10060.5</v>
      </c>
      <c r="S2567" s="18">
        <v>0</v>
      </c>
    </row>
    <row r="2568" spans="1:19" ht="15" customHeight="1" x14ac:dyDescent="0.2">
      <c r="A2568" s="14">
        <f t="shared" si="474"/>
        <v>2529</v>
      </c>
      <c r="B2568" s="31" t="s">
        <v>2140</v>
      </c>
      <c r="C2568" s="15" t="s">
        <v>3</v>
      </c>
      <c r="D2568" s="31" t="s">
        <v>1708</v>
      </c>
      <c r="E2568" s="31"/>
      <c r="F2568" s="73" t="s">
        <v>4</v>
      </c>
      <c r="G2568" s="32">
        <v>36526</v>
      </c>
      <c r="H2568" s="29">
        <v>20825</v>
      </c>
      <c r="I2568" s="17">
        <v>0</v>
      </c>
      <c r="J2568" s="17">
        <f t="shared" si="477"/>
        <v>19783.75</v>
      </c>
      <c r="K2568" s="17">
        <f t="shared" si="467"/>
        <v>1041.25</v>
      </c>
      <c r="L2568" s="23">
        <f t="shared" si="464"/>
        <v>1041.25</v>
      </c>
      <c r="M2568" s="33">
        <v>10</v>
      </c>
      <c r="N2568" s="18">
        <f t="shared" si="468"/>
        <v>20.265753424657536</v>
      </c>
      <c r="O2568" s="23">
        <f t="shared" si="479"/>
        <v>9891.875</v>
      </c>
      <c r="P2568" s="18">
        <f t="shared" si="469"/>
        <v>21.265753424657536</v>
      </c>
      <c r="Q2568" s="18">
        <f t="shared" si="471"/>
        <v>0</v>
      </c>
      <c r="R2568" s="18">
        <f t="shared" si="470"/>
        <v>9891.875</v>
      </c>
      <c r="S2568" s="18">
        <v>0</v>
      </c>
    </row>
    <row r="2569" spans="1:19" ht="15" customHeight="1" x14ac:dyDescent="0.2">
      <c r="A2569" s="14">
        <f t="shared" si="474"/>
        <v>2530</v>
      </c>
      <c r="B2569" s="31" t="s">
        <v>2141</v>
      </c>
      <c r="C2569" s="15" t="s">
        <v>3</v>
      </c>
      <c r="D2569" s="31" t="s">
        <v>1708</v>
      </c>
      <c r="E2569" s="31"/>
      <c r="F2569" s="73" t="s">
        <v>4</v>
      </c>
      <c r="G2569" s="32">
        <v>36526</v>
      </c>
      <c r="H2569" s="29">
        <v>11536</v>
      </c>
      <c r="I2569" s="17">
        <v>0</v>
      </c>
      <c r="J2569" s="17">
        <f t="shared" si="477"/>
        <v>10959.2</v>
      </c>
      <c r="K2569" s="17">
        <f t="shared" si="467"/>
        <v>576.79999999999927</v>
      </c>
      <c r="L2569" s="23">
        <f t="shared" si="464"/>
        <v>576.80000000000007</v>
      </c>
      <c r="M2569" s="33">
        <v>10</v>
      </c>
      <c r="N2569" s="18">
        <f t="shared" si="468"/>
        <v>20.265753424657536</v>
      </c>
      <c r="O2569" s="23">
        <f t="shared" si="479"/>
        <v>5479.6</v>
      </c>
      <c r="P2569" s="18">
        <f t="shared" si="469"/>
        <v>21.265753424657536</v>
      </c>
      <c r="Q2569" s="18">
        <f t="shared" si="471"/>
        <v>-7.9580786405131228E-14</v>
      </c>
      <c r="R2569" s="18">
        <f t="shared" si="470"/>
        <v>5479.6</v>
      </c>
      <c r="S2569" s="18">
        <v>0</v>
      </c>
    </row>
    <row r="2570" spans="1:19" ht="15" customHeight="1" x14ac:dyDescent="0.2">
      <c r="A2570" s="14">
        <f t="shared" si="474"/>
        <v>2531</v>
      </c>
      <c r="B2570" s="31" t="s">
        <v>2142</v>
      </c>
      <c r="C2570" s="15" t="s">
        <v>3</v>
      </c>
      <c r="D2570" s="31" t="s">
        <v>1708</v>
      </c>
      <c r="E2570" s="31"/>
      <c r="F2570" s="73" t="s">
        <v>4</v>
      </c>
      <c r="G2570" s="32">
        <v>36526</v>
      </c>
      <c r="H2570" s="29">
        <v>10800</v>
      </c>
      <c r="I2570" s="17">
        <v>0</v>
      </c>
      <c r="J2570" s="17">
        <f t="shared" si="477"/>
        <v>10260</v>
      </c>
      <c r="K2570" s="17">
        <f t="shared" si="467"/>
        <v>540</v>
      </c>
      <c r="L2570" s="23">
        <f t="shared" si="464"/>
        <v>540</v>
      </c>
      <c r="M2570" s="33">
        <v>10</v>
      </c>
      <c r="N2570" s="18">
        <f t="shared" si="468"/>
        <v>20.265753424657536</v>
      </c>
      <c r="O2570" s="23">
        <f t="shared" si="479"/>
        <v>5130</v>
      </c>
      <c r="P2570" s="18">
        <f t="shared" si="469"/>
        <v>21.265753424657536</v>
      </c>
      <c r="Q2570" s="18">
        <f t="shared" si="471"/>
        <v>0</v>
      </c>
      <c r="R2570" s="18">
        <f t="shared" si="470"/>
        <v>5130</v>
      </c>
      <c r="S2570" s="18">
        <v>0</v>
      </c>
    </row>
    <row r="2571" spans="1:19" ht="15" customHeight="1" x14ac:dyDescent="0.2">
      <c r="A2571" s="14">
        <f t="shared" si="474"/>
        <v>2532</v>
      </c>
      <c r="B2571" s="31" t="s">
        <v>2143</v>
      </c>
      <c r="C2571" s="15" t="s">
        <v>3</v>
      </c>
      <c r="D2571" s="31" t="s">
        <v>1708</v>
      </c>
      <c r="E2571" s="31"/>
      <c r="F2571" s="73" t="s">
        <v>4</v>
      </c>
      <c r="G2571" s="32">
        <v>36526</v>
      </c>
      <c r="H2571" s="29">
        <v>4800</v>
      </c>
      <c r="I2571" s="17">
        <v>0</v>
      </c>
      <c r="J2571" s="17">
        <f t="shared" si="477"/>
        <v>4560</v>
      </c>
      <c r="K2571" s="17">
        <f t="shared" si="467"/>
        <v>240</v>
      </c>
      <c r="L2571" s="23">
        <f t="shared" si="464"/>
        <v>240</v>
      </c>
      <c r="M2571" s="33">
        <v>10</v>
      </c>
      <c r="N2571" s="18">
        <f t="shared" si="468"/>
        <v>20.265753424657536</v>
      </c>
      <c r="O2571" s="23">
        <f t="shared" si="479"/>
        <v>2280</v>
      </c>
      <c r="P2571" s="18">
        <f t="shared" si="469"/>
        <v>21.265753424657536</v>
      </c>
      <c r="Q2571" s="18">
        <f t="shared" si="471"/>
        <v>0</v>
      </c>
      <c r="R2571" s="18">
        <f t="shared" si="470"/>
        <v>2280</v>
      </c>
      <c r="S2571" s="18">
        <v>0</v>
      </c>
    </row>
    <row r="2572" spans="1:19" ht="15" customHeight="1" x14ac:dyDescent="0.2">
      <c r="A2572" s="14">
        <f t="shared" si="474"/>
        <v>2533</v>
      </c>
      <c r="B2572" s="31" t="s">
        <v>1831</v>
      </c>
      <c r="C2572" s="15" t="s">
        <v>3</v>
      </c>
      <c r="D2572" s="31" t="s">
        <v>1708</v>
      </c>
      <c r="E2572" s="31"/>
      <c r="F2572" s="73" t="s">
        <v>4</v>
      </c>
      <c r="G2572" s="32">
        <v>40283</v>
      </c>
      <c r="H2572" s="29">
        <v>189.6</v>
      </c>
      <c r="I2572" s="17">
        <v>0</v>
      </c>
      <c r="J2572" s="17">
        <v>107.52917260273972</v>
      </c>
      <c r="K2572" s="17">
        <f t="shared" si="467"/>
        <v>82.070827397260274</v>
      </c>
      <c r="L2572" s="23">
        <f t="shared" si="464"/>
        <v>9.48</v>
      </c>
      <c r="M2572" s="33">
        <v>10</v>
      </c>
      <c r="N2572" s="18">
        <f t="shared" si="468"/>
        <v>9.9726027397260282</v>
      </c>
      <c r="O2572" s="23">
        <f>(H2572-L2572)/M2572*N2572-J2572</f>
        <v>72.097347945205513</v>
      </c>
      <c r="P2572" s="18">
        <f t="shared" si="469"/>
        <v>10.972602739726028</v>
      </c>
      <c r="Q2572" s="18">
        <f t="shared" si="471"/>
        <v>7.2590827397260274</v>
      </c>
      <c r="R2572" s="18">
        <f t="shared" si="470"/>
        <v>79.356430684931539</v>
      </c>
      <c r="S2572" s="18">
        <v>0</v>
      </c>
    </row>
    <row r="2573" spans="1:19" ht="15" customHeight="1" x14ac:dyDescent="0.2">
      <c r="A2573" s="14">
        <f t="shared" si="474"/>
        <v>2534</v>
      </c>
      <c r="B2573" s="31" t="s">
        <v>2144</v>
      </c>
      <c r="C2573" s="15" t="s">
        <v>3</v>
      </c>
      <c r="D2573" s="31" t="s">
        <v>1708</v>
      </c>
      <c r="E2573" s="31"/>
      <c r="F2573" s="73" t="s">
        <v>4</v>
      </c>
      <c r="G2573" s="32">
        <v>36526</v>
      </c>
      <c r="H2573" s="29">
        <v>3640</v>
      </c>
      <c r="I2573" s="17">
        <v>0</v>
      </c>
      <c r="J2573" s="17">
        <f t="shared" si="477"/>
        <v>3458</v>
      </c>
      <c r="K2573" s="17">
        <f t="shared" si="467"/>
        <v>182</v>
      </c>
      <c r="L2573" s="23">
        <f t="shared" si="464"/>
        <v>182</v>
      </c>
      <c r="M2573" s="33">
        <v>10</v>
      </c>
      <c r="N2573" s="18">
        <f t="shared" si="468"/>
        <v>20.265753424657536</v>
      </c>
      <c r="O2573" s="23">
        <f t="shared" ref="O2573:O2611" si="480">(H2573-K2573)/2</f>
        <v>1729</v>
      </c>
      <c r="P2573" s="18">
        <f t="shared" si="469"/>
        <v>21.265753424657536</v>
      </c>
      <c r="Q2573" s="18">
        <f t="shared" si="471"/>
        <v>0</v>
      </c>
      <c r="R2573" s="18">
        <f t="shared" si="470"/>
        <v>1729</v>
      </c>
      <c r="S2573" s="18">
        <v>0</v>
      </c>
    </row>
    <row r="2574" spans="1:19" ht="15" customHeight="1" x14ac:dyDescent="0.2">
      <c r="A2574" s="14">
        <f t="shared" si="474"/>
        <v>2535</v>
      </c>
      <c r="B2574" s="31" t="s">
        <v>2145</v>
      </c>
      <c r="C2574" s="15" t="s">
        <v>3</v>
      </c>
      <c r="D2574" s="31" t="s">
        <v>1708</v>
      </c>
      <c r="E2574" s="31"/>
      <c r="F2574" s="73" t="s">
        <v>4</v>
      </c>
      <c r="G2574" s="32">
        <v>36526</v>
      </c>
      <c r="H2574" s="29">
        <v>1350</v>
      </c>
      <c r="I2574" s="17">
        <v>0</v>
      </c>
      <c r="J2574" s="17">
        <f t="shared" si="477"/>
        <v>1282.5</v>
      </c>
      <c r="K2574" s="17">
        <f t="shared" si="467"/>
        <v>67.5</v>
      </c>
      <c r="L2574" s="23">
        <f t="shared" si="464"/>
        <v>67.5</v>
      </c>
      <c r="M2574" s="33">
        <v>10</v>
      </c>
      <c r="N2574" s="18">
        <f t="shared" si="468"/>
        <v>20.265753424657536</v>
      </c>
      <c r="O2574" s="23">
        <f t="shared" si="480"/>
        <v>641.25</v>
      </c>
      <c r="P2574" s="18">
        <f t="shared" si="469"/>
        <v>21.265753424657536</v>
      </c>
      <c r="Q2574" s="18">
        <f t="shared" si="471"/>
        <v>0</v>
      </c>
      <c r="R2574" s="18">
        <f t="shared" si="470"/>
        <v>641.25</v>
      </c>
      <c r="S2574" s="18">
        <v>0</v>
      </c>
    </row>
    <row r="2575" spans="1:19" ht="15" customHeight="1" x14ac:dyDescent="0.2">
      <c r="A2575" s="14">
        <f t="shared" si="474"/>
        <v>2536</v>
      </c>
      <c r="B2575" s="31" t="s">
        <v>2146</v>
      </c>
      <c r="C2575" s="15" t="s">
        <v>3</v>
      </c>
      <c r="D2575" s="31" t="s">
        <v>1708</v>
      </c>
      <c r="E2575" s="31"/>
      <c r="F2575" s="73" t="s">
        <v>4</v>
      </c>
      <c r="G2575" s="32">
        <v>36526</v>
      </c>
      <c r="H2575" s="29">
        <v>700</v>
      </c>
      <c r="I2575" s="17">
        <v>0</v>
      </c>
      <c r="J2575" s="17">
        <f t="shared" si="477"/>
        <v>665</v>
      </c>
      <c r="K2575" s="17">
        <f t="shared" si="467"/>
        <v>35</v>
      </c>
      <c r="L2575" s="23">
        <f t="shared" si="464"/>
        <v>35</v>
      </c>
      <c r="M2575" s="33">
        <v>10</v>
      </c>
      <c r="N2575" s="18">
        <f t="shared" si="468"/>
        <v>20.265753424657536</v>
      </c>
      <c r="O2575" s="23">
        <f t="shared" si="480"/>
        <v>332.5</v>
      </c>
      <c r="P2575" s="18">
        <f t="shared" si="469"/>
        <v>21.265753424657536</v>
      </c>
      <c r="Q2575" s="18">
        <f t="shared" si="471"/>
        <v>0</v>
      </c>
      <c r="R2575" s="18">
        <f t="shared" si="470"/>
        <v>332.5</v>
      </c>
      <c r="S2575" s="18">
        <v>0</v>
      </c>
    </row>
    <row r="2576" spans="1:19" ht="15" customHeight="1" x14ac:dyDescent="0.2">
      <c r="A2576" s="14">
        <f t="shared" si="474"/>
        <v>2537</v>
      </c>
      <c r="B2576" s="31" t="s">
        <v>2147</v>
      </c>
      <c r="C2576" s="15" t="s">
        <v>3</v>
      </c>
      <c r="D2576" s="31" t="s">
        <v>1708</v>
      </c>
      <c r="E2576" s="31"/>
      <c r="F2576" s="73" t="s">
        <v>4</v>
      </c>
      <c r="G2576" s="32">
        <v>36892</v>
      </c>
      <c r="H2576" s="29">
        <v>36426</v>
      </c>
      <c r="I2576" s="17">
        <v>0</v>
      </c>
      <c r="J2576" s="17">
        <f t="shared" si="477"/>
        <v>34604.699999999997</v>
      </c>
      <c r="K2576" s="17">
        <f t="shared" si="467"/>
        <v>1821.3000000000029</v>
      </c>
      <c r="L2576" s="23">
        <f t="shared" si="464"/>
        <v>1821.3000000000002</v>
      </c>
      <c r="M2576" s="33">
        <v>10</v>
      </c>
      <c r="N2576" s="18">
        <f t="shared" si="468"/>
        <v>19.263013698630136</v>
      </c>
      <c r="O2576" s="23">
        <f t="shared" si="480"/>
        <v>17302.349999999999</v>
      </c>
      <c r="P2576" s="18">
        <f t="shared" si="469"/>
        <v>20.263013698630136</v>
      </c>
      <c r="Q2576" s="18">
        <f t="shared" si="471"/>
        <v>2.7284841053187851E-13</v>
      </c>
      <c r="R2576" s="18">
        <f t="shared" si="470"/>
        <v>17302.349999999999</v>
      </c>
      <c r="S2576" s="18">
        <v>0</v>
      </c>
    </row>
    <row r="2577" spans="1:19" ht="15" customHeight="1" x14ac:dyDescent="0.2">
      <c r="A2577" s="14">
        <f t="shared" si="474"/>
        <v>2538</v>
      </c>
      <c r="B2577" s="31" t="s">
        <v>2148</v>
      </c>
      <c r="C2577" s="15" t="s">
        <v>3</v>
      </c>
      <c r="D2577" s="31" t="s">
        <v>1708</v>
      </c>
      <c r="E2577" s="31"/>
      <c r="F2577" s="73" t="s">
        <v>4</v>
      </c>
      <c r="G2577" s="32">
        <v>36892</v>
      </c>
      <c r="H2577" s="29">
        <v>32565</v>
      </c>
      <c r="I2577" s="17">
        <v>0</v>
      </c>
      <c r="J2577" s="17">
        <f t="shared" si="477"/>
        <v>30936.75</v>
      </c>
      <c r="K2577" s="17">
        <f t="shared" si="467"/>
        <v>1628.25</v>
      </c>
      <c r="L2577" s="23">
        <f t="shared" si="464"/>
        <v>1628.25</v>
      </c>
      <c r="M2577" s="33">
        <v>10</v>
      </c>
      <c r="N2577" s="18">
        <f t="shared" si="468"/>
        <v>19.263013698630136</v>
      </c>
      <c r="O2577" s="23">
        <f t="shared" si="480"/>
        <v>15468.375</v>
      </c>
      <c r="P2577" s="18">
        <f t="shared" si="469"/>
        <v>20.263013698630136</v>
      </c>
      <c r="Q2577" s="18">
        <f t="shared" si="471"/>
        <v>0</v>
      </c>
      <c r="R2577" s="18">
        <f t="shared" si="470"/>
        <v>15468.375</v>
      </c>
      <c r="S2577" s="18">
        <v>0</v>
      </c>
    </row>
    <row r="2578" spans="1:19" ht="15" customHeight="1" x14ac:dyDescent="0.2">
      <c r="A2578" s="14">
        <f t="shared" si="474"/>
        <v>2539</v>
      </c>
      <c r="B2578" s="31" t="s">
        <v>2149</v>
      </c>
      <c r="C2578" s="15" t="s">
        <v>3</v>
      </c>
      <c r="D2578" s="31" t="s">
        <v>1708</v>
      </c>
      <c r="E2578" s="31"/>
      <c r="F2578" s="73" t="s">
        <v>4</v>
      </c>
      <c r="G2578" s="32">
        <v>36892</v>
      </c>
      <c r="H2578" s="29">
        <v>11243</v>
      </c>
      <c r="I2578" s="17">
        <v>0</v>
      </c>
      <c r="J2578" s="17">
        <f t="shared" si="477"/>
        <v>10680.85</v>
      </c>
      <c r="K2578" s="17">
        <f t="shared" si="467"/>
        <v>562.14999999999964</v>
      </c>
      <c r="L2578" s="23">
        <f t="shared" si="464"/>
        <v>562.15</v>
      </c>
      <c r="M2578" s="33">
        <v>10</v>
      </c>
      <c r="N2578" s="18">
        <f t="shared" si="468"/>
        <v>19.263013698630136</v>
      </c>
      <c r="O2578" s="23">
        <f t="shared" si="480"/>
        <v>5340.4250000000002</v>
      </c>
      <c r="P2578" s="18">
        <f t="shared" si="469"/>
        <v>20.263013698630136</v>
      </c>
      <c r="Q2578" s="18">
        <f t="shared" si="471"/>
        <v>-3.4106051316484814E-14</v>
      </c>
      <c r="R2578" s="18">
        <f t="shared" si="470"/>
        <v>5340.4250000000002</v>
      </c>
      <c r="S2578" s="18">
        <v>0</v>
      </c>
    </row>
    <row r="2579" spans="1:19" ht="15" customHeight="1" x14ac:dyDescent="0.2">
      <c r="A2579" s="14">
        <f t="shared" si="474"/>
        <v>2540</v>
      </c>
      <c r="B2579" s="31" t="s">
        <v>2150</v>
      </c>
      <c r="C2579" s="15" t="s">
        <v>3</v>
      </c>
      <c r="D2579" s="31" t="s">
        <v>1708</v>
      </c>
      <c r="E2579" s="31"/>
      <c r="F2579" s="73" t="s">
        <v>4</v>
      </c>
      <c r="G2579" s="32">
        <v>36892</v>
      </c>
      <c r="H2579" s="29">
        <v>6620</v>
      </c>
      <c r="I2579" s="17">
        <v>0</v>
      </c>
      <c r="J2579" s="17">
        <f t="shared" si="477"/>
        <v>6289</v>
      </c>
      <c r="K2579" s="17">
        <f t="shared" si="467"/>
        <v>331</v>
      </c>
      <c r="L2579" s="23">
        <f t="shared" si="464"/>
        <v>331</v>
      </c>
      <c r="M2579" s="33">
        <v>10</v>
      </c>
      <c r="N2579" s="18">
        <f t="shared" si="468"/>
        <v>19.263013698630136</v>
      </c>
      <c r="O2579" s="23">
        <f t="shared" si="480"/>
        <v>3144.5</v>
      </c>
      <c r="P2579" s="18">
        <f t="shared" si="469"/>
        <v>20.263013698630136</v>
      </c>
      <c r="Q2579" s="18">
        <f t="shared" si="471"/>
        <v>0</v>
      </c>
      <c r="R2579" s="18">
        <f t="shared" si="470"/>
        <v>3144.5</v>
      </c>
      <c r="S2579" s="18">
        <v>0</v>
      </c>
    </row>
    <row r="2580" spans="1:19" ht="15" customHeight="1" x14ac:dyDescent="0.2">
      <c r="A2580" s="14">
        <f t="shared" si="474"/>
        <v>2541</v>
      </c>
      <c r="B2580" s="31" t="s">
        <v>2151</v>
      </c>
      <c r="C2580" s="15" t="s">
        <v>3</v>
      </c>
      <c r="D2580" s="31" t="s">
        <v>1708</v>
      </c>
      <c r="E2580" s="31"/>
      <c r="F2580" s="73" t="s">
        <v>4</v>
      </c>
      <c r="G2580" s="32">
        <v>36892</v>
      </c>
      <c r="H2580" s="29">
        <v>5705</v>
      </c>
      <c r="I2580" s="17">
        <v>0</v>
      </c>
      <c r="J2580" s="17">
        <f t="shared" si="477"/>
        <v>5419.75</v>
      </c>
      <c r="K2580" s="17">
        <f t="shared" si="467"/>
        <v>285.25</v>
      </c>
      <c r="L2580" s="23">
        <f t="shared" si="464"/>
        <v>285.25</v>
      </c>
      <c r="M2580" s="33">
        <v>10</v>
      </c>
      <c r="N2580" s="18">
        <f t="shared" si="468"/>
        <v>19.263013698630136</v>
      </c>
      <c r="O2580" s="23">
        <f t="shared" si="480"/>
        <v>2709.875</v>
      </c>
      <c r="P2580" s="18">
        <f t="shared" si="469"/>
        <v>20.263013698630136</v>
      </c>
      <c r="Q2580" s="18">
        <f t="shared" si="471"/>
        <v>0</v>
      </c>
      <c r="R2580" s="18">
        <f t="shared" si="470"/>
        <v>2709.875</v>
      </c>
      <c r="S2580" s="18">
        <v>0</v>
      </c>
    </row>
    <row r="2581" spans="1:19" ht="15" customHeight="1" x14ac:dyDescent="0.2">
      <c r="A2581" s="14">
        <f t="shared" si="474"/>
        <v>2542</v>
      </c>
      <c r="B2581" s="31" t="s">
        <v>2152</v>
      </c>
      <c r="C2581" s="15" t="s">
        <v>3</v>
      </c>
      <c r="D2581" s="31" t="s">
        <v>1708</v>
      </c>
      <c r="E2581" s="31"/>
      <c r="F2581" s="73" t="s">
        <v>4</v>
      </c>
      <c r="G2581" s="32">
        <v>36978</v>
      </c>
      <c r="H2581" s="29">
        <v>282850</v>
      </c>
      <c r="I2581" s="17">
        <v>0</v>
      </c>
      <c r="J2581" s="17">
        <f>H2581-L2581-50000</f>
        <v>218707.5</v>
      </c>
      <c r="K2581" s="17">
        <f t="shared" si="467"/>
        <v>64142.5</v>
      </c>
      <c r="L2581" s="23">
        <f t="shared" ref="L2581:L2626" si="481">H2581*0.05</f>
        <v>14142.5</v>
      </c>
      <c r="M2581" s="33">
        <v>5</v>
      </c>
      <c r="N2581" s="18">
        <f t="shared" si="468"/>
        <v>19.027397260273972</v>
      </c>
      <c r="O2581" s="23">
        <f t="shared" si="480"/>
        <v>109353.75</v>
      </c>
      <c r="P2581" s="18">
        <f t="shared" si="469"/>
        <v>20.027397260273972</v>
      </c>
      <c r="Q2581" s="18">
        <f t="shared" si="471"/>
        <v>10000</v>
      </c>
      <c r="R2581" s="18">
        <f t="shared" si="470"/>
        <v>119353.75</v>
      </c>
      <c r="S2581" s="18">
        <v>0</v>
      </c>
    </row>
    <row r="2582" spans="1:19" ht="15" customHeight="1" x14ac:dyDescent="0.2">
      <c r="A2582" s="14">
        <f t="shared" si="474"/>
        <v>2543</v>
      </c>
      <c r="B2582" s="31" t="s">
        <v>2153</v>
      </c>
      <c r="C2582" s="15" t="s">
        <v>3</v>
      </c>
      <c r="D2582" s="31" t="s">
        <v>1708</v>
      </c>
      <c r="E2582" s="31"/>
      <c r="F2582" s="73" t="s">
        <v>4</v>
      </c>
      <c r="G2582" s="32">
        <v>36981</v>
      </c>
      <c r="H2582" s="29">
        <v>6240</v>
      </c>
      <c r="I2582" s="17">
        <v>0</v>
      </c>
      <c r="J2582" s="17">
        <f t="shared" si="477"/>
        <v>5928</v>
      </c>
      <c r="K2582" s="17">
        <f t="shared" si="467"/>
        <v>312</v>
      </c>
      <c r="L2582" s="23">
        <f t="shared" si="481"/>
        <v>312</v>
      </c>
      <c r="M2582" s="33">
        <v>5</v>
      </c>
      <c r="N2582" s="18">
        <f t="shared" si="468"/>
        <v>19.019178082191782</v>
      </c>
      <c r="O2582" s="23">
        <f t="shared" si="480"/>
        <v>2964</v>
      </c>
      <c r="P2582" s="18">
        <f t="shared" si="469"/>
        <v>20.019178082191782</v>
      </c>
      <c r="Q2582" s="18">
        <f t="shared" si="471"/>
        <v>0</v>
      </c>
      <c r="R2582" s="18">
        <f t="shared" si="470"/>
        <v>2964</v>
      </c>
      <c r="S2582" s="18">
        <v>0</v>
      </c>
    </row>
    <row r="2583" spans="1:19" ht="15" customHeight="1" x14ac:dyDescent="0.2">
      <c r="A2583" s="14">
        <f t="shared" si="474"/>
        <v>2544</v>
      </c>
      <c r="B2583" s="31" t="s">
        <v>2154</v>
      </c>
      <c r="C2583" s="15" t="s">
        <v>3</v>
      </c>
      <c r="D2583" s="31" t="s">
        <v>1708</v>
      </c>
      <c r="E2583" s="31"/>
      <c r="F2583" s="73" t="s">
        <v>4</v>
      </c>
      <c r="G2583" s="32">
        <v>36892</v>
      </c>
      <c r="H2583" s="29">
        <v>2170</v>
      </c>
      <c r="I2583" s="17">
        <v>0</v>
      </c>
      <c r="J2583" s="17">
        <f t="shared" si="477"/>
        <v>2061.5</v>
      </c>
      <c r="K2583" s="17">
        <f t="shared" si="467"/>
        <v>108.5</v>
      </c>
      <c r="L2583" s="23">
        <f t="shared" si="481"/>
        <v>108.5</v>
      </c>
      <c r="M2583" s="33">
        <v>10</v>
      </c>
      <c r="N2583" s="18">
        <f t="shared" si="468"/>
        <v>19.263013698630136</v>
      </c>
      <c r="O2583" s="23">
        <f t="shared" si="480"/>
        <v>1030.75</v>
      </c>
      <c r="P2583" s="18">
        <f t="shared" si="469"/>
        <v>20.263013698630136</v>
      </c>
      <c r="Q2583" s="18">
        <f t="shared" si="471"/>
        <v>0</v>
      </c>
      <c r="R2583" s="18">
        <f t="shared" si="470"/>
        <v>1030.75</v>
      </c>
      <c r="S2583" s="18">
        <v>0</v>
      </c>
    </row>
    <row r="2584" spans="1:19" ht="15" customHeight="1" x14ac:dyDescent="0.2">
      <c r="A2584" s="14">
        <f t="shared" si="474"/>
        <v>2545</v>
      </c>
      <c r="B2584" s="31" t="s">
        <v>2155</v>
      </c>
      <c r="C2584" s="15" t="s">
        <v>3</v>
      </c>
      <c r="D2584" s="31" t="s">
        <v>1708</v>
      </c>
      <c r="E2584" s="31"/>
      <c r="F2584" s="73" t="s">
        <v>4</v>
      </c>
      <c r="G2584" s="32">
        <v>36892</v>
      </c>
      <c r="H2584" s="29">
        <v>1350</v>
      </c>
      <c r="I2584" s="17">
        <v>0</v>
      </c>
      <c r="J2584" s="17">
        <f t="shared" si="477"/>
        <v>1282.5</v>
      </c>
      <c r="K2584" s="17">
        <f t="shared" si="467"/>
        <v>67.5</v>
      </c>
      <c r="L2584" s="23">
        <f t="shared" si="481"/>
        <v>67.5</v>
      </c>
      <c r="M2584" s="33">
        <v>10</v>
      </c>
      <c r="N2584" s="18">
        <f t="shared" si="468"/>
        <v>19.263013698630136</v>
      </c>
      <c r="O2584" s="23">
        <f t="shared" si="480"/>
        <v>641.25</v>
      </c>
      <c r="P2584" s="18">
        <f t="shared" si="469"/>
        <v>20.263013698630136</v>
      </c>
      <c r="Q2584" s="18">
        <f t="shared" si="471"/>
        <v>0</v>
      </c>
      <c r="R2584" s="18">
        <f t="shared" si="470"/>
        <v>641.25</v>
      </c>
      <c r="S2584" s="18">
        <v>0</v>
      </c>
    </row>
    <row r="2585" spans="1:19" ht="15" customHeight="1" x14ac:dyDescent="0.2">
      <c r="A2585" s="14">
        <f t="shared" si="474"/>
        <v>2546</v>
      </c>
      <c r="B2585" s="31" t="s">
        <v>2156</v>
      </c>
      <c r="C2585" s="15" t="s">
        <v>3</v>
      </c>
      <c r="D2585" s="31" t="s">
        <v>1708</v>
      </c>
      <c r="E2585" s="31"/>
      <c r="F2585" s="73" t="s">
        <v>4</v>
      </c>
      <c r="G2585" s="32">
        <v>36892</v>
      </c>
      <c r="H2585" s="29">
        <v>900</v>
      </c>
      <c r="I2585" s="17">
        <v>0</v>
      </c>
      <c r="J2585" s="17">
        <f t="shared" si="477"/>
        <v>855</v>
      </c>
      <c r="K2585" s="17">
        <f t="shared" si="467"/>
        <v>45</v>
      </c>
      <c r="L2585" s="23">
        <f t="shared" si="481"/>
        <v>45</v>
      </c>
      <c r="M2585" s="33">
        <v>10</v>
      </c>
      <c r="N2585" s="18">
        <f t="shared" si="468"/>
        <v>19.263013698630136</v>
      </c>
      <c r="O2585" s="23">
        <f t="shared" si="480"/>
        <v>427.5</v>
      </c>
      <c r="P2585" s="18">
        <f t="shared" si="469"/>
        <v>20.263013698630136</v>
      </c>
      <c r="Q2585" s="18">
        <f t="shared" si="471"/>
        <v>0</v>
      </c>
      <c r="R2585" s="18">
        <f t="shared" si="470"/>
        <v>427.5</v>
      </c>
      <c r="S2585" s="18">
        <v>0</v>
      </c>
    </row>
    <row r="2586" spans="1:19" ht="15" customHeight="1" x14ac:dyDescent="0.2">
      <c r="A2586" s="14">
        <f t="shared" si="474"/>
        <v>2547</v>
      </c>
      <c r="B2586" s="31" t="s">
        <v>2157</v>
      </c>
      <c r="C2586" s="15" t="s">
        <v>3</v>
      </c>
      <c r="D2586" s="31" t="s">
        <v>1708</v>
      </c>
      <c r="E2586" s="31"/>
      <c r="F2586" s="73" t="s">
        <v>4</v>
      </c>
      <c r="G2586" s="32">
        <v>36892</v>
      </c>
      <c r="H2586" s="29">
        <v>885</v>
      </c>
      <c r="I2586" s="17">
        <v>0</v>
      </c>
      <c r="J2586" s="17">
        <f t="shared" si="477"/>
        <v>840.75</v>
      </c>
      <c r="K2586" s="17">
        <f t="shared" si="467"/>
        <v>44.25</v>
      </c>
      <c r="L2586" s="23">
        <f t="shared" si="481"/>
        <v>44.25</v>
      </c>
      <c r="M2586" s="33">
        <v>10</v>
      </c>
      <c r="N2586" s="18">
        <f t="shared" si="468"/>
        <v>19.263013698630136</v>
      </c>
      <c r="O2586" s="23">
        <f t="shared" si="480"/>
        <v>420.375</v>
      </c>
      <c r="P2586" s="18">
        <f t="shared" si="469"/>
        <v>20.263013698630136</v>
      </c>
      <c r="Q2586" s="18">
        <f t="shared" si="471"/>
        <v>0</v>
      </c>
      <c r="R2586" s="18">
        <f t="shared" si="470"/>
        <v>420.375</v>
      </c>
      <c r="S2586" s="18">
        <v>0</v>
      </c>
    </row>
    <row r="2587" spans="1:19" ht="15" customHeight="1" x14ac:dyDescent="0.2">
      <c r="A2587" s="14">
        <f t="shared" si="474"/>
        <v>2548</v>
      </c>
      <c r="B2587" s="31" t="s">
        <v>2158</v>
      </c>
      <c r="C2587" s="15" t="s">
        <v>3</v>
      </c>
      <c r="D2587" s="31" t="s">
        <v>1708</v>
      </c>
      <c r="E2587" s="31"/>
      <c r="F2587" s="73" t="s">
        <v>4</v>
      </c>
      <c r="G2587" s="32">
        <v>37257</v>
      </c>
      <c r="H2587" s="29">
        <v>41914</v>
      </c>
      <c r="I2587" s="17">
        <v>0</v>
      </c>
      <c r="J2587" s="17">
        <f t="shared" si="477"/>
        <v>39818.300000000003</v>
      </c>
      <c r="K2587" s="17">
        <f t="shared" si="467"/>
        <v>2095.6999999999971</v>
      </c>
      <c r="L2587" s="23">
        <f t="shared" si="481"/>
        <v>2095.7000000000003</v>
      </c>
      <c r="M2587" s="33">
        <v>10</v>
      </c>
      <c r="N2587" s="18">
        <f t="shared" si="468"/>
        <v>18.263013698630136</v>
      </c>
      <c r="O2587" s="23">
        <f t="shared" si="480"/>
        <v>19909.150000000001</v>
      </c>
      <c r="P2587" s="18">
        <f t="shared" si="469"/>
        <v>19.263013698630136</v>
      </c>
      <c r="Q2587" s="18">
        <f t="shared" si="471"/>
        <v>-3.1832314562052491E-13</v>
      </c>
      <c r="R2587" s="18">
        <f t="shared" si="470"/>
        <v>19909.150000000001</v>
      </c>
      <c r="S2587" s="18">
        <v>0</v>
      </c>
    </row>
    <row r="2588" spans="1:19" ht="15" customHeight="1" x14ac:dyDescent="0.2">
      <c r="A2588" s="14">
        <f t="shared" si="474"/>
        <v>2549</v>
      </c>
      <c r="B2588" s="31" t="s">
        <v>2159</v>
      </c>
      <c r="C2588" s="15" t="s">
        <v>3</v>
      </c>
      <c r="D2588" s="31" t="s">
        <v>1708</v>
      </c>
      <c r="E2588" s="31"/>
      <c r="F2588" s="73" t="s">
        <v>4</v>
      </c>
      <c r="G2588" s="32">
        <v>37257</v>
      </c>
      <c r="H2588" s="29">
        <v>32908</v>
      </c>
      <c r="I2588" s="17">
        <v>0</v>
      </c>
      <c r="J2588" s="17">
        <f t="shared" si="477"/>
        <v>31262.6</v>
      </c>
      <c r="K2588" s="17">
        <f t="shared" si="467"/>
        <v>1645.4000000000015</v>
      </c>
      <c r="L2588" s="23">
        <f t="shared" si="481"/>
        <v>1645.4</v>
      </c>
      <c r="M2588" s="33">
        <v>10</v>
      </c>
      <c r="N2588" s="18">
        <f t="shared" si="468"/>
        <v>18.263013698630136</v>
      </c>
      <c r="O2588" s="23">
        <f t="shared" si="480"/>
        <v>15631.3</v>
      </c>
      <c r="P2588" s="18">
        <f t="shared" si="469"/>
        <v>19.263013698630136</v>
      </c>
      <c r="Q2588" s="18">
        <f t="shared" si="471"/>
        <v>1.3642420526593926E-13</v>
      </c>
      <c r="R2588" s="18">
        <f t="shared" si="470"/>
        <v>15631.3</v>
      </c>
      <c r="S2588" s="18">
        <v>0</v>
      </c>
    </row>
    <row r="2589" spans="1:19" ht="15" customHeight="1" x14ac:dyDescent="0.2">
      <c r="A2589" s="14">
        <f t="shared" si="474"/>
        <v>2550</v>
      </c>
      <c r="B2589" s="31" t="s">
        <v>2160</v>
      </c>
      <c r="C2589" s="15" t="s">
        <v>3</v>
      </c>
      <c r="D2589" s="31" t="s">
        <v>1708</v>
      </c>
      <c r="E2589" s="31"/>
      <c r="F2589" s="73" t="s">
        <v>4</v>
      </c>
      <c r="G2589" s="32">
        <v>37257</v>
      </c>
      <c r="H2589" s="29">
        <v>26005</v>
      </c>
      <c r="I2589" s="17">
        <v>0</v>
      </c>
      <c r="J2589" s="17">
        <f t="shared" si="477"/>
        <v>24704.75</v>
      </c>
      <c r="K2589" s="17">
        <f t="shared" si="467"/>
        <v>1300.25</v>
      </c>
      <c r="L2589" s="23">
        <f t="shared" si="481"/>
        <v>1300.25</v>
      </c>
      <c r="M2589" s="33">
        <v>10</v>
      </c>
      <c r="N2589" s="18">
        <f t="shared" si="468"/>
        <v>18.263013698630136</v>
      </c>
      <c r="O2589" s="23">
        <f t="shared" si="480"/>
        <v>12352.375</v>
      </c>
      <c r="P2589" s="18">
        <f t="shared" si="469"/>
        <v>19.263013698630136</v>
      </c>
      <c r="Q2589" s="18">
        <f t="shared" si="471"/>
        <v>0</v>
      </c>
      <c r="R2589" s="18">
        <f t="shared" si="470"/>
        <v>12352.375</v>
      </c>
      <c r="S2589" s="18">
        <v>0</v>
      </c>
    </row>
    <row r="2590" spans="1:19" ht="15" customHeight="1" x14ac:dyDescent="0.2">
      <c r="A2590" s="14">
        <f t="shared" si="474"/>
        <v>2551</v>
      </c>
      <c r="B2590" s="14" t="s">
        <v>2161</v>
      </c>
      <c r="C2590" s="15" t="s">
        <v>3</v>
      </c>
      <c r="D2590" s="31" t="s">
        <v>1708</v>
      </c>
      <c r="E2590" s="31"/>
      <c r="F2590" s="73" t="s">
        <v>4</v>
      </c>
      <c r="G2590" s="32">
        <v>37257</v>
      </c>
      <c r="H2590" s="29">
        <v>16134</v>
      </c>
      <c r="I2590" s="17">
        <v>0</v>
      </c>
      <c r="J2590" s="17">
        <f t="shared" si="477"/>
        <v>15327.3</v>
      </c>
      <c r="K2590" s="17">
        <f t="shared" si="467"/>
        <v>806.70000000000073</v>
      </c>
      <c r="L2590" s="23">
        <f t="shared" si="481"/>
        <v>806.7</v>
      </c>
      <c r="M2590" s="33">
        <v>10</v>
      </c>
      <c r="N2590" s="18">
        <f t="shared" si="468"/>
        <v>18.263013698630136</v>
      </c>
      <c r="O2590" s="23">
        <f t="shared" si="480"/>
        <v>7663.65</v>
      </c>
      <c r="P2590" s="18">
        <f t="shared" si="469"/>
        <v>19.263013698630136</v>
      </c>
      <c r="Q2590" s="18">
        <f t="shared" si="471"/>
        <v>6.8212102632969628E-14</v>
      </c>
      <c r="R2590" s="18">
        <f t="shared" si="470"/>
        <v>7663.65</v>
      </c>
      <c r="S2590" s="18">
        <v>0</v>
      </c>
    </row>
    <row r="2591" spans="1:19" ht="15" customHeight="1" x14ac:dyDescent="0.2">
      <c r="A2591" s="14">
        <f t="shared" si="474"/>
        <v>2552</v>
      </c>
      <c r="B2591" s="14" t="s">
        <v>2162</v>
      </c>
      <c r="C2591" s="15" t="s">
        <v>3</v>
      </c>
      <c r="D2591" s="31" t="s">
        <v>1708</v>
      </c>
      <c r="E2591" s="31"/>
      <c r="F2591" s="73" t="s">
        <v>4</v>
      </c>
      <c r="G2591" s="32">
        <v>37257</v>
      </c>
      <c r="H2591" s="29">
        <v>14800</v>
      </c>
      <c r="I2591" s="17">
        <v>0</v>
      </c>
      <c r="J2591" s="17">
        <f t="shared" si="477"/>
        <v>14060</v>
      </c>
      <c r="K2591" s="17">
        <f t="shared" si="467"/>
        <v>740</v>
      </c>
      <c r="L2591" s="23">
        <f t="shared" si="481"/>
        <v>740</v>
      </c>
      <c r="M2591" s="33">
        <v>10</v>
      </c>
      <c r="N2591" s="18">
        <f t="shared" si="468"/>
        <v>18.263013698630136</v>
      </c>
      <c r="O2591" s="23">
        <f t="shared" si="480"/>
        <v>7030</v>
      </c>
      <c r="P2591" s="18">
        <f t="shared" si="469"/>
        <v>19.263013698630136</v>
      </c>
      <c r="Q2591" s="18">
        <f t="shared" si="471"/>
        <v>0</v>
      </c>
      <c r="R2591" s="18">
        <f t="shared" si="470"/>
        <v>7030</v>
      </c>
      <c r="S2591" s="18">
        <v>0</v>
      </c>
    </row>
    <row r="2592" spans="1:19" ht="15" customHeight="1" x14ac:dyDescent="0.2">
      <c r="A2592" s="14">
        <f t="shared" si="474"/>
        <v>2553</v>
      </c>
      <c r="B2592" s="14" t="s">
        <v>2163</v>
      </c>
      <c r="C2592" s="15" t="s">
        <v>3</v>
      </c>
      <c r="D2592" s="31" t="s">
        <v>1708</v>
      </c>
      <c r="E2592" s="31"/>
      <c r="F2592" s="73" t="s">
        <v>4</v>
      </c>
      <c r="G2592" s="32">
        <v>37257</v>
      </c>
      <c r="H2592" s="29">
        <v>3900</v>
      </c>
      <c r="I2592" s="17">
        <v>0</v>
      </c>
      <c r="J2592" s="17">
        <f t="shared" si="477"/>
        <v>3705</v>
      </c>
      <c r="K2592" s="17">
        <f t="shared" si="467"/>
        <v>195</v>
      </c>
      <c r="L2592" s="23">
        <f t="shared" si="481"/>
        <v>195</v>
      </c>
      <c r="M2592" s="33">
        <v>10</v>
      </c>
      <c r="N2592" s="18">
        <f t="shared" si="468"/>
        <v>18.263013698630136</v>
      </c>
      <c r="O2592" s="23">
        <f t="shared" si="480"/>
        <v>1852.5</v>
      </c>
      <c r="P2592" s="18">
        <f t="shared" si="469"/>
        <v>19.263013698630136</v>
      </c>
      <c r="Q2592" s="18">
        <f t="shared" si="471"/>
        <v>0</v>
      </c>
      <c r="R2592" s="18">
        <f t="shared" si="470"/>
        <v>1852.5</v>
      </c>
      <c r="S2592" s="18">
        <v>0</v>
      </c>
    </row>
    <row r="2593" spans="1:19" ht="15" customHeight="1" x14ac:dyDescent="0.2">
      <c r="A2593" s="14">
        <f t="shared" si="474"/>
        <v>2554</v>
      </c>
      <c r="B2593" s="14" t="s">
        <v>2164</v>
      </c>
      <c r="C2593" s="15" t="s">
        <v>3</v>
      </c>
      <c r="D2593" s="31" t="s">
        <v>1708</v>
      </c>
      <c r="E2593" s="31"/>
      <c r="F2593" s="73" t="s">
        <v>4</v>
      </c>
      <c r="G2593" s="32">
        <v>37257</v>
      </c>
      <c r="H2593" s="29">
        <v>3538</v>
      </c>
      <c r="I2593" s="17">
        <v>0</v>
      </c>
      <c r="J2593" s="17">
        <f t="shared" si="477"/>
        <v>3361.1</v>
      </c>
      <c r="K2593" s="17">
        <f t="shared" si="467"/>
        <v>176.90000000000009</v>
      </c>
      <c r="L2593" s="23">
        <f t="shared" si="481"/>
        <v>176.9</v>
      </c>
      <c r="M2593" s="33">
        <v>10</v>
      </c>
      <c r="N2593" s="18">
        <f t="shared" si="468"/>
        <v>18.263013698630136</v>
      </c>
      <c r="O2593" s="23">
        <f t="shared" si="480"/>
        <v>1680.55</v>
      </c>
      <c r="P2593" s="18">
        <f t="shared" si="469"/>
        <v>19.263013698630136</v>
      </c>
      <c r="Q2593" s="18">
        <f t="shared" si="471"/>
        <v>8.5265128291212035E-15</v>
      </c>
      <c r="R2593" s="18">
        <f t="shared" si="470"/>
        <v>1680.55</v>
      </c>
      <c r="S2593" s="18">
        <v>0</v>
      </c>
    </row>
    <row r="2594" spans="1:19" ht="15" customHeight="1" x14ac:dyDescent="0.2">
      <c r="A2594" s="14">
        <f t="shared" si="474"/>
        <v>2555</v>
      </c>
      <c r="B2594" s="14" t="s">
        <v>2165</v>
      </c>
      <c r="C2594" s="15" t="s">
        <v>3</v>
      </c>
      <c r="D2594" s="31" t="s">
        <v>1708</v>
      </c>
      <c r="E2594" s="31"/>
      <c r="F2594" s="73" t="s">
        <v>4</v>
      </c>
      <c r="G2594" s="32">
        <v>37257</v>
      </c>
      <c r="H2594" s="29">
        <v>2250</v>
      </c>
      <c r="I2594" s="17">
        <v>0</v>
      </c>
      <c r="J2594" s="17">
        <f t="shared" si="477"/>
        <v>2137.5</v>
      </c>
      <c r="K2594" s="17">
        <f t="shared" si="467"/>
        <v>112.5</v>
      </c>
      <c r="L2594" s="23">
        <f t="shared" si="481"/>
        <v>112.5</v>
      </c>
      <c r="M2594" s="33">
        <v>10</v>
      </c>
      <c r="N2594" s="18">
        <f t="shared" si="468"/>
        <v>18.263013698630136</v>
      </c>
      <c r="O2594" s="23">
        <f t="shared" si="480"/>
        <v>1068.75</v>
      </c>
      <c r="P2594" s="18">
        <f t="shared" si="469"/>
        <v>19.263013698630136</v>
      </c>
      <c r="Q2594" s="18">
        <f t="shared" si="471"/>
        <v>0</v>
      </c>
      <c r="R2594" s="18">
        <f t="shared" si="470"/>
        <v>1068.75</v>
      </c>
      <c r="S2594" s="18">
        <v>0</v>
      </c>
    </row>
    <row r="2595" spans="1:19" ht="15" customHeight="1" x14ac:dyDescent="0.2">
      <c r="A2595" s="14">
        <f t="shared" si="474"/>
        <v>2556</v>
      </c>
      <c r="B2595" s="14" t="s">
        <v>2166</v>
      </c>
      <c r="C2595" s="15" t="s">
        <v>3</v>
      </c>
      <c r="D2595" s="31" t="s">
        <v>1708</v>
      </c>
      <c r="E2595" s="31"/>
      <c r="F2595" s="73" t="s">
        <v>4</v>
      </c>
      <c r="G2595" s="32">
        <v>37257</v>
      </c>
      <c r="H2595" s="29">
        <v>1050</v>
      </c>
      <c r="I2595" s="17">
        <v>0</v>
      </c>
      <c r="J2595" s="17">
        <f t="shared" si="477"/>
        <v>997.5</v>
      </c>
      <c r="K2595" s="17">
        <f t="shared" si="467"/>
        <v>52.5</v>
      </c>
      <c r="L2595" s="23">
        <f t="shared" si="481"/>
        <v>52.5</v>
      </c>
      <c r="M2595" s="33">
        <v>10</v>
      </c>
      <c r="N2595" s="18">
        <f t="shared" si="468"/>
        <v>18.263013698630136</v>
      </c>
      <c r="O2595" s="23">
        <f t="shared" si="480"/>
        <v>498.75</v>
      </c>
      <c r="P2595" s="18">
        <f t="shared" si="469"/>
        <v>19.263013698630136</v>
      </c>
      <c r="Q2595" s="18">
        <f t="shared" si="471"/>
        <v>0</v>
      </c>
      <c r="R2595" s="18">
        <f t="shared" si="470"/>
        <v>498.75</v>
      </c>
      <c r="S2595" s="18">
        <v>0</v>
      </c>
    </row>
    <row r="2596" spans="1:19" ht="15" customHeight="1" x14ac:dyDescent="0.2">
      <c r="A2596" s="14">
        <f t="shared" si="474"/>
        <v>2557</v>
      </c>
      <c r="B2596" s="14" t="s">
        <v>2167</v>
      </c>
      <c r="C2596" s="15" t="s">
        <v>3</v>
      </c>
      <c r="D2596" s="31" t="s">
        <v>1708</v>
      </c>
      <c r="E2596" s="31"/>
      <c r="F2596" s="73" t="s">
        <v>4</v>
      </c>
      <c r="G2596" s="32">
        <v>37622</v>
      </c>
      <c r="H2596" s="29">
        <v>18615</v>
      </c>
      <c r="I2596" s="17">
        <v>0</v>
      </c>
      <c r="J2596" s="17">
        <f t="shared" si="477"/>
        <v>17684.25</v>
      </c>
      <c r="K2596" s="17">
        <f t="shared" si="467"/>
        <v>930.75</v>
      </c>
      <c r="L2596" s="23">
        <f t="shared" si="481"/>
        <v>930.75</v>
      </c>
      <c r="M2596" s="33">
        <v>10</v>
      </c>
      <c r="N2596" s="18">
        <f t="shared" si="468"/>
        <v>17.263013698630136</v>
      </c>
      <c r="O2596" s="23">
        <f t="shared" si="480"/>
        <v>8842.125</v>
      </c>
      <c r="P2596" s="18">
        <f t="shared" si="469"/>
        <v>18.263013698630136</v>
      </c>
      <c r="Q2596" s="18">
        <f t="shared" si="471"/>
        <v>0</v>
      </c>
      <c r="R2596" s="18">
        <f t="shared" si="470"/>
        <v>8842.125</v>
      </c>
      <c r="S2596" s="18">
        <v>0</v>
      </c>
    </row>
    <row r="2597" spans="1:19" ht="15" customHeight="1" x14ac:dyDescent="0.2">
      <c r="A2597" s="14">
        <f t="shared" si="474"/>
        <v>2558</v>
      </c>
      <c r="B2597" s="14" t="s">
        <v>2168</v>
      </c>
      <c r="C2597" s="15" t="s">
        <v>3</v>
      </c>
      <c r="D2597" s="31" t="s">
        <v>1708</v>
      </c>
      <c r="E2597" s="31"/>
      <c r="F2597" s="73" t="s">
        <v>4</v>
      </c>
      <c r="G2597" s="32">
        <v>38267</v>
      </c>
      <c r="H2597" s="29">
        <v>43070.16</v>
      </c>
      <c r="I2597" s="17">
        <v>0</v>
      </c>
      <c r="J2597" s="17">
        <f t="shared" si="477"/>
        <v>40916.652000000002</v>
      </c>
      <c r="K2597" s="17">
        <f t="shared" si="467"/>
        <v>2153.5080000000016</v>
      </c>
      <c r="L2597" s="23">
        <f t="shared" si="481"/>
        <v>2153.5080000000003</v>
      </c>
      <c r="M2597" s="33">
        <v>5</v>
      </c>
      <c r="N2597" s="18">
        <f t="shared" si="468"/>
        <v>15.495890410958904</v>
      </c>
      <c r="O2597" s="23">
        <f t="shared" si="480"/>
        <v>20458.326000000001</v>
      </c>
      <c r="P2597" s="18">
        <f t="shared" si="469"/>
        <v>16.495890410958904</v>
      </c>
      <c r="Q2597" s="18">
        <f t="shared" si="471"/>
        <v>2.7284841053187851E-13</v>
      </c>
      <c r="R2597" s="18">
        <f t="shared" si="470"/>
        <v>20458.326000000001</v>
      </c>
      <c r="S2597" s="18">
        <v>0</v>
      </c>
    </row>
    <row r="2598" spans="1:19" ht="15" customHeight="1" x14ac:dyDescent="0.2">
      <c r="A2598" s="14">
        <f t="shared" si="474"/>
        <v>2559</v>
      </c>
      <c r="B2598" s="14" t="s">
        <v>2169</v>
      </c>
      <c r="C2598" s="15" t="s">
        <v>3</v>
      </c>
      <c r="D2598" s="31" t="s">
        <v>1708</v>
      </c>
      <c r="E2598" s="31"/>
      <c r="F2598" s="73" t="s">
        <v>4</v>
      </c>
      <c r="G2598" s="32">
        <v>38569</v>
      </c>
      <c r="H2598" s="29">
        <v>18000</v>
      </c>
      <c r="I2598" s="17">
        <v>0</v>
      </c>
      <c r="J2598" s="17">
        <f t="shared" si="477"/>
        <v>17100</v>
      </c>
      <c r="K2598" s="17">
        <f t="shared" ref="K2598:K2661" si="482">H2598+I2598-J2598</f>
        <v>900</v>
      </c>
      <c r="L2598" s="23">
        <f t="shared" si="481"/>
        <v>900</v>
      </c>
      <c r="M2598" s="33">
        <v>5</v>
      </c>
      <c r="N2598" s="18">
        <f t="shared" ref="N2598:N2661" si="483">IF(($N$35-G2598+1)/365&gt;0,($N$35-G2598+1)/365,0)</f>
        <v>14.668493150684931</v>
      </c>
      <c r="O2598" s="23">
        <f t="shared" si="480"/>
        <v>8550</v>
      </c>
      <c r="P2598" s="18">
        <f t="shared" ref="P2598:P2661" si="484">($P$35-G2598+1)/365</f>
        <v>15.668493150684931</v>
      </c>
      <c r="Q2598" s="18">
        <f t="shared" si="471"/>
        <v>0</v>
      </c>
      <c r="R2598" s="18">
        <f t="shared" ref="R2598:R2661" si="485">Q2598+O2598</f>
        <v>8550</v>
      </c>
      <c r="S2598" s="18">
        <v>0</v>
      </c>
    </row>
    <row r="2599" spans="1:19" ht="15" customHeight="1" x14ac:dyDescent="0.2">
      <c r="A2599" s="14">
        <f t="shared" si="474"/>
        <v>2560</v>
      </c>
      <c r="B2599" s="14" t="s">
        <v>2170</v>
      </c>
      <c r="C2599" s="15" t="s">
        <v>3</v>
      </c>
      <c r="D2599" s="31" t="s">
        <v>1708</v>
      </c>
      <c r="E2599" s="31"/>
      <c r="F2599" s="73" t="s">
        <v>4</v>
      </c>
      <c r="G2599" s="32">
        <v>38595</v>
      </c>
      <c r="H2599" s="29">
        <v>6500</v>
      </c>
      <c r="I2599" s="17">
        <v>0</v>
      </c>
      <c r="J2599" s="17">
        <f t="shared" si="477"/>
        <v>6175</v>
      </c>
      <c r="K2599" s="17">
        <f t="shared" si="482"/>
        <v>325</v>
      </c>
      <c r="L2599" s="23">
        <f t="shared" si="481"/>
        <v>325</v>
      </c>
      <c r="M2599" s="33">
        <v>5</v>
      </c>
      <c r="N2599" s="18">
        <f t="shared" si="483"/>
        <v>14.597260273972603</v>
      </c>
      <c r="O2599" s="23">
        <f t="shared" si="480"/>
        <v>3087.5</v>
      </c>
      <c r="P2599" s="18">
        <f t="shared" si="484"/>
        <v>15.597260273972603</v>
      </c>
      <c r="Q2599" s="18">
        <f t="shared" si="471"/>
        <v>0</v>
      </c>
      <c r="R2599" s="18">
        <f t="shared" si="485"/>
        <v>3087.5</v>
      </c>
      <c r="S2599" s="18">
        <v>0</v>
      </c>
    </row>
    <row r="2600" spans="1:19" ht="15" customHeight="1" x14ac:dyDescent="0.2">
      <c r="A2600" s="14">
        <f t="shared" si="474"/>
        <v>2561</v>
      </c>
      <c r="B2600" s="14" t="s">
        <v>2170</v>
      </c>
      <c r="C2600" s="15" t="s">
        <v>3</v>
      </c>
      <c r="D2600" s="31" t="s">
        <v>1708</v>
      </c>
      <c r="E2600" s="31"/>
      <c r="F2600" s="73" t="s">
        <v>4</v>
      </c>
      <c r="G2600" s="32">
        <v>38611</v>
      </c>
      <c r="H2600" s="29">
        <v>7000</v>
      </c>
      <c r="I2600" s="17">
        <v>0</v>
      </c>
      <c r="J2600" s="17">
        <f t="shared" si="477"/>
        <v>6650</v>
      </c>
      <c r="K2600" s="17">
        <f t="shared" si="482"/>
        <v>350</v>
      </c>
      <c r="L2600" s="23">
        <f t="shared" si="481"/>
        <v>350</v>
      </c>
      <c r="M2600" s="33">
        <v>5</v>
      </c>
      <c r="N2600" s="18">
        <f t="shared" si="483"/>
        <v>14.553424657534247</v>
      </c>
      <c r="O2600" s="23">
        <f t="shared" si="480"/>
        <v>3325</v>
      </c>
      <c r="P2600" s="18">
        <f t="shared" si="484"/>
        <v>15.553424657534247</v>
      </c>
      <c r="Q2600" s="18">
        <f t="shared" ref="Q2600:Q2663" si="486">(P2600-N2600)/M2600*(K2600-L2600)</f>
        <v>0</v>
      </c>
      <c r="R2600" s="18">
        <f t="shared" si="485"/>
        <v>3325</v>
      </c>
      <c r="S2600" s="18">
        <v>0</v>
      </c>
    </row>
    <row r="2601" spans="1:19" ht="15" customHeight="1" x14ac:dyDescent="0.2">
      <c r="A2601" s="14">
        <f t="shared" si="474"/>
        <v>2562</v>
      </c>
      <c r="B2601" s="14" t="s">
        <v>1261</v>
      </c>
      <c r="C2601" s="15" t="s">
        <v>3</v>
      </c>
      <c r="D2601" s="31" t="s">
        <v>1708</v>
      </c>
      <c r="E2601" s="31"/>
      <c r="F2601" s="73" t="s">
        <v>4</v>
      </c>
      <c r="G2601" s="32">
        <v>38705</v>
      </c>
      <c r="H2601" s="29">
        <v>85139.6</v>
      </c>
      <c r="I2601" s="17">
        <v>0</v>
      </c>
      <c r="J2601" s="17">
        <f t="shared" si="477"/>
        <v>80882.62000000001</v>
      </c>
      <c r="K2601" s="17">
        <f t="shared" si="482"/>
        <v>4256.9799999999959</v>
      </c>
      <c r="L2601" s="23">
        <f t="shared" si="481"/>
        <v>4256.9800000000005</v>
      </c>
      <c r="M2601" s="33">
        <v>5</v>
      </c>
      <c r="N2601" s="18">
        <f t="shared" si="483"/>
        <v>14.295890410958904</v>
      </c>
      <c r="O2601" s="23">
        <f t="shared" si="480"/>
        <v>40441.310000000005</v>
      </c>
      <c r="P2601" s="18">
        <f t="shared" si="484"/>
        <v>15.295890410958904</v>
      </c>
      <c r="Q2601" s="18">
        <f t="shared" si="486"/>
        <v>-9.0949470177292824E-13</v>
      </c>
      <c r="R2601" s="18">
        <f t="shared" si="485"/>
        <v>40441.310000000005</v>
      </c>
      <c r="S2601" s="18">
        <v>0</v>
      </c>
    </row>
    <row r="2602" spans="1:19" ht="15" customHeight="1" x14ac:dyDescent="0.2">
      <c r="A2602" s="14">
        <f t="shared" si="474"/>
        <v>2563</v>
      </c>
      <c r="B2602" s="14" t="s">
        <v>2171</v>
      </c>
      <c r="C2602" s="15" t="s">
        <v>3</v>
      </c>
      <c r="D2602" s="31" t="s">
        <v>1708</v>
      </c>
      <c r="E2602" s="31"/>
      <c r="F2602" s="73" t="s">
        <v>4</v>
      </c>
      <c r="G2602" s="32">
        <v>37622</v>
      </c>
      <c r="H2602" s="29">
        <v>6400</v>
      </c>
      <c r="I2602" s="17">
        <v>0</v>
      </c>
      <c r="J2602" s="17">
        <f t="shared" si="477"/>
        <v>6080</v>
      </c>
      <c r="K2602" s="17">
        <f t="shared" si="482"/>
        <v>320</v>
      </c>
      <c r="L2602" s="23">
        <f t="shared" si="481"/>
        <v>320</v>
      </c>
      <c r="M2602" s="33">
        <v>10</v>
      </c>
      <c r="N2602" s="18">
        <f t="shared" si="483"/>
        <v>17.263013698630136</v>
      </c>
      <c r="O2602" s="23">
        <f t="shared" si="480"/>
        <v>3040</v>
      </c>
      <c r="P2602" s="18">
        <f t="shared" si="484"/>
        <v>18.263013698630136</v>
      </c>
      <c r="Q2602" s="18">
        <f t="shared" si="486"/>
        <v>0</v>
      </c>
      <c r="R2602" s="18">
        <f t="shared" si="485"/>
        <v>3040</v>
      </c>
      <c r="S2602" s="18">
        <v>0</v>
      </c>
    </row>
    <row r="2603" spans="1:19" ht="15" customHeight="1" x14ac:dyDescent="0.2">
      <c r="A2603" s="14">
        <f t="shared" ref="A2603:A2666" si="487">+A2602+1</f>
        <v>2564</v>
      </c>
      <c r="B2603" s="14" t="s">
        <v>2172</v>
      </c>
      <c r="C2603" s="15" t="s">
        <v>3</v>
      </c>
      <c r="D2603" s="31" t="s">
        <v>1708</v>
      </c>
      <c r="E2603" s="31"/>
      <c r="F2603" s="73" t="s">
        <v>4</v>
      </c>
      <c r="G2603" s="32">
        <v>37622</v>
      </c>
      <c r="H2603" s="29">
        <v>5200</v>
      </c>
      <c r="I2603" s="17">
        <v>0</v>
      </c>
      <c r="J2603" s="17">
        <f t="shared" si="477"/>
        <v>4940</v>
      </c>
      <c r="K2603" s="17">
        <f t="shared" si="482"/>
        <v>260</v>
      </c>
      <c r="L2603" s="23">
        <f t="shared" si="481"/>
        <v>260</v>
      </c>
      <c r="M2603" s="33">
        <v>10</v>
      </c>
      <c r="N2603" s="18">
        <f t="shared" si="483"/>
        <v>17.263013698630136</v>
      </c>
      <c r="O2603" s="23">
        <f t="shared" si="480"/>
        <v>2470</v>
      </c>
      <c r="P2603" s="18">
        <f t="shared" si="484"/>
        <v>18.263013698630136</v>
      </c>
      <c r="Q2603" s="18">
        <f t="shared" si="486"/>
        <v>0</v>
      </c>
      <c r="R2603" s="18">
        <f t="shared" si="485"/>
        <v>2470</v>
      </c>
      <c r="S2603" s="18">
        <v>0</v>
      </c>
    </row>
    <row r="2604" spans="1:19" ht="15" customHeight="1" x14ac:dyDescent="0.2">
      <c r="A2604" s="14">
        <f t="shared" si="487"/>
        <v>2565</v>
      </c>
      <c r="B2604" s="14" t="s">
        <v>2173</v>
      </c>
      <c r="C2604" s="15" t="s">
        <v>3</v>
      </c>
      <c r="D2604" s="31" t="s">
        <v>1708</v>
      </c>
      <c r="E2604" s="31"/>
      <c r="F2604" s="73" t="s">
        <v>4</v>
      </c>
      <c r="G2604" s="32">
        <v>37622</v>
      </c>
      <c r="H2604" s="29">
        <v>4500</v>
      </c>
      <c r="I2604" s="17">
        <v>0</v>
      </c>
      <c r="J2604" s="17">
        <f t="shared" si="477"/>
        <v>4275</v>
      </c>
      <c r="K2604" s="17">
        <f t="shared" si="482"/>
        <v>225</v>
      </c>
      <c r="L2604" s="23">
        <f t="shared" si="481"/>
        <v>225</v>
      </c>
      <c r="M2604" s="33">
        <v>10</v>
      </c>
      <c r="N2604" s="18">
        <f t="shared" si="483"/>
        <v>17.263013698630136</v>
      </c>
      <c r="O2604" s="23">
        <f t="shared" si="480"/>
        <v>2137.5</v>
      </c>
      <c r="P2604" s="18">
        <f t="shared" si="484"/>
        <v>18.263013698630136</v>
      </c>
      <c r="Q2604" s="18">
        <f t="shared" si="486"/>
        <v>0</v>
      </c>
      <c r="R2604" s="18">
        <f t="shared" si="485"/>
        <v>2137.5</v>
      </c>
      <c r="S2604" s="18">
        <v>0</v>
      </c>
    </row>
    <row r="2605" spans="1:19" ht="15" customHeight="1" x14ac:dyDescent="0.2">
      <c r="A2605" s="14">
        <f t="shared" si="487"/>
        <v>2566</v>
      </c>
      <c r="B2605" s="14" t="s">
        <v>2174</v>
      </c>
      <c r="C2605" s="15" t="s">
        <v>3</v>
      </c>
      <c r="D2605" s="31" t="s">
        <v>1708</v>
      </c>
      <c r="E2605" s="31"/>
      <c r="F2605" s="73" t="s">
        <v>4</v>
      </c>
      <c r="G2605" s="32">
        <v>38839</v>
      </c>
      <c r="H2605" s="29">
        <v>1437</v>
      </c>
      <c r="I2605" s="17">
        <v>0</v>
      </c>
      <c r="J2605" s="17">
        <f t="shared" si="477"/>
        <v>1365.15</v>
      </c>
      <c r="K2605" s="17">
        <f t="shared" si="482"/>
        <v>71.849999999999909</v>
      </c>
      <c r="L2605" s="23">
        <f t="shared" si="481"/>
        <v>71.850000000000009</v>
      </c>
      <c r="M2605" s="33">
        <v>5</v>
      </c>
      <c r="N2605" s="18">
        <f t="shared" si="483"/>
        <v>13.92876712328767</v>
      </c>
      <c r="O2605" s="23">
        <f t="shared" si="480"/>
        <v>682.57500000000005</v>
      </c>
      <c r="P2605" s="18">
        <f t="shared" si="484"/>
        <v>14.92876712328767</v>
      </c>
      <c r="Q2605" s="18">
        <f t="shared" si="486"/>
        <v>-1.9895196601282807E-14</v>
      </c>
      <c r="R2605" s="18">
        <f t="shared" si="485"/>
        <v>682.57500000000005</v>
      </c>
      <c r="S2605" s="18">
        <v>0</v>
      </c>
    </row>
    <row r="2606" spans="1:19" ht="15" customHeight="1" x14ac:dyDescent="0.2">
      <c r="A2606" s="14">
        <f t="shared" si="487"/>
        <v>2567</v>
      </c>
      <c r="B2606" s="14" t="s">
        <v>1343</v>
      </c>
      <c r="C2606" s="15" t="s">
        <v>3</v>
      </c>
      <c r="D2606" s="31" t="s">
        <v>1708</v>
      </c>
      <c r="E2606" s="31"/>
      <c r="F2606" s="73" t="s">
        <v>4</v>
      </c>
      <c r="G2606" s="32">
        <v>38859</v>
      </c>
      <c r="H2606" s="29">
        <v>2238</v>
      </c>
      <c r="I2606" s="17">
        <v>0</v>
      </c>
      <c r="J2606" s="17">
        <f t="shared" si="477"/>
        <v>2126.1</v>
      </c>
      <c r="K2606" s="17">
        <f t="shared" si="482"/>
        <v>111.90000000000009</v>
      </c>
      <c r="L2606" s="23">
        <f t="shared" si="481"/>
        <v>111.9</v>
      </c>
      <c r="M2606" s="33">
        <v>5</v>
      </c>
      <c r="N2606" s="18">
        <f t="shared" si="483"/>
        <v>13.873972602739727</v>
      </c>
      <c r="O2606" s="23">
        <f t="shared" si="480"/>
        <v>1063.05</v>
      </c>
      <c r="P2606" s="18">
        <f t="shared" si="484"/>
        <v>14.873972602739727</v>
      </c>
      <c r="Q2606" s="18">
        <f t="shared" si="486"/>
        <v>1.7053025658242407E-14</v>
      </c>
      <c r="R2606" s="18">
        <f t="shared" si="485"/>
        <v>1063.05</v>
      </c>
      <c r="S2606" s="18">
        <v>0</v>
      </c>
    </row>
    <row r="2607" spans="1:19" ht="15" customHeight="1" x14ac:dyDescent="0.2">
      <c r="A2607" s="14">
        <f t="shared" si="487"/>
        <v>2568</v>
      </c>
      <c r="B2607" s="14" t="s">
        <v>2175</v>
      </c>
      <c r="C2607" s="15" t="s">
        <v>3</v>
      </c>
      <c r="D2607" s="31" t="s">
        <v>1708</v>
      </c>
      <c r="E2607" s="31"/>
      <c r="F2607" s="73" t="s">
        <v>4</v>
      </c>
      <c r="G2607" s="32">
        <v>38859</v>
      </c>
      <c r="H2607" s="29">
        <v>1847</v>
      </c>
      <c r="I2607" s="17">
        <v>0</v>
      </c>
      <c r="J2607" s="17">
        <f t="shared" si="477"/>
        <v>1754.65</v>
      </c>
      <c r="K2607" s="17">
        <f t="shared" si="482"/>
        <v>92.349999999999909</v>
      </c>
      <c r="L2607" s="23">
        <f t="shared" si="481"/>
        <v>92.350000000000009</v>
      </c>
      <c r="M2607" s="33">
        <v>5</v>
      </c>
      <c r="N2607" s="18">
        <f t="shared" si="483"/>
        <v>13.873972602739727</v>
      </c>
      <c r="O2607" s="23">
        <f t="shared" si="480"/>
        <v>877.32500000000005</v>
      </c>
      <c r="P2607" s="18">
        <f t="shared" si="484"/>
        <v>14.873972602739727</v>
      </c>
      <c r="Q2607" s="18">
        <f t="shared" si="486"/>
        <v>-1.9895196601282807E-14</v>
      </c>
      <c r="R2607" s="18">
        <f t="shared" si="485"/>
        <v>877.32500000000005</v>
      </c>
      <c r="S2607" s="18">
        <v>0</v>
      </c>
    </row>
    <row r="2608" spans="1:19" ht="15" customHeight="1" x14ac:dyDescent="0.2">
      <c r="A2608" s="14">
        <f t="shared" si="487"/>
        <v>2569</v>
      </c>
      <c r="B2608" s="14" t="s">
        <v>2176</v>
      </c>
      <c r="C2608" s="15" t="s">
        <v>3</v>
      </c>
      <c r="D2608" s="31" t="s">
        <v>1708</v>
      </c>
      <c r="E2608" s="31"/>
      <c r="F2608" s="73" t="s">
        <v>4</v>
      </c>
      <c r="G2608" s="32">
        <v>38975</v>
      </c>
      <c r="H2608" s="29">
        <v>45000</v>
      </c>
      <c r="I2608" s="17">
        <v>0</v>
      </c>
      <c r="J2608" s="17">
        <f t="shared" si="477"/>
        <v>42750</v>
      </c>
      <c r="K2608" s="17">
        <f t="shared" si="482"/>
        <v>2250</v>
      </c>
      <c r="L2608" s="23">
        <f t="shared" si="481"/>
        <v>2250</v>
      </c>
      <c r="M2608" s="33">
        <v>5</v>
      </c>
      <c r="N2608" s="18">
        <f t="shared" si="483"/>
        <v>13.556164383561644</v>
      </c>
      <c r="O2608" s="23">
        <f t="shared" si="480"/>
        <v>21375</v>
      </c>
      <c r="P2608" s="18">
        <f t="shared" si="484"/>
        <v>14.556164383561644</v>
      </c>
      <c r="Q2608" s="18">
        <f t="shared" si="486"/>
        <v>0</v>
      </c>
      <c r="R2608" s="18">
        <f t="shared" si="485"/>
        <v>21375</v>
      </c>
      <c r="S2608" s="18">
        <v>0</v>
      </c>
    </row>
    <row r="2609" spans="1:19" ht="15" customHeight="1" x14ac:dyDescent="0.2">
      <c r="A2609" s="14">
        <f t="shared" si="487"/>
        <v>2570</v>
      </c>
      <c r="B2609" s="14" t="s">
        <v>1201</v>
      </c>
      <c r="C2609" s="15" t="s">
        <v>3</v>
      </c>
      <c r="D2609" s="31" t="s">
        <v>1708</v>
      </c>
      <c r="E2609" s="31"/>
      <c r="F2609" s="73" t="s">
        <v>4</v>
      </c>
      <c r="G2609" s="32">
        <v>38892</v>
      </c>
      <c r="H2609" s="29">
        <v>3200</v>
      </c>
      <c r="I2609" s="17">
        <v>0</v>
      </c>
      <c r="J2609" s="17">
        <f t="shared" si="477"/>
        <v>3040</v>
      </c>
      <c r="K2609" s="17">
        <f t="shared" si="482"/>
        <v>160</v>
      </c>
      <c r="L2609" s="23">
        <f t="shared" si="481"/>
        <v>160</v>
      </c>
      <c r="M2609" s="33">
        <v>5</v>
      </c>
      <c r="N2609" s="18">
        <f t="shared" si="483"/>
        <v>13.783561643835617</v>
      </c>
      <c r="O2609" s="23">
        <f t="shared" si="480"/>
        <v>1520</v>
      </c>
      <c r="P2609" s="18">
        <f t="shared" si="484"/>
        <v>14.783561643835617</v>
      </c>
      <c r="Q2609" s="18">
        <f t="shared" si="486"/>
        <v>0</v>
      </c>
      <c r="R2609" s="18">
        <f t="shared" si="485"/>
        <v>1520</v>
      </c>
      <c r="S2609" s="18">
        <v>0</v>
      </c>
    </row>
    <row r="2610" spans="1:19" ht="15" customHeight="1" x14ac:dyDescent="0.2">
      <c r="A2610" s="14">
        <f t="shared" si="487"/>
        <v>2571</v>
      </c>
      <c r="B2610" s="14" t="s">
        <v>2177</v>
      </c>
      <c r="C2610" s="15" t="s">
        <v>3</v>
      </c>
      <c r="D2610" s="31" t="s">
        <v>1708</v>
      </c>
      <c r="E2610" s="31"/>
      <c r="F2610" s="73" t="s">
        <v>4</v>
      </c>
      <c r="G2610" s="32">
        <v>41548</v>
      </c>
      <c r="H2610" s="29">
        <v>1199</v>
      </c>
      <c r="I2610" s="17">
        <v>0</v>
      </c>
      <c r="J2610" s="17">
        <f t="shared" si="477"/>
        <v>1139.05</v>
      </c>
      <c r="K2610" s="17">
        <f t="shared" si="482"/>
        <v>59.950000000000045</v>
      </c>
      <c r="L2610" s="23">
        <f t="shared" si="481"/>
        <v>59.95</v>
      </c>
      <c r="M2610" s="33">
        <v>5</v>
      </c>
      <c r="N2610" s="18">
        <f t="shared" si="483"/>
        <v>6.506849315068493</v>
      </c>
      <c r="O2610" s="23">
        <f t="shared" si="480"/>
        <v>569.52499999999998</v>
      </c>
      <c r="P2610" s="18">
        <f t="shared" si="484"/>
        <v>7.506849315068493</v>
      </c>
      <c r="Q2610" s="18">
        <f t="shared" si="486"/>
        <v>8.5265128291212035E-15</v>
      </c>
      <c r="R2610" s="18">
        <f t="shared" si="485"/>
        <v>569.52499999999998</v>
      </c>
      <c r="S2610" s="18">
        <v>0</v>
      </c>
    </row>
    <row r="2611" spans="1:19" ht="15" customHeight="1" x14ac:dyDescent="0.2">
      <c r="A2611" s="14">
        <f t="shared" si="487"/>
        <v>2572</v>
      </c>
      <c r="B2611" s="14" t="s">
        <v>1777</v>
      </c>
      <c r="C2611" s="15" t="s">
        <v>3</v>
      </c>
      <c r="D2611" s="31" t="s">
        <v>1708</v>
      </c>
      <c r="E2611" s="31"/>
      <c r="F2611" s="73" t="s">
        <v>4</v>
      </c>
      <c r="G2611" s="32">
        <v>41627</v>
      </c>
      <c r="H2611" s="29">
        <v>1100</v>
      </c>
      <c r="I2611" s="17">
        <v>0</v>
      </c>
      <c r="J2611" s="17">
        <f t="shared" si="477"/>
        <v>1045</v>
      </c>
      <c r="K2611" s="17">
        <f t="shared" si="482"/>
        <v>55</v>
      </c>
      <c r="L2611" s="23">
        <f t="shared" si="481"/>
        <v>55</v>
      </c>
      <c r="M2611" s="33">
        <v>5</v>
      </c>
      <c r="N2611" s="18">
        <f t="shared" si="483"/>
        <v>6.2904109589041095</v>
      </c>
      <c r="O2611" s="23">
        <f t="shared" si="480"/>
        <v>522.5</v>
      </c>
      <c r="P2611" s="18">
        <f t="shared" si="484"/>
        <v>7.2904109589041095</v>
      </c>
      <c r="Q2611" s="18">
        <f t="shared" si="486"/>
        <v>0</v>
      </c>
      <c r="R2611" s="18">
        <f t="shared" si="485"/>
        <v>522.5</v>
      </c>
      <c r="S2611" s="18">
        <v>0</v>
      </c>
    </row>
    <row r="2612" spans="1:19" ht="15" customHeight="1" x14ac:dyDescent="0.2">
      <c r="A2612" s="14">
        <f t="shared" si="487"/>
        <v>2573</v>
      </c>
      <c r="B2612" s="14" t="s">
        <v>1293</v>
      </c>
      <c r="C2612" s="15" t="s">
        <v>3</v>
      </c>
      <c r="D2612" s="31" t="s">
        <v>1708</v>
      </c>
      <c r="E2612" s="31"/>
      <c r="F2612" s="73" t="s">
        <v>4</v>
      </c>
      <c r="G2612" s="32">
        <v>41835</v>
      </c>
      <c r="H2612" s="29">
        <v>1040.78</v>
      </c>
      <c r="I2612" s="17">
        <v>0</v>
      </c>
      <c r="J2612" s="17">
        <v>169.8467416438356</v>
      </c>
      <c r="K2612" s="17">
        <f t="shared" si="482"/>
        <v>870.9332583561644</v>
      </c>
      <c r="L2612" s="23">
        <f t="shared" si="481"/>
        <v>52.039000000000001</v>
      </c>
      <c r="M2612" s="33">
        <v>10</v>
      </c>
      <c r="N2612" s="18">
        <f t="shared" si="483"/>
        <v>5.720547945205479</v>
      </c>
      <c r="O2612" s="23">
        <f t="shared" ref="O2612:O2626" si="488">(H2612-L2612)/M2612*N2612-J2612</f>
        <v>395.76728794520545</v>
      </c>
      <c r="P2612" s="18">
        <f t="shared" si="484"/>
        <v>6.720547945205479</v>
      </c>
      <c r="Q2612" s="18">
        <f t="shared" si="486"/>
        <v>81.88942583561645</v>
      </c>
      <c r="R2612" s="18">
        <f t="shared" si="485"/>
        <v>477.65671378082192</v>
      </c>
      <c r="S2612" s="18">
        <v>0</v>
      </c>
    </row>
    <row r="2613" spans="1:19" ht="15" customHeight="1" x14ac:dyDescent="0.2">
      <c r="A2613" s="14">
        <f t="shared" si="487"/>
        <v>2574</v>
      </c>
      <c r="B2613" s="14" t="s">
        <v>1522</v>
      </c>
      <c r="C2613" s="15" t="s">
        <v>3</v>
      </c>
      <c r="D2613" s="31" t="s">
        <v>1708</v>
      </c>
      <c r="E2613" s="31"/>
      <c r="F2613" s="73" t="s">
        <v>4</v>
      </c>
      <c r="G2613" s="32">
        <v>41835</v>
      </c>
      <c r="H2613" s="29">
        <v>1670.64</v>
      </c>
      <c r="I2613" s="17">
        <v>0</v>
      </c>
      <c r="J2613" s="17">
        <v>272.63471671232878</v>
      </c>
      <c r="K2613" s="17">
        <f t="shared" si="482"/>
        <v>1398.0052832876713</v>
      </c>
      <c r="L2613" s="23">
        <f t="shared" si="481"/>
        <v>83.532000000000011</v>
      </c>
      <c r="M2613" s="33">
        <v>10</v>
      </c>
      <c r="N2613" s="18">
        <f t="shared" si="483"/>
        <v>5.720547945205479</v>
      </c>
      <c r="O2613" s="23">
        <f t="shared" si="488"/>
        <v>635.27802410958896</v>
      </c>
      <c r="P2613" s="18">
        <f t="shared" si="484"/>
        <v>6.720547945205479</v>
      </c>
      <c r="Q2613" s="18">
        <f t="shared" si="486"/>
        <v>131.44732832876716</v>
      </c>
      <c r="R2613" s="18">
        <f t="shared" si="485"/>
        <v>766.72535243835614</v>
      </c>
      <c r="S2613" s="18">
        <v>0</v>
      </c>
    </row>
    <row r="2614" spans="1:19" ht="15" customHeight="1" x14ac:dyDescent="0.2">
      <c r="A2614" s="14">
        <f t="shared" si="487"/>
        <v>2575</v>
      </c>
      <c r="B2614" s="14" t="s">
        <v>2178</v>
      </c>
      <c r="C2614" s="15" t="s">
        <v>3</v>
      </c>
      <c r="D2614" s="31" t="s">
        <v>1708</v>
      </c>
      <c r="E2614" s="31"/>
      <c r="F2614" s="73" t="s">
        <v>4</v>
      </c>
      <c r="G2614" s="32">
        <v>41866</v>
      </c>
      <c r="H2614" s="29">
        <v>1850</v>
      </c>
      <c r="I2614" s="17">
        <v>0</v>
      </c>
      <c r="J2614" s="17">
        <v>286.9780821917808</v>
      </c>
      <c r="K2614" s="17">
        <f t="shared" si="482"/>
        <v>1563.0219178082193</v>
      </c>
      <c r="L2614" s="23">
        <f t="shared" si="481"/>
        <v>92.5</v>
      </c>
      <c r="M2614" s="33">
        <v>10</v>
      </c>
      <c r="N2614" s="18">
        <f t="shared" si="483"/>
        <v>5.6356164383561644</v>
      </c>
      <c r="O2614" s="23">
        <f t="shared" si="488"/>
        <v>703.48150684931511</v>
      </c>
      <c r="P2614" s="18">
        <f t="shared" si="484"/>
        <v>6.6356164383561644</v>
      </c>
      <c r="Q2614" s="18">
        <f t="shared" si="486"/>
        <v>147.05219178082194</v>
      </c>
      <c r="R2614" s="18">
        <f t="shared" si="485"/>
        <v>850.533698630137</v>
      </c>
      <c r="S2614" s="18">
        <v>0</v>
      </c>
    </row>
    <row r="2615" spans="1:19" ht="15" customHeight="1" x14ac:dyDescent="0.2">
      <c r="A2615" s="14">
        <f t="shared" si="487"/>
        <v>2576</v>
      </c>
      <c r="B2615" s="14" t="s">
        <v>2179</v>
      </c>
      <c r="C2615" s="15" t="s">
        <v>3</v>
      </c>
      <c r="D2615" s="31" t="s">
        <v>1708</v>
      </c>
      <c r="E2615" s="31"/>
      <c r="F2615" s="73" t="s">
        <v>4</v>
      </c>
      <c r="G2615" s="32">
        <v>41835</v>
      </c>
      <c r="H2615" s="29">
        <v>2199.27</v>
      </c>
      <c r="I2615" s="17">
        <v>0</v>
      </c>
      <c r="J2615" s="17">
        <v>358.90278780821922</v>
      </c>
      <c r="K2615" s="17">
        <f t="shared" si="482"/>
        <v>1840.3672121917807</v>
      </c>
      <c r="L2615" s="23">
        <f t="shared" si="481"/>
        <v>109.96350000000001</v>
      </c>
      <c r="M2615" s="33">
        <v>10</v>
      </c>
      <c r="N2615" s="18">
        <f t="shared" si="483"/>
        <v>5.720547945205479</v>
      </c>
      <c r="O2615" s="23">
        <f t="shared" si="488"/>
        <v>836.29501273972596</v>
      </c>
      <c r="P2615" s="18">
        <f t="shared" si="484"/>
        <v>6.720547945205479</v>
      </c>
      <c r="Q2615" s="18">
        <f t="shared" si="486"/>
        <v>173.04037121917807</v>
      </c>
      <c r="R2615" s="18">
        <f t="shared" si="485"/>
        <v>1009.335383958904</v>
      </c>
      <c r="S2615" s="18">
        <v>0</v>
      </c>
    </row>
    <row r="2616" spans="1:19" ht="15" customHeight="1" x14ac:dyDescent="0.2">
      <c r="A2616" s="14">
        <f t="shared" si="487"/>
        <v>2577</v>
      </c>
      <c r="B2616" s="14" t="s">
        <v>2180</v>
      </c>
      <c r="C2616" s="15" t="s">
        <v>3</v>
      </c>
      <c r="D2616" s="31" t="s">
        <v>1708</v>
      </c>
      <c r="E2616" s="31"/>
      <c r="F2616" s="73" t="s">
        <v>4</v>
      </c>
      <c r="G2616" s="32">
        <v>41835</v>
      </c>
      <c r="H2616" s="29">
        <v>2800</v>
      </c>
      <c r="I2616" s="17">
        <v>0</v>
      </c>
      <c r="J2616" s="17">
        <v>456.93698630136987</v>
      </c>
      <c r="K2616" s="17">
        <f t="shared" si="482"/>
        <v>2343.0630136986301</v>
      </c>
      <c r="L2616" s="23">
        <f t="shared" si="481"/>
        <v>140</v>
      </c>
      <c r="M2616" s="33">
        <v>10</v>
      </c>
      <c r="N2616" s="18">
        <f t="shared" si="483"/>
        <v>5.720547945205479</v>
      </c>
      <c r="O2616" s="23">
        <f t="shared" si="488"/>
        <v>1064.7287671232875</v>
      </c>
      <c r="P2616" s="18">
        <f t="shared" si="484"/>
        <v>6.720547945205479</v>
      </c>
      <c r="Q2616" s="18">
        <f t="shared" si="486"/>
        <v>220.30630136986304</v>
      </c>
      <c r="R2616" s="18">
        <f t="shared" si="485"/>
        <v>1285.0350684931504</v>
      </c>
      <c r="S2616" s="18">
        <v>0</v>
      </c>
    </row>
    <row r="2617" spans="1:19" ht="15" customHeight="1" x14ac:dyDescent="0.2">
      <c r="A2617" s="14">
        <f t="shared" si="487"/>
        <v>2578</v>
      </c>
      <c r="B2617" s="14" t="s">
        <v>2181</v>
      </c>
      <c r="C2617" s="15" t="s">
        <v>3</v>
      </c>
      <c r="D2617" s="31" t="s">
        <v>1708</v>
      </c>
      <c r="E2617" s="31"/>
      <c r="F2617" s="73" t="s">
        <v>4</v>
      </c>
      <c r="G2617" s="32">
        <v>41866</v>
      </c>
      <c r="H2617" s="29">
        <v>3122.34</v>
      </c>
      <c r="I2617" s="17">
        <v>0</v>
      </c>
      <c r="J2617" s="17">
        <v>484.34764602739722</v>
      </c>
      <c r="K2617" s="17">
        <f t="shared" si="482"/>
        <v>2637.9923539726028</v>
      </c>
      <c r="L2617" s="23">
        <f t="shared" si="481"/>
        <v>156.11700000000002</v>
      </c>
      <c r="M2617" s="33">
        <v>10</v>
      </c>
      <c r="N2617" s="18">
        <f t="shared" si="483"/>
        <v>5.6356164383561644</v>
      </c>
      <c r="O2617" s="23">
        <f t="shared" si="488"/>
        <v>1187.3018638356166</v>
      </c>
      <c r="P2617" s="18">
        <f t="shared" si="484"/>
        <v>6.6356164383561644</v>
      </c>
      <c r="Q2617" s="18">
        <f t="shared" si="486"/>
        <v>248.18753539726026</v>
      </c>
      <c r="R2617" s="18">
        <f t="shared" si="485"/>
        <v>1435.4893992328768</v>
      </c>
      <c r="S2617" s="18">
        <v>0</v>
      </c>
    </row>
    <row r="2618" spans="1:19" ht="15" customHeight="1" x14ac:dyDescent="0.2">
      <c r="A2618" s="14">
        <f t="shared" si="487"/>
        <v>2579</v>
      </c>
      <c r="B2618" s="14" t="s">
        <v>2182</v>
      </c>
      <c r="C2618" s="15" t="s">
        <v>3</v>
      </c>
      <c r="D2618" s="31" t="s">
        <v>1708</v>
      </c>
      <c r="E2618" s="31"/>
      <c r="F2618" s="73" t="s">
        <v>4</v>
      </c>
      <c r="G2618" s="32">
        <v>41988</v>
      </c>
      <c r="H2618" s="29">
        <v>6303.62</v>
      </c>
      <c r="I2618" s="17">
        <v>0</v>
      </c>
      <c r="J2618" s="17">
        <v>777.67673589041101</v>
      </c>
      <c r="K2618" s="17">
        <f t="shared" si="482"/>
        <v>5525.9432641095891</v>
      </c>
      <c r="L2618" s="23">
        <f t="shared" si="481"/>
        <v>315.18100000000004</v>
      </c>
      <c r="M2618" s="33">
        <v>10</v>
      </c>
      <c r="N2618" s="18">
        <f t="shared" si="483"/>
        <v>5.3013698630136989</v>
      </c>
      <c r="O2618" s="23">
        <f t="shared" si="488"/>
        <v>2397.0162682191785</v>
      </c>
      <c r="P2618" s="18">
        <f t="shared" si="484"/>
        <v>6.3013698630136989</v>
      </c>
      <c r="Q2618" s="18">
        <f t="shared" si="486"/>
        <v>521.07622641095895</v>
      </c>
      <c r="R2618" s="18">
        <f t="shared" si="485"/>
        <v>2918.0924946301375</v>
      </c>
      <c r="S2618" s="18">
        <v>0</v>
      </c>
    </row>
    <row r="2619" spans="1:19" ht="15" customHeight="1" x14ac:dyDescent="0.2">
      <c r="A2619" s="14">
        <f t="shared" si="487"/>
        <v>2580</v>
      </c>
      <c r="B2619" s="14" t="s">
        <v>2183</v>
      </c>
      <c r="C2619" s="15" t="s">
        <v>3</v>
      </c>
      <c r="D2619" s="31" t="s">
        <v>1708</v>
      </c>
      <c r="E2619" s="31"/>
      <c r="F2619" s="73" t="s">
        <v>4</v>
      </c>
      <c r="G2619" s="32">
        <v>41866</v>
      </c>
      <c r="H2619" s="29">
        <v>12732</v>
      </c>
      <c r="I2619" s="17">
        <v>0</v>
      </c>
      <c r="J2619" s="17">
        <v>1975.0296986301369</v>
      </c>
      <c r="K2619" s="17">
        <f t="shared" si="482"/>
        <v>10756.970301369864</v>
      </c>
      <c r="L2619" s="23">
        <f t="shared" si="481"/>
        <v>636.6</v>
      </c>
      <c r="M2619" s="33">
        <v>10</v>
      </c>
      <c r="N2619" s="18">
        <f t="shared" si="483"/>
        <v>5.6356164383561644</v>
      </c>
      <c r="O2619" s="23">
        <f t="shared" si="488"/>
        <v>4841.473808219178</v>
      </c>
      <c r="P2619" s="18">
        <f t="shared" si="484"/>
        <v>6.6356164383561644</v>
      </c>
      <c r="Q2619" s="18">
        <f t="shared" si="486"/>
        <v>1012.0370301369863</v>
      </c>
      <c r="R2619" s="18">
        <f t="shared" si="485"/>
        <v>5853.5108383561646</v>
      </c>
      <c r="S2619" s="18">
        <v>0</v>
      </c>
    </row>
    <row r="2620" spans="1:19" ht="15" customHeight="1" x14ac:dyDescent="0.2">
      <c r="A2620" s="14">
        <f t="shared" si="487"/>
        <v>2581</v>
      </c>
      <c r="B2620" s="14" t="s">
        <v>2184</v>
      </c>
      <c r="C2620" s="15" t="s">
        <v>3</v>
      </c>
      <c r="D2620" s="31" t="s">
        <v>1708</v>
      </c>
      <c r="E2620" s="31"/>
      <c r="F2620" s="73" t="s">
        <v>4</v>
      </c>
      <c r="G2620" s="32">
        <v>41866</v>
      </c>
      <c r="H2620" s="29">
        <v>12732</v>
      </c>
      <c r="I2620" s="17">
        <v>0</v>
      </c>
      <c r="J2620" s="17">
        <v>1975.0296986301369</v>
      </c>
      <c r="K2620" s="17">
        <f t="shared" si="482"/>
        <v>10756.970301369864</v>
      </c>
      <c r="L2620" s="23">
        <f t="shared" si="481"/>
        <v>636.6</v>
      </c>
      <c r="M2620" s="33">
        <v>10</v>
      </c>
      <c r="N2620" s="18">
        <f t="shared" si="483"/>
        <v>5.6356164383561644</v>
      </c>
      <c r="O2620" s="23">
        <f t="shared" si="488"/>
        <v>4841.473808219178</v>
      </c>
      <c r="P2620" s="18">
        <f t="shared" si="484"/>
        <v>6.6356164383561644</v>
      </c>
      <c r="Q2620" s="18">
        <f t="shared" si="486"/>
        <v>1012.0370301369863</v>
      </c>
      <c r="R2620" s="18">
        <f t="shared" si="485"/>
        <v>5853.5108383561646</v>
      </c>
      <c r="S2620" s="18">
        <v>0</v>
      </c>
    </row>
    <row r="2621" spans="1:19" ht="15" customHeight="1" x14ac:dyDescent="0.2">
      <c r="A2621" s="14">
        <f t="shared" si="487"/>
        <v>2582</v>
      </c>
      <c r="B2621" s="14" t="s">
        <v>2185</v>
      </c>
      <c r="C2621" s="15" t="s">
        <v>3</v>
      </c>
      <c r="D2621" s="31" t="s">
        <v>1708</v>
      </c>
      <c r="E2621" s="31"/>
      <c r="F2621" s="73" t="s">
        <v>4</v>
      </c>
      <c r="G2621" s="32">
        <v>41988</v>
      </c>
      <c r="H2621" s="29">
        <v>13326.42</v>
      </c>
      <c r="I2621" s="17">
        <v>0</v>
      </c>
      <c r="J2621" s="17">
        <v>1644.0786098630138</v>
      </c>
      <c r="K2621" s="17">
        <f t="shared" si="482"/>
        <v>11682.341390136986</v>
      </c>
      <c r="L2621" s="23">
        <f t="shared" si="481"/>
        <v>666.32100000000003</v>
      </c>
      <c r="M2621" s="33">
        <v>10</v>
      </c>
      <c r="N2621" s="18">
        <f t="shared" si="483"/>
        <v>5.3013698630136989</v>
      </c>
      <c r="O2621" s="23">
        <f t="shared" si="488"/>
        <v>5067.508120273973</v>
      </c>
      <c r="P2621" s="18">
        <f t="shared" si="484"/>
        <v>6.3013698630136989</v>
      </c>
      <c r="Q2621" s="18">
        <f t="shared" si="486"/>
        <v>1101.6020390136987</v>
      </c>
      <c r="R2621" s="18">
        <f t="shared" si="485"/>
        <v>6169.1101592876712</v>
      </c>
      <c r="S2621" s="18">
        <v>0</v>
      </c>
    </row>
    <row r="2622" spans="1:19" ht="15" customHeight="1" x14ac:dyDescent="0.2">
      <c r="A2622" s="14">
        <f t="shared" si="487"/>
        <v>2583</v>
      </c>
      <c r="B2622" s="14" t="s">
        <v>2186</v>
      </c>
      <c r="C2622" s="15" t="s">
        <v>3</v>
      </c>
      <c r="D2622" s="31" t="s">
        <v>1708</v>
      </c>
      <c r="E2622" s="31"/>
      <c r="F2622" s="73" t="s">
        <v>4</v>
      </c>
      <c r="G2622" s="32">
        <v>41988</v>
      </c>
      <c r="H2622" s="29">
        <v>13329.01</v>
      </c>
      <c r="I2622" s="17">
        <v>0</v>
      </c>
      <c r="J2622" s="17">
        <v>1644.3981378082192</v>
      </c>
      <c r="K2622" s="17">
        <f t="shared" si="482"/>
        <v>11684.611862191781</v>
      </c>
      <c r="L2622" s="23">
        <f t="shared" si="481"/>
        <v>666.45050000000003</v>
      </c>
      <c r="M2622" s="33">
        <v>10</v>
      </c>
      <c r="N2622" s="18">
        <f t="shared" si="483"/>
        <v>5.3013698630136989</v>
      </c>
      <c r="O2622" s="23">
        <f t="shared" si="488"/>
        <v>5068.4929943835623</v>
      </c>
      <c r="P2622" s="18">
        <f t="shared" si="484"/>
        <v>6.3013698630136989</v>
      </c>
      <c r="Q2622" s="18">
        <f t="shared" si="486"/>
        <v>1101.8161362191781</v>
      </c>
      <c r="R2622" s="18">
        <f t="shared" si="485"/>
        <v>6170.30913060274</v>
      </c>
      <c r="S2622" s="18">
        <v>0</v>
      </c>
    </row>
    <row r="2623" spans="1:19" ht="15" customHeight="1" x14ac:dyDescent="0.2">
      <c r="A2623" s="14">
        <f t="shared" si="487"/>
        <v>2584</v>
      </c>
      <c r="B2623" s="14" t="s">
        <v>2187</v>
      </c>
      <c r="C2623" s="15" t="s">
        <v>3</v>
      </c>
      <c r="D2623" s="31" t="s">
        <v>1708</v>
      </c>
      <c r="E2623" s="31"/>
      <c r="F2623" s="73" t="s">
        <v>4</v>
      </c>
      <c r="G2623" s="32">
        <v>41988</v>
      </c>
      <c r="H2623" s="29">
        <v>19154.62</v>
      </c>
      <c r="I2623" s="17">
        <v>0</v>
      </c>
      <c r="J2623" s="17">
        <v>2363.1028454794518</v>
      </c>
      <c r="K2623" s="17">
        <f t="shared" si="482"/>
        <v>16791.517154520549</v>
      </c>
      <c r="L2623" s="23">
        <f t="shared" si="481"/>
        <v>957.73099999999999</v>
      </c>
      <c r="M2623" s="33">
        <v>10</v>
      </c>
      <c r="N2623" s="18">
        <f t="shared" si="483"/>
        <v>5.3013698630136989</v>
      </c>
      <c r="O2623" s="23">
        <f t="shared" si="488"/>
        <v>7283.7410490410948</v>
      </c>
      <c r="P2623" s="18">
        <f t="shared" si="484"/>
        <v>6.3013698630136989</v>
      </c>
      <c r="Q2623" s="18">
        <f t="shared" si="486"/>
        <v>1583.3786154520549</v>
      </c>
      <c r="R2623" s="18">
        <f t="shared" si="485"/>
        <v>8867.1196644931497</v>
      </c>
      <c r="S2623" s="18">
        <v>0</v>
      </c>
    </row>
    <row r="2624" spans="1:19" ht="15" customHeight="1" x14ac:dyDescent="0.2">
      <c r="A2624" s="14">
        <f t="shared" si="487"/>
        <v>2585</v>
      </c>
      <c r="B2624" s="14" t="s">
        <v>1755</v>
      </c>
      <c r="C2624" s="15" t="s">
        <v>3</v>
      </c>
      <c r="D2624" s="31" t="s">
        <v>1708</v>
      </c>
      <c r="E2624" s="31"/>
      <c r="F2624" s="73" t="s">
        <v>4</v>
      </c>
      <c r="G2624" s="32">
        <v>41988</v>
      </c>
      <c r="H2624" s="29">
        <v>45750</v>
      </c>
      <c r="I2624" s="17">
        <v>0</v>
      </c>
      <c r="J2624" s="17">
        <v>5644.1712328767126</v>
      </c>
      <c r="K2624" s="17">
        <f t="shared" si="482"/>
        <v>40105.82876712329</v>
      </c>
      <c r="L2624" s="23">
        <f t="shared" si="481"/>
        <v>2287.5</v>
      </c>
      <c r="M2624" s="33">
        <v>10</v>
      </c>
      <c r="N2624" s="18">
        <f t="shared" si="483"/>
        <v>5.3013698630136989</v>
      </c>
      <c r="O2624" s="23">
        <f t="shared" si="488"/>
        <v>17396.907534246577</v>
      </c>
      <c r="P2624" s="18">
        <f t="shared" si="484"/>
        <v>6.3013698630136989</v>
      </c>
      <c r="Q2624" s="18">
        <f t="shared" si="486"/>
        <v>3781.8328767123294</v>
      </c>
      <c r="R2624" s="18">
        <f t="shared" si="485"/>
        <v>21178.740410958904</v>
      </c>
      <c r="S2624" s="18">
        <v>0</v>
      </c>
    </row>
    <row r="2625" spans="1:19" ht="15" customHeight="1" x14ac:dyDescent="0.2">
      <c r="A2625" s="14">
        <f t="shared" si="487"/>
        <v>2586</v>
      </c>
      <c r="B2625" s="14" t="s">
        <v>2188</v>
      </c>
      <c r="C2625" s="15" t="s">
        <v>3</v>
      </c>
      <c r="D2625" s="31" t="s">
        <v>1708</v>
      </c>
      <c r="E2625" s="31"/>
      <c r="F2625" s="73" t="s">
        <v>4</v>
      </c>
      <c r="G2625" s="32">
        <v>41988</v>
      </c>
      <c r="H2625" s="29">
        <v>47100</v>
      </c>
      <c r="I2625" s="17">
        <v>0</v>
      </c>
      <c r="J2625" s="17">
        <v>5810.7205479452059</v>
      </c>
      <c r="K2625" s="17">
        <f t="shared" si="482"/>
        <v>41289.27945205479</v>
      </c>
      <c r="L2625" s="23">
        <f t="shared" si="481"/>
        <v>2355</v>
      </c>
      <c r="M2625" s="33">
        <v>10</v>
      </c>
      <c r="N2625" s="18">
        <f t="shared" si="483"/>
        <v>5.3013698630136989</v>
      </c>
      <c r="O2625" s="23">
        <f t="shared" si="488"/>
        <v>17910.258904109589</v>
      </c>
      <c r="P2625" s="18">
        <f t="shared" si="484"/>
        <v>6.3013698630136989</v>
      </c>
      <c r="Q2625" s="18">
        <f t="shared" si="486"/>
        <v>3893.4279452054793</v>
      </c>
      <c r="R2625" s="18">
        <f t="shared" si="485"/>
        <v>21803.686849315069</v>
      </c>
      <c r="S2625" s="18">
        <v>0</v>
      </c>
    </row>
    <row r="2626" spans="1:19" ht="15" customHeight="1" x14ac:dyDescent="0.2">
      <c r="A2626" s="14">
        <f t="shared" si="487"/>
        <v>2587</v>
      </c>
      <c r="B2626" s="14" t="s">
        <v>2189</v>
      </c>
      <c r="C2626" s="15" t="s">
        <v>3</v>
      </c>
      <c r="D2626" s="31" t="s">
        <v>1708</v>
      </c>
      <c r="E2626" s="31"/>
      <c r="F2626" s="73" t="s">
        <v>4</v>
      </c>
      <c r="G2626" s="32">
        <v>41988</v>
      </c>
      <c r="H2626" s="29">
        <v>77403.710000000006</v>
      </c>
      <c r="I2626" s="17">
        <v>0</v>
      </c>
      <c r="J2626" s="17">
        <v>9549.2850994520559</v>
      </c>
      <c r="K2626" s="17">
        <f t="shared" si="482"/>
        <v>67854.424900547951</v>
      </c>
      <c r="L2626" s="23">
        <f t="shared" si="481"/>
        <v>3870.1855000000005</v>
      </c>
      <c r="M2626" s="33">
        <v>10</v>
      </c>
      <c r="N2626" s="18">
        <f t="shared" si="483"/>
        <v>5.3013698630136989</v>
      </c>
      <c r="O2626" s="23">
        <f t="shared" si="488"/>
        <v>29433.555971095891</v>
      </c>
      <c r="P2626" s="18">
        <f t="shared" si="484"/>
        <v>6.3013698630136989</v>
      </c>
      <c r="Q2626" s="18">
        <f t="shared" si="486"/>
        <v>6398.4239400547958</v>
      </c>
      <c r="R2626" s="18">
        <f t="shared" si="485"/>
        <v>35831.979911150687</v>
      </c>
      <c r="S2626" s="18">
        <v>0</v>
      </c>
    </row>
    <row r="2627" spans="1:19" ht="15" customHeight="1" x14ac:dyDescent="0.2">
      <c r="A2627" s="14">
        <f t="shared" si="487"/>
        <v>2588</v>
      </c>
      <c r="B2627" s="14" t="s">
        <v>2190</v>
      </c>
      <c r="C2627" s="15" t="s">
        <v>3</v>
      </c>
      <c r="D2627" s="31" t="s">
        <v>1708</v>
      </c>
      <c r="E2627" s="31"/>
      <c r="F2627" s="73" t="s">
        <v>4</v>
      </c>
      <c r="G2627" s="32">
        <v>42475</v>
      </c>
      <c r="H2627" s="29">
        <v>1580.9</v>
      </c>
      <c r="I2627" s="17">
        <v>0</v>
      </c>
      <c r="J2627" s="17">
        <v>0</v>
      </c>
      <c r="K2627" s="17">
        <f t="shared" si="482"/>
        <v>1580.9</v>
      </c>
      <c r="L2627" s="23">
        <f t="shared" ref="L2627:L2682" si="489">K2627*0.05</f>
        <v>79.045000000000016</v>
      </c>
      <c r="M2627" s="33">
        <v>10</v>
      </c>
      <c r="N2627" s="18">
        <f t="shared" si="483"/>
        <v>3.967123287671233</v>
      </c>
      <c r="O2627" s="23">
        <f t="shared" ref="O2627:O2644" si="490">(K2627-L2627)/M2627*N2627-J2627</f>
        <v>595.80439452054793</v>
      </c>
      <c r="P2627" s="18">
        <f t="shared" si="484"/>
        <v>4.9671232876712326</v>
      </c>
      <c r="Q2627" s="18">
        <f t="shared" si="486"/>
        <v>150.18549999999993</v>
      </c>
      <c r="R2627" s="18">
        <f t="shared" si="485"/>
        <v>745.98989452054786</v>
      </c>
      <c r="S2627" s="18">
        <v>0</v>
      </c>
    </row>
    <row r="2628" spans="1:19" ht="15" customHeight="1" x14ac:dyDescent="0.2">
      <c r="A2628" s="14">
        <f t="shared" si="487"/>
        <v>2589</v>
      </c>
      <c r="B2628" s="14" t="s">
        <v>1831</v>
      </c>
      <c r="C2628" s="15" t="s">
        <v>3</v>
      </c>
      <c r="D2628" s="31" t="s">
        <v>1708</v>
      </c>
      <c r="E2628" s="31"/>
      <c r="F2628" s="73" t="s">
        <v>4</v>
      </c>
      <c r="G2628" s="32">
        <v>42475</v>
      </c>
      <c r="H2628" s="29">
        <v>3872.73</v>
      </c>
      <c r="I2628" s="17">
        <v>0</v>
      </c>
      <c r="J2628" s="17">
        <v>0</v>
      </c>
      <c r="K2628" s="17">
        <f t="shared" si="482"/>
        <v>3872.73</v>
      </c>
      <c r="L2628" s="23">
        <f t="shared" si="489"/>
        <v>193.63650000000001</v>
      </c>
      <c r="M2628" s="33">
        <v>10</v>
      </c>
      <c r="N2628" s="18">
        <f t="shared" si="483"/>
        <v>3.967123287671233</v>
      </c>
      <c r="O2628" s="23">
        <f t="shared" si="490"/>
        <v>1459.5417501369864</v>
      </c>
      <c r="P2628" s="18">
        <f t="shared" si="484"/>
        <v>4.9671232876712326</v>
      </c>
      <c r="Q2628" s="18">
        <f t="shared" si="486"/>
        <v>367.90934999999979</v>
      </c>
      <c r="R2628" s="18">
        <f t="shared" si="485"/>
        <v>1827.451100136986</v>
      </c>
      <c r="S2628" s="18">
        <v>0</v>
      </c>
    </row>
    <row r="2629" spans="1:19" ht="15" customHeight="1" x14ac:dyDescent="0.2">
      <c r="A2629" s="14">
        <f t="shared" si="487"/>
        <v>2590</v>
      </c>
      <c r="B2629" s="14" t="s">
        <v>2191</v>
      </c>
      <c r="C2629" s="15" t="s">
        <v>3</v>
      </c>
      <c r="D2629" s="31" t="s">
        <v>1708</v>
      </c>
      <c r="E2629" s="31"/>
      <c r="F2629" s="73" t="s">
        <v>4</v>
      </c>
      <c r="G2629" s="32">
        <v>42475</v>
      </c>
      <c r="H2629" s="29">
        <v>20200</v>
      </c>
      <c r="I2629" s="17">
        <v>0</v>
      </c>
      <c r="J2629" s="17">
        <v>0</v>
      </c>
      <c r="K2629" s="17">
        <f t="shared" si="482"/>
        <v>20200</v>
      </c>
      <c r="L2629" s="23">
        <f t="shared" si="489"/>
        <v>1010</v>
      </c>
      <c r="M2629" s="33">
        <v>10</v>
      </c>
      <c r="N2629" s="18">
        <f t="shared" si="483"/>
        <v>3.967123287671233</v>
      </c>
      <c r="O2629" s="23">
        <f t="shared" si="490"/>
        <v>7612.9095890410963</v>
      </c>
      <c r="P2629" s="18">
        <f t="shared" si="484"/>
        <v>4.9671232876712326</v>
      </c>
      <c r="Q2629" s="18">
        <f t="shared" si="486"/>
        <v>1918.9999999999991</v>
      </c>
      <c r="R2629" s="18">
        <f t="shared" si="485"/>
        <v>9531.9095890410954</v>
      </c>
      <c r="S2629" s="18">
        <v>0</v>
      </c>
    </row>
    <row r="2630" spans="1:19" ht="15" customHeight="1" x14ac:dyDescent="0.2">
      <c r="A2630" s="14">
        <f t="shared" si="487"/>
        <v>2591</v>
      </c>
      <c r="B2630" s="14" t="s">
        <v>2192</v>
      </c>
      <c r="C2630" s="15" t="s">
        <v>3</v>
      </c>
      <c r="D2630" s="31" t="s">
        <v>1708</v>
      </c>
      <c r="E2630" s="31"/>
      <c r="F2630" s="73" t="s">
        <v>4</v>
      </c>
      <c r="G2630" s="32">
        <v>42475</v>
      </c>
      <c r="H2630" s="29">
        <v>36400</v>
      </c>
      <c r="I2630" s="17">
        <v>0</v>
      </c>
      <c r="J2630" s="17">
        <v>0</v>
      </c>
      <c r="K2630" s="17">
        <f t="shared" si="482"/>
        <v>36400</v>
      </c>
      <c r="L2630" s="23">
        <f t="shared" si="489"/>
        <v>1820</v>
      </c>
      <c r="M2630" s="33">
        <v>5</v>
      </c>
      <c r="N2630" s="18">
        <f t="shared" si="483"/>
        <v>3.967123287671233</v>
      </c>
      <c r="O2630" s="23">
        <f t="shared" si="490"/>
        <v>27436.624657534248</v>
      </c>
      <c r="P2630" s="18">
        <f t="shared" si="484"/>
        <v>4.9671232876712326</v>
      </c>
      <c r="Q2630" s="18">
        <f t="shared" si="486"/>
        <v>6915.9999999999964</v>
      </c>
      <c r="R2630" s="18">
        <f t="shared" si="485"/>
        <v>34352.624657534245</v>
      </c>
      <c r="S2630" s="18">
        <v>0</v>
      </c>
    </row>
    <row r="2631" spans="1:19" ht="15" customHeight="1" x14ac:dyDescent="0.2">
      <c r="A2631" s="14">
        <f t="shared" si="487"/>
        <v>2592</v>
      </c>
      <c r="B2631" s="14" t="s">
        <v>2193</v>
      </c>
      <c r="C2631" s="15" t="s">
        <v>3</v>
      </c>
      <c r="D2631" s="31" t="s">
        <v>1708</v>
      </c>
      <c r="E2631" s="31"/>
      <c r="F2631" s="73" t="s">
        <v>4</v>
      </c>
      <c r="G2631" s="32">
        <v>42475</v>
      </c>
      <c r="H2631" s="29">
        <v>35400</v>
      </c>
      <c r="I2631" s="17">
        <v>0</v>
      </c>
      <c r="J2631" s="17">
        <v>0</v>
      </c>
      <c r="K2631" s="17">
        <f t="shared" si="482"/>
        <v>35400</v>
      </c>
      <c r="L2631" s="23">
        <f t="shared" si="489"/>
        <v>1770</v>
      </c>
      <c r="M2631" s="33">
        <v>10</v>
      </c>
      <c r="N2631" s="18">
        <f t="shared" si="483"/>
        <v>3.967123287671233</v>
      </c>
      <c r="O2631" s="23">
        <f t="shared" si="490"/>
        <v>13341.435616438357</v>
      </c>
      <c r="P2631" s="18">
        <f t="shared" si="484"/>
        <v>4.9671232876712326</v>
      </c>
      <c r="Q2631" s="18">
        <f t="shared" si="486"/>
        <v>3362.9999999999982</v>
      </c>
      <c r="R2631" s="18">
        <f t="shared" si="485"/>
        <v>16704.435616438357</v>
      </c>
      <c r="S2631" s="18">
        <v>0</v>
      </c>
    </row>
    <row r="2632" spans="1:19" ht="15" customHeight="1" x14ac:dyDescent="0.2">
      <c r="A2632" s="14">
        <f t="shared" si="487"/>
        <v>2593</v>
      </c>
      <c r="B2632" s="14" t="s">
        <v>2194</v>
      </c>
      <c r="C2632" s="15" t="s">
        <v>3</v>
      </c>
      <c r="D2632" s="31" t="s">
        <v>1708</v>
      </c>
      <c r="E2632" s="31"/>
      <c r="F2632" s="73" t="s">
        <v>4</v>
      </c>
      <c r="G2632" s="32">
        <v>42475</v>
      </c>
      <c r="H2632" s="29">
        <v>69000</v>
      </c>
      <c r="I2632" s="17">
        <v>0</v>
      </c>
      <c r="J2632" s="17">
        <v>0</v>
      </c>
      <c r="K2632" s="17">
        <f t="shared" si="482"/>
        <v>69000</v>
      </c>
      <c r="L2632" s="23">
        <f t="shared" si="489"/>
        <v>3450</v>
      </c>
      <c r="M2632" s="33">
        <v>10</v>
      </c>
      <c r="N2632" s="18">
        <f t="shared" si="483"/>
        <v>3.967123287671233</v>
      </c>
      <c r="O2632" s="23">
        <f t="shared" si="490"/>
        <v>26004.493150684932</v>
      </c>
      <c r="P2632" s="18">
        <f t="shared" si="484"/>
        <v>4.9671232876712326</v>
      </c>
      <c r="Q2632" s="18">
        <f t="shared" si="486"/>
        <v>6554.9999999999964</v>
      </c>
      <c r="R2632" s="18">
        <f t="shared" si="485"/>
        <v>32559.493150684928</v>
      </c>
      <c r="S2632" s="18">
        <v>0</v>
      </c>
    </row>
    <row r="2633" spans="1:19" ht="15" customHeight="1" x14ac:dyDescent="0.2">
      <c r="A2633" s="14">
        <f t="shared" si="487"/>
        <v>2594</v>
      </c>
      <c r="B2633" s="14" t="s">
        <v>2195</v>
      </c>
      <c r="C2633" s="15" t="s">
        <v>3</v>
      </c>
      <c r="D2633" s="31" t="s">
        <v>1708</v>
      </c>
      <c r="E2633" s="31"/>
      <c r="F2633" s="73" t="s">
        <v>4</v>
      </c>
      <c r="G2633" s="32">
        <v>42475</v>
      </c>
      <c r="H2633" s="29">
        <v>5790</v>
      </c>
      <c r="I2633" s="17">
        <v>0</v>
      </c>
      <c r="J2633" s="17">
        <v>0</v>
      </c>
      <c r="K2633" s="17">
        <f t="shared" si="482"/>
        <v>5790</v>
      </c>
      <c r="L2633" s="23">
        <f t="shared" si="489"/>
        <v>289.5</v>
      </c>
      <c r="M2633" s="33">
        <v>10</v>
      </c>
      <c r="N2633" s="18">
        <f t="shared" si="483"/>
        <v>3.967123287671233</v>
      </c>
      <c r="O2633" s="23">
        <f t="shared" si="490"/>
        <v>2182.1161643835617</v>
      </c>
      <c r="P2633" s="18">
        <f t="shared" si="484"/>
        <v>4.9671232876712326</v>
      </c>
      <c r="Q2633" s="18">
        <f t="shared" si="486"/>
        <v>550.04999999999973</v>
      </c>
      <c r="R2633" s="18">
        <f t="shared" si="485"/>
        <v>2732.1661643835614</v>
      </c>
      <c r="S2633" s="18">
        <v>0</v>
      </c>
    </row>
    <row r="2634" spans="1:19" ht="15" customHeight="1" x14ac:dyDescent="0.2">
      <c r="A2634" s="14">
        <f t="shared" si="487"/>
        <v>2595</v>
      </c>
      <c r="B2634" s="14" t="s">
        <v>2196</v>
      </c>
      <c r="C2634" s="15" t="s">
        <v>3</v>
      </c>
      <c r="D2634" s="31" t="s">
        <v>1708</v>
      </c>
      <c r="E2634" s="31"/>
      <c r="F2634" s="73" t="s">
        <v>4</v>
      </c>
      <c r="G2634" s="32">
        <v>42475</v>
      </c>
      <c r="H2634" s="29">
        <v>33250</v>
      </c>
      <c r="I2634" s="17">
        <v>0</v>
      </c>
      <c r="J2634" s="17">
        <v>0</v>
      </c>
      <c r="K2634" s="17">
        <f t="shared" si="482"/>
        <v>33250</v>
      </c>
      <c r="L2634" s="23">
        <f t="shared" si="489"/>
        <v>1662.5</v>
      </c>
      <c r="M2634" s="33">
        <v>10</v>
      </c>
      <c r="N2634" s="18">
        <f t="shared" si="483"/>
        <v>3.967123287671233</v>
      </c>
      <c r="O2634" s="23">
        <f t="shared" si="490"/>
        <v>12531.150684931506</v>
      </c>
      <c r="P2634" s="18">
        <f t="shared" si="484"/>
        <v>4.9671232876712326</v>
      </c>
      <c r="Q2634" s="18">
        <f t="shared" si="486"/>
        <v>3158.7499999999986</v>
      </c>
      <c r="R2634" s="18">
        <f t="shared" si="485"/>
        <v>15689.900684931505</v>
      </c>
      <c r="S2634" s="18">
        <v>0</v>
      </c>
    </row>
    <row r="2635" spans="1:19" ht="15" customHeight="1" x14ac:dyDescent="0.2">
      <c r="A2635" s="14">
        <f t="shared" si="487"/>
        <v>2596</v>
      </c>
      <c r="B2635" s="14" t="s">
        <v>2197</v>
      </c>
      <c r="C2635" s="15" t="s">
        <v>3</v>
      </c>
      <c r="D2635" s="31" t="s">
        <v>1708</v>
      </c>
      <c r="E2635" s="31"/>
      <c r="F2635" s="73" t="s">
        <v>4</v>
      </c>
      <c r="G2635" s="32">
        <v>42475</v>
      </c>
      <c r="H2635" s="29">
        <v>25000</v>
      </c>
      <c r="I2635" s="17">
        <v>0</v>
      </c>
      <c r="J2635" s="17">
        <v>0</v>
      </c>
      <c r="K2635" s="17">
        <f t="shared" si="482"/>
        <v>25000</v>
      </c>
      <c r="L2635" s="23">
        <f t="shared" si="489"/>
        <v>1250</v>
      </c>
      <c r="M2635" s="33">
        <v>10</v>
      </c>
      <c r="N2635" s="18">
        <f t="shared" si="483"/>
        <v>3.967123287671233</v>
      </c>
      <c r="O2635" s="23">
        <f t="shared" si="490"/>
        <v>9421.9178082191793</v>
      </c>
      <c r="P2635" s="18">
        <f t="shared" si="484"/>
        <v>4.9671232876712326</v>
      </c>
      <c r="Q2635" s="18">
        <f t="shared" si="486"/>
        <v>2374.9999999999986</v>
      </c>
      <c r="R2635" s="18">
        <f t="shared" si="485"/>
        <v>11796.917808219177</v>
      </c>
      <c r="S2635" s="18">
        <v>0</v>
      </c>
    </row>
    <row r="2636" spans="1:19" ht="15" customHeight="1" x14ac:dyDescent="0.2">
      <c r="A2636" s="14">
        <f t="shared" si="487"/>
        <v>2597</v>
      </c>
      <c r="B2636" s="14" t="s">
        <v>1287</v>
      </c>
      <c r="C2636" s="15" t="s">
        <v>3</v>
      </c>
      <c r="D2636" s="31" t="s">
        <v>1708</v>
      </c>
      <c r="E2636" s="31"/>
      <c r="F2636" s="73" t="s">
        <v>4</v>
      </c>
      <c r="G2636" s="32">
        <v>42505</v>
      </c>
      <c r="H2636" s="29">
        <v>1250</v>
      </c>
      <c r="I2636" s="17">
        <v>0</v>
      </c>
      <c r="J2636" s="17">
        <v>0</v>
      </c>
      <c r="K2636" s="17">
        <f t="shared" si="482"/>
        <v>1250</v>
      </c>
      <c r="L2636" s="23">
        <f t="shared" si="489"/>
        <v>62.5</v>
      </c>
      <c r="M2636" s="33">
        <v>10</v>
      </c>
      <c r="N2636" s="18">
        <f t="shared" si="483"/>
        <v>3.8849315068493149</v>
      </c>
      <c r="O2636" s="23">
        <f t="shared" si="490"/>
        <v>461.33561643835617</v>
      </c>
      <c r="P2636" s="18">
        <f t="shared" si="484"/>
        <v>4.8849315068493153</v>
      </c>
      <c r="Q2636" s="18">
        <f t="shared" si="486"/>
        <v>118.75000000000006</v>
      </c>
      <c r="R2636" s="18">
        <f t="shared" si="485"/>
        <v>580.08561643835628</v>
      </c>
      <c r="S2636" s="18">
        <v>0</v>
      </c>
    </row>
    <row r="2637" spans="1:19" ht="15" customHeight="1" x14ac:dyDescent="0.2">
      <c r="A2637" s="14">
        <f t="shared" si="487"/>
        <v>2598</v>
      </c>
      <c r="B2637" s="14" t="s">
        <v>2198</v>
      </c>
      <c r="C2637" s="15" t="s">
        <v>3</v>
      </c>
      <c r="D2637" s="31" t="s">
        <v>1708</v>
      </c>
      <c r="E2637" s="31"/>
      <c r="F2637" s="73" t="s">
        <v>4</v>
      </c>
      <c r="G2637" s="32">
        <v>42505</v>
      </c>
      <c r="H2637" s="29">
        <v>5798.08</v>
      </c>
      <c r="I2637" s="17">
        <v>0</v>
      </c>
      <c r="J2637" s="17">
        <v>0</v>
      </c>
      <c r="K2637" s="17">
        <f t="shared" si="482"/>
        <v>5798.08</v>
      </c>
      <c r="L2637" s="23">
        <f t="shared" si="489"/>
        <v>289.904</v>
      </c>
      <c r="M2637" s="33">
        <v>10</v>
      </c>
      <c r="N2637" s="18">
        <f t="shared" si="483"/>
        <v>3.8849315068493149</v>
      </c>
      <c r="O2637" s="23">
        <f t="shared" si="490"/>
        <v>2139.888648767123</v>
      </c>
      <c r="P2637" s="18">
        <f t="shared" si="484"/>
        <v>4.8849315068493153</v>
      </c>
      <c r="Q2637" s="18">
        <f t="shared" si="486"/>
        <v>550.8176000000002</v>
      </c>
      <c r="R2637" s="18">
        <f t="shared" si="485"/>
        <v>2690.7062487671233</v>
      </c>
      <c r="S2637" s="18">
        <v>0</v>
      </c>
    </row>
    <row r="2638" spans="1:19" ht="15" customHeight="1" x14ac:dyDescent="0.2">
      <c r="A2638" s="14">
        <f t="shared" si="487"/>
        <v>2599</v>
      </c>
      <c r="B2638" s="14" t="s">
        <v>1322</v>
      </c>
      <c r="C2638" s="15" t="s">
        <v>3</v>
      </c>
      <c r="D2638" s="31" t="s">
        <v>1708</v>
      </c>
      <c r="E2638" s="31"/>
      <c r="F2638" s="73" t="s">
        <v>4</v>
      </c>
      <c r="G2638" s="32">
        <v>42505</v>
      </c>
      <c r="H2638" s="29">
        <v>5250</v>
      </c>
      <c r="I2638" s="17">
        <v>0</v>
      </c>
      <c r="J2638" s="17">
        <v>0</v>
      </c>
      <c r="K2638" s="17">
        <f t="shared" si="482"/>
        <v>5250</v>
      </c>
      <c r="L2638" s="23">
        <f t="shared" si="489"/>
        <v>262.5</v>
      </c>
      <c r="M2638" s="33">
        <v>10</v>
      </c>
      <c r="N2638" s="18">
        <f t="shared" si="483"/>
        <v>3.8849315068493149</v>
      </c>
      <c r="O2638" s="23">
        <f t="shared" si="490"/>
        <v>1937.6095890410959</v>
      </c>
      <c r="P2638" s="18">
        <f t="shared" si="484"/>
        <v>4.8849315068493153</v>
      </c>
      <c r="Q2638" s="18">
        <f t="shared" si="486"/>
        <v>498.75000000000023</v>
      </c>
      <c r="R2638" s="18">
        <f t="shared" si="485"/>
        <v>2436.3595890410961</v>
      </c>
      <c r="S2638" s="18">
        <v>0</v>
      </c>
    </row>
    <row r="2639" spans="1:19" ht="15" customHeight="1" x14ac:dyDescent="0.2">
      <c r="A2639" s="14">
        <f t="shared" si="487"/>
        <v>2600</v>
      </c>
      <c r="B2639" s="14" t="s">
        <v>1714</v>
      </c>
      <c r="C2639" s="15" t="s">
        <v>3</v>
      </c>
      <c r="D2639" s="31" t="s">
        <v>1708</v>
      </c>
      <c r="E2639" s="31"/>
      <c r="F2639" s="73" t="s">
        <v>4</v>
      </c>
      <c r="G2639" s="32">
        <v>42505</v>
      </c>
      <c r="H2639" s="29">
        <v>11450</v>
      </c>
      <c r="I2639" s="17">
        <v>0</v>
      </c>
      <c r="J2639" s="17">
        <v>0</v>
      </c>
      <c r="K2639" s="17">
        <f t="shared" si="482"/>
        <v>11450</v>
      </c>
      <c r="L2639" s="23">
        <f t="shared" si="489"/>
        <v>572.5</v>
      </c>
      <c r="M2639" s="33">
        <v>10</v>
      </c>
      <c r="N2639" s="18">
        <f t="shared" si="483"/>
        <v>3.8849315068493149</v>
      </c>
      <c r="O2639" s="23">
        <f t="shared" si="490"/>
        <v>4225.8342465753421</v>
      </c>
      <c r="P2639" s="18">
        <f t="shared" si="484"/>
        <v>4.8849315068493153</v>
      </c>
      <c r="Q2639" s="18">
        <f t="shared" si="486"/>
        <v>1087.7500000000005</v>
      </c>
      <c r="R2639" s="18">
        <f t="shared" si="485"/>
        <v>5313.5842465753431</v>
      </c>
      <c r="S2639" s="18">
        <v>0</v>
      </c>
    </row>
    <row r="2640" spans="1:19" ht="15" customHeight="1" x14ac:dyDescent="0.2">
      <c r="A2640" s="14">
        <f t="shared" si="487"/>
        <v>2601</v>
      </c>
      <c r="B2640" s="14" t="s">
        <v>1756</v>
      </c>
      <c r="C2640" s="15" t="s">
        <v>3</v>
      </c>
      <c r="D2640" s="31" t="s">
        <v>1708</v>
      </c>
      <c r="E2640" s="31"/>
      <c r="F2640" s="73" t="s">
        <v>4</v>
      </c>
      <c r="G2640" s="32">
        <v>42505</v>
      </c>
      <c r="H2640" s="29">
        <v>21500</v>
      </c>
      <c r="I2640" s="17">
        <v>0</v>
      </c>
      <c r="J2640" s="17">
        <v>0</v>
      </c>
      <c r="K2640" s="17">
        <f t="shared" si="482"/>
        <v>21500</v>
      </c>
      <c r="L2640" s="23">
        <f t="shared" si="489"/>
        <v>1075</v>
      </c>
      <c r="M2640" s="33">
        <v>10</v>
      </c>
      <c r="N2640" s="18">
        <f t="shared" si="483"/>
        <v>3.8849315068493149</v>
      </c>
      <c r="O2640" s="23">
        <f t="shared" si="490"/>
        <v>7934.9726027397255</v>
      </c>
      <c r="P2640" s="18">
        <f t="shared" si="484"/>
        <v>4.8849315068493153</v>
      </c>
      <c r="Q2640" s="18">
        <f t="shared" si="486"/>
        <v>2042.5000000000009</v>
      </c>
      <c r="R2640" s="18">
        <f t="shared" si="485"/>
        <v>9977.4726027397264</v>
      </c>
      <c r="S2640" s="18">
        <v>0</v>
      </c>
    </row>
    <row r="2641" spans="1:19" ht="15" customHeight="1" x14ac:dyDescent="0.2">
      <c r="A2641" s="14">
        <f t="shared" si="487"/>
        <v>2602</v>
      </c>
      <c r="B2641" s="14" t="s">
        <v>2199</v>
      </c>
      <c r="C2641" s="15" t="s">
        <v>3</v>
      </c>
      <c r="D2641" s="31" t="s">
        <v>1708</v>
      </c>
      <c r="E2641" s="31"/>
      <c r="F2641" s="73" t="s">
        <v>4</v>
      </c>
      <c r="G2641" s="32">
        <v>42507</v>
      </c>
      <c r="H2641" s="29">
        <v>8500</v>
      </c>
      <c r="I2641" s="17">
        <v>0</v>
      </c>
      <c r="J2641" s="17">
        <v>0</v>
      </c>
      <c r="K2641" s="17">
        <f t="shared" si="482"/>
        <v>8500</v>
      </c>
      <c r="L2641" s="23">
        <f t="shared" si="489"/>
        <v>425</v>
      </c>
      <c r="M2641" s="33">
        <v>10</v>
      </c>
      <c r="N2641" s="18">
        <f t="shared" si="483"/>
        <v>3.8794520547945206</v>
      </c>
      <c r="O2641" s="23">
        <f t="shared" si="490"/>
        <v>3132.6575342465753</v>
      </c>
      <c r="P2641" s="18">
        <f t="shared" si="484"/>
        <v>4.8794520547945206</v>
      </c>
      <c r="Q2641" s="18">
        <f t="shared" si="486"/>
        <v>807.5</v>
      </c>
      <c r="R2641" s="18">
        <f t="shared" si="485"/>
        <v>3940.1575342465753</v>
      </c>
      <c r="S2641" s="18">
        <v>0</v>
      </c>
    </row>
    <row r="2642" spans="1:19" ht="15" customHeight="1" x14ac:dyDescent="0.2">
      <c r="A2642" s="14">
        <f t="shared" si="487"/>
        <v>2603</v>
      </c>
      <c r="B2642" s="14" t="s">
        <v>1287</v>
      </c>
      <c r="C2642" s="15" t="s">
        <v>3</v>
      </c>
      <c r="D2642" s="31" t="s">
        <v>1708</v>
      </c>
      <c r="E2642" s="31"/>
      <c r="F2642" s="73" t="s">
        <v>4</v>
      </c>
      <c r="G2642" s="32">
        <v>42536</v>
      </c>
      <c r="H2642" s="29">
        <v>901.1</v>
      </c>
      <c r="I2642" s="17">
        <v>0</v>
      </c>
      <c r="J2642" s="17">
        <v>0</v>
      </c>
      <c r="K2642" s="17">
        <f t="shared" si="482"/>
        <v>901.1</v>
      </c>
      <c r="L2642" s="23">
        <f t="shared" si="489"/>
        <v>45.055000000000007</v>
      </c>
      <c r="M2642" s="33">
        <v>10</v>
      </c>
      <c r="N2642" s="18">
        <f t="shared" si="483"/>
        <v>3.8</v>
      </c>
      <c r="O2642" s="23">
        <f t="shared" si="490"/>
        <v>325.2971</v>
      </c>
      <c r="P2642" s="18">
        <f t="shared" si="484"/>
        <v>4.8</v>
      </c>
      <c r="Q2642" s="18">
        <f t="shared" si="486"/>
        <v>85.604500000000016</v>
      </c>
      <c r="R2642" s="18">
        <f t="shared" si="485"/>
        <v>410.90160000000003</v>
      </c>
      <c r="S2642" s="18">
        <v>0</v>
      </c>
    </row>
    <row r="2643" spans="1:19" ht="15" customHeight="1" x14ac:dyDescent="0.2">
      <c r="A2643" s="14">
        <f t="shared" si="487"/>
        <v>2604</v>
      </c>
      <c r="B2643" s="14" t="s">
        <v>1772</v>
      </c>
      <c r="C2643" s="15" t="s">
        <v>3</v>
      </c>
      <c r="D2643" s="31" t="s">
        <v>1708</v>
      </c>
      <c r="E2643" s="31"/>
      <c r="F2643" s="73" t="s">
        <v>4</v>
      </c>
      <c r="G2643" s="32">
        <v>42536</v>
      </c>
      <c r="H2643" s="29">
        <v>8152.4</v>
      </c>
      <c r="I2643" s="17">
        <v>0</v>
      </c>
      <c r="J2643" s="17">
        <v>0</v>
      </c>
      <c r="K2643" s="17">
        <f t="shared" si="482"/>
        <v>8152.4</v>
      </c>
      <c r="L2643" s="23">
        <f t="shared" si="489"/>
        <v>407.62</v>
      </c>
      <c r="M2643" s="33">
        <v>10</v>
      </c>
      <c r="N2643" s="18">
        <f t="shared" si="483"/>
        <v>3.8</v>
      </c>
      <c r="O2643" s="23">
        <f t="shared" si="490"/>
        <v>2943.0163999999995</v>
      </c>
      <c r="P2643" s="18">
        <f t="shared" si="484"/>
        <v>4.8</v>
      </c>
      <c r="Q2643" s="18">
        <f t="shared" si="486"/>
        <v>774.47800000000007</v>
      </c>
      <c r="R2643" s="18">
        <f t="shared" si="485"/>
        <v>3717.4943999999996</v>
      </c>
      <c r="S2643" s="18">
        <v>0</v>
      </c>
    </row>
    <row r="2644" spans="1:19" ht="15" customHeight="1" x14ac:dyDescent="0.2">
      <c r="A2644" s="14">
        <f t="shared" si="487"/>
        <v>2605</v>
      </c>
      <c r="B2644" s="14" t="s">
        <v>2200</v>
      </c>
      <c r="C2644" s="15" t="s">
        <v>3</v>
      </c>
      <c r="D2644" s="31" t="s">
        <v>1708</v>
      </c>
      <c r="E2644" s="31"/>
      <c r="F2644" s="73" t="s">
        <v>4</v>
      </c>
      <c r="G2644" s="32">
        <v>42536</v>
      </c>
      <c r="H2644" s="29">
        <v>22625.200000000001</v>
      </c>
      <c r="I2644" s="17">
        <v>0</v>
      </c>
      <c r="J2644" s="17">
        <v>0</v>
      </c>
      <c r="K2644" s="17">
        <f t="shared" si="482"/>
        <v>22625.200000000001</v>
      </c>
      <c r="L2644" s="23">
        <f t="shared" si="489"/>
        <v>1131.26</v>
      </c>
      <c r="M2644" s="33">
        <v>10</v>
      </c>
      <c r="N2644" s="18">
        <f t="shared" si="483"/>
        <v>3.8</v>
      </c>
      <c r="O2644" s="23">
        <f t="shared" si="490"/>
        <v>8167.6972000000005</v>
      </c>
      <c r="P2644" s="18">
        <f t="shared" si="484"/>
        <v>4.8</v>
      </c>
      <c r="Q2644" s="18">
        <f t="shared" si="486"/>
        <v>2149.3940000000002</v>
      </c>
      <c r="R2644" s="18">
        <f t="shared" si="485"/>
        <v>10317.091200000001</v>
      </c>
      <c r="S2644" s="18">
        <v>0</v>
      </c>
    </row>
    <row r="2645" spans="1:19" ht="15" customHeight="1" x14ac:dyDescent="0.2">
      <c r="A2645" s="14">
        <f t="shared" si="487"/>
        <v>2606</v>
      </c>
      <c r="B2645" s="14" t="s">
        <v>2201</v>
      </c>
      <c r="C2645" s="15" t="s">
        <v>3</v>
      </c>
      <c r="D2645" s="31" t="s">
        <v>1708</v>
      </c>
      <c r="E2645" s="31"/>
      <c r="F2645" s="73" t="s">
        <v>4</v>
      </c>
      <c r="G2645" s="32">
        <v>42536</v>
      </c>
      <c r="H2645" s="29">
        <v>97400</v>
      </c>
      <c r="I2645" s="17">
        <v>0</v>
      </c>
      <c r="J2645" s="17">
        <v>50000</v>
      </c>
      <c r="K2645" s="17">
        <f t="shared" si="482"/>
        <v>47400</v>
      </c>
      <c r="L2645" s="23">
        <f t="shared" si="489"/>
        <v>2370</v>
      </c>
      <c r="M2645" s="33">
        <v>10</v>
      </c>
      <c r="N2645" s="18">
        <f t="shared" si="483"/>
        <v>3.8</v>
      </c>
      <c r="O2645" s="23">
        <f>H2645-K2645-32888.6</f>
        <v>17111.400000000001</v>
      </c>
      <c r="P2645" s="18">
        <f t="shared" si="484"/>
        <v>4.8</v>
      </c>
      <c r="Q2645" s="18">
        <f t="shared" si="486"/>
        <v>4503</v>
      </c>
      <c r="R2645" s="18">
        <f t="shared" si="485"/>
        <v>21614.400000000001</v>
      </c>
      <c r="S2645" s="18">
        <v>0</v>
      </c>
    </row>
    <row r="2646" spans="1:19" ht="15" customHeight="1" x14ac:dyDescent="0.2">
      <c r="A2646" s="14">
        <f t="shared" si="487"/>
        <v>2607</v>
      </c>
      <c r="B2646" s="14" t="s">
        <v>2202</v>
      </c>
      <c r="C2646" s="15" t="s">
        <v>3</v>
      </c>
      <c r="D2646" s="31" t="s">
        <v>1708</v>
      </c>
      <c r="E2646" s="31"/>
      <c r="F2646" s="73" t="s">
        <v>4</v>
      </c>
      <c r="G2646" s="32">
        <v>42566</v>
      </c>
      <c r="H2646" s="29">
        <v>5574.64</v>
      </c>
      <c r="I2646" s="17">
        <v>0</v>
      </c>
      <c r="J2646" s="17">
        <v>0</v>
      </c>
      <c r="K2646" s="17">
        <f t="shared" si="482"/>
        <v>5574.64</v>
      </c>
      <c r="L2646" s="23">
        <f t="shared" si="489"/>
        <v>278.73200000000003</v>
      </c>
      <c r="M2646" s="33">
        <v>10</v>
      </c>
      <c r="N2646" s="18">
        <f t="shared" si="483"/>
        <v>3.7178082191780821</v>
      </c>
      <c r="O2646" s="23">
        <f t="shared" ref="O2646:O2677" si="491">(K2646-L2646)/M2646*N2646-J2646</f>
        <v>1968.9170290410962</v>
      </c>
      <c r="P2646" s="18">
        <f t="shared" si="484"/>
        <v>4.7178082191780826</v>
      </c>
      <c r="Q2646" s="18">
        <f t="shared" si="486"/>
        <v>529.59080000000029</v>
      </c>
      <c r="R2646" s="18">
        <f t="shared" si="485"/>
        <v>2498.5078290410966</v>
      </c>
      <c r="S2646" s="18">
        <v>0</v>
      </c>
    </row>
    <row r="2647" spans="1:19" ht="15" customHeight="1" x14ac:dyDescent="0.2">
      <c r="A2647" s="14">
        <f t="shared" si="487"/>
        <v>2608</v>
      </c>
      <c r="B2647" s="14" t="s">
        <v>2203</v>
      </c>
      <c r="C2647" s="15" t="s">
        <v>3</v>
      </c>
      <c r="D2647" s="31" t="s">
        <v>1708</v>
      </c>
      <c r="E2647" s="31"/>
      <c r="F2647" s="73" t="s">
        <v>4</v>
      </c>
      <c r="G2647" s="32">
        <v>42566</v>
      </c>
      <c r="H2647" s="29">
        <v>6528.07</v>
      </c>
      <c r="I2647" s="17">
        <v>0</v>
      </c>
      <c r="J2647" s="17">
        <v>0</v>
      </c>
      <c r="K2647" s="17">
        <f t="shared" si="482"/>
        <v>6528.07</v>
      </c>
      <c r="L2647" s="23">
        <f t="shared" si="489"/>
        <v>326.40350000000001</v>
      </c>
      <c r="M2647" s="33">
        <v>10</v>
      </c>
      <c r="N2647" s="18">
        <f t="shared" si="483"/>
        <v>3.7178082191780821</v>
      </c>
      <c r="O2647" s="23">
        <f t="shared" si="491"/>
        <v>2305.6606686301366</v>
      </c>
      <c r="P2647" s="18">
        <f t="shared" si="484"/>
        <v>4.7178082191780826</v>
      </c>
      <c r="Q2647" s="18">
        <f t="shared" si="486"/>
        <v>620.16665000000023</v>
      </c>
      <c r="R2647" s="18">
        <f t="shared" si="485"/>
        <v>2925.8273186301367</v>
      </c>
      <c r="S2647" s="18">
        <v>0</v>
      </c>
    </row>
    <row r="2648" spans="1:19" ht="15" customHeight="1" x14ac:dyDescent="0.2">
      <c r="A2648" s="14">
        <f t="shared" si="487"/>
        <v>2609</v>
      </c>
      <c r="B2648" s="14" t="s">
        <v>2204</v>
      </c>
      <c r="C2648" s="15" t="s">
        <v>3</v>
      </c>
      <c r="D2648" s="31" t="s">
        <v>1708</v>
      </c>
      <c r="E2648" s="31"/>
      <c r="F2648" s="73" t="s">
        <v>4</v>
      </c>
      <c r="G2648" s="32">
        <v>42566</v>
      </c>
      <c r="H2648" s="29">
        <v>15500</v>
      </c>
      <c r="I2648" s="17">
        <v>0</v>
      </c>
      <c r="J2648" s="17">
        <v>0</v>
      </c>
      <c r="K2648" s="17">
        <f t="shared" si="482"/>
        <v>15500</v>
      </c>
      <c r="L2648" s="23">
        <f t="shared" si="489"/>
        <v>775</v>
      </c>
      <c r="M2648" s="33">
        <v>10</v>
      </c>
      <c r="N2648" s="18">
        <f t="shared" si="483"/>
        <v>3.7178082191780821</v>
      </c>
      <c r="O2648" s="23">
        <f t="shared" si="491"/>
        <v>5474.4726027397255</v>
      </c>
      <c r="P2648" s="18">
        <f t="shared" si="484"/>
        <v>4.7178082191780826</v>
      </c>
      <c r="Q2648" s="18">
        <f t="shared" si="486"/>
        <v>1472.5000000000007</v>
      </c>
      <c r="R2648" s="18">
        <f t="shared" si="485"/>
        <v>6946.9726027397264</v>
      </c>
      <c r="S2648" s="18">
        <v>0</v>
      </c>
    </row>
    <row r="2649" spans="1:19" ht="15" customHeight="1" x14ac:dyDescent="0.2">
      <c r="A2649" s="14">
        <f t="shared" si="487"/>
        <v>2610</v>
      </c>
      <c r="B2649" s="14" t="s">
        <v>2205</v>
      </c>
      <c r="C2649" s="15" t="s">
        <v>3</v>
      </c>
      <c r="D2649" s="31" t="s">
        <v>1708</v>
      </c>
      <c r="E2649" s="31"/>
      <c r="F2649" s="73" t="s">
        <v>4</v>
      </c>
      <c r="G2649" s="32">
        <v>42566</v>
      </c>
      <c r="H2649" s="29">
        <v>3600</v>
      </c>
      <c r="I2649" s="17">
        <v>0</v>
      </c>
      <c r="J2649" s="17">
        <v>0</v>
      </c>
      <c r="K2649" s="17">
        <f t="shared" si="482"/>
        <v>3600</v>
      </c>
      <c r="L2649" s="23">
        <f t="shared" si="489"/>
        <v>180</v>
      </c>
      <c r="M2649" s="33">
        <v>10</v>
      </c>
      <c r="N2649" s="18">
        <f t="shared" si="483"/>
        <v>3.7178082191780821</v>
      </c>
      <c r="O2649" s="23">
        <f t="shared" si="491"/>
        <v>1271.490410958904</v>
      </c>
      <c r="P2649" s="18">
        <f t="shared" si="484"/>
        <v>4.7178082191780826</v>
      </c>
      <c r="Q2649" s="18">
        <f t="shared" si="486"/>
        <v>342.00000000000017</v>
      </c>
      <c r="R2649" s="18">
        <f t="shared" si="485"/>
        <v>1613.4904109589042</v>
      </c>
      <c r="S2649" s="18">
        <v>0</v>
      </c>
    </row>
    <row r="2650" spans="1:19" ht="15" customHeight="1" x14ac:dyDescent="0.2">
      <c r="A2650" s="14">
        <f t="shared" si="487"/>
        <v>2611</v>
      </c>
      <c r="B2650" s="14" t="s">
        <v>2206</v>
      </c>
      <c r="C2650" s="15" t="s">
        <v>3</v>
      </c>
      <c r="D2650" s="31" t="s">
        <v>1708</v>
      </c>
      <c r="E2650" s="31"/>
      <c r="F2650" s="73" t="s">
        <v>4</v>
      </c>
      <c r="G2650" s="32">
        <v>42597</v>
      </c>
      <c r="H2650" s="29">
        <v>18359</v>
      </c>
      <c r="I2650" s="17">
        <v>0</v>
      </c>
      <c r="J2650" s="17">
        <v>0</v>
      </c>
      <c r="K2650" s="17">
        <f t="shared" si="482"/>
        <v>18359</v>
      </c>
      <c r="L2650" s="23">
        <f t="shared" si="489"/>
        <v>917.95</v>
      </c>
      <c r="M2650" s="33">
        <v>10</v>
      </c>
      <c r="N2650" s="18">
        <f t="shared" si="483"/>
        <v>3.6328767123287671</v>
      </c>
      <c r="O2650" s="23">
        <f t="shared" si="491"/>
        <v>6336.118438356164</v>
      </c>
      <c r="P2650" s="18">
        <f t="shared" si="484"/>
        <v>4.6328767123287671</v>
      </c>
      <c r="Q2650" s="18">
        <f t="shared" si="486"/>
        <v>1744.105</v>
      </c>
      <c r="R2650" s="18">
        <f t="shared" si="485"/>
        <v>8080.2234383561645</v>
      </c>
      <c r="S2650" s="18">
        <f t="shared" ref="S2650:S2690" si="492">K2650-R2650</f>
        <v>10278.776561643836</v>
      </c>
    </row>
    <row r="2651" spans="1:19" ht="15" customHeight="1" x14ac:dyDescent="0.2">
      <c r="A2651" s="14">
        <f t="shared" si="487"/>
        <v>2612</v>
      </c>
      <c r="B2651" s="14" t="s">
        <v>1228</v>
      </c>
      <c r="C2651" s="15" t="s">
        <v>3</v>
      </c>
      <c r="D2651" s="31" t="s">
        <v>1708</v>
      </c>
      <c r="E2651" s="31"/>
      <c r="F2651" s="73" t="s">
        <v>4</v>
      </c>
      <c r="G2651" s="32">
        <v>42597</v>
      </c>
      <c r="H2651" s="29">
        <v>17800</v>
      </c>
      <c r="I2651" s="17">
        <v>0</v>
      </c>
      <c r="J2651" s="17">
        <v>0</v>
      </c>
      <c r="K2651" s="17">
        <f t="shared" si="482"/>
        <v>17800</v>
      </c>
      <c r="L2651" s="23">
        <f t="shared" si="489"/>
        <v>890</v>
      </c>
      <c r="M2651" s="33">
        <v>10</v>
      </c>
      <c r="N2651" s="18">
        <f t="shared" si="483"/>
        <v>3.6328767123287671</v>
      </c>
      <c r="O2651" s="23">
        <f t="shared" si="491"/>
        <v>6143.1945205479451</v>
      </c>
      <c r="P2651" s="18">
        <f t="shared" si="484"/>
        <v>4.6328767123287671</v>
      </c>
      <c r="Q2651" s="18">
        <f t="shared" si="486"/>
        <v>1691</v>
      </c>
      <c r="R2651" s="18">
        <f t="shared" si="485"/>
        <v>7834.1945205479451</v>
      </c>
      <c r="S2651" s="18">
        <f t="shared" si="492"/>
        <v>9965.805479452054</v>
      </c>
    </row>
    <row r="2652" spans="1:19" ht="15" customHeight="1" x14ac:dyDescent="0.2">
      <c r="A2652" s="14">
        <f t="shared" si="487"/>
        <v>2613</v>
      </c>
      <c r="B2652" s="14" t="s">
        <v>2005</v>
      </c>
      <c r="C2652" s="15" t="s">
        <v>3</v>
      </c>
      <c r="D2652" s="31" t="s">
        <v>1708</v>
      </c>
      <c r="E2652" s="31"/>
      <c r="F2652" s="73" t="s">
        <v>4</v>
      </c>
      <c r="G2652" s="32">
        <v>42628</v>
      </c>
      <c r="H2652" s="29">
        <v>2850</v>
      </c>
      <c r="I2652" s="17">
        <v>0</v>
      </c>
      <c r="J2652" s="17">
        <v>0</v>
      </c>
      <c r="K2652" s="17">
        <f t="shared" si="482"/>
        <v>2850</v>
      </c>
      <c r="L2652" s="23">
        <f t="shared" si="489"/>
        <v>142.5</v>
      </c>
      <c r="M2652" s="33">
        <v>10</v>
      </c>
      <c r="N2652" s="18">
        <f t="shared" si="483"/>
        <v>3.547945205479452</v>
      </c>
      <c r="O2652" s="23">
        <f t="shared" si="491"/>
        <v>960.60616438356169</v>
      </c>
      <c r="P2652" s="18">
        <f t="shared" si="484"/>
        <v>4.5479452054794525</v>
      </c>
      <c r="Q2652" s="18">
        <f t="shared" si="486"/>
        <v>270.75000000000011</v>
      </c>
      <c r="R2652" s="18">
        <f t="shared" si="485"/>
        <v>1231.3561643835619</v>
      </c>
      <c r="S2652" s="18">
        <f t="shared" si="492"/>
        <v>1618.6438356164381</v>
      </c>
    </row>
    <row r="2653" spans="1:19" ht="15" customHeight="1" x14ac:dyDescent="0.2">
      <c r="A2653" s="14">
        <f t="shared" si="487"/>
        <v>2614</v>
      </c>
      <c r="B2653" s="14" t="s">
        <v>1831</v>
      </c>
      <c r="C2653" s="15" t="s">
        <v>3</v>
      </c>
      <c r="D2653" s="31" t="s">
        <v>1708</v>
      </c>
      <c r="E2653" s="31"/>
      <c r="F2653" s="73" t="s">
        <v>4</v>
      </c>
      <c r="G2653" s="32">
        <v>42628</v>
      </c>
      <c r="H2653" s="29">
        <v>3300</v>
      </c>
      <c r="I2653" s="17">
        <v>0</v>
      </c>
      <c r="J2653" s="17">
        <v>0</v>
      </c>
      <c r="K2653" s="17">
        <f t="shared" si="482"/>
        <v>3300</v>
      </c>
      <c r="L2653" s="23">
        <f t="shared" si="489"/>
        <v>165</v>
      </c>
      <c r="M2653" s="33">
        <v>10</v>
      </c>
      <c r="N2653" s="18">
        <f t="shared" si="483"/>
        <v>3.547945205479452</v>
      </c>
      <c r="O2653" s="23">
        <f t="shared" si="491"/>
        <v>1112.2808219178082</v>
      </c>
      <c r="P2653" s="18">
        <f t="shared" si="484"/>
        <v>4.5479452054794525</v>
      </c>
      <c r="Q2653" s="18">
        <f t="shared" si="486"/>
        <v>313.50000000000017</v>
      </c>
      <c r="R2653" s="18">
        <f t="shared" si="485"/>
        <v>1425.7808219178085</v>
      </c>
      <c r="S2653" s="18">
        <f t="shared" si="492"/>
        <v>1874.2191780821915</v>
      </c>
    </row>
    <row r="2654" spans="1:19" ht="15" customHeight="1" x14ac:dyDescent="0.2">
      <c r="A2654" s="14">
        <f t="shared" si="487"/>
        <v>2615</v>
      </c>
      <c r="B2654" s="14" t="s">
        <v>1611</v>
      </c>
      <c r="C2654" s="15" t="s">
        <v>3</v>
      </c>
      <c r="D2654" s="31" t="s">
        <v>1708</v>
      </c>
      <c r="E2654" s="31"/>
      <c r="F2654" s="73" t="s">
        <v>4</v>
      </c>
      <c r="G2654" s="32">
        <v>42628</v>
      </c>
      <c r="H2654" s="29">
        <v>14850</v>
      </c>
      <c r="I2654" s="17">
        <v>0</v>
      </c>
      <c r="J2654" s="17">
        <v>0</v>
      </c>
      <c r="K2654" s="17">
        <f t="shared" si="482"/>
        <v>14850</v>
      </c>
      <c r="L2654" s="23">
        <f t="shared" si="489"/>
        <v>742.5</v>
      </c>
      <c r="M2654" s="33">
        <v>10</v>
      </c>
      <c r="N2654" s="18">
        <f t="shared" si="483"/>
        <v>3.547945205479452</v>
      </c>
      <c r="O2654" s="23">
        <f t="shared" si="491"/>
        <v>5005.2636986301368</v>
      </c>
      <c r="P2654" s="18">
        <f t="shared" si="484"/>
        <v>4.5479452054794525</v>
      </c>
      <c r="Q2654" s="18">
        <f t="shared" si="486"/>
        <v>1410.7500000000007</v>
      </c>
      <c r="R2654" s="18">
        <f t="shared" si="485"/>
        <v>6416.0136986301377</v>
      </c>
      <c r="S2654" s="18">
        <f t="shared" si="492"/>
        <v>8433.9863013698632</v>
      </c>
    </row>
    <row r="2655" spans="1:19" ht="15" customHeight="1" x14ac:dyDescent="0.2">
      <c r="A2655" s="14">
        <f t="shared" si="487"/>
        <v>2616</v>
      </c>
      <c r="B2655" s="14" t="s">
        <v>2207</v>
      </c>
      <c r="C2655" s="15" t="s">
        <v>3</v>
      </c>
      <c r="D2655" s="31" t="s">
        <v>1708</v>
      </c>
      <c r="E2655" s="31"/>
      <c r="F2655" s="73" t="s">
        <v>4</v>
      </c>
      <c r="G2655" s="32">
        <v>42658</v>
      </c>
      <c r="H2655" s="29">
        <v>1802.2</v>
      </c>
      <c r="I2655" s="17">
        <v>0</v>
      </c>
      <c r="J2655" s="17">
        <v>0</v>
      </c>
      <c r="K2655" s="17">
        <f t="shared" si="482"/>
        <v>1802.2</v>
      </c>
      <c r="L2655" s="23">
        <f t="shared" si="489"/>
        <v>90.110000000000014</v>
      </c>
      <c r="M2655" s="33">
        <v>10</v>
      </c>
      <c r="N2655" s="18">
        <f t="shared" si="483"/>
        <v>3.4657534246575343</v>
      </c>
      <c r="O2655" s="23">
        <f t="shared" si="491"/>
        <v>593.36817808219178</v>
      </c>
      <c r="P2655" s="18">
        <f t="shared" si="484"/>
        <v>4.4657534246575343</v>
      </c>
      <c r="Q2655" s="18">
        <f t="shared" si="486"/>
        <v>171.20900000000003</v>
      </c>
      <c r="R2655" s="18">
        <f t="shared" si="485"/>
        <v>764.57717808219184</v>
      </c>
      <c r="S2655" s="18">
        <f t="shared" si="492"/>
        <v>1037.6228219178083</v>
      </c>
    </row>
    <row r="2656" spans="1:19" ht="15" customHeight="1" x14ac:dyDescent="0.2">
      <c r="A2656" s="14">
        <f t="shared" si="487"/>
        <v>2617</v>
      </c>
      <c r="B2656" s="14" t="s">
        <v>2208</v>
      </c>
      <c r="C2656" s="15" t="s">
        <v>3</v>
      </c>
      <c r="D2656" s="31" t="s">
        <v>1708</v>
      </c>
      <c r="E2656" s="31"/>
      <c r="F2656" s="73" t="s">
        <v>4</v>
      </c>
      <c r="G2656" s="32">
        <v>42658</v>
      </c>
      <c r="H2656" s="29">
        <v>8100</v>
      </c>
      <c r="I2656" s="17">
        <v>0</v>
      </c>
      <c r="J2656" s="17">
        <v>0</v>
      </c>
      <c r="K2656" s="17">
        <f t="shared" si="482"/>
        <v>8100</v>
      </c>
      <c r="L2656" s="23">
        <f t="shared" si="489"/>
        <v>405</v>
      </c>
      <c r="M2656" s="33">
        <v>10</v>
      </c>
      <c r="N2656" s="18">
        <f t="shared" si="483"/>
        <v>3.4657534246575343</v>
      </c>
      <c r="O2656" s="23">
        <f t="shared" si="491"/>
        <v>2666.8972602739727</v>
      </c>
      <c r="P2656" s="18">
        <f t="shared" si="484"/>
        <v>4.4657534246575343</v>
      </c>
      <c r="Q2656" s="18">
        <f t="shared" si="486"/>
        <v>769.5</v>
      </c>
      <c r="R2656" s="18">
        <f t="shared" si="485"/>
        <v>3436.3972602739727</v>
      </c>
      <c r="S2656" s="18">
        <f t="shared" si="492"/>
        <v>4663.6027397260277</v>
      </c>
    </row>
    <row r="2657" spans="1:19" ht="15" customHeight="1" x14ac:dyDescent="0.2">
      <c r="A2657" s="14">
        <f t="shared" si="487"/>
        <v>2618</v>
      </c>
      <c r="B2657" s="14" t="s">
        <v>2209</v>
      </c>
      <c r="C2657" s="15" t="s">
        <v>3</v>
      </c>
      <c r="D2657" s="31" t="s">
        <v>1708</v>
      </c>
      <c r="E2657" s="31"/>
      <c r="F2657" s="73" t="s">
        <v>4</v>
      </c>
      <c r="G2657" s="32">
        <v>42658</v>
      </c>
      <c r="H2657" s="29">
        <v>36456</v>
      </c>
      <c r="I2657" s="17">
        <v>0</v>
      </c>
      <c r="J2657" s="17">
        <v>0</v>
      </c>
      <c r="K2657" s="17">
        <f t="shared" si="482"/>
        <v>36456</v>
      </c>
      <c r="L2657" s="23">
        <f t="shared" si="489"/>
        <v>1822.8000000000002</v>
      </c>
      <c r="M2657" s="33">
        <v>10</v>
      </c>
      <c r="N2657" s="18">
        <f t="shared" si="483"/>
        <v>3.4657534246575343</v>
      </c>
      <c r="O2657" s="23">
        <f t="shared" si="491"/>
        <v>12003.01315068493</v>
      </c>
      <c r="P2657" s="18">
        <f t="shared" si="484"/>
        <v>4.4657534246575343</v>
      </c>
      <c r="Q2657" s="18">
        <f t="shared" si="486"/>
        <v>3463.3199999999997</v>
      </c>
      <c r="R2657" s="18">
        <f t="shared" si="485"/>
        <v>15466.33315068493</v>
      </c>
      <c r="S2657" s="18">
        <f t="shared" si="492"/>
        <v>20989.666849315072</v>
      </c>
    </row>
    <row r="2658" spans="1:19" ht="15" customHeight="1" x14ac:dyDescent="0.2">
      <c r="A2658" s="14">
        <f t="shared" si="487"/>
        <v>2619</v>
      </c>
      <c r="B2658" s="14" t="s">
        <v>2210</v>
      </c>
      <c r="C2658" s="15" t="s">
        <v>3</v>
      </c>
      <c r="D2658" s="31" t="s">
        <v>1708</v>
      </c>
      <c r="E2658" s="31"/>
      <c r="F2658" s="73" t="s">
        <v>4</v>
      </c>
      <c r="G2658" s="32">
        <v>42689</v>
      </c>
      <c r="H2658" s="29">
        <v>14500</v>
      </c>
      <c r="I2658" s="17">
        <v>0</v>
      </c>
      <c r="J2658" s="17">
        <v>0</v>
      </c>
      <c r="K2658" s="17">
        <f t="shared" si="482"/>
        <v>14500</v>
      </c>
      <c r="L2658" s="23">
        <f t="shared" si="489"/>
        <v>725</v>
      </c>
      <c r="M2658" s="33">
        <v>10</v>
      </c>
      <c r="N2658" s="18">
        <f t="shared" si="483"/>
        <v>3.3808219178082193</v>
      </c>
      <c r="O2658" s="23">
        <f t="shared" si="491"/>
        <v>4657.0821917808216</v>
      </c>
      <c r="P2658" s="18">
        <f t="shared" si="484"/>
        <v>4.3808219178082188</v>
      </c>
      <c r="Q2658" s="18">
        <f t="shared" si="486"/>
        <v>1377.4999999999993</v>
      </c>
      <c r="R2658" s="18">
        <f t="shared" si="485"/>
        <v>6034.5821917808207</v>
      </c>
      <c r="S2658" s="18">
        <f t="shared" si="492"/>
        <v>8465.4178082191793</v>
      </c>
    </row>
    <row r="2659" spans="1:19" ht="15" customHeight="1" x14ac:dyDescent="0.2">
      <c r="A2659" s="14">
        <f t="shared" si="487"/>
        <v>2620</v>
      </c>
      <c r="B2659" s="14" t="s">
        <v>2211</v>
      </c>
      <c r="C2659" s="15" t="s">
        <v>3</v>
      </c>
      <c r="D2659" s="31" t="s">
        <v>1708</v>
      </c>
      <c r="E2659" s="31"/>
      <c r="F2659" s="73" t="s">
        <v>4</v>
      </c>
      <c r="G2659" s="32">
        <v>42689</v>
      </c>
      <c r="H2659" s="29">
        <v>6600</v>
      </c>
      <c r="I2659" s="17">
        <v>0</v>
      </c>
      <c r="J2659" s="17">
        <v>0</v>
      </c>
      <c r="K2659" s="17">
        <f t="shared" si="482"/>
        <v>6600</v>
      </c>
      <c r="L2659" s="23">
        <f t="shared" si="489"/>
        <v>330</v>
      </c>
      <c r="M2659" s="33">
        <v>10</v>
      </c>
      <c r="N2659" s="18">
        <f t="shared" si="483"/>
        <v>3.3808219178082193</v>
      </c>
      <c r="O2659" s="23">
        <f t="shared" si="491"/>
        <v>2119.7753424657535</v>
      </c>
      <c r="P2659" s="18">
        <f t="shared" si="484"/>
        <v>4.3808219178082188</v>
      </c>
      <c r="Q2659" s="18">
        <f t="shared" si="486"/>
        <v>626.99999999999966</v>
      </c>
      <c r="R2659" s="18">
        <f t="shared" si="485"/>
        <v>2746.7753424657531</v>
      </c>
      <c r="S2659" s="18">
        <f t="shared" si="492"/>
        <v>3853.2246575342469</v>
      </c>
    </row>
    <row r="2660" spans="1:19" ht="15" customHeight="1" x14ac:dyDescent="0.2">
      <c r="A2660" s="14">
        <f t="shared" si="487"/>
        <v>2621</v>
      </c>
      <c r="B2660" s="14" t="s">
        <v>2212</v>
      </c>
      <c r="C2660" s="15" t="s">
        <v>3</v>
      </c>
      <c r="D2660" s="31" t="s">
        <v>1708</v>
      </c>
      <c r="E2660" s="31"/>
      <c r="F2660" s="73" t="s">
        <v>4</v>
      </c>
      <c r="G2660" s="32">
        <v>43235</v>
      </c>
      <c r="H2660" s="29">
        <v>8130</v>
      </c>
      <c r="I2660" s="17">
        <v>0</v>
      </c>
      <c r="J2660" s="17">
        <v>0</v>
      </c>
      <c r="K2660" s="17">
        <f t="shared" si="482"/>
        <v>8130</v>
      </c>
      <c r="L2660" s="23">
        <f t="shared" si="489"/>
        <v>406.5</v>
      </c>
      <c r="M2660" s="33">
        <v>10</v>
      </c>
      <c r="N2660" s="18">
        <f t="shared" si="483"/>
        <v>1.8849315068493151</v>
      </c>
      <c r="O2660" s="23">
        <f t="shared" si="491"/>
        <v>1455.8268493150686</v>
      </c>
      <c r="P2660" s="18">
        <f t="shared" si="484"/>
        <v>2.8849315068493149</v>
      </c>
      <c r="Q2660" s="18">
        <f t="shared" si="486"/>
        <v>772.3499999999998</v>
      </c>
      <c r="R2660" s="18">
        <f t="shared" si="485"/>
        <v>2228.1768493150685</v>
      </c>
      <c r="S2660" s="18">
        <f t="shared" si="492"/>
        <v>5901.8231506849315</v>
      </c>
    </row>
    <row r="2661" spans="1:19" ht="15" customHeight="1" x14ac:dyDescent="0.2">
      <c r="A2661" s="14">
        <f t="shared" si="487"/>
        <v>2622</v>
      </c>
      <c r="B2661" s="14" t="s">
        <v>2213</v>
      </c>
      <c r="C2661" s="15" t="s">
        <v>3</v>
      </c>
      <c r="D2661" s="31" t="s">
        <v>1708</v>
      </c>
      <c r="E2661" s="31"/>
      <c r="F2661" s="73" t="s">
        <v>4</v>
      </c>
      <c r="G2661" s="32">
        <v>43235</v>
      </c>
      <c r="H2661" s="29">
        <v>12490</v>
      </c>
      <c r="I2661" s="17">
        <v>0</v>
      </c>
      <c r="J2661" s="17">
        <v>0</v>
      </c>
      <c r="K2661" s="17">
        <f t="shared" si="482"/>
        <v>12490</v>
      </c>
      <c r="L2661" s="23">
        <f t="shared" si="489"/>
        <v>624.5</v>
      </c>
      <c r="M2661" s="33">
        <v>10</v>
      </c>
      <c r="N2661" s="18">
        <f t="shared" si="483"/>
        <v>1.8849315068493151</v>
      </c>
      <c r="O2661" s="23">
        <f t="shared" si="491"/>
        <v>2236.5654794520547</v>
      </c>
      <c r="P2661" s="18">
        <f t="shared" si="484"/>
        <v>2.8849315068493149</v>
      </c>
      <c r="Q2661" s="18">
        <f t="shared" si="486"/>
        <v>1186.5499999999997</v>
      </c>
      <c r="R2661" s="18">
        <f t="shared" si="485"/>
        <v>3423.1154794520544</v>
      </c>
      <c r="S2661" s="18">
        <f t="shared" si="492"/>
        <v>9066.8845205479447</v>
      </c>
    </row>
    <row r="2662" spans="1:19" ht="15" customHeight="1" x14ac:dyDescent="0.2">
      <c r="A2662" s="14">
        <f t="shared" si="487"/>
        <v>2623</v>
      </c>
      <c r="B2662" s="14" t="s">
        <v>2214</v>
      </c>
      <c r="C2662" s="15" t="s">
        <v>3</v>
      </c>
      <c r="D2662" s="31" t="s">
        <v>1708</v>
      </c>
      <c r="E2662" s="31"/>
      <c r="F2662" s="73" t="s">
        <v>4</v>
      </c>
      <c r="G2662" s="32">
        <v>43235</v>
      </c>
      <c r="H2662" s="29">
        <v>31940</v>
      </c>
      <c r="I2662" s="17">
        <v>0</v>
      </c>
      <c r="J2662" s="17">
        <v>0</v>
      </c>
      <c r="K2662" s="17">
        <f t="shared" ref="K2662:K2725" si="493">H2662+I2662-J2662</f>
        <v>31940</v>
      </c>
      <c r="L2662" s="23">
        <f t="shared" si="489"/>
        <v>1597</v>
      </c>
      <c r="M2662" s="33">
        <v>10</v>
      </c>
      <c r="N2662" s="18">
        <f t="shared" ref="N2662:N2725" si="494">IF(($N$35-G2662+1)/365&gt;0,($N$35-G2662+1)/365,0)</f>
        <v>1.8849315068493151</v>
      </c>
      <c r="O2662" s="23">
        <f t="shared" si="491"/>
        <v>5719.4476712328769</v>
      </c>
      <c r="P2662" s="18">
        <f t="shared" ref="P2662:P2725" si="495">($P$35-G2662+1)/365</f>
        <v>2.8849315068493149</v>
      </c>
      <c r="Q2662" s="18">
        <f t="shared" si="486"/>
        <v>3034.2999999999993</v>
      </c>
      <c r="R2662" s="18">
        <f t="shared" ref="R2662:R2725" si="496">Q2662+O2662</f>
        <v>8753.7476712328753</v>
      </c>
      <c r="S2662" s="18">
        <f t="shared" si="492"/>
        <v>23186.252328767125</v>
      </c>
    </row>
    <row r="2663" spans="1:19" ht="15" customHeight="1" x14ac:dyDescent="0.2">
      <c r="A2663" s="14">
        <f t="shared" si="487"/>
        <v>2624</v>
      </c>
      <c r="B2663" s="14" t="s">
        <v>2215</v>
      </c>
      <c r="C2663" s="15" t="s">
        <v>3</v>
      </c>
      <c r="D2663" s="31" t="s">
        <v>1708</v>
      </c>
      <c r="E2663" s="31"/>
      <c r="F2663" s="73" t="s">
        <v>4</v>
      </c>
      <c r="G2663" s="32">
        <v>43235</v>
      </c>
      <c r="H2663" s="29">
        <v>55500</v>
      </c>
      <c r="I2663" s="17">
        <v>0</v>
      </c>
      <c r="J2663" s="17">
        <v>0</v>
      </c>
      <c r="K2663" s="17">
        <f t="shared" si="493"/>
        <v>55500</v>
      </c>
      <c r="L2663" s="23">
        <f t="shared" si="489"/>
        <v>2775</v>
      </c>
      <c r="M2663" s="33">
        <v>10</v>
      </c>
      <c r="N2663" s="18">
        <f t="shared" si="494"/>
        <v>1.8849315068493151</v>
      </c>
      <c r="O2663" s="23">
        <f t="shared" si="491"/>
        <v>9938.301369863013</v>
      </c>
      <c r="P2663" s="18">
        <f t="shared" si="495"/>
        <v>2.8849315068493149</v>
      </c>
      <c r="Q2663" s="18">
        <f t="shared" si="486"/>
        <v>5272.4999999999991</v>
      </c>
      <c r="R2663" s="18">
        <f t="shared" si="496"/>
        <v>15210.801369863013</v>
      </c>
      <c r="S2663" s="18">
        <f t="shared" si="492"/>
        <v>40289.198630136991</v>
      </c>
    </row>
    <row r="2664" spans="1:19" ht="15" customHeight="1" x14ac:dyDescent="0.2">
      <c r="A2664" s="14">
        <f t="shared" si="487"/>
        <v>2625</v>
      </c>
      <c r="B2664" s="14" t="s">
        <v>2216</v>
      </c>
      <c r="C2664" s="15" t="s">
        <v>3</v>
      </c>
      <c r="D2664" s="31" t="s">
        <v>1708</v>
      </c>
      <c r="E2664" s="31"/>
      <c r="F2664" s="73" t="s">
        <v>4</v>
      </c>
      <c r="G2664" s="32">
        <v>43266</v>
      </c>
      <c r="H2664" s="29">
        <v>6357.08</v>
      </c>
      <c r="I2664" s="17">
        <v>0</v>
      </c>
      <c r="J2664" s="17">
        <v>0</v>
      </c>
      <c r="K2664" s="17">
        <f t="shared" si="493"/>
        <v>6357.08</v>
      </c>
      <c r="L2664" s="23">
        <f t="shared" si="489"/>
        <v>317.85400000000004</v>
      </c>
      <c r="M2664" s="33">
        <v>10</v>
      </c>
      <c r="N2664" s="18">
        <f t="shared" si="494"/>
        <v>1.8</v>
      </c>
      <c r="O2664" s="23">
        <f t="shared" si="491"/>
        <v>1087.06068</v>
      </c>
      <c r="P2664" s="18">
        <f t="shared" si="495"/>
        <v>2.8</v>
      </c>
      <c r="Q2664" s="18">
        <f t="shared" ref="Q2664:Q2701" si="497">(P2664-N2664)/M2664*(K2664-L2664)</f>
        <v>603.92259999999987</v>
      </c>
      <c r="R2664" s="18">
        <f t="shared" si="496"/>
        <v>1690.9832799999999</v>
      </c>
      <c r="S2664" s="18">
        <f t="shared" si="492"/>
        <v>4666.0967199999996</v>
      </c>
    </row>
    <row r="2665" spans="1:19" ht="15" customHeight="1" x14ac:dyDescent="0.2">
      <c r="A2665" s="14">
        <f t="shared" si="487"/>
        <v>2626</v>
      </c>
      <c r="B2665" s="14" t="s">
        <v>2217</v>
      </c>
      <c r="C2665" s="15" t="s">
        <v>3</v>
      </c>
      <c r="D2665" s="31" t="s">
        <v>1708</v>
      </c>
      <c r="E2665" s="31"/>
      <c r="F2665" s="73" t="s">
        <v>4</v>
      </c>
      <c r="G2665" s="32">
        <v>43266</v>
      </c>
      <c r="H2665" s="29">
        <v>11271.2</v>
      </c>
      <c r="I2665" s="17">
        <v>0</v>
      </c>
      <c r="J2665" s="17">
        <v>0</v>
      </c>
      <c r="K2665" s="17">
        <f t="shared" si="493"/>
        <v>11271.2</v>
      </c>
      <c r="L2665" s="23">
        <f t="shared" si="489"/>
        <v>563.56000000000006</v>
      </c>
      <c r="M2665" s="33">
        <v>5</v>
      </c>
      <c r="N2665" s="18">
        <f t="shared" si="494"/>
        <v>1.8</v>
      </c>
      <c r="O2665" s="23">
        <f t="shared" si="491"/>
        <v>3854.7504000000004</v>
      </c>
      <c r="P2665" s="18">
        <f t="shared" si="495"/>
        <v>2.8</v>
      </c>
      <c r="Q2665" s="18">
        <f t="shared" si="497"/>
        <v>2141.5279999999998</v>
      </c>
      <c r="R2665" s="18">
        <f t="shared" si="496"/>
        <v>5996.2784000000001</v>
      </c>
      <c r="S2665" s="18">
        <f t="shared" si="492"/>
        <v>5274.9216000000006</v>
      </c>
    </row>
    <row r="2666" spans="1:19" ht="15" customHeight="1" x14ac:dyDescent="0.2">
      <c r="A2666" s="14">
        <f t="shared" si="487"/>
        <v>2627</v>
      </c>
      <c r="B2666" s="14" t="s">
        <v>2218</v>
      </c>
      <c r="C2666" s="15" t="s">
        <v>3</v>
      </c>
      <c r="D2666" s="31" t="s">
        <v>1708</v>
      </c>
      <c r="E2666" s="31"/>
      <c r="F2666" s="73" t="s">
        <v>4</v>
      </c>
      <c r="G2666" s="32">
        <v>43296</v>
      </c>
      <c r="H2666" s="29">
        <v>2800</v>
      </c>
      <c r="I2666" s="17">
        <v>0</v>
      </c>
      <c r="J2666" s="17">
        <v>0</v>
      </c>
      <c r="K2666" s="17">
        <f t="shared" si="493"/>
        <v>2800</v>
      </c>
      <c r="L2666" s="23">
        <f t="shared" si="489"/>
        <v>140</v>
      </c>
      <c r="M2666" s="33">
        <v>5</v>
      </c>
      <c r="N2666" s="18">
        <f t="shared" si="494"/>
        <v>1.7178082191780821</v>
      </c>
      <c r="O2666" s="23">
        <f t="shared" si="491"/>
        <v>913.87397260273974</v>
      </c>
      <c r="P2666" s="18">
        <f t="shared" si="495"/>
        <v>2.7178082191780821</v>
      </c>
      <c r="Q2666" s="18">
        <f t="shared" si="497"/>
        <v>532</v>
      </c>
      <c r="R2666" s="18">
        <f t="shared" si="496"/>
        <v>1445.8739726027397</v>
      </c>
      <c r="S2666" s="18">
        <f t="shared" si="492"/>
        <v>1354.1260273972603</v>
      </c>
    </row>
    <row r="2667" spans="1:19" ht="15" customHeight="1" x14ac:dyDescent="0.2">
      <c r="A2667" s="14">
        <f t="shared" ref="A2667:A2730" si="498">+A2666+1</f>
        <v>2628</v>
      </c>
      <c r="B2667" s="14" t="s">
        <v>2219</v>
      </c>
      <c r="C2667" s="15" t="s">
        <v>3</v>
      </c>
      <c r="D2667" s="31" t="s">
        <v>1708</v>
      </c>
      <c r="E2667" s="31"/>
      <c r="F2667" s="73" t="s">
        <v>4</v>
      </c>
      <c r="G2667" s="32">
        <v>43296</v>
      </c>
      <c r="H2667" s="29">
        <v>8344</v>
      </c>
      <c r="I2667" s="17">
        <v>0</v>
      </c>
      <c r="J2667" s="17">
        <v>0</v>
      </c>
      <c r="K2667" s="17">
        <f t="shared" si="493"/>
        <v>8344</v>
      </c>
      <c r="L2667" s="23">
        <f t="shared" si="489"/>
        <v>417.20000000000005</v>
      </c>
      <c r="M2667" s="33">
        <v>5</v>
      </c>
      <c r="N2667" s="18">
        <f t="shared" si="494"/>
        <v>1.7178082191780821</v>
      </c>
      <c r="O2667" s="23">
        <f t="shared" si="491"/>
        <v>2723.3444383561646</v>
      </c>
      <c r="P2667" s="18">
        <f t="shared" si="495"/>
        <v>2.7178082191780821</v>
      </c>
      <c r="Q2667" s="18">
        <f t="shared" si="497"/>
        <v>1585.3600000000001</v>
      </c>
      <c r="R2667" s="18">
        <f t="shared" si="496"/>
        <v>4308.7044383561642</v>
      </c>
      <c r="S2667" s="18">
        <f t="shared" si="492"/>
        <v>4035.2955616438358</v>
      </c>
    </row>
    <row r="2668" spans="1:19" ht="15" customHeight="1" x14ac:dyDescent="0.2">
      <c r="A2668" s="14">
        <f t="shared" si="498"/>
        <v>2629</v>
      </c>
      <c r="B2668" s="14" t="s">
        <v>2220</v>
      </c>
      <c r="C2668" s="15" t="s">
        <v>3</v>
      </c>
      <c r="D2668" s="31" t="s">
        <v>1708</v>
      </c>
      <c r="E2668" s="31"/>
      <c r="F2668" s="73" t="s">
        <v>4</v>
      </c>
      <c r="G2668" s="32">
        <v>43296</v>
      </c>
      <c r="H2668" s="29">
        <v>1589.25</v>
      </c>
      <c r="I2668" s="17">
        <v>0</v>
      </c>
      <c r="J2668" s="17">
        <v>0</v>
      </c>
      <c r="K2668" s="17">
        <f t="shared" si="493"/>
        <v>1589.25</v>
      </c>
      <c r="L2668" s="23">
        <f t="shared" si="489"/>
        <v>79.462500000000006</v>
      </c>
      <c r="M2668" s="33">
        <v>10</v>
      </c>
      <c r="N2668" s="18">
        <f t="shared" si="494"/>
        <v>1.7178082191780821</v>
      </c>
      <c r="O2668" s="23">
        <f t="shared" si="491"/>
        <v>259.35253767123282</v>
      </c>
      <c r="P2668" s="18">
        <f t="shared" si="495"/>
        <v>2.7178082191780821</v>
      </c>
      <c r="Q2668" s="18">
        <f t="shared" si="497"/>
        <v>150.97874999999999</v>
      </c>
      <c r="R2668" s="18">
        <f t="shared" si="496"/>
        <v>410.33128767123281</v>
      </c>
      <c r="S2668" s="18">
        <f t="shared" si="492"/>
        <v>1178.9187123287672</v>
      </c>
    </row>
    <row r="2669" spans="1:19" ht="15" customHeight="1" x14ac:dyDescent="0.2">
      <c r="A2669" s="14">
        <f t="shared" si="498"/>
        <v>2630</v>
      </c>
      <c r="B2669" s="14" t="s">
        <v>2221</v>
      </c>
      <c r="C2669" s="15" t="s">
        <v>3</v>
      </c>
      <c r="D2669" s="31" t="s">
        <v>1708</v>
      </c>
      <c r="E2669" s="31"/>
      <c r="F2669" s="73" t="s">
        <v>4</v>
      </c>
      <c r="G2669" s="32">
        <v>43296</v>
      </c>
      <c r="H2669" s="29">
        <v>12577.4</v>
      </c>
      <c r="I2669" s="17">
        <v>0</v>
      </c>
      <c r="J2669" s="17">
        <v>0</v>
      </c>
      <c r="K2669" s="17">
        <f t="shared" si="493"/>
        <v>12577.4</v>
      </c>
      <c r="L2669" s="23">
        <f t="shared" si="489"/>
        <v>628.87</v>
      </c>
      <c r="M2669" s="33">
        <v>10</v>
      </c>
      <c r="N2669" s="18">
        <f t="shared" si="494"/>
        <v>1.7178082191780821</v>
      </c>
      <c r="O2669" s="23">
        <f t="shared" si="491"/>
        <v>2052.5283041095886</v>
      </c>
      <c r="P2669" s="18">
        <f t="shared" si="495"/>
        <v>2.7178082191780821</v>
      </c>
      <c r="Q2669" s="18">
        <f t="shared" si="497"/>
        <v>1194.8529999999998</v>
      </c>
      <c r="R2669" s="18">
        <f t="shared" si="496"/>
        <v>3247.3813041095882</v>
      </c>
      <c r="S2669" s="18">
        <f t="shared" si="492"/>
        <v>9330.0186958904123</v>
      </c>
    </row>
    <row r="2670" spans="1:19" ht="15" customHeight="1" x14ac:dyDescent="0.2">
      <c r="A2670" s="14">
        <f t="shared" si="498"/>
        <v>2631</v>
      </c>
      <c r="B2670" s="14" t="s">
        <v>2222</v>
      </c>
      <c r="C2670" s="15" t="s">
        <v>3</v>
      </c>
      <c r="D2670" s="31" t="s">
        <v>1708</v>
      </c>
      <c r="E2670" s="31"/>
      <c r="F2670" s="73" t="s">
        <v>4</v>
      </c>
      <c r="G2670" s="32">
        <v>43358</v>
      </c>
      <c r="H2670" s="29">
        <v>4100</v>
      </c>
      <c r="I2670" s="17">
        <v>0</v>
      </c>
      <c r="J2670" s="17">
        <v>0</v>
      </c>
      <c r="K2670" s="17">
        <f t="shared" si="493"/>
        <v>4100</v>
      </c>
      <c r="L2670" s="23">
        <f t="shared" si="489"/>
        <v>205</v>
      </c>
      <c r="M2670" s="33">
        <v>5</v>
      </c>
      <c r="N2670" s="18">
        <f t="shared" si="494"/>
        <v>1.547945205479452</v>
      </c>
      <c r="O2670" s="23">
        <f t="shared" si="491"/>
        <v>1205.8493150684931</v>
      </c>
      <c r="P2670" s="18">
        <f t="shared" si="495"/>
        <v>2.547945205479452</v>
      </c>
      <c r="Q2670" s="18">
        <f t="shared" si="497"/>
        <v>779</v>
      </c>
      <c r="R2670" s="18">
        <f t="shared" si="496"/>
        <v>1984.8493150684931</v>
      </c>
      <c r="S2670" s="18">
        <f t="shared" si="492"/>
        <v>2115.1506849315069</v>
      </c>
    </row>
    <row r="2671" spans="1:19" ht="15" customHeight="1" x14ac:dyDescent="0.2">
      <c r="A2671" s="14">
        <f t="shared" si="498"/>
        <v>2632</v>
      </c>
      <c r="B2671" s="14" t="s">
        <v>2223</v>
      </c>
      <c r="C2671" s="15" t="s">
        <v>3</v>
      </c>
      <c r="D2671" s="31" t="s">
        <v>1708</v>
      </c>
      <c r="E2671" s="31"/>
      <c r="F2671" s="73" t="s">
        <v>4</v>
      </c>
      <c r="G2671" s="32">
        <v>43358</v>
      </c>
      <c r="H2671" s="29">
        <v>901.1</v>
      </c>
      <c r="I2671" s="17">
        <v>0</v>
      </c>
      <c r="J2671" s="17">
        <v>0</v>
      </c>
      <c r="K2671" s="17">
        <f t="shared" si="493"/>
        <v>901.1</v>
      </c>
      <c r="L2671" s="23">
        <f t="shared" si="489"/>
        <v>45.055000000000007</v>
      </c>
      <c r="M2671" s="33">
        <v>5</v>
      </c>
      <c r="N2671" s="18">
        <f t="shared" si="494"/>
        <v>1.547945205479452</v>
      </c>
      <c r="O2671" s="23">
        <f t="shared" si="491"/>
        <v>265.02215068493149</v>
      </c>
      <c r="P2671" s="18">
        <f t="shared" si="495"/>
        <v>2.547945205479452</v>
      </c>
      <c r="Q2671" s="18">
        <f t="shared" si="497"/>
        <v>171.20900000000003</v>
      </c>
      <c r="R2671" s="18">
        <f t="shared" si="496"/>
        <v>436.23115068493155</v>
      </c>
      <c r="S2671" s="18">
        <f t="shared" si="492"/>
        <v>464.86884931506847</v>
      </c>
    </row>
    <row r="2672" spans="1:19" ht="15" customHeight="1" x14ac:dyDescent="0.2">
      <c r="A2672" s="14">
        <f t="shared" si="498"/>
        <v>2633</v>
      </c>
      <c r="B2672" s="14" t="s">
        <v>2224</v>
      </c>
      <c r="C2672" s="15" t="s">
        <v>3</v>
      </c>
      <c r="D2672" s="31" t="s">
        <v>1708</v>
      </c>
      <c r="E2672" s="31"/>
      <c r="F2672" s="73" t="s">
        <v>4</v>
      </c>
      <c r="G2672" s="32">
        <v>43388</v>
      </c>
      <c r="H2672" s="29">
        <v>19778.88</v>
      </c>
      <c r="I2672" s="17">
        <v>0</v>
      </c>
      <c r="J2672" s="17">
        <v>0</v>
      </c>
      <c r="K2672" s="17">
        <f t="shared" si="493"/>
        <v>19778.88</v>
      </c>
      <c r="L2672" s="23">
        <f t="shared" si="489"/>
        <v>988.94400000000007</v>
      </c>
      <c r="M2672" s="33">
        <v>10</v>
      </c>
      <c r="N2672" s="18">
        <f t="shared" si="494"/>
        <v>1.4657534246575343</v>
      </c>
      <c r="O2672" s="23">
        <f t="shared" si="491"/>
        <v>2754.1413041095898</v>
      </c>
      <c r="P2672" s="18">
        <f t="shared" si="495"/>
        <v>2.4657534246575343</v>
      </c>
      <c r="Q2672" s="18">
        <f t="shared" si="497"/>
        <v>1878.9936000000002</v>
      </c>
      <c r="R2672" s="18">
        <f t="shared" si="496"/>
        <v>4633.13490410959</v>
      </c>
      <c r="S2672" s="18">
        <f t="shared" si="492"/>
        <v>15145.745095890412</v>
      </c>
    </row>
    <row r="2673" spans="1:19" ht="15" customHeight="1" x14ac:dyDescent="0.2">
      <c r="A2673" s="14">
        <f t="shared" si="498"/>
        <v>2634</v>
      </c>
      <c r="B2673" s="14" t="s">
        <v>2225</v>
      </c>
      <c r="C2673" s="15" t="s">
        <v>3</v>
      </c>
      <c r="D2673" s="31" t="s">
        <v>1708</v>
      </c>
      <c r="E2673" s="31"/>
      <c r="F2673" s="73" t="s">
        <v>4</v>
      </c>
      <c r="G2673" s="32">
        <v>43419</v>
      </c>
      <c r="H2673" s="29">
        <v>1350</v>
      </c>
      <c r="I2673" s="17">
        <v>0</v>
      </c>
      <c r="J2673" s="17">
        <v>0</v>
      </c>
      <c r="K2673" s="17">
        <f t="shared" si="493"/>
        <v>1350</v>
      </c>
      <c r="L2673" s="23">
        <f t="shared" si="489"/>
        <v>67.5</v>
      </c>
      <c r="M2673" s="33">
        <v>5</v>
      </c>
      <c r="N2673" s="18">
        <f t="shared" si="494"/>
        <v>1.3808219178082193</v>
      </c>
      <c r="O2673" s="23">
        <f t="shared" si="491"/>
        <v>354.18082191780826</v>
      </c>
      <c r="P2673" s="18">
        <f t="shared" si="495"/>
        <v>2.3808219178082193</v>
      </c>
      <c r="Q2673" s="18">
        <f t="shared" si="497"/>
        <v>256.5</v>
      </c>
      <c r="R2673" s="18">
        <f t="shared" si="496"/>
        <v>610.68082191780832</v>
      </c>
      <c r="S2673" s="18">
        <f t="shared" si="492"/>
        <v>739.31917808219168</v>
      </c>
    </row>
    <row r="2674" spans="1:19" ht="15" customHeight="1" x14ac:dyDescent="0.2">
      <c r="A2674" s="14">
        <f t="shared" si="498"/>
        <v>2635</v>
      </c>
      <c r="B2674" s="14" t="s">
        <v>2226</v>
      </c>
      <c r="C2674" s="15" t="s">
        <v>3</v>
      </c>
      <c r="D2674" s="31" t="s">
        <v>1708</v>
      </c>
      <c r="E2674" s="31"/>
      <c r="F2674" s="73" t="s">
        <v>4</v>
      </c>
      <c r="G2674" s="32">
        <v>43419</v>
      </c>
      <c r="H2674" s="29">
        <v>6949.14</v>
      </c>
      <c r="I2674" s="17">
        <v>0</v>
      </c>
      <c r="J2674" s="17">
        <v>0</v>
      </c>
      <c r="K2674" s="17">
        <f t="shared" si="493"/>
        <v>6949.14</v>
      </c>
      <c r="L2674" s="23">
        <f t="shared" si="489"/>
        <v>347.45700000000005</v>
      </c>
      <c r="M2674" s="33">
        <v>10</v>
      </c>
      <c r="N2674" s="18">
        <f t="shared" si="494"/>
        <v>1.3808219178082193</v>
      </c>
      <c r="O2674" s="23">
        <f t="shared" si="491"/>
        <v>911.57485808219189</v>
      </c>
      <c r="P2674" s="18">
        <f t="shared" si="495"/>
        <v>2.3808219178082193</v>
      </c>
      <c r="Q2674" s="18">
        <f t="shared" si="497"/>
        <v>660.16830000000004</v>
      </c>
      <c r="R2674" s="18">
        <f t="shared" si="496"/>
        <v>1571.7431580821919</v>
      </c>
      <c r="S2674" s="18">
        <f t="shared" si="492"/>
        <v>5377.3968419178082</v>
      </c>
    </row>
    <row r="2675" spans="1:19" ht="15" customHeight="1" x14ac:dyDescent="0.2">
      <c r="A2675" s="14">
        <f t="shared" si="498"/>
        <v>2636</v>
      </c>
      <c r="B2675" s="14" t="s">
        <v>2227</v>
      </c>
      <c r="C2675" s="15" t="s">
        <v>3</v>
      </c>
      <c r="D2675" s="31" t="s">
        <v>1708</v>
      </c>
      <c r="E2675" s="31"/>
      <c r="F2675" s="73" t="s">
        <v>4</v>
      </c>
      <c r="G2675" s="32">
        <v>43419</v>
      </c>
      <c r="H2675" s="29">
        <v>8400</v>
      </c>
      <c r="I2675" s="17">
        <v>0</v>
      </c>
      <c r="J2675" s="17">
        <v>0</v>
      </c>
      <c r="K2675" s="17">
        <f t="shared" si="493"/>
        <v>8400</v>
      </c>
      <c r="L2675" s="23">
        <f t="shared" si="489"/>
        <v>420</v>
      </c>
      <c r="M2675" s="33">
        <v>10</v>
      </c>
      <c r="N2675" s="18">
        <f t="shared" si="494"/>
        <v>1.3808219178082193</v>
      </c>
      <c r="O2675" s="23">
        <f t="shared" si="491"/>
        <v>1101.8958904109591</v>
      </c>
      <c r="P2675" s="18">
        <f t="shared" si="495"/>
        <v>2.3808219178082193</v>
      </c>
      <c r="Q2675" s="18">
        <f t="shared" si="497"/>
        <v>798</v>
      </c>
      <c r="R2675" s="18">
        <f t="shared" si="496"/>
        <v>1899.8958904109591</v>
      </c>
      <c r="S2675" s="18">
        <f t="shared" si="492"/>
        <v>6500.1041095890414</v>
      </c>
    </row>
    <row r="2676" spans="1:19" ht="15" customHeight="1" x14ac:dyDescent="0.2">
      <c r="A2676" s="14">
        <f t="shared" si="498"/>
        <v>2637</v>
      </c>
      <c r="B2676" s="14" t="s">
        <v>2228</v>
      </c>
      <c r="C2676" s="15" t="s">
        <v>3</v>
      </c>
      <c r="D2676" s="31" t="s">
        <v>1708</v>
      </c>
      <c r="E2676" s="31"/>
      <c r="F2676" s="73" t="s">
        <v>4</v>
      </c>
      <c r="G2676" s="32">
        <v>43419</v>
      </c>
      <c r="H2676" s="29">
        <v>4944.72</v>
      </c>
      <c r="I2676" s="17">
        <v>0</v>
      </c>
      <c r="J2676" s="17">
        <v>0</v>
      </c>
      <c r="K2676" s="17">
        <f t="shared" si="493"/>
        <v>4944.72</v>
      </c>
      <c r="L2676" s="23">
        <f t="shared" si="489"/>
        <v>247.23600000000002</v>
      </c>
      <c r="M2676" s="33">
        <v>10</v>
      </c>
      <c r="N2676" s="18">
        <f t="shared" si="494"/>
        <v>1.3808219178082193</v>
      </c>
      <c r="O2676" s="23">
        <f t="shared" si="491"/>
        <v>648.63888657534255</v>
      </c>
      <c r="P2676" s="18">
        <f t="shared" si="495"/>
        <v>2.3808219178082193</v>
      </c>
      <c r="Q2676" s="18">
        <f t="shared" si="497"/>
        <v>469.74840000000006</v>
      </c>
      <c r="R2676" s="18">
        <f t="shared" si="496"/>
        <v>1118.3872865753426</v>
      </c>
      <c r="S2676" s="18">
        <f t="shared" si="492"/>
        <v>3826.3327134246574</v>
      </c>
    </row>
    <row r="2677" spans="1:19" ht="15" customHeight="1" x14ac:dyDescent="0.2">
      <c r="A2677" s="14">
        <f t="shared" si="498"/>
        <v>2638</v>
      </c>
      <c r="B2677" s="14" t="s">
        <v>2229</v>
      </c>
      <c r="C2677" s="15" t="s">
        <v>3</v>
      </c>
      <c r="D2677" s="31" t="s">
        <v>1708</v>
      </c>
      <c r="E2677" s="31"/>
      <c r="F2677" s="73" t="s">
        <v>4</v>
      </c>
      <c r="G2677" s="32">
        <v>43449</v>
      </c>
      <c r="H2677" s="29">
        <v>20847.46</v>
      </c>
      <c r="I2677" s="17">
        <v>0</v>
      </c>
      <c r="J2677" s="17">
        <v>0</v>
      </c>
      <c r="K2677" s="17">
        <f t="shared" si="493"/>
        <v>20847.46</v>
      </c>
      <c r="L2677" s="23">
        <f t="shared" si="489"/>
        <v>1042.373</v>
      </c>
      <c r="M2677" s="33">
        <v>10</v>
      </c>
      <c r="N2677" s="18">
        <f t="shared" si="494"/>
        <v>1.2986301369863014</v>
      </c>
      <c r="O2677" s="23">
        <f t="shared" si="491"/>
        <v>2571.9482843835613</v>
      </c>
      <c r="P2677" s="18">
        <f t="shared" si="495"/>
        <v>2.2986301369863016</v>
      </c>
      <c r="Q2677" s="18">
        <f t="shared" si="497"/>
        <v>1980.5087000000003</v>
      </c>
      <c r="R2677" s="18">
        <f t="shared" si="496"/>
        <v>4552.4569843835616</v>
      </c>
      <c r="S2677" s="18">
        <f t="shared" si="492"/>
        <v>16295.003015616438</v>
      </c>
    </row>
    <row r="2678" spans="1:19" ht="15" customHeight="1" x14ac:dyDescent="0.2">
      <c r="A2678" s="14">
        <f t="shared" si="498"/>
        <v>2639</v>
      </c>
      <c r="B2678" s="14" t="s">
        <v>2230</v>
      </c>
      <c r="C2678" s="15" t="s">
        <v>3</v>
      </c>
      <c r="D2678" s="31" t="s">
        <v>1708</v>
      </c>
      <c r="E2678" s="31"/>
      <c r="F2678" s="73" t="s">
        <v>4</v>
      </c>
      <c r="G2678" s="32">
        <v>43449</v>
      </c>
      <c r="H2678" s="29">
        <v>14023.62</v>
      </c>
      <c r="I2678" s="17">
        <v>0</v>
      </c>
      <c r="J2678" s="17">
        <v>0</v>
      </c>
      <c r="K2678" s="17">
        <f t="shared" si="493"/>
        <v>14023.62</v>
      </c>
      <c r="L2678" s="23">
        <f t="shared" si="489"/>
        <v>701.18100000000004</v>
      </c>
      <c r="M2678" s="33">
        <v>10</v>
      </c>
      <c r="N2678" s="18">
        <f t="shared" si="494"/>
        <v>1.2986301369863014</v>
      </c>
      <c r="O2678" s="23">
        <f t="shared" ref="O2678:O2701" si="499">(K2678-L2678)/M2678*N2678-J2678</f>
        <v>1730.0920783561644</v>
      </c>
      <c r="P2678" s="18">
        <f t="shared" si="495"/>
        <v>2.2986301369863016</v>
      </c>
      <c r="Q2678" s="18">
        <f t="shared" si="497"/>
        <v>1332.2439000000004</v>
      </c>
      <c r="R2678" s="18">
        <f t="shared" si="496"/>
        <v>3062.3359783561646</v>
      </c>
      <c r="S2678" s="18">
        <f t="shared" si="492"/>
        <v>10961.284021643836</v>
      </c>
    </row>
    <row r="2679" spans="1:19" ht="15" customHeight="1" x14ac:dyDescent="0.2">
      <c r="A2679" s="14">
        <f t="shared" si="498"/>
        <v>2640</v>
      </c>
      <c r="B2679" s="14" t="s">
        <v>2231</v>
      </c>
      <c r="C2679" s="15" t="s">
        <v>3</v>
      </c>
      <c r="D2679" s="31" t="s">
        <v>1708</v>
      </c>
      <c r="E2679" s="31"/>
      <c r="F2679" s="73" t="s">
        <v>4</v>
      </c>
      <c r="G2679" s="32">
        <v>43449</v>
      </c>
      <c r="H2679" s="29">
        <v>7800</v>
      </c>
      <c r="I2679" s="17">
        <v>0</v>
      </c>
      <c r="J2679" s="17">
        <v>0</v>
      </c>
      <c r="K2679" s="17">
        <f t="shared" si="493"/>
        <v>7800</v>
      </c>
      <c r="L2679" s="23">
        <f t="shared" si="489"/>
        <v>390</v>
      </c>
      <c r="M2679" s="33">
        <v>10</v>
      </c>
      <c r="N2679" s="18">
        <f t="shared" si="494"/>
        <v>1.2986301369863014</v>
      </c>
      <c r="O2679" s="23">
        <f t="shared" si="499"/>
        <v>962.28493150684926</v>
      </c>
      <c r="P2679" s="18">
        <f t="shared" si="495"/>
        <v>2.2986301369863016</v>
      </c>
      <c r="Q2679" s="18">
        <f t="shared" si="497"/>
        <v>741.00000000000011</v>
      </c>
      <c r="R2679" s="18">
        <f t="shared" si="496"/>
        <v>1703.2849315068493</v>
      </c>
      <c r="S2679" s="18">
        <f t="shared" si="492"/>
        <v>6096.7150684931512</v>
      </c>
    </row>
    <row r="2680" spans="1:19" ht="15" customHeight="1" x14ac:dyDescent="0.2">
      <c r="A2680" s="14">
        <f t="shared" si="498"/>
        <v>2641</v>
      </c>
      <c r="B2680" s="14" t="s">
        <v>2232</v>
      </c>
      <c r="C2680" s="15" t="s">
        <v>3</v>
      </c>
      <c r="D2680" s="31" t="s">
        <v>1708</v>
      </c>
      <c r="E2680" s="31"/>
      <c r="F2680" s="73" t="s">
        <v>4</v>
      </c>
      <c r="G2680" s="32">
        <v>43449</v>
      </c>
      <c r="H2680" s="29">
        <v>30525</v>
      </c>
      <c r="I2680" s="17">
        <v>0</v>
      </c>
      <c r="J2680" s="17">
        <v>0</v>
      </c>
      <c r="K2680" s="17">
        <f t="shared" si="493"/>
        <v>30525</v>
      </c>
      <c r="L2680" s="23">
        <f t="shared" si="489"/>
        <v>1526.25</v>
      </c>
      <c r="M2680" s="33">
        <v>10</v>
      </c>
      <c r="N2680" s="18">
        <f t="shared" si="494"/>
        <v>1.2986301369863014</v>
      </c>
      <c r="O2680" s="23">
        <f t="shared" si="499"/>
        <v>3765.8650684931508</v>
      </c>
      <c r="P2680" s="18">
        <f t="shared" si="495"/>
        <v>2.2986301369863016</v>
      </c>
      <c r="Q2680" s="18">
        <f t="shared" si="497"/>
        <v>2899.8750000000005</v>
      </c>
      <c r="R2680" s="18">
        <f t="shared" si="496"/>
        <v>6665.7400684931508</v>
      </c>
      <c r="S2680" s="18">
        <f t="shared" si="492"/>
        <v>23859.259931506851</v>
      </c>
    </row>
    <row r="2681" spans="1:19" ht="15" customHeight="1" x14ac:dyDescent="0.2">
      <c r="A2681" s="14">
        <f t="shared" si="498"/>
        <v>2642</v>
      </c>
      <c r="B2681" s="14" t="s">
        <v>2233</v>
      </c>
      <c r="C2681" s="15" t="s">
        <v>3</v>
      </c>
      <c r="D2681" s="31" t="s">
        <v>1708</v>
      </c>
      <c r="E2681" s="31"/>
      <c r="F2681" s="73" t="s">
        <v>4</v>
      </c>
      <c r="G2681" s="32">
        <v>43449</v>
      </c>
      <c r="H2681" s="29">
        <v>21097.5</v>
      </c>
      <c r="I2681" s="17">
        <v>0</v>
      </c>
      <c r="J2681" s="17">
        <v>0</v>
      </c>
      <c r="K2681" s="17">
        <f t="shared" si="493"/>
        <v>21097.5</v>
      </c>
      <c r="L2681" s="23">
        <f t="shared" si="489"/>
        <v>1054.875</v>
      </c>
      <c r="M2681" s="33">
        <v>10</v>
      </c>
      <c r="N2681" s="18">
        <f t="shared" si="494"/>
        <v>1.2986301369863014</v>
      </c>
      <c r="O2681" s="23">
        <f t="shared" si="499"/>
        <v>2602.7956849315069</v>
      </c>
      <c r="P2681" s="18">
        <f t="shared" si="495"/>
        <v>2.2986301369863016</v>
      </c>
      <c r="Q2681" s="18">
        <f t="shared" si="497"/>
        <v>2004.2625000000005</v>
      </c>
      <c r="R2681" s="18">
        <f t="shared" si="496"/>
        <v>4607.0581849315076</v>
      </c>
      <c r="S2681" s="18">
        <f t="shared" si="492"/>
        <v>16490.441815068494</v>
      </c>
    </row>
    <row r="2682" spans="1:19" ht="15" customHeight="1" x14ac:dyDescent="0.2">
      <c r="A2682" s="14">
        <f t="shared" si="498"/>
        <v>2643</v>
      </c>
      <c r="B2682" s="14" t="s">
        <v>2234</v>
      </c>
      <c r="C2682" s="15" t="s">
        <v>3</v>
      </c>
      <c r="D2682" s="31" t="s">
        <v>1708</v>
      </c>
      <c r="E2682" s="31"/>
      <c r="F2682" s="73" t="s">
        <v>4</v>
      </c>
      <c r="G2682" s="32">
        <v>43449</v>
      </c>
      <c r="H2682" s="29">
        <v>50454.69</v>
      </c>
      <c r="I2682" s="17">
        <v>0</v>
      </c>
      <c r="J2682" s="17">
        <v>0</v>
      </c>
      <c r="K2682" s="17">
        <f t="shared" si="493"/>
        <v>50454.69</v>
      </c>
      <c r="L2682" s="23">
        <f t="shared" si="489"/>
        <v>2522.7345000000005</v>
      </c>
      <c r="M2682" s="33">
        <v>10</v>
      </c>
      <c r="N2682" s="18">
        <f t="shared" si="494"/>
        <v>1.2986301369863014</v>
      </c>
      <c r="O2682" s="23">
        <f t="shared" si="499"/>
        <v>6224.5881936986307</v>
      </c>
      <c r="P2682" s="18">
        <f t="shared" si="495"/>
        <v>2.2986301369863016</v>
      </c>
      <c r="Q2682" s="18">
        <f t="shared" si="497"/>
        <v>4793.1955500000013</v>
      </c>
      <c r="R2682" s="18">
        <f t="shared" si="496"/>
        <v>11017.783743698632</v>
      </c>
      <c r="S2682" s="18">
        <f t="shared" si="492"/>
        <v>39436.906256301372</v>
      </c>
    </row>
    <row r="2683" spans="1:19" ht="15" customHeight="1" x14ac:dyDescent="0.2">
      <c r="A2683" s="14">
        <f t="shared" si="498"/>
        <v>2644</v>
      </c>
      <c r="B2683" s="14" t="s">
        <v>2235</v>
      </c>
      <c r="C2683" s="15" t="s">
        <v>3</v>
      </c>
      <c r="D2683" s="31" t="s">
        <v>1708</v>
      </c>
      <c r="E2683" s="31"/>
      <c r="F2683" s="73" t="s">
        <v>4</v>
      </c>
      <c r="G2683" s="32">
        <v>43449</v>
      </c>
      <c r="H2683" s="29">
        <v>13471.86</v>
      </c>
      <c r="I2683" s="17">
        <v>0</v>
      </c>
      <c r="J2683" s="17">
        <v>0</v>
      </c>
      <c r="K2683" s="17">
        <f t="shared" si="493"/>
        <v>13471.86</v>
      </c>
      <c r="L2683" s="23">
        <f t="shared" ref="L2683:L2742" si="500">K2683*0.05</f>
        <v>673.59300000000007</v>
      </c>
      <c r="M2683" s="33">
        <v>10</v>
      </c>
      <c r="N2683" s="18">
        <f t="shared" si="494"/>
        <v>1.2986301369863014</v>
      </c>
      <c r="O2683" s="23">
        <f t="shared" si="499"/>
        <v>1662.0215227397262</v>
      </c>
      <c r="P2683" s="18">
        <f t="shared" si="495"/>
        <v>2.2986301369863016</v>
      </c>
      <c r="Q2683" s="18">
        <f t="shared" si="497"/>
        <v>1279.8267000000003</v>
      </c>
      <c r="R2683" s="18">
        <f t="shared" si="496"/>
        <v>2941.8482227397262</v>
      </c>
      <c r="S2683" s="18">
        <f t="shared" si="492"/>
        <v>10530.011777260275</v>
      </c>
    </row>
    <row r="2684" spans="1:19" ht="15" customHeight="1" x14ac:dyDescent="0.2">
      <c r="A2684" s="14">
        <f t="shared" si="498"/>
        <v>2645</v>
      </c>
      <c r="B2684" s="14" t="s">
        <v>2236</v>
      </c>
      <c r="C2684" s="15" t="s">
        <v>3</v>
      </c>
      <c r="D2684" s="31" t="s">
        <v>1708</v>
      </c>
      <c r="E2684" s="31"/>
      <c r="F2684" s="73" t="s">
        <v>4</v>
      </c>
      <c r="G2684" s="32">
        <v>43480</v>
      </c>
      <c r="H2684" s="29">
        <v>9250</v>
      </c>
      <c r="I2684" s="17">
        <v>0</v>
      </c>
      <c r="J2684" s="17">
        <v>0</v>
      </c>
      <c r="K2684" s="17">
        <f t="shared" si="493"/>
        <v>9250</v>
      </c>
      <c r="L2684" s="23">
        <f t="shared" si="500"/>
        <v>462.5</v>
      </c>
      <c r="M2684" s="33">
        <v>10</v>
      </c>
      <c r="N2684" s="18">
        <f t="shared" si="494"/>
        <v>1.2136986301369863</v>
      </c>
      <c r="O2684" s="23">
        <f t="shared" si="499"/>
        <v>1066.5376712328766</v>
      </c>
      <c r="P2684" s="18">
        <f t="shared" si="495"/>
        <v>2.2136986301369861</v>
      </c>
      <c r="Q2684" s="18">
        <f t="shared" si="497"/>
        <v>878.74999999999977</v>
      </c>
      <c r="R2684" s="18">
        <f t="shared" si="496"/>
        <v>1945.2876712328764</v>
      </c>
      <c r="S2684" s="18">
        <f t="shared" si="492"/>
        <v>7304.7123287671238</v>
      </c>
    </row>
    <row r="2685" spans="1:19" ht="15" customHeight="1" x14ac:dyDescent="0.2">
      <c r="A2685" s="14">
        <f t="shared" si="498"/>
        <v>2646</v>
      </c>
      <c r="B2685" s="14" t="s">
        <v>2237</v>
      </c>
      <c r="C2685" s="15" t="s">
        <v>3</v>
      </c>
      <c r="D2685" s="31" t="s">
        <v>1708</v>
      </c>
      <c r="E2685" s="31"/>
      <c r="F2685" s="73" t="s">
        <v>4</v>
      </c>
      <c r="G2685" s="32">
        <v>43480</v>
      </c>
      <c r="H2685" s="29">
        <v>3113.36</v>
      </c>
      <c r="I2685" s="17">
        <v>0</v>
      </c>
      <c r="J2685" s="17">
        <v>0</v>
      </c>
      <c r="K2685" s="17">
        <f t="shared" si="493"/>
        <v>3113.36</v>
      </c>
      <c r="L2685" s="23">
        <f t="shared" si="500"/>
        <v>155.66800000000001</v>
      </c>
      <c r="M2685" s="33">
        <v>10</v>
      </c>
      <c r="N2685" s="18">
        <f t="shared" si="494"/>
        <v>1.2136986301369863</v>
      </c>
      <c r="O2685" s="23">
        <f t="shared" si="499"/>
        <v>358.97467287671236</v>
      </c>
      <c r="P2685" s="18">
        <f t="shared" si="495"/>
        <v>2.2136986301369861</v>
      </c>
      <c r="Q2685" s="18">
        <f t="shared" si="497"/>
        <v>295.76919999999996</v>
      </c>
      <c r="R2685" s="18">
        <f t="shared" si="496"/>
        <v>654.74387287671232</v>
      </c>
      <c r="S2685" s="18">
        <f t="shared" si="492"/>
        <v>2458.6161271232877</v>
      </c>
    </row>
    <row r="2686" spans="1:19" ht="15" customHeight="1" x14ac:dyDescent="0.2">
      <c r="A2686" s="14">
        <f t="shared" si="498"/>
        <v>2647</v>
      </c>
      <c r="B2686" s="14" t="s">
        <v>2238</v>
      </c>
      <c r="C2686" s="15" t="s">
        <v>3</v>
      </c>
      <c r="D2686" s="31" t="s">
        <v>1708</v>
      </c>
      <c r="E2686" s="31"/>
      <c r="F2686" s="73" t="s">
        <v>4</v>
      </c>
      <c r="G2686" s="32">
        <v>43480</v>
      </c>
      <c r="H2686" s="29">
        <v>6473.95</v>
      </c>
      <c r="I2686" s="17">
        <v>0</v>
      </c>
      <c r="J2686" s="17">
        <v>0</v>
      </c>
      <c r="K2686" s="17">
        <f t="shared" si="493"/>
        <v>6473.95</v>
      </c>
      <c r="L2686" s="23">
        <f t="shared" si="500"/>
        <v>323.69749999999999</v>
      </c>
      <c r="M2686" s="33">
        <v>10</v>
      </c>
      <c r="N2686" s="18">
        <f t="shared" si="494"/>
        <v>1.2136986301369863</v>
      </c>
      <c r="O2686" s="23">
        <f t="shared" si="499"/>
        <v>746.45530342465747</v>
      </c>
      <c r="P2686" s="18">
        <f t="shared" si="495"/>
        <v>2.2136986301369861</v>
      </c>
      <c r="Q2686" s="18">
        <f t="shared" si="497"/>
        <v>615.0252499999998</v>
      </c>
      <c r="R2686" s="18">
        <f t="shared" si="496"/>
        <v>1361.4805534246573</v>
      </c>
      <c r="S2686" s="18">
        <f t="shared" si="492"/>
        <v>5112.4694465753428</v>
      </c>
    </row>
    <row r="2687" spans="1:19" ht="15" customHeight="1" x14ac:dyDescent="0.2">
      <c r="A2687" s="14">
        <f t="shared" si="498"/>
        <v>2648</v>
      </c>
      <c r="B2687" s="14" t="s">
        <v>2239</v>
      </c>
      <c r="C2687" s="15" t="s">
        <v>3</v>
      </c>
      <c r="D2687" s="31" t="s">
        <v>1708</v>
      </c>
      <c r="E2687" s="31"/>
      <c r="F2687" s="73" t="s">
        <v>4</v>
      </c>
      <c r="G2687" s="32">
        <v>43480</v>
      </c>
      <c r="H2687" s="29">
        <v>1275</v>
      </c>
      <c r="I2687" s="17">
        <v>0</v>
      </c>
      <c r="J2687" s="17">
        <v>0</v>
      </c>
      <c r="K2687" s="17">
        <f t="shared" si="493"/>
        <v>1275</v>
      </c>
      <c r="L2687" s="23">
        <f t="shared" si="500"/>
        <v>63.75</v>
      </c>
      <c r="M2687" s="33">
        <v>10</v>
      </c>
      <c r="N2687" s="18">
        <f t="shared" si="494"/>
        <v>1.2136986301369863</v>
      </c>
      <c r="O2687" s="23">
        <f t="shared" si="499"/>
        <v>147.00924657534247</v>
      </c>
      <c r="P2687" s="18">
        <f t="shared" si="495"/>
        <v>2.2136986301369861</v>
      </c>
      <c r="Q2687" s="18">
        <f t="shared" si="497"/>
        <v>121.12499999999997</v>
      </c>
      <c r="R2687" s="18">
        <f t="shared" si="496"/>
        <v>268.13424657534244</v>
      </c>
      <c r="S2687" s="18">
        <f t="shared" si="492"/>
        <v>1006.8657534246576</v>
      </c>
    </row>
    <row r="2688" spans="1:19" ht="15" customHeight="1" x14ac:dyDescent="0.2">
      <c r="A2688" s="14">
        <f t="shared" si="498"/>
        <v>2649</v>
      </c>
      <c r="B2688" s="14" t="s">
        <v>2240</v>
      </c>
      <c r="C2688" s="15" t="s">
        <v>3</v>
      </c>
      <c r="D2688" s="31" t="s">
        <v>1708</v>
      </c>
      <c r="E2688" s="31"/>
      <c r="F2688" s="73" t="s">
        <v>4</v>
      </c>
      <c r="G2688" s="32">
        <v>43480</v>
      </c>
      <c r="H2688" s="29">
        <v>4000</v>
      </c>
      <c r="I2688" s="17">
        <v>0</v>
      </c>
      <c r="J2688" s="17">
        <v>0</v>
      </c>
      <c r="K2688" s="17">
        <f t="shared" si="493"/>
        <v>4000</v>
      </c>
      <c r="L2688" s="23">
        <f t="shared" si="500"/>
        <v>200</v>
      </c>
      <c r="M2688" s="33">
        <v>10</v>
      </c>
      <c r="N2688" s="18">
        <f t="shared" si="494"/>
        <v>1.2136986301369863</v>
      </c>
      <c r="O2688" s="23">
        <f t="shared" si="499"/>
        <v>461.20547945205482</v>
      </c>
      <c r="P2688" s="18">
        <f t="shared" si="495"/>
        <v>2.2136986301369861</v>
      </c>
      <c r="Q2688" s="18">
        <f t="shared" si="497"/>
        <v>379.99999999999994</v>
      </c>
      <c r="R2688" s="18">
        <f t="shared" si="496"/>
        <v>841.20547945205476</v>
      </c>
      <c r="S2688" s="18">
        <f t="shared" si="492"/>
        <v>3158.7945205479455</v>
      </c>
    </row>
    <row r="2689" spans="1:19" ht="15" customHeight="1" x14ac:dyDescent="0.2">
      <c r="A2689" s="14">
        <f t="shared" si="498"/>
        <v>2650</v>
      </c>
      <c r="B2689" s="14" t="s">
        <v>2241</v>
      </c>
      <c r="C2689" s="15" t="s">
        <v>3</v>
      </c>
      <c r="D2689" s="31" t="s">
        <v>1708</v>
      </c>
      <c r="E2689" s="31"/>
      <c r="F2689" s="73" t="s">
        <v>4</v>
      </c>
      <c r="G2689" s="32">
        <v>43480</v>
      </c>
      <c r="H2689" s="29">
        <v>14581</v>
      </c>
      <c r="I2689" s="17">
        <v>0</v>
      </c>
      <c r="J2689" s="17">
        <v>0</v>
      </c>
      <c r="K2689" s="17">
        <f t="shared" si="493"/>
        <v>14581</v>
      </c>
      <c r="L2689" s="23">
        <f t="shared" si="500"/>
        <v>729.05000000000007</v>
      </c>
      <c r="M2689" s="33">
        <v>10</v>
      </c>
      <c r="N2689" s="18">
        <f t="shared" si="494"/>
        <v>1.2136986301369863</v>
      </c>
      <c r="O2689" s="23">
        <f t="shared" si="499"/>
        <v>1681.2092739726029</v>
      </c>
      <c r="P2689" s="18">
        <f t="shared" si="495"/>
        <v>2.2136986301369861</v>
      </c>
      <c r="Q2689" s="18">
        <f t="shared" si="497"/>
        <v>1385.1949999999997</v>
      </c>
      <c r="R2689" s="18">
        <f t="shared" si="496"/>
        <v>3066.4042739726028</v>
      </c>
      <c r="S2689" s="18">
        <f t="shared" si="492"/>
        <v>11514.595726027397</v>
      </c>
    </row>
    <row r="2690" spans="1:19" ht="15" customHeight="1" x14ac:dyDescent="0.2">
      <c r="A2690" s="14">
        <f t="shared" si="498"/>
        <v>2651</v>
      </c>
      <c r="B2690" s="14" t="s">
        <v>2242</v>
      </c>
      <c r="C2690" s="15" t="s">
        <v>3</v>
      </c>
      <c r="D2690" s="31" t="s">
        <v>1708</v>
      </c>
      <c r="E2690" s="31"/>
      <c r="F2690" s="73" t="s">
        <v>4</v>
      </c>
      <c r="G2690" s="32">
        <v>43480</v>
      </c>
      <c r="H2690" s="29">
        <v>2587.42</v>
      </c>
      <c r="I2690" s="17">
        <v>0</v>
      </c>
      <c r="J2690" s="17">
        <v>0</v>
      </c>
      <c r="K2690" s="17">
        <f t="shared" si="493"/>
        <v>2587.42</v>
      </c>
      <c r="L2690" s="23">
        <f t="shared" si="500"/>
        <v>129.37100000000001</v>
      </c>
      <c r="M2690" s="33">
        <v>10</v>
      </c>
      <c r="N2690" s="18">
        <f t="shared" si="494"/>
        <v>1.2136986301369863</v>
      </c>
      <c r="O2690" s="23">
        <f t="shared" si="499"/>
        <v>298.3330704109589</v>
      </c>
      <c r="P2690" s="18">
        <f t="shared" si="495"/>
        <v>2.2136986301369861</v>
      </c>
      <c r="Q2690" s="18">
        <f t="shared" si="497"/>
        <v>245.80489999999995</v>
      </c>
      <c r="R2690" s="18">
        <f t="shared" si="496"/>
        <v>544.13797041095881</v>
      </c>
      <c r="S2690" s="18">
        <f t="shared" si="492"/>
        <v>2043.2820295890413</v>
      </c>
    </row>
    <row r="2691" spans="1:19" ht="15" customHeight="1" x14ac:dyDescent="0.2">
      <c r="A2691" s="14">
        <f t="shared" si="498"/>
        <v>2652</v>
      </c>
      <c r="B2691" s="14" t="s">
        <v>2243</v>
      </c>
      <c r="C2691" s="15" t="s">
        <v>3</v>
      </c>
      <c r="D2691" s="31" t="s">
        <v>1708</v>
      </c>
      <c r="E2691" s="31"/>
      <c r="F2691" s="73" t="s">
        <v>4</v>
      </c>
      <c r="G2691" s="32">
        <v>43480</v>
      </c>
      <c r="H2691" s="29">
        <v>14000</v>
      </c>
      <c r="I2691" s="17">
        <v>0</v>
      </c>
      <c r="J2691" s="17">
        <v>0</v>
      </c>
      <c r="K2691" s="17">
        <f t="shared" si="493"/>
        <v>14000</v>
      </c>
      <c r="L2691" s="23">
        <f t="shared" si="500"/>
        <v>700</v>
      </c>
      <c r="M2691" s="33">
        <v>10</v>
      </c>
      <c r="N2691" s="18">
        <f t="shared" si="494"/>
        <v>1.2136986301369863</v>
      </c>
      <c r="O2691" s="23">
        <f t="shared" si="499"/>
        <v>1614.2191780821918</v>
      </c>
      <c r="P2691" s="18">
        <f t="shared" si="495"/>
        <v>2.2136986301369861</v>
      </c>
      <c r="Q2691" s="18">
        <f t="shared" si="497"/>
        <v>1329.9999999999998</v>
      </c>
      <c r="R2691" s="18">
        <f t="shared" si="496"/>
        <v>2944.2191780821913</v>
      </c>
      <c r="S2691" s="18">
        <f t="shared" ref="S2691:S2754" si="501">K2691-R2691</f>
        <v>11055.780821917808</v>
      </c>
    </row>
    <row r="2692" spans="1:19" ht="15" customHeight="1" x14ac:dyDescent="0.2">
      <c r="A2692" s="14">
        <f t="shared" si="498"/>
        <v>2653</v>
      </c>
      <c r="B2692" s="14" t="s">
        <v>2244</v>
      </c>
      <c r="C2692" s="15" t="s">
        <v>3</v>
      </c>
      <c r="D2692" s="31" t="s">
        <v>1708</v>
      </c>
      <c r="E2692" s="31"/>
      <c r="F2692" s="73" t="s">
        <v>4</v>
      </c>
      <c r="G2692" s="32">
        <v>43480</v>
      </c>
      <c r="H2692" s="29">
        <v>16260</v>
      </c>
      <c r="I2692" s="17">
        <v>0</v>
      </c>
      <c r="J2692" s="17">
        <v>0</v>
      </c>
      <c r="K2692" s="17">
        <f t="shared" si="493"/>
        <v>16260</v>
      </c>
      <c r="L2692" s="23">
        <f t="shared" si="500"/>
        <v>813</v>
      </c>
      <c r="M2692" s="33">
        <v>10</v>
      </c>
      <c r="N2692" s="18">
        <f t="shared" si="494"/>
        <v>1.2136986301369863</v>
      </c>
      <c r="O2692" s="23">
        <f t="shared" si="499"/>
        <v>1874.8002739726028</v>
      </c>
      <c r="P2692" s="18">
        <f t="shared" si="495"/>
        <v>2.2136986301369861</v>
      </c>
      <c r="Q2692" s="18">
        <f t="shared" si="497"/>
        <v>1544.6999999999996</v>
      </c>
      <c r="R2692" s="18">
        <f t="shared" si="496"/>
        <v>3419.5002739726024</v>
      </c>
      <c r="S2692" s="18">
        <f t="shared" si="501"/>
        <v>12840.499726027398</v>
      </c>
    </row>
    <row r="2693" spans="1:19" ht="15" customHeight="1" x14ac:dyDescent="0.2">
      <c r="A2693" s="14">
        <f t="shared" si="498"/>
        <v>2654</v>
      </c>
      <c r="B2693" s="14" t="s">
        <v>2245</v>
      </c>
      <c r="C2693" s="15" t="s">
        <v>3</v>
      </c>
      <c r="D2693" s="31" t="s">
        <v>1708</v>
      </c>
      <c r="E2693" s="31"/>
      <c r="F2693" s="73" t="s">
        <v>4</v>
      </c>
      <c r="G2693" s="32">
        <v>43480</v>
      </c>
      <c r="H2693" s="29">
        <v>18735</v>
      </c>
      <c r="I2693" s="17">
        <v>0</v>
      </c>
      <c r="J2693" s="17">
        <v>0</v>
      </c>
      <c r="K2693" s="17">
        <f t="shared" si="493"/>
        <v>18735</v>
      </c>
      <c r="L2693" s="23">
        <f t="shared" si="500"/>
        <v>936.75</v>
      </c>
      <c r="M2693" s="33">
        <v>10</v>
      </c>
      <c r="N2693" s="18">
        <f t="shared" si="494"/>
        <v>1.2136986301369863</v>
      </c>
      <c r="O2693" s="23">
        <f t="shared" si="499"/>
        <v>2160.1711643835615</v>
      </c>
      <c r="P2693" s="18">
        <f t="shared" si="495"/>
        <v>2.2136986301369861</v>
      </c>
      <c r="Q2693" s="18">
        <f t="shared" si="497"/>
        <v>1779.8249999999996</v>
      </c>
      <c r="R2693" s="18">
        <f t="shared" si="496"/>
        <v>3939.9961643835613</v>
      </c>
      <c r="S2693" s="18">
        <f t="shared" si="501"/>
        <v>14795.003835616439</v>
      </c>
    </row>
    <row r="2694" spans="1:19" ht="15" customHeight="1" x14ac:dyDescent="0.2">
      <c r="A2694" s="14">
        <f t="shared" si="498"/>
        <v>2655</v>
      </c>
      <c r="B2694" s="14" t="s">
        <v>2246</v>
      </c>
      <c r="C2694" s="15" t="s">
        <v>3</v>
      </c>
      <c r="D2694" s="31" t="s">
        <v>1708</v>
      </c>
      <c r="E2694" s="31"/>
      <c r="F2694" s="73" t="s">
        <v>4</v>
      </c>
      <c r="G2694" s="32">
        <v>43480</v>
      </c>
      <c r="H2694" s="29">
        <v>9250</v>
      </c>
      <c r="I2694" s="17">
        <v>0</v>
      </c>
      <c r="J2694" s="17">
        <v>0</v>
      </c>
      <c r="K2694" s="17">
        <f t="shared" si="493"/>
        <v>9250</v>
      </c>
      <c r="L2694" s="23">
        <f t="shared" si="500"/>
        <v>462.5</v>
      </c>
      <c r="M2694" s="33">
        <v>10</v>
      </c>
      <c r="N2694" s="18">
        <f t="shared" si="494"/>
        <v>1.2136986301369863</v>
      </c>
      <c r="O2694" s="23">
        <f t="shared" si="499"/>
        <v>1066.5376712328766</v>
      </c>
      <c r="P2694" s="18">
        <f t="shared" si="495"/>
        <v>2.2136986301369861</v>
      </c>
      <c r="Q2694" s="18">
        <f t="shared" si="497"/>
        <v>878.74999999999977</v>
      </c>
      <c r="R2694" s="18">
        <f t="shared" si="496"/>
        <v>1945.2876712328764</v>
      </c>
      <c r="S2694" s="18">
        <f t="shared" si="501"/>
        <v>7304.7123287671238</v>
      </c>
    </row>
    <row r="2695" spans="1:19" ht="15" customHeight="1" x14ac:dyDescent="0.2">
      <c r="A2695" s="14">
        <f t="shared" si="498"/>
        <v>2656</v>
      </c>
      <c r="B2695" s="14" t="s">
        <v>2247</v>
      </c>
      <c r="C2695" s="15" t="s">
        <v>3</v>
      </c>
      <c r="D2695" s="31" t="s">
        <v>1708</v>
      </c>
      <c r="E2695" s="31"/>
      <c r="F2695" s="73" t="s">
        <v>4</v>
      </c>
      <c r="G2695" s="32">
        <v>43511</v>
      </c>
      <c r="H2695" s="29">
        <v>7005.02</v>
      </c>
      <c r="I2695" s="17">
        <v>0</v>
      </c>
      <c r="J2695" s="17">
        <v>0</v>
      </c>
      <c r="K2695" s="17">
        <f t="shared" si="493"/>
        <v>7005.02</v>
      </c>
      <c r="L2695" s="23">
        <f t="shared" si="500"/>
        <v>350.25100000000003</v>
      </c>
      <c r="M2695" s="33">
        <v>10</v>
      </c>
      <c r="N2695" s="18">
        <f t="shared" si="494"/>
        <v>1.1287671232876713</v>
      </c>
      <c r="O2695" s="23">
        <f t="shared" si="499"/>
        <v>751.16844602739729</v>
      </c>
      <c r="P2695" s="18">
        <f t="shared" si="495"/>
        <v>2.128767123287671</v>
      </c>
      <c r="Q2695" s="18">
        <f t="shared" si="497"/>
        <v>665.47689999999989</v>
      </c>
      <c r="R2695" s="18">
        <f t="shared" si="496"/>
        <v>1416.6453460273972</v>
      </c>
      <c r="S2695" s="18">
        <f t="shared" si="501"/>
        <v>5588.3746539726035</v>
      </c>
    </row>
    <row r="2696" spans="1:19" ht="15" customHeight="1" x14ac:dyDescent="0.2">
      <c r="A2696" s="14">
        <f t="shared" si="498"/>
        <v>2657</v>
      </c>
      <c r="B2696" s="14" t="s">
        <v>2232</v>
      </c>
      <c r="C2696" s="15" t="s">
        <v>3</v>
      </c>
      <c r="D2696" s="31" t="s">
        <v>1708</v>
      </c>
      <c r="E2696" s="31"/>
      <c r="F2696" s="73" t="s">
        <v>4</v>
      </c>
      <c r="G2696" s="32">
        <v>43511</v>
      </c>
      <c r="H2696" s="29">
        <v>30520.05</v>
      </c>
      <c r="I2696" s="17">
        <v>0</v>
      </c>
      <c r="J2696" s="17">
        <v>0</v>
      </c>
      <c r="K2696" s="17">
        <f t="shared" si="493"/>
        <v>30520.05</v>
      </c>
      <c r="L2696" s="23">
        <f t="shared" si="500"/>
        <v>1526.0025000000001</v>
      </c>
      <c r="M2696" s="33">
        <v>10</v>
      </c>
      <c r="N2696" s="18">
        <f t="shared" si="494"/>
        <v>1.1287671232876713</v>
      </c>
      <c r="O2696" s="23">
        <f t="shared" si="499"/>
        <v>3272.7527589041097</v>
      </c>
      <c r="P2696" s="18">
        <f t="shared" si="495"/>
        <v>2.128767123287671</v>
      </c>
      <c r="Q2696" s="18">
        <f t="shared" si="497"/>
        <v>2899.4047499999992</v>
      </c>
      <c r="R2696" s="18">
        <f t="shared" si="496"/>
        <v>6172.1575089041089</v>
      </c>
      <c r="S2696" s="18">
        <f t="shared" si="501"/>
        <v>24347.892491095889</v>
      </c>
    </row>
    <row r="2697" spans="1:19" ht="15" customHeight="1" x14ac:dyDescent="0.2">
      <c r="A2697" s="14">
        <f t="shared" si="498"/>
        <v>2658</v>
      </c>
      <c r="B2697" s="14" t="s">
        <v>2248</v>
      </c>
      <c r="C2697" s="15" t="s">
        <v>3</v>
      </c>
      <c r="D2697" s="31" t="s">
        <v>1708</v>
      </c>
      <c r="E2697" s="31"/>
      <c r="F2697" s="73" t="s">
        <v>4</v>
      </c>
      <c r="G2697" s="32">
        <v>43511</v>
      </c>
      <c r="H2697" s="29">
        <v>15000</v>
      </c>
      <c r="I2697" s="17">
        <v>0</v>
      </c>
      <c r="J2697" s="17">
        <v>0</v>
      </c>
      <c r="K2697" s="17">
        <f t="shared" si="493"/>
        <v>15000</v>
      </c>
      <c r="L2697" s="23">
        <f t="shared" si="500"/>
        <v>750</v>
      </c>
      <c r="M2697" s="33">
        <v>10</v>
      </c>
      <c r="N2697" s="18">
        <f t="shared" si="494"/>
        <v>1.1287671232876713</v>
      </c>
      <c r="O2697" s="23">
        <f t="shared" si="499"/>
        <v>1608.4931506849316</v>
      </c>
      <c r="P2697" s="18">
        <f t="shared" si="495"/>
        <v>2.128767123287671</v>
      </c>
      <c r="Q2697" s="18">
        <f t="shared" si="497"/>
        <v>1424.9999999999998</v>
      </c>
      <c r="R2697" s="18">
        <f t="shared" si="496"/>
        <v>3033.4931506849316</v>
      </c>
      <c r="S2697" s="18">
        <f t="shared" si="501"/>
        <v>11966.506849315068</v>
      </c>
    </row>
    <row r="2698" spans="1:19" ht="15" customHeight="1" x14ac:dyDescent="0.2">
      <c r="A2698" s="14">
        <f t="shared" si="498"/>
        <v>2659</v>
      </c>
      <c r="B2698" s="14" t="s">
        <v>2249</v>
      </c>
      <c r="C2698" s="15" t="s">
        <v>3</v>
      </c>
      <c r="D2698" s="31" t="s">
        <v>1708</v>
      </c>
      <c r="E2698" s="31"/>
      <c r="F2698" s="73" t="s">
        <v>4</v>
      </c>
      <c r="G2698" s="32">
        <v>43511</v>
      </c>
      <c r="H2698" s="29">
        <v>41973</v>
      </c>
      <c r="I2698" s="17">
        <v>0</v>
      </c>
      <c r="J2698" s="17">
        <v>0</v>
      </c>
      <c r="K2698" s="17">
        <f t="shared" si="493"/>
        <v>41973</v>
      </c>
      <c r="L2698" s="23">
        <f t="shared" si="500"/>
        <v>2098.65</v>
      </c>
      <c r="M2698" s="33">
        <v>10</v>
      </c>
      <c r="N2698" s="18">
        <f t="shared" si="494"/>
        <v>1.1287671232876713</v>
      </c>
      <c r="O2698" s="23">
        <f t="shared" si="499"/>
        <v>4500.8855342465749</v>
      </c>
      <c r="P2698" s="18">
        <f t="shared" si="495"/>
        <v>2.128767123287671</v>
      </c>
      <c r="Q2698" s="18">
        <f t="shared" si="497"/>
        <v>3987.434999999999</v>
      </c>
      <c r="R2698" s="18">
        <f t="shared" si="496"/>
        <v>8488.3205342465735</v>
      </c>
      <c r="S2698" s="18">
        <f t="shared" si="501"/>
        <v>33484.679465753426</v>
      </c>
    </row>
    <row r="2699" spans="1:19" ht="15" customHeight="1" x14ac:dyDescent="0.2">
      <c r="A2699" s="14">
        <f t="shared" si="498"/>
        <v>2660</v>
      </c>
      <c r="B2699" s="14" t="s">
        <v>2250</v>
      </c>
      <c r="C2699" s="15" t="s">
        <v>3</v>
      </c>
      <c r="D2699" s="31" t="s">
        <v>1708</v>
      </c>
      <c r="E2699" s="31"/>
      <c r="F2699" s="73" t="s">
        <v>4</v>
      </c>
      <c r="G2699" s="32">
        <v>43511</v>
      </c>
      <c r="H2699" s="29">
        <v>2587.42</v>
      </c>
      <c r="I2699" s="17">
        <v>0</v>
      </c>
      <c r="J2699" s="17">
        <v>0</v>
      </c>
      <c r="K2699" s="17">
        <f t="shared" si="493"/>
        <v>2587.42</v>
      </c>
      <c r="L2699" s="23">
        <f t="shared" si="500"/>
        <v>129.37100000000001</v>
      </c>
      <c r="M2699" s="33">
        <v>10</v>
      </c>
      <c r="N2699" s="18">
        <f t="shared" si="494"/>
        <v>1.1287671232876713</v>
      </c>
      <c r="O2699" s="23">
        <f t="shared" si="499"/>
        <v>277.4564898630137</v>
      </c>
      <c r="P2699" s="18">
        <f t="shared" si="495"/>
        <v>2.128767123287671</v>
      </c>
      <c r="Q2699" s="18">
        <f t="shared" si="497"/>
        <v>245.80489999999995</v>
      </c>
      <c r="R2699" s="18">
        <f t="shared" si="496"/>
        <v>523.26138986301362</v>
      </c>
      <c r="S2699" s="18">
        <f t="shared" si="501"/>
        <v>2064.1586101369867</v>
      </c>
    </row>
    <row r="2700" spans="1:19" ht="15" customHeight="1" x14ac:dyDescent="0.2">
      <c r="A2700" s="14">
        <f t="shared" si="498"/>
        <v>2661</v>
      </c>
      <c r="B2700" s="39" t="s">
        <v>2235</v>
      </c>
      <c r="C2700" s="15" t="s">
        <v>3</v>
      </c>
      <c r="D2700" s="31" t="s">
        <v>1708</v>
      </c>
      <c r="E2700" s="31"/>
      <c r="F2700" s="73" t="s">
        <v>4</v>
      </c>
      <c r="G2700" s="40">
        <v>43511</v>
      </c>
      <c r="H2700" s="16">
        <v>13331.88</v>
      </c>
      <c r="I2700" s="17">
        <v>0</v>
      </c>
      <c r="J2700" s="17">
        <v>0</v>
      </c>
      <c r="K2700" s="17">
        <f t="shared" si="493"/>
        <v>13331.88</v>
      </c>
      <c r="L2700" s="23">
        <f t="shared" si="500"/>
        <v>666.59400000000005</v>
      </c>
      <c r="M2700" s="41">
        <v>10</v>
      </c>
      <c r="N2700" s="18">
        <f t="shared" si="494"/>
        <v>1.1287671232876713</v>
      </c>
      <c r="O2700" s="23">
        <f t="shared" si="499"/>
        <v>1429.6158443835618</v>
      </c>
      <c r="P2700" s="18">
        <f t="shared" si="495"/>
        <v>2.128767123287671</v>
      </c>
      <c r="Q2700" s="18">
        <f t="shared" si="497"/>
        <v>1266.5285999999996</v>
      </c>
      <c r="R2700" s="18">
        <f t="shared" si="496"/>
        <v>2696.1444443835617</v>
      </c>
      <c r="S2700" s="18">
        <f t="shared" si="501"/>
        <v>10635.735555616437</v>
      </c>
    </row>
    <row r="2701" spans="1:19" ht="15" customHeight="1" x14ac:dyDescent="0.2">
      <c r="A2701" s="14">
        <f t="shared" si="498"/>
        <v>2662</v>
      </c>
      <c r="B2701" s="39" t="s">
        <v>2251</v>
      </c>
      <c r="C2701" s="15" t="s">
        <v>3</v>
      </c>
      <c r="D2701" s="31" t="s">
        <v>1708</v>
      </c>
      <c r="E2701" s="31"/>
      <c r="F2701" s="73" t="s">
        <v>4</v>
      </c>
      <c r="G2701" s="40">
        <v>43539</v>
      </c>
      <c r="H2701" s="16">
        <v>20400</v>
      </c>
      <c r="I2701" s="17">
        <v>0</v>
      </c>
      <c r="J2701" s="17">
        <v>0</v>
      </c>
      <c r="K2701" s="17">
        <f t="shared" si="493"/>
        <v>20400</v>
      </c>
      <c r="L2701" s="23">
        <f t="shared" si="500"/>
        <v>1020</v>
      </c>
      <c r="M2701" s="41">
        <v>10</v>
      </c>
      <c r="N2701" s="18">
        <f t="shared" si="494"/>
        <v>1.0520547945205478</v>
      </c>
      <c r="O2701" s="23">
        <f t="shared" si="499"/>
        <v>2038.8821917808218</v>
      </c>
      <c r="P2701" s="18">
        <f t="shared" si="495"/>
        <v>2.0520547945205481</v>
      </c>
      <c r="Q2701" s="18">
        <f t="shared" si="497"/>
        <v>1938.0000000000005</v>
      </c>
      <c r="R2701" s="18">
        <f t="shared" si="496"/>
        <v>3976.8821917808223</v>
      </c>
      <c r="S2701" s="18">
        <f t="shared" si="501"/>
        <v>16423.117808219176</v>
      </c>
    </row>
    <row r="2702" spans="1:19" ht="15" customHeight="1" x14ac:dyDescent="0.2">
      <c r="A2702" s="14">
        <f t="shared" si="498"/>
        <v>2663</v>
      </c>
      <c r="B2702" s="28" t="s">
        <v>2252</v>
      </c>
      <c r="C2702" s="15" t="s">
        <v>3</v>
      </c>
      <c r="D2702" s="31" t="s">
        <v>1708</v>
      </c>
      <c r="E2702" s="31"/>
      <c r="F2702" s="73" t="s">
        <v>4</v>
      </c>
      <c r="G2702" s="25">
        <v>43692</v>
      </c>
      <c r="H2702" s="26">
        <v>259400</v>
      </c>
      <c r="I2702" s="17">
        <v>0</v>
      </c>
      <c r="J2702" s="17">
        <v>0</v>
      </c>
      <c r="K2702" s="17">
        <f t="shared" si="493"/>
        <v>259400</v>
      </c>
      <c r="L2702" s="23">
        <f t="shared" si="500"/>
        <v>12970</v>
      </c>
      <c r="M2702" s="41">
        <v>10</v>
      </c>
      <c r="N2702" s="18">
        <f t="shared" si="494"/>
        <v>0.63287671232876708</v>
      </c>
      <c r="O2702" s="23">
        <f>(K2702-L2702)/M2702*N2702-J2702+32888.6</f>
        <v>48484.580821917807</v>
      </c>
      <c r="P2702" s="18">
        <f t="shared" si="495"/>
        <v>1.6328767123287671</v>
      </c>
      <c r="Q2702" s="18">
        <f>(P2702-N2702)/M2702*(K2702-L2702)+103499</f>
        <v>128142</v>
      </c>
      <c r="R2702" s="18">
        <f t="shared" si="496"/>
        <v>176626.5808219178</v>
      </c>
      <c r="S2702" s="18">
        <f t="shared" si="501"/>
        <v>82773.4191780822</v>
      </c>
    </row>
    <row r="2703" spans="1:19" ht="15" customHeight="1" x14ac:dyDescent="0.2">
      <c r="A2703" s="14">
        <f t="shared" si="498"/>
        <v>2664</v>
      </c>
      <c r="B2703" s="28" t="s">
        <v>2253</v>
      </c>
      <c r="C2703" s="15" t="s">
        <v>3</v>
      </c>
      <c r="D2703" s="31" t="s">
        <v>1708</v>
      </c>
      <c r="E2703" s="31"/>
      <c r="F2703" s="73" t="s">
        <v>4</v>
      </c>
      <c r="G2703" s="25">
        <v>43570</v>
      </c>
      <c r="H2703" s="26">
        <v>2416.44</v>
      </c>
      <c r="I2703" s="17">
        <v>0</v>
      </c>
      <c r="J2703" s="17">
        <v>0</v>
      </c>
      <c r="K2703" s="17">
        <f t="shared" si="493"/>
        <v>2416.44</v>
      </c>
      <c r="L2703" s="23">
        <f t="shared" si="500"/>
        <v>120.822</v>
      </c>
      <c r="M2703" s="41">
        <v>10</v>
      </c>
      <c r="N2703" s="18">
        <f t="shared" si="494"/>
        <v>0.9671232876712329</v>
      </c>
      <c r="O2703" s="23">
        <f t="shared" ref="O2703:O2742" si="502">(K2703-L2703)/M2703*N2703-J2703</f>
        <v>222.01456273972605</v>
      </c>
      <c r="P2703" s="18">
        <f t="shared" si="495"/>
        <v>1.9671232876712328</v>
      </c>
      <c r="Q2703" s="18">
        <f t="shared" ref="Q2703:Q2747" si="503">(P2703-N2703)/M2703*(K2703-L2703)</f>
        <v>229.56179999999998</v>
      </c>
      <c r="R2703" s="18">
        <f t="shared" si="496"/>
        <v>451.57636273972605</v>
      </c>
      <c r="S2703" s="18">
        <f t="shared" si="501"/>
        <v>1964.8636372602741</v>
      </c>
    </row>
    <row r="2704" spans="1:19" ht="15" customHeight="1" x14ac:dyDescent="0.2">
      <c r="A2704" s="14">
        <f t="shared" si="498"/>
        <v>2665</v>
      </c>
      <c r="B2704" s="28" t="s">
        <v>2254</v>
      </c>
      <c r="C2704" s="15" t="s">
        <v>3</v>
      </c>
      <c r="D2704" s="31" t="s">
        <v>1708</v>
      </c>
      <c r="E2704" s="31"/>
      <c r="F2704" s="73" t="s">
        <v>4</v>
      </c>
      <c r="G2704" s="25">
        <v>43570</v>
      </c>
      <c r="H2704" s="26">
        <v>1250</v>
      </c>
      <c r="I2704" s="17">
        <v>0</v>
      </c>
      <c r="J2704" s="17">
        <v>0</v>
      </c>
      <c r="K2704" s="17">
        <f t="shared" si="493"/>
        <v>1250</v>
      </c>
      <c r="L2704" s="23">
        <f t="shared" si="500"/>
        <v>62.5</v>
      </c>
      <c r="M2704" s="41">
        <v>10</v>
      </c>
      <c r="N2704" s="18">
        <f t="shared" si="494"/>
        <v>0.9671232876712329</v>
      </c>
      <c r="O2704" s="23">
        <f t="shared" si="502"/>
        <v>114.8458904109589</v>
      </c>
      <c r="P2704" s="18">
        <f t="shared" si="495"/>
        <v>1.9671232876712328</v>
      </c>
      <c r="Q2704" s="18">
        <f t="shared" si="503"/>
        <v>118.74999999999999</v>
      </c>
      <c r="R2704" s="18">
        <f t="shared" si="496"/>
        <v>233.59589041095887</v>
      </c>
      <c r="S2704" s="18">
        <f t="shared" si="501"/>
        <v>1016.4041095890411</v>
      </c>
    </row>
    <row r="2705" spans="1:19" ht="15" customHeight="1" x14ac:dyDescent="0.2">
      <c r="A2705" s="14">
        <f t="shared" si="498"/>
        <v>2666</v>
      </c>
      <c r="B2705" s="28" t="s">
        <v>1606</v>
      </c>
      <c r="C2705" s="15" t="s">
        <v>3</v>
      </c>
      <c r="D2705" s="31" t="s">
        <v>1708</v>
      </c>
      <c r="E2705" s="31"/>
      <c r="F2705" s="73" t="s">
        <v>4</v>
      </c>
      <c r="G2705" s="25">
        <v>43570</v>
      </c>
      <c r="H2705" s="26">
        <v>3550</v>
      </c>
      <c r="I2705" s="17">
        <v>0</v>
      </c>
      <c r="J2705" s="17">
        <v>0</v>
      </c>
      <c r="K2705" s="17">
        <f t="shared" si="493"/>
        <v>3550</v>
      </c>
      <c r="L2705" s="23">
        <f t="shared" si="500"/>
        <v>177.5</v>
      </c>
      <c r="M2705" s="41">
        <v>10</v>
      </c>
      <c r="N2705" s="18">
        <f t="shared" si="494"/>
        <v>0.9671232876712329</v>
      </c>
      <c r="O2705" s="23">
        <f t="shared" si="502"/>
        <v>326.16232876712331</v>
      </c>
      <c r="P2705" s="18">
        <f t="shared" si="495"/>
        <v>1.9671232876712328</v>
      </c>
      <c r="Q2705" s="18">
        <f t="shared" si="503"/>
        <v>337.25</v>
      </c>
      <c r="R2705" s="18">
        <f t="shared" si="496"/>
        <v>663.41232876712331</v>
      </c>
      <c r="S2705" s="18">
        <f t="shared" si="501"/>
        <v>2886.5876712328768</v>
      </c>
    </row>
    <row r="2706" spans="1:19" ht="15" customHeight="1" x14ac:dyDescent="0.2">
      <c r="A2706" s="14">
        <f t="shared" si="498"/>
        <v>2667</v>
      </c>
      <c r="B2706" s="28" t="s">
        <v>2255</v>
      </c>
      <c r="C2706" s="15" t="s">
        <v>3</v>
      </c>
      <c r="D2706" s="31" t="s">
        <v>1708</v>
      </c>
      <c r="E2706" s="31"/>
      <c r="F2706" s="73" t="s">
        <v>4</v>
      </c>
      <c r="G2706" s="25">
        <v>43570</v>
      </c>
      <c r="H2706" s="26">
        <v>901.1</v>
      </c>
      <c r="I2706" s="17">
        <v>0</v>
      </c>
      <c r="J2706" s="17">
        <v>0</v>
      </c>
      <c r="K2706" s="17">
        <f t="shared" si="493"/>
        <v>901.1</v>
      </c>
      <c r="L2706" s="23">
        <f t="shared" si="500"/>
        <v>45.055000000000007</v>
      </c>
      <c r="M2706" s="41">
        <v>10</v>
      </c>
      <c r="N2706" s="18">
        <f t="shared" si="494"/>
        <v>0.9671232876712329</v>
      </c>
      <c r="O2706" s="23">
        <f t="shared" si="502"/>
        <v>82.790105479452052</v>
      </c>
      <c r="P2706" s="18">
        <f t="shared" si="495"/>
        <v>1.9671232876712328</v>
      </c>
      <c r="Q2706" s="18">
        <f t="shared" si="503"/>
        <v>85.604500000000002</v>
      </c>
      <c r="R2706" s="18">
        <f t="shared" si="496"/>
        <v>168.39460547945205</v>
      </c>
      <c r="S2706" s="18">
        <f t="shared" si="501"/>
        <v>732.705394520548</v>
      </c>
    </row>
    <row r="2707" spans="1:19" ht="15" customHeight="1" x14ac:dyDescent="0.2">
      <c r="A2707" s="14">
        <f t="shared" si="498"/>
        <v>2668</v>
      </c>
      <c r="B2707" s="28" t="s">
        <v>2256</v>
      </c>
      <c r="C2707" s="15" t="s">
        <v>3</v>
      </c>
      <c r="D2707" s="31" t="s">
        <v>1708</v>
      </c>
      <c r="E2707" s="31"/>
      <c r="F2707" s="73" t="s">
        <v>4</v>
      </c>
      <c r="G2707" s="25">
        <v>43570</v>
      </c>
      <c r="H2707" s="26">
        <v>44668.49</v>
      </c>
      <c r="I2707" s="17">
        <v>0</v>
      </c>
      <c r="J2707" s="17">
        <v>0</v>
      </c>
      <c r="K2707" s="17">
        <f t="shared" si="493"/>
        <v>44668.49</v>
      </c>
      <c r="L2707" s="23">
        <f t="shared" si="500"/>
        <v>2233.4245000000001</v>
      </c>
      <c r="M2707" s="41">
        <v>10</v>
      </c>
      <c r="N2707" s="18">
        <f t="shared" si="494"/>
        <v>0.9671232876712329</v>
      </c>
      <c r="O2707" s="23">
        <f t="shared" si="502"/>
        <v>4103.9940058904112</v>
      </c>
      <c r="P2707" s="18">
        <f t="shared" si="495"/>
        <v>1.9671232876712328</v>
      </c>
      <c r="Q2707" s="18">
        <f t="shared" si="503"/>
        <v>4243.5065499999992</v>
      </c>
      <c r="R2707" s="18">
        <f t="shared" si="496"/>
        <v>8347.5005558904104</v>
      </c>
      <c r="S2707" s="18">
        <f t="shared" si="501"/>
        <v>36320.989444109589</v>
      </c>
    </row>
    <row r="2708" spans="1:19" ht="15" customHeight="1" x14ac:dyDescent="0.2">
      <c r="A2708" s="14">
        <f t="shared" si="498"/>
        <v>2669</v>
      </c>
      <c r="B2708" s="28" t="s">
        <v>2253</v>
      </c>
      <c r="C2708" s="15" t="s">
        <v>3</v>
      </c>
      <c r="D2708" s="31" t="s">
        <v>1708</v>
      </c>
      <c r="E2708" s="31"/>
      <c r="F2708" s="73" t="s">
        <v>4</v>
      </c>
      <c r="G2708" s="25">
        <v>43600</v>
      </c>
      <c r="H2708" s="26">
        <v>7203</v>
      </c>
      <c r="I2708" s="17">
        <v>0</v>
      </c>
      <c r="J2708" s="17">
        <v>0</v>
      </c>
      <c r="K2708" s="17">
        <f t="shared" si="493"/>
        <v>7203</v>
      </c>
      <c r="L2708" s="23">
        <f t="shared" si="500"/>
        <v>360.15000000000003</v>
      </c>
      <c r="M2708" s="41">
        <v>10</v>
      </c>
      <c r="N2708" s="18">
        <f t="shared" si="494"/>
        <v>0.8849315068493151</v>
      </c>
      <c r="O2708" s="23">
        <f t="shared" si="502"/>
        <v>605.54535616438363</v>
      </c>
      <c r="P2708" s="18">
        <f t="shared" si="495"/>
        <v>1.8849315068493151</v>
      </c>
      <c r="Q2708" s="18">
        <f t="shared" si="503"/>
        <v>684.28500000000008</v>
      </c>
      <c r="R2708" s="18">
        <f t="shared" si="496"/>
        <v>1289.8303561643838</v>
      </c>
      <c r="S2708" s="18">
        <f t="shared" si="501"/>
        <v>5913.1696438356157</v>
      </c>
    </row>
    <row r="2709" spans="1:19" ht="15" customHeight="1" x14ac:dyDescent="0.2">
      <c r="A2709" s="14">
        <f t="shared" si="498"/>
        <v>2670</v>
      </c>
      <c r="B2709" s="28" t="s">
        <v>2257</v>
      </c>
      <c r="C2709" s="15" t="s">
        <v>3</v>
      </c>
      <c r="D2709" s="31" t="s">
        <v>1708</v>
      </c>
      <c r="E2709" s="31"/>
      <c r="F2709" s="73" t="s">
        <v>4</v>
      </c>
      <c r="G2709" s="25">
        <v>43631</v>
      </c>
      <c r="H2709" s="26">
        <v>37756</v>
      </c>
      <c r="I2709" s="17">
        <v>0</v>
      </c>
      <c r="J2709" s="17">
        <v>0</v>
      </c>
      <c r="K2709" s="17">
        <f t="shared" si="493"/>
        <v>37756</v>
      </c>
      <c r="L2709" s="23">
        <f t="shared" si="500"/>
        <v>1887.8000000000002</v>
      </c>
      <c r="M2709" s="41">
        <v>10</v>
      </c>
      <c r="N2709" s="18">
        <f t="shared" si="494"/>
        <v>0.8</v>
      </c>
      <c r="O2709" s="23">
        <f t="shared" si="502"/>
        <v>2869.4560000000001</v>
      </c>
      <c r="P2709" s="18">
        <f t="shared" si="495"/>
        <v>1.8</v>
      </c>
      <c r="Q2709" s="18">
        <f t="shared" si="503"/>
        <v>3586.8199999999997</v>
      </c>
      <c r="R2709" s="18">
        <f t="shared" si="496"/>
        <v>6456.2759999999998</v>
      </c>
      <c r="S2709" s="18">
        <f t="shared" si="501"/>
        <v>31299.724000000002</v>
      </c>
    </row>
    <row r="2710" spans="1:19" ht="15" customHeight="1" x14ac:dyDescent="0.2">
      <c r="A2710" s="14">
        <f t="shared" si="498"/>
        <v>2671</v>
      </c>
      <c r="B2710" s="28" t="s">
        <v>2258</v>
      </c>
      <c r="C2710" s="15" t="s">
        <v>3</v>
      </c>
      <c r="D2710" s="31" t="s">
        <v>1708</v>
      </c>
      <c r="E2710" s="31"/>
      <c r="F2710" s="73" t="s">
        <v>4</v>
      </c>
      <c r="G2710" s="25">
        <v>43661</v>
      </c>
      <c r="H2710" s="26">
        <v>1809.27</v>
      </c>
      <c r="I2710" s="17">
        <v>0</v>
      </c>
      <c r="J2710" s="17">
        <v>0</v>
      </c>
      <c r="K2710" s="17">
        <f t="shared" si="493"/>
        <v>1809.27</v>
      </c>
      <c r="L2710" s="23">
        <f t="shared" si="500"/>
        <v>90.46350000000001</v>
      </c>
      <c r="M2710" s="41">
        <v>10</v>
      </c>
      <c r="N2710" s="18">
        <f t="shared" si="494"/>
        <v>0.71780821917808224</v>
      </c>
      <c r="O2710" s="23">
        <f t="shared" si="502"/>
        <v>123.37734328767124</v>
      </c>
      <c r="P2710" s="18">
        <f t="shared" si="495"/>
        <v>1.7178082191780821</v>
      </c>
      <c r="Q2710" s="18">
        <f t="shared" si="503"/>
        <v>171.88064999999997</v>
      </c>
      <c r="R2710" s="18">
        <f t="shared" si="496"/>
        <v>295.25799328767118</v>
      </c>
      <c r="S2710" s="18">
        <f t="shared" si="501"/>
        <v>1514.0120067123289</v>
      </c>
    </row>
    <row r="2711" spans="1:19" ht="15" customHeight="1" x14ac:dyDescent="0.2">
      <c r="A2711" s="14">
        <f t="shared" si="498"/>
        <v>2672</v>
      </c>
      <c r="B2711" s="14" t="s">
        <v>2259</v>
      </c>
      <c r="C2711" s="15" t="s">
        <v>3</v>
      </c>
      <c r="D2711" s="31" t="s">
        <v>1708</v>
      </c>
      <c r="E2711" s="31"/>
      <c r="F2711" s="73" t="s">
        <v>4</v>
      </c>
      <c r="G2711" s="25">
        <v>43661</v>
      </c>
      <c r="H2711" s="26">
        <v>22000</v>
      </c>
      <c r="I2711" s="17">
        <v>0</v>
      </c>
      <c r="J2711" s="17">
        <v>0</v>
      </c>
      <c r="K2711" s="17">
        <f t="shared" si="493"/>
        <v>22000</v>
      </c>
      <c r="L2711" s="23">
        <f t="shared" si="500"/>
        <v>1100</v>
      </c>
      <c r="M2711" s="41">
        <v>10</v>
      </c>
      <c r="N2711" s="18">
        <f t="shared" si="494"/>
        <v>0.71780821917808224</v>
      </c>
      <c r="O2711" s="23">
        <f t="shared" si="502"/>
        <v>1500.2191780821918</v>
      </c>
      <c r="P2711" s="18">
        <f t="shared" si="495"/>
        <v>1.7178082191780821</v>
      </c>
      <c r="Q2711" s="18">
        <f t="shared" si="503"/>
        <v>2090</v>
      </c>
      <c r="R2711" s="18">
        <f t="shared" si="496"/>
        <v>3590.2191780821918</v>
      </c>
      <c r="S2711" s="18">
        <f t="shared" si="501"/>
        <v>18409.780821917808</v>
      </c>
    </row>
    <row r="2712" spans="1:19" ht="15" customHeight="1" x14ac:dyDescent="0.2">
      <c r="A2712" s="14">
        <f t="shared" si="498"/>
        <v>2673</v>
      </c>
      <c r="B2712" s="14" t="s">
        <v>2260</v>
      </c>
      <c r="C2712" s="15" t="s">
        <v>3</v>
      </c>
      <c r="D2712" s="31" t="s">
        <v>1708</v>
      </c>
      <c r="E2712" s="31"/>
      <c r="F2712" s="73" t="s">
        <v>4</v>
      </c>
      <c r="G2712" s="25">
        <v>43661</v>
      </c>
      <c r="H2712" s="26">
        <v>9055.9699999999993</v>
      </c>
      <c r="I2712" s="17">
        <v>0</v>
      </c>
      <c r="J2712" s="17">
        <v>0</v>
      </c>
      <c r="K2712" s="17">
        <f t="shared" si="493"/>
        <v>9055.9699999999993</v>
      </c>
      <c r="L2712" s="23">
        <f t="shared" si="500"/>
        <v>452.79849999999999</v>
      </c>
      <c r="M2712" s="41">
        <v>10</v>
      </c>
      <c r="N2712" s="18">
        <f t="shared" si="494"/>
        <v>0.71780821917808224</v>
      </c>
      <c r="O2712" s="23">
        <f t="shared" si="502"/>
        <v>617.54272136986299</v>
      </c>
      <c r="P2712" s="18">
        <f t="shared" si="495"/>
        <v>1.7178082191780821</v>
      </c>
      <c r="Q2712" s="18">
        <f t="shared" si="503"/>
        <v>860.31714999999974</v>
      </c>
      <c r="R2712" s="18">
        <f t="shared" si="496"/>
        <v>1477.8598713698627</v>
      </c>
      <c r="S2712" s="18">
        <f t="shared" si="501"/>
        <v>7578.1101286301364</v>
      </c>
    </row>
    <row r="2713" spans="1:19" ht="15" customHeight="1" x14ac:dyDescent="0.2">
      <c r="A2713" s="14">
        <f t="shared" si="498"/>
        <v>2674</v>
      </c>
      <c r="B2713" s="14" t="s">
        <v>2261</v>
      </c>
      <c r="C2713" s="15" t="s">
        <v>3</v>
      </c>
      <c r="D2713" s="31" t="s">
        <v>1708</v>
      </c>
      <c r="E2713" s="31"/>
      <c r="F2713" s="73" t="s">
        <v>4</v>
      </c>
      <c r="G2713" s="25">
        <v>43692</v>
      </c>
      <c r="H2713" s="26">
        <v>45562.48</v>
      </c>
      <c r="I2713" s="17">
        <v>0</v>
      </c>
      <c r="J2713" s="17">
        <v>0</v>
      </c>
      <c r="K2713" s="17">
        <f t="shared" si="493"/>
        <v>45562.48</v>
      </c>
      <c r="L2713" s="23">
        <f t="shared" si="500"/>
        <v>2278.1240000000003</v>
      </c>
      <c r="M2713" s="41">
        <v>10</v>
      </c>
      <c r="N2713" s="18">
        <f t="shared" si="494"/>
        <v>0.63287671232876708</v>
      </c>
      <c r="O2713" s="23">
        <f t="shared" si="502"/>
        <v>2739.3660920547941</v>
      </c>
      <c r="P2713" s="18">
        <f t="shared" si="495"/>
        <v>1.6328767123287671</v>
      </c>
      <c r="Q2713" s="18">
        <f t="shared" si="503"/>
        <v>4328.4355999999998</v>
      </c>
      <c r="R2713" s="18">
        <f t="shared" si="496"/>
        <v>7067.8016920547943</v>
      </c>
      <c r="S2713" s="18">
        <f t="shared" si="501"/>
        <v>38494.678307945207</v>
      </c>
    </row>
    <row r="2714" spans="1:19" ht="15" customHeight="1" x14ac:dyDescent="0.2">
      <c r="A2714" s="14">
        <f t="shared" si="498"/>
        <v>2675</v>
      </c>
      <c r="B2714" s="14" t="s">
        <v>2262</v>
      </c>
      <c r="C2714" s="15" t="s">
        <v>3</v>
      </c>
      <c r="D2714" s="31" t="s">
        <v>1708</v>
      </c>
      <c r="E2714" s="31"/>
      <c r="F2714" s="73" t="s">
        <v>4</v>
      </c>
      <c r="G2714" s="25">
        <v>43723</v>
      </c>
      <c r="H2714" s="26">
        <v>3636</v>
      </c>
      <c r="I2714" s="17">
        <v>0</v>
      </c>
      <c r="J2714" s="17">
        <v>0</v>
      </c>
      <c r="K2714" s="17">
        <f t="shared" si="493"/>
        <v>3636</v>
      </c>
      <c r="L2714" s="23">
        <f t="shared" si="500"/>
        <v>181.8</v>
      </c>
      <c r="M2714" s="41">
        <v>10</v>
      </c>
      <c r="N2714" s="18">
        <f t="shared" si="494"/>
        <v>0.54794520547945202</v>
      </c>
      <c r="O2714" s="23">
        <f t="shared" si="502"/>
        <v>189.2712328767123</v>
      </c>
      <c r="P2714" s="18">
        <f t="shared" si="495"/>
        <v>1.547945205479452</v>
      </c>
      <c r="Q2714" s="18">
        <f t="shared" si="503"/>
        <v>345.42</v>
      </c>
      <c r="R2714" s="18">
        <f t="shared" si="496"/>
        <v>534.69123287671232</v>
      </c>
      <c r="S2714" s="18">
        <f t="shared" si="501"/>
        <v>3101.3087671232879</v>
      </c>
    </row>
    <row r="2715" spans="1:19" ht="15" customHeight="1" x14ac:dyDescent="0.2">
      <c r="A2715" s="14">
        <f t="shared" si="498"/>
        <v>2676</v>
      </c>
      <c r="B2715" s="14" t="s">
        <v>2263</v>
      </c>
      <c r="C2715" s="15" t="s">
        <v>3</v>
      </c>
      <c r="D2715" s="31" t="s">
        <v>1708</v>
      </c>
      <c r="E2715" s="31"/>
      <c r="F2715" s="73" t="s">
        <v>4</v>
      </c>
      <c r="G2715" s="25">
        <v>43723</v>
      </c>
      <c r="H2715" s="26">
        <v>9222.6200000000008</v>
      </c>
      <c r="I2715" s="17">
        <v>0</v>
      </c>
      <c r="J2715" s="17">
        <v>0</v>
      </c>
      <c r="K2715" s="17">
        <f t="shared" si="493"/>
        <v>9222.6200000000008</v>
      </c>
      <c r="L2715" s="23">
        <f t="shared" si="500"/>
        <v>461.13100000000009</v>
      </c>
      <c r="M2715" s="41">
        <v>10</v>
      </c>
      <c r="N2715" s="18">
        <f t="shared" si="494"/>
        <v>0.54794520547945202</v>
      </c>
      <c r="O2715" s="23">
        <f t="shared" si="502"/>
        <v>480.08158904109592</v>
      </c>
      <c r="P2715" s="18">
        <f t="shared" si="495"/>
        <v>1.547945205479452</v>
      </c>
      <c r="Q2715" s="18">
        <f t="shared" si="503"/>
        <v>876.14890000000014</v>
      </c>
      <c r="R2715" s="18">
        <f t="shared" si="496"/>
        <v>1356.230489041096</v>
      </c>
      <c r="S2715" s="18">
        <f t="shared" si="501"/>
        <v>7866.3895109589048</v>
      </c>
    </row>
    <row r="2716" spans="1:19" ht="15" customHeight="1" x14ac:dyDescent="0.2">
      <c r="A2716" s="14">
        <f t="shared" si="498"/>
        <v>2677</v>
      </c>
      <c r="B2716" s="14" t="s">
        <v>2264</v>
      </c>
      <c r="C2716" s="15" t="s">
        <v>3</v>
      </c>
      <c r="D2716" s="31" t="s">
        <v>1708</v>
      </c>
      <c r="E2716" s="31"/>
      <c r="F2716" s="73" t="s">
        <v>4</v>
      </c>
      <c r="G2716" s="25">
        <v>43784</v>
      </c>
      <c r="H2716" s="26">
        <v>2400</v>
      </c>
      <c r="I2716" s="17">
        <v>0</v>
      </c>
      <c r="J2716" s="17">
        <v>0</v>
      </c>
      <c r="K2716" s="17">
        <f t="shared" si="493"/>
        <v>2400</v>
      </c>
      <c r="L2716" s="23">
        <f t="shared" si="500"/>
        <v>120</v>
      </c>
      <c r="M2716" s="41">
        <v>10</v>
      </c>
      <c r="N2716" s="18">
        <f t="shared" si="494"/>
        <v>0.38082191780821917</v>
      </c>
      <c r="O2716" s="23">
        <f t="shared" si="502"/>
        <v>86.827397260273969</v>
      </c>
      <c r="P2716" s="18">
        <f t="shared" si="495"/>
        <v>1.3808219178082193</v>
      </c>
      <c r="Q2716" s="18">
        <f t="shared" si="503"/>
        <v>228</v>
      </c>
      <c r="R2716" s="18">
        <f t="shared" si="496"/>
        <v>314.82739726027398</v>
      </c>
      <c r="S2716" s="18">
        <f t="shared" si="501"/>
        <v>2085.1726027397262</v>
      </c>
    </row>
    <row r="2717" spans="1:19" ht="15" customHeight="1" x14ac:dyDescent="0.2">
      <c r="A2717" s="14">
        <f t="shared" si="498"/>
        <v>2678</v>
      </c>
      <c r="B2717" s="14" t="s">
        <v>2265</v>
      </c>
      <c r="C2717" s="15" t="s">
        <v>3</v>
      </c>
      <c r="D2717" s="31" t="s">
        <v>1708</v>
      </c>
      <c r="E2717" s="31"/>
      <c r="F2717" s="73" t="s">
        <v>4</v>
      </c>
      <c r="G2717" s="25">
        <v>43784</v>
      </c>
      <c r="H2717" s="26">
        <v>4624.3</v>
      </c>
      <c r="I2717" s="17">
        <v>0</v>
      </c>
      <c r="J2717" s="17">
        <v>0</v>
      </c>
      <c r="K2717" s="17">
        <f t="shared" si="493"/>
        <v>4624.3</v>
      </c>
      <c r="L2717" s="23">
        <f t="shared" si="500"/>
        <v>231.21500000000003</v>
      </c>
      <c r="M2717" s="41">
        <v>10</v>
      </c>
      <c r="N2717" s="18">
        <f t="shared" si="494"/>
        <v>0.38082191780821917</v>
      </c>
      <c r="O2717" s="23">
        <f t="shared" si="502"/>
        <v>167.29830547945204</v>
      </c>
      <c r="P2717" s="18">
        <f t="shared" si="495"/>
        <v>1.3808219178082193</v>
      </c>
      <c r="Q2717" s="18">
        <f t="shared" si="503"/>
        <v>439.30850000000004</v>
      </c>
      <c r="R2717" s="18">
        <f t="shared" si="496"/>
        <v>606.60680547945208</v>
      </c>
      <c r="S2717" s="18">
        <f t="shared" si="501"/>
        <v>4017.6931945205479</v>
      </c>
    </row>
    <row r="2718" spans="1:19" ht="15" customHeight="1" x14ac:dyDescent="0.2">
      <c r="A2718" s="14">
        <f t="shared" si="498"/>
        <v>2679</v>
      </c>
      <c r="B2718" s="14" t="s">
        <v>2266</v>
      </c>
      <c r="C2718" s="15" t="s">
        <v>3</v>
      </c>
      <c r="D2718" s="31" t="s">
        <v>1708</v>
      </c>
      <c r="E2718" s="31"/>
      <c r="F2718" s="73" t="s">
        <v>4</v>
      </c>
      <c r="G2718" s="25">
        <v>43784</v>
      </c>
      <c r="H2718" s="26">
        <v>1900</v>
      </c>
      <c r="I2718" s="17">
        <v>0</v>
      </c>
      <c r="J2718" s="17">
        <v>0</v>
      </c>
      <c r="K2718" s="17">
        <f t="shared" si="493"/>
        <v>1900</v>
      </c>
      <c r="L2718" s="23">
        <f t="shared" si="500"/>
        <v>95</v>
      </c>
      <c r="M2718" s="41">
        <v>10</v>
      </c>
      <c r="N2718" s="18">
        <f t="shared" si="494"/>
        <v>0.38082191780821917</v>
      </c>
      <c r="O2718" s="23">
        <f t="shared" si="502"/>
        <v>68.738356164383561</v>
      </c>
      <c r="P2718" s="18">
        <f t="shared" si="495"/>
        <v>1.3808219178082193</v>
      </c>
      <c r="Q2718" s="18">
        <f t="shared" si="503"/>
        <v>180.5</v>
      </c>
      <c r="R2718" s="18">
        <f t="shared" si="496"/>
        <v>249.23835616438356</v>
      </c>
      <c r="S2718" s="18">
        <f t="shared" si="501"/>
        <v>1650.7616438356165</v>
      </c>
    </row>
    <row r="2719" spans="1:19" ht="15" customHeight="1" x14ac:dyDescent="0.2">
      <c r="A2719" s="14">
        <f t="shared" si="498"/>
        <v>2680</v>
      </c>
      <c r="B2719" s="14" t="s">
        <v>2267</v>
      </c>
      <c r="C2719" s="15" t="s">
        <v>3</v>
      </c>
      <c r="D2719" s="31" t="s">
        <v>1708</v>
      </c>
      <c r="E2719" s="31"/>
      <c r="F2719" s="73" t="s">
        <v>4</v>
      </c>
      <c r="G2719" s="25">
        <v>43784</v>
      </c>
      <c r="H2719" s="26">
        <v>7032</v>
      </c>
      <c r="I2719" s="17">
        <v>0</v>
      </c>
      <c r="J2719" s="17">
        <v>0</v>
      </c>
      <c r="K2719" s="17">
        <f t="shared" si="493"/>
        <v>7032</v>
      </c>
      <c r="L2719" s="23">
        <f t="shared" si="500"/>
        <v>351.6</v>
      </c>
      <c r="M2719" s="41">
        <v>10</v>
      </c>
      <c r="N2719" s="18">
        <f t="shared" si="494"/>
        <v>0.38082191780821917</v>
      </c>
      <c r="O2719" s="23">
        <f t="shared" si="502"/>
        <v>254.40427397260271</v>
      </c>
      <c r="P2719" s="18">
        <f t="shared" si="495"/>
        <v>1.3808219178082193</v>
      </c>
      <c r="Q2719" s="18">
        <f t="shared" si="503"/>
        <v>668.04</v>
      </c>
      <c r="R2719" s="18">
        <f t="shared" si="496"/>
        <v>922.44427397260267</v>
      </c>
      <c r="S2719" s="18">
        <f t="shared" si="501"/>
        <v>6109.5557260273972</v>
      </c>
    </row>
    <row r="2720" spans="1:19" ht="15" customHeight="1" x14ac:dyDescent="0.2">
      <c r="A2720" s="14">
        <f t="shared" si="498"/>
        <v>2681</v>
      </c>
      <c r="B2720" s="14" t="s">
        <v>2268</v>
      </c>
      <c r="C2720" s="15" t="s">
        <v>3</v>
      </c>
      <c r="D2720" s="31" t="s">
        <v>1708</v>
      </c>
      <c r="E2720" s="31"/>
      <c r="F2720" s="73" t="s">
        <v>4</v>
      </c>
      <c r="G2720" s="25">
        <v>43814</v>
      </c>
      <c r="H2720" s="26">
        <v>41084</v>
      </c>
      <c r="I2720" s="17">
        <v>0</v>
      </c>
      <c r="J2720" s="17">
        <v>0</v>
      </c>
      <c r="K2720" s="17">
        <f t="shared" si="493"/>
        <v>41084</v>
      </c>
      <c r="L2720" s="23">
        <f t="shared" si="500"/>
        <v>2054.2000000000003</v>
      </c>
      <c r="M2720" s="41">
        <v>10</v>
      </c>
      <c r="N2720" s="18">
        <f t="shared" si="494"/>
        <v>0.29863013698630136</v>
      </c>
      <c r="O2720" s="23">
        <f t="shared" si="502"/>
        <v>1165.5474520547946</v>
      </c>
      <c r="P2720" s="18">
        <f t="shared" si="495"/>
        <v>1.2986301369863014</v>
      </c>
      <c r="Q2720" s="18">
        <f t="shared" si="503"/>
        <v>3902.9800000000005</v>
      </c>
      <c r="R2720" s="18">
        <f t="shared" si="496"/>
        <v>5068.5274520547955</v>
      </c>
      <c r="S2720" s="18">
        <f t="shared" si="501"/>
        <v>36015.472547945203</v>
      </c>
    </row>
    <row r="2721" spans="1:19" ht="15" customHeight="1" x14ac:dyDescent="0.2">
      <c r="A2721" s="14">
        <f t="shared" si="498"/>
        <v>2682</v>
      </c>
      <c r="B2721" s="14" t="s">
        <v>2269</v>
      </c>
      <c r="C2721" s="15" t="s">
        <v>3</v>
      </c>
      <c r="D2721" s="31" t="s">
        <v>1708</v>
      </c>
      <c r="E2721" s="31"/>
      <c r="F2721" s="73" t="s">
        <v>4</v>
      </c>
      <c r="G2721" s="25">
        <v>43814</v>
      </c>
      <c r="H2721" s="26">
        <v>2245.02</v>
      </c>
      <c r="I2721" s="17">
        <v>0</v>
      </c>
      <c r="J2721" s="17">
        <v>0</v>
      </c>
      <c r="K2721" s="17">
        <f t="shared" si="493"/>
        <v>2245.02</v>
      </c>
      <c r="L2721" s="23">
        <f t="shared" si="500"/>
        <v>112.251</v>
      </c>
      <c r="M2721" s="41">
        <v>10</v>
      </c>
      <c r="N2721" s="18">
        <f t="shared" si="494"/>
        <v>0.29863013698630136</v>
      </c>
      <c r="O2721" s="23">
        <f t="shared" si="502"/>
        <v>63.690909863013694</v>
      </c>
      <c r="P2721" s="18">
        <f t="shared" si="495"/>
        <v>1.2986301369863014</v>
      </c>
      <c r="Q2721" s="18">
        <f t="shared" si="503"/>
        <v>213.27689999999998</v>
      </c>
      <c r="R2721" s="18">
        <f t="shared" si="496"/>
        <v>276.96780986301366</v>
      </c>
      <c r="S2721" s="18">
        <f t="shared" si="501"/>
        <v>1968.0521901369864</v>
      </c>
    </row>
    <row r="2722" spans="1:19" ht="15" customHeight="1" x14ac:dyDescent="0.2">
      <c r="A2722" s="14">
        <f t="shared" si="498"/>
        <v>2683</v>
      </c>
      <c r="B2722" s="14" t="s">
        <v>2270</v>
      </c>
      <c r="C2722" s="15" t="s">
        <v>3</v>
      </c>
      <c r="D2722" s="31" t="s">
        <v>1708</v>
      </c>
      <c r="E2722" s="31"/>
      <c r="F2722" s="73" t="s">
        <v>4</v>
      </c>
      <c r="G2722" s="25">
        <v>43814</v>
      </c>
      <c r="H2722" s="26">
        <v>12158.98</v>
      </c>
      <c r="I2722" s="17">
        <v>0</v>
      </c>
      <c r="J2722" s="17">
        <v>0</v>
      </c>
      <c r="K2722" s="17">
        <f t="shared" si="493"/>
        <v>12158.98</v>
      </c>
      <c r="L2722" s="23">
        <f t="shared" si="500"/>
        <v>607.94899999999996</v>
      </c>
      <c r="M2722" s="41">
        <v>10</v>
      </c>
      <c r="N2722" s="18">
        <f t="shared" si="494"/>
        <v>0.29863013698630136</v>
      </c>
      <c r="O2722" s="23">
        <f t="shared" si="502"/>
        <v>344.94859698630131</v>
      </c>
      <c r="P2722" s="18">
        <f t="shared" si="495"/>
        <v>1.2986301369863014</v>
      </c>
      <c r="Q2722" s="18">
        <f t="shared" si="503"/>
        <v>1155.1031</v>
      </c>
      <c r="R2722" s="18">
        <f t="shared" si="496"/>
        <v>1500.0516969863013</v>
      </c>
      <c r="S2722" s="18">
        <f t="shared" si="501"/>
        <v>10658.928303013698</v>
      </c>
    </row>
    <row r="2723" spans="1:19" ht="15" customHeight="1" x14ac:dyDescent="0.2">
      <c r="A2723" s="14">
        <f t="shared" si="498"/>
        <v>2684</v>
      </c>
      <c r="B2723" s="14" t="s">
        <v>2271</v>
      </c>
      <c r="C2723" s="15" t="s">
        <v>3</v>
      </c>
      <c r="D2723" s="31" t="s">
        <v>1708</v>
      </c>
      <c r="E2723" s="31"/>
      <c r="F2723" s="73" t="s">
        <v>4</v>
      </c>
      <c r="G2723" s="25">
        <v>43814</v>
      </c>
      <c r="H2723" s="26">
        <v>1849.7</v>
      </c>
      <c r="I2723" s="17">
        <v>0</v>
      </c>
      <c r="J2723" s="17">
        <v>0</v>
      </c>
      <c r="K2723" s="17">
        <f t="shared" si="493"/>
        <v>1849.7</v>
      </c>
      <c r="L2723" s="23">
        <f t="shared" si="500"/>
        <v>92.485000000000014</v>
      </c>
      <c r="M2723" s="41">
        <v>10</v>
      </c>
      <c r="N2723" s="18">
        <f t="shared" si="494"/>
        <v>0.29863013698630136</v>
      </c>
      <c r="O2723" s="23">
        <f t="shared" si="502"/>
        <v>52.475735616438364</v>
      </c>
      <c r="P2723" s="18">
        <f t="shared" si="495"/>
        <v>1.2986301369863014</v>
      </c>
      <c r="Q2723" s="18">
        <f t="shared" si="503"/>
        <v>175.72150000000002</v>
      </c>
      <c r="R2723" s="18">
        <f t="shared" si="496"/>
        <v>228.19723561643838</v>
      </c>
      <c r="S2723" s="18">
        <f t="shared" si="501"/>
        <v>1621.5027643835617</v>
      </c>
    </row>
    <row r="2724" spans="1:19" ht="15" customHeight="1" x14ac:dyDescent="0.2">
      <c r="A2724" s="14">
        <f t="shared" si="498"/>
        <v>2685</v>
      </c>
      <c r="B2724" s="14" t="s">
        <v>2272</v>
      </c>
      <c r="C2724" s="15" t="s">
        <v>3</v>
      </c>
      <c r="D2724" s="31" t="s">
        <v>1708</v>
      </c>
      <c r="E2724" s="31"/>
      <c r="F2724" s="73" t="s">
        <v>4</v>
      </c>
      <c r="G2724" s="25">
        <v>43814</v>
      </c>
      <c r="H2724" s="26">
        <v>6440.68</v>
      </c>
      <c r="I2724" s="17">
        <v>0</v>
      </c>
      <c r="J2724" s="17">
        <v>0</v>
      </c>
      <c r="K2724" s="17">
        <f t="shared" si="493"/>
        <v>6440.68</v>
      </c>
      <c r="L2724" s="23">
        <f t="shared" si="500"/>
        <v>322.03400000000005</v>
      </c>
      <c r="M2724" s="41">
        <v>10</v>
      </c>
      <c r="N2724" s="18">
        <f t="shared" si="494"/>
        <v>0.29863013698630136</v>
      </c>
      <c r="O2724" s="23">
        <f t="shared" si="502"/>
        <v>182.72120931506853</v>
      </c>
      <c r="P2724" s="18">
        <f t="shared" si="495"/>
        <v>1.2986301369863014</v>
      </c>
      <c r="Q2724" s="18">
        <f t="shared" si="503"/>
        <v>611.86460000000011</v>
      </c>
      <c r="R2724" s="18">
        <f t="shared" si="496"/>
        <v>794.58580931506867</v>
      </c>
      <c r="S2724" s="18">
        <f t="shared" si="501"/>
        <v>5646.0941906849312</v>
      </c>
    </row>
    <row r="2725" spans="1:19" ht="15" customHeight="1" x14ac:dyDescent="0.2">
      <c r="A2725" s="14">
        <f t="shared" si="498"/>
        <v>2686</v>
      </c>
      <c r="B2725" s="14" t="s">
        <v>2273</v>
      </c>
      <c r="C2725" s="15" t="s">
        <v>3</v>
      </c>
      <c r="D2725" s="31" t="s">
        <v>1708</v>
      </c>
      <c r="E2725" s="31"/>
      <c r="F2725" s="73" t="s">
        <v>4</v>
      </c>
      <c r="G2725" s="25">
        <v>43814</v>
      </c>
      <c r="H2725" s="26">
        <v>29770</v>
      </c>
      <c r="I2725" s="17">
        <v>0</v>
      </c>
      <c r="J2725" s="17">
        <v>0</v>
      </c>
      <c r="K2725" s="17">
        <f t="shared" si="493"/>
        <v>29770</v>
      </c>
      <c r="L2725" s="23">
        <f t="shared" si="500"/>
        <v>1488.5</v>
      </c>
      <c r="M2725" s="41">
        <v>10</v>
      </c>
      <c r="N2725" s="18">
        <f t="shared" si="494"/>
        <v>0.29863013698630136</v>
      </c>
      <c r="O2725" s="23">
        <f t="shared" si="502"/>
        <v>844.57082191780819</v>
      </c>
      <c r="P2725" s="18">
        <f t="shared" si="495"/>
        <v>1.2986301369863014</v>
      </c>
      <c r="Q2725" s="18">
        <f t="shared" si="503"/>
        <v>2828.15</v>
      </c>
      <c r="R2725" s="18">
        <f t="shared" si="496"/>
        <v>3672.7208219178083</v>
      </c>
      <c r="S2725" s="18">
        <f t="shared" si="501"/>
        <v>26097.279178082194</v>
      </c>
    </row>
    <row r="2726" spans="1:19" ht="15" customHeight="1" x14ac:dyDescent="0.2">
      <c r="A2726" s="14">
        <f t="shared" si="498"/>
        <v>2687</v>
      </c>
      <c r="B2726" s="14" t="s">
        <v>2274</v>
      </c>
      <c r="C2726" s="15" t="s">
        <v>3</v>
      </c>
      <c r="D2726" s="31" t="s">
        <v>1708</v>
      </c>
      <c r="E2726" s="31"/>
      <c r="F2726" s="73" t="s">
        <v>4</v>
      </c>
      <c r="G2726" s="25">
        <v>43845</v>
      </c>
      <c r="H2726" s="26">
        <v>103620</v>
      </c>
      <c r="I2726" s="17">
        <v>0</v>
      </c>
      <c r="J2726" s="17">
        <v>0</v>
      </c>
      <c r="K2726" s="17">
        <f t="shared" ref="K2726:K2789" si="504">H2726+I2726-J2726</f>
        <v>103620</v>
      </c>
      <c r="L2726" s="23">
        <f t="shared" si="500"/>
        <v>5181</v>
      </c>
      <c r="M2726" s="41">
        <v>10</v>
      </c>
      <c r="N2726" s="18">
        <f t="shared" ref="N2726:N2789" si="505">IF(($N$35-G2726+1)/365&gt;0,($N$35-G2726+1)/365,0)</f>
        <v>0.21369863013698631</v>
      </c>
      <c r="O2726" s="23">
        <f t="shared" si="502"/>
        <v>2103.6279452054796</v>
      </c>
      <c r="P2726" s="18">
        <f t="shared" ref="P2726:P2789" si="506">($P$35-G2726+1)/365</f>
        <v>1.2136986301369863</v>
      </c>
      <c r="Q2726" s="18">
        <f t="shared" si="503"/>
        <v>9843.9000000000015</v>
      </c>
      <c r="R2726" s="18">
        <f t="shared" ref="R2726:R2743" si="507">Q2726+O2726</f>
        <v>11947.527945205482</v>
      </c>
      <c r="S2726" s="18">
        <f t="shared" si="501"/>
        <v>91672.472054794518</v>
      </c>
    </row>
    <row r="2727" spans="1:19" ht="15" customHeight="1" x14ac:dyDescent="0.2">
      <c r="A2727" s="14">
        <f t="shared" si="498"/>
        <v>2688</v>
      </c>
      <c r="B2727" s="14" t="s">
        <v>2275</v>
      </c>
      <c r="C2727" s="15" t="s">
        <v>3</v>
      </c>
      <c r="D2727" s="31" t="s">
        <v>1708</v>
      </c>
      <c r="E2727" s="31"/>
      <c r="F2727" s="73" t="s">
        <v>4</v>
      </c>
      <c r="G2727" s="25">
        <v>43845</v>
      </c>
      <c r="H2727" s="26">
        <v>4048.57</v>
      </c>
      <c r="I2727" s="17">
        <v>0</v>
      </c>
      <c r="J2727" s="17">
        <v>0</v>
      </c>
      <c r="K2727" s="17">
        <f t="shared" si="504"/>
        <v>4048.57</v>
      </c>
      <c r="L2727" s="23">
        <f t="shared" si="500"/>
        <v>202.42850000000001</v>
      </c>
      <c r="M2727" s="41">
        <v>10</v>
      </c>
      <c r="N2727" s="18">
        <f t="shared" si="505"/>
        <v>0.21369863013698631</v>
      </c>
      <c r="O2727" s="23">
        <f t="shared" si="502"/>
        <v>82.191516986301366</v>
      </c>
      <c r="P2727" s="18">
        <f t="shared" si="506"/>
        <v>1.2136986301369863</v>
      </c>
      <c r="Q2727" s="18">
        <f t="shared" si="503"/>
        <v>384.61415000000005</v>
      </c>
      <c r="R2727" s="18">
        <f t="shared" si="507"/>
        <v>466.80566698630139</v>
      </c>
      <c r="S2727" s="18">
        <f t="shared" si="501"/>
        <v>3581.7643330136989</v>
      </c>
    </row>
    <row r="2728" spans="1:19" ht="15" customHeight="1" x14ac:dyDescent="0.2">
      <c r="A2728" s="14">
        <f t="shared" si="498"/>
        <v>2689</v>
      </c>
      <c r="B2728" s="14" t="s">
        <v>2275</v>
      </c>
      <c r="C2728" s="15" t="s">
        <v>3</v>
      </c>
      <c r="D2728" s="31" t="s">
        <v>1708</v>
      </c>
      <c r="E2728" s="31"/>
      <c r="F2728" s="73" t="s">
        <v>4</v>
      </c>
      <c r="G2728" s="25">
        <v>43845</v>
      </c>
      <c r="H2728" s="26">
        <v>1122.51</v>
      </c>
      <c r="I2728" s="17">
        <v>0</v>
      </c>
      <c r="J2728" s="17">
        <v>0</v>
      </c>
      <c r="K2728" s="17">
        <f t="shared" si="504"/>
        <v>1122.51</v>
      </c>
      <c r="L2728" s="23">
        <f t="shared" si="500"/>
        <v>56.125500000000002</v>
      </c>
      <c r="M2728" s="41">
        <v>10</v>
      </c>
      <c r="N2728" s="18">
        <f t="shared" si="505"/>
        <v>0.21369863013698631</v>
      </c>
      <c r="O2728" s="23">
        <f t="shared" si="502"/>
        <v>22.788490684931507</v>
      </c>
      <c r="P2728" s="18">
        <f t="shared" si="506"/>
        <v>1.2136986301369863</v>
      </c>
      <c r="Q2728" s="18">
        <f t="shared" si="503"/>
        <v>106.63844999999999</v>
      </c>
      <c r="R2728" s="18">
        <f t="shared" si="507"/>
        <v>129.42694068493151</v>
      </c>
      <c r="S2728" s="18">
        <f t="shared" si="501"/>
        <v>993.08305931506845</v>
      </c>
    </row>
    <row r="2729" spans="1:19" ht="15" customHeight="1" x14ac:dyDescent="0.2">
      <c r="A2729" s="14">
        <f t="shared" si="498"/>
        <v>2690</v>
      </c>
      <c r="B2729" s="14" t="s">
        <v>2276</v>
      </c>
      <c r="C2729" s="15" t="s">
        <v>3</v>
      </c>
      <c r="D2729" s="31" t="s">
        <v>1708</v>
      </c>
      <c r="E2729" s="31"/>
      <c r="F2729" s="73" t="s">
        <v>4</v>
      </c>
      <c r="G2729" s="25">
        <v>43845</v>
      </c>
      <c r="H2729" s="26">
        <v>4917.24</v>
      </c>
      <c r="I2729" s="17">
        <v>0</v>
      </c>
      <c r="J2729" s="17">
        <v>0</v>
      </c>
      <c r="K2729" s="17">
        <f t="shared" si="504"/>
        <v>4917.24</v>
      </c>
      <c r="L2729" s="23">
        <f t="shared" si="500"/>
        <v>245.86199999999999</v>
      </c>
      <c r="M2729" s="41">
        <v>10</v>
      </c>
      <c r="N2729" s="18">
        <f t="shared" si="505"/>
        <v>0.21369863013698631</v>
      </c>
      <c r="O2729" s="23">
        <f t="shared" si="502"/>
        <v>99.826707945205484</v>
      </c>
      <c r="P2729" s="18">
        <f t="shared" si="506"/>
        <v>1.2136986301369863</v>
      </c>
      <c r="Q2729" s="18">
        <f t="shared" si="503"/>
        <v>467.13779999999997</v>
      </c>
      <c r="R2729" s="18">
        <f t="shared" si="507"/>
        <v>566.96450794520547</v>
      </c>
      <c r="S2729" s="18">
        <f t="shared" si="501"/>
        <v>4350.2754920547941</v>
      </c>
    </row>
    <row r="2730" spans="1:19" ht="15" customHeight="1" x14ac:dyDescent="0.2">
      <c r="A2730" s="14">
        <f t="shared" si="498"/>
        <v>2691</v>
      </c>
      <c r="B2730" s="14" t="s">
        <v>2277</v>
      </c>
      <c r="C2730" s="15" t="s">
        <v>3</v>
      </c>
      <c r="D2730" s="31" t="s">
        <v>1708</v>
      </c>
      <c r="E2730" s="31"/>
      <c r="F2730" s="73" t="s">
        <v>4</v>
      </c>
      <c r="G2730" s="25">
        <v>43845</v>
      </c>
      <c r="H2730" s="26">
        <v>6900</v>
      </c>
      <c r="I2730" s="17">
        <v>0</v>
      </c>
      <c r="J2730" s="17">
        <v>0</v>
      </c>
      <c r="K2730" s="17">
        <f t="shared" si="504"/>
        <v>6900</v>
      </c>
      <c r="L2730" s="23">
        <f t="shared" si="500"/>
        <v>345</v>
      </c>
      <c r="M2730" s="41">
        <v>10</v>
      </c>
      <c r="N2730" s="18">
        <f t="shared" si="505"/>
        <v>0.21369863013698631</v>
      </c>
      <c r="O2730" s="23">
        <f t="shared" si="502"/>
        <v>140.07945205479453</v>
      </c>
      <c r="P2730" s="18">
        <f t="shared" si="506"/>
        <v>1.2136986301369863</v>
      </c>
      <c r="Q2730" s="18">
        <f t="shared" si="503"/>
        <v>655.5</v>
      </c>
      <c r="R2730" s="18">
        <f t="shared" si="507"/>
        <v>795.5794520547945</v>
      </c>
      <c r="S2730" s="18">
        <f t="shared" si="501"/>
        <v>6104.4205479452057</v>
      </c>
    </row>
    <row r="2731" spans="1:19" ht="15" customHeight="1" x14ac:dyDescent="0.2">
      <c r="A2731" s="14">
        <f t="shared" ref="A2731:A2794" si="508">+A2730+1</f>
        <v>2692</v>
      </c>
      <c r="B2731" s="14" t="s">
        <v>2278</v>
      </c>
      <c r="C2731" s="15" t="s">
        <v>3</v>
      </c>
      <c r="D2731" s="31" t="s">
        <v>1708</v>
      </c>
      <c r="E2731" s="31"/>
      <c r="F2731" s="73" t="s">
        <v>4</v>
      </c>
      <c r="G2731" s="25">
        <v>43876</v>
      </c>
      <c r="H2731" s="26">
        <v>5850</v>
      </c>
      <c r="I2731" s="17">
        <v>0</v>
      </c>
      <c r="J2731" s="17">
        <v>0</v>
      </c>
      <c r="K2731" s="17">
        <f t="shared" si="504"/>
        <v>5850</v>
      </c>
      <c r="L2731" s="23">
        <f t="shared" si="500"/>
        <v>292.5</v>
      </c>
      <c r="M2731" s="41">
        <v>10</v>
      </c>
      <c r="N2731" s="18">
        <f t="shared" si="505"/>
        <v>0.12876712328767123</v>
      </c>
      <c r="O2731" s="23">
        <f t="shared" si="502"/>
        <v>71.56232876712329</v>
      </c>
      <c r="P2731" s="18">
        <f t="shared" si="506"/>
        <v>1.1287671232876713</v>
      </c>
      <c r="Q2731" s="18">
        <f t="shared" si="503"/>
        <v>555.75</v>
      </c>
      <c r="R2731" s="18">
        <f t="shared" si="507"/>
        <v>627.31232876712329</v>
      </c>
      <c r="S2731" s="18">
        <f t="shared" si="501"/>
        <v>5222.6876712328767</v>
      </c>
    </row>
    <row r="2732" spans="1:19" ht="15" customHeight="1" x14ac:dyDescent="0.2">
      <c r="A2732" s="14">
        <f t="shared" si="508"/>
        <v>2693</v>
      </c>
      <c r="B2732" s="14" t="s">
        <v>2279</v>
      </c>
      <c r="C2732" s="15" t="s">
        <v>3</v>
      </c>
      <c r="D2732" s="31" t="s">
        <v>1708</v>
      </c>
      <c r="E2732" s="31"/>
      <c r="F2732" s="73" t="s">
        <v>4</v>
      </c>
      <c r="G2732" s="25">
        <v>43876</v>
      </c>
      <c r="H2732" s="26">
        <v>22916.67</v>
      </c>
      <c r="I2732" s="17">
        <v>0</v>
      </c>
      <c r="J2732" s="17">
        <v>0</v>
      </c>
      <c r="K2732" s="17">
        <f t="shared" si="504"/>
        <v>22916.67</v>
      </c>
      <c r="L2732" s="23">
        <f t="shared" si="500"/>
        <v>1145.8335</v>
      </c>
      <c r="M2732" s="41">
        <v>10</v>
      </c>
      <c r="N2732" s="18">
        <f t="shared" si="505"/>
        <v>0.12876712328767123</v>
      </c>
      <c r="O2732" s="23">
        <f t="shared" si="502"/>
        <v>280.33679876712324</v>
      </c>
      <c r="P2732" s="18">
        <f t="shared" si="506"/>
        <v>1.1287671232876713</v>
      </c>
      <c r="Q2732" s="18">
        <f t="shared" si="503"/>
        <v>2177.08365</v>
      </c>
      <c r="R2732" s="18">
        <f t="shared" si="507"/>
        <v>2457.4204487671232</v>
      </c>
      <c r="S2732" s="18">
        <f t="shared" si="501"/>
        <v>20459.249551232875</v>
      </c>
    </row>
    <row r="2733" spans="1:19" ht="15" customHeight="1" x14ac:dyDescent="0.2">
      <c r="A2733" s="14">
        <f t="shared" si="508"/>
        <v>2694</v>
      </c>
      <c r="B2733" s="14" t="s">
        <v>2280</v>
      </c>
      <c r="C2733" s="15" t="s">
        <v>3</v>
      </c>
      <c r="D2733" s="31" t="s">
        <v>1708</v>
      </c>
      <c r="E2733" s="31"/>
      <c r="F2733" s="73" t="s">
        <v>4</v>
      </c>
      <c r="G2733" s="25">
        <v>43905</v>
      </c>
      <c r="H2733" s="26">
        <v>1272.58</v>
      </c>
      <c r="I2733" s="17">
        <v>0</v>
      </c>
      <c r="J2733" s="17">
        <v>0</v>
      </c>
      <c r="K2733" s="17">
        <f t="shared" si="504"/>
        <v>1272.58</v>
      </c>
      <c r="L2733" s="23">
        <f t="shared" si="500"/>
        <v>63.628999999999998</v>
      </c>
      <c r="M2733" s="41">
        <v>10</v>
      </c>
      <c r="N2733" s="18">
        <f t="shared" si="505"/>
        <v>4.9315068493150684E-2</v>
      </c>
      <c r="O2733" s="23">
        <f t="shared" si="502"/>
        <v>5.9619501369863013</v>
      </c>
      <c r="P2733" s="18">
        <f t="shared" si="506"/>
        <v>1.0493150684931507</v>
      </c>
      <c r="Q2733" s="18">
        <f t="shared" si="503"/>
        <v>120.89510000000001</v>
      </c>
      <c r="R2733" s="18">
        <f t="shared" si="507"/>
        <v>126.85705013698632</v>
      </c>
      <c r="S2733" s="18">
        <f t="shared" si="501"/>
        <v>1145.7229498630136</v>
      </c>
    </row>
    <row r="2734" spans="1:19" ht="15" customHeight="1" x14ac:dyDescent="0.2">
      <c r="A2734" s="14">
        <f t="shared" si="508"/>
        <v>2695</v>
      </c>
      <c r="B2734" s="14" t="s">
        <v>1683</v>
      </c>
      <c r="C2734" s="15" t="s">
        <v>3</v>
      </c>
      <c r="D2734" s="31" t="s">
        <v>1708</v>
      </c>
      <c r="E2734" s="31"/>
      <c r="F2734" s="73" t="s">
        <v>4</v>
      </c>
      <c r="G2734" s="25">
        <v>43905</v>
      </c>
      <c r="H2734" s="26">
        <v>1867.01</v>
      </c>
      <c r="I2734" s="17">
        <v>0</v>
      </c>
      <c r="J2734" s="17">
        <v>0</v>
      </c>
      <c r="K2734" s="17">
        <f t="shared" si="504"/>
        <v>1867.01</v>
      </c>
      <c r="L2734" s="23">
        <f t="shared" si="500"/>
        <v>93.350500000000011</v>
      </c>
      <c r="M2734" s="41">
        <v>10</v>
      </c>
      <c r="N2734" s="18">
        <f t="shared" si="505"/>
        <v>4.9315068493150684E-2</v>
      </c>
      <c r="O2734" s="23">
        <f t="shared" si="502"/>
        <v>8.7468139726027392</v>
      </c>
      <c r="P2734" s="18">
        <f t="shared" si="506"/>
        <v>1.0493150684931507</v>
      </c>
      <c r="Q2734" s="18">
        <f t="shared" si="503"/>
        <v>177.36595</v>
      </c>
      <c r="R2734" s="18">
        <f t="shared" si="507"/>
        <v>186.11276397260275</v>
      </c>
      <c r="S2734" s="18">
        <f t="shared" si="501"/>
        <v>1680.8972360273972</v>
      </c>
    </row>
    <row r="2735" spans="1:19" ht="15" customHeight="1" x14ac:dyDescent="0.2">
      <c r="A2735" s="14">
        <f t="shared" si="508"/>
        <v>2696</v>
      </c>
      <c r="B2735" s="14" t="s">
        <v>2275</v>
      </c>
      <c r="C2735" s="15" t="s">
        <v>3</v>
      </c>
      <c r="D2735" s="31" t="s">
        <v>1708</v>
      </c>
      <c r="E2735" s="31"/>
      <c r="F2735" s="73" t="s">
        <v>4</v>
      </c>
      <c r="G2735" s="25">
        <v>43905</v>
      </c>
      <c r="H2735" s="26">
        <v>1044.94</v>
      </c>
      <c r="I2735" s="17">
        <v>0</v>
      </c>
      <c r="J2735" s="17">
        <v>0</v>
      </c>
      <c r="K2735" s="17">
        <f t="shared" si="504"/>
        <v>1044.94</v>
      </c>
      <c r="L2735" s="23">
        <f t="shared" si="500"/>
        <v>52.247000000000007</v>
      </c>
      <c r="M2735" s="41">
        <v>10</v>
      </c>
      <c r="N2735" s="18">
        <f t="shared" si="505"/>
        <v>4.9315068493150684E-2</v>
      </c>
      <c r="O2735" s="23">
        <f t="shared" si="502"/>
        <v>4.8954723287671236</v>
      </c>
      <c r="P2735" s="18">
        <f t="shared" si="506"/>
        <v>1.0493150684931507</v>
      </c>
      <c r="Q2735" s="18">
        <f t="shared" si="503"/>
        <v>99.269300000000015</v>
      </c>
      <c r="R2735" s="18">
        <f t="shared" si="507"/>
        <v>104.16477232876714</v>
      </c>
      <c r="S2735" s="18">
        <f t="shared" si="501"/>
        <v>940.77522767123287</v>
      </c>
    </row>
    <row r="2736" spans="1:19" ht="15" customHeight="1" x14ac:dyDescent="0.2">
      <c r="A2736" s="14">
        <f t="shared" si="508"/>
        <v>2697</v>
      </c>
      <c r="B2736" s="28" t="s">
        <v>2281</v>
      </c>
      <c r="C2736" s="15" t="s">
        <v>3</v>
      </c>
      <c r="D2736" s="31" t="s">
        <v>1708</v>
      </c>
      <c r="E2736" s="31"/>
      <c r="F2736" s="73" t="s">
        <v>4</v>
      </c>
      <c r="G2736" s="25">
        <v>43936</v>
      </c>
      <c r="H2736" s="26">
        <v>0</v>
      </c>
      <c r="I2736" s="27">
        <v>1272.57</v>
      </c>
      <c r="J2736" s="17">
        <v>0</v>
      </c>
      <c r="K2736" s="17">
        <f t="shared" si="504"/>
        <v>1272.57</v>
      </c>
      <c r="L2736" s="23">
        <f t="shared" si="500"/>
        <v>63.628500000000003</v>
      </c>
      <c r="M2736" s="34">
        <v>10</v>
      </c>
      <c r="N2736" s="18">
        <f t="shared" si="505"/>
        <v>0</v>
      </c>
      <c r="O2736" s="23">
        <f>(K2736-L2736)/M2736*N2736-J2736</f>
        <v>0</v>
      </c>
      <c r="P2736" s="18">
        <f t="shared" si="506"/>
        <v>0.96438356164383565</v>
      </c>
      <c r="Q2736" s="18">
        <f t="shared" si="503"/>
        <v>116.58833095890411</v>
      </c>
      <c r="R2736" s="18">
        <f t="shared" si="507"/>
        <v>116.58833095890411</v>
      </c>
      <c r="S2736" s="18">
        <f t="shared" si="501"/>
        <v>1155.9816690410958</v>
      </c>
    </row>
    <row r="2737" spans="1:19" ht="15" customHeight="1" x14ac:dyDescent="0.2">
      <c r="A2737" s="14">
        <f t="shared" si="508"/>
        <v>2698</v>
      </c>
      <c r="B2737" s="28" t="s">
        <v>2282</v>
      </c>
      <c r="C2737" s="15" t="s">
        <v>3</v>
      </c>
      <c r="D2737" s="31" t="s">
        <v>1708</v>
      </c>
      <c r="E2737" s="31"/>
      <c r="F2737" s="73" t="s">
        <v>4</v>
      </c>
      <c r="G2737" s="25">
        <v>43936</v>
      </c>
      <c r="H2737" s="26">
        <v>0</v>
      </c>
      <c r="I2737" s="27">
        <v>15113.34</v>
      </c>
      <c r="J2737" s="17">
        <v>0</v>
      </c>
      <c r="K2737" s="17">
        <f t="shared" si="504"/>
        <v>15113.34</v>
      </c>
      <c r="L2737" s="23">
        <f t="shared" si="500"/>
        <v>755.66700000000003</v>
      </c>
      <c r="M2737" s="34">
        <v>5</v>
      </c>
      <c r="N2737" s="18">
        <f t="shared" si="505"/>
        <v>0</v>
      </c>
      <c r="O2737" s="23">
        <f t="shared" si="502"/>
        <v>0</v>
      </c>
      <c r="P2737" s="18">
        <f t="shared" si="506"/>
        <v>0.96438356164383565</v>
      </c>
      <c r="Q2737" s="18">
        <f t="shared" si="503"/>
        <v>2769.2607649315069</v>
      </c>
      <c r="R2737" s="18">
        <f t="shared" si="507"/>
        <v>2769.2607649315069</v>
      </c>
      <c r="S2737" s="18">
        <f t="shared" si="501"/>
        <v>12344.079235068493</v>
      </c>
    </row>
    <row r="2738" spans="1:19" ht="15" customHeight="1" x14ac:dyDescent="0.2">
      <c r="A2738" s="14">
        <f t="shared" si="508"/>
        <v>2699</v>
      </c>
      <c r="B2738" s="28" t="s">
        <v>2283</v>
      </c>
      <c r="C2738" s="15" t="s">
        <v>3</v>
      </c>
      <c r="D2738" s="31" t="s">
        <v>1708</v>
      </c>
      <c r="E2738" s="31"/>
      <c r="F2738" s="73" t="s">
        <v>4</v>
      </c>
      <c r="G2738" s="25">
        <v>43966</v>
      </c>
      <c r="H2738" s="26">
        <v>0</v>
      </c>
      <c r="I2738" s="27">
        <v>7556.66</v>
      </c>
      <c r="J2738" s="17">
        <v>0</v>
      </c>
      <c r="K2738" s="17">
        <f t="shared" si="504"/>
        <v>7556.66</v>
      </c>
      <c r="L2738" s="23">
        <f t="shared" si="500"/>
        <v>377.83300000000003</v>
      </c>
      <c r="M2738" s="34">
        <v>5</v>
      </c>
      <c r="N2738" s="18">
        <f t="shared" si="505"/>
        <v>0</v>
      </c>
      <c r="O2738" s="23">
        <f t="shared" si="502"/>
        <v>0</v>
      </c>
      <c r="P2738" s="18">
        <f t="shared" si="506"/>
        <v>0.88219178082191785</v>
      </c>
      <c r="Q2738" s="18">
        <f t="shared" si="503"/>
        <v>1266.6204350684934</v>
      </c>
      <c r="R2738" s="18">
        <f t="shared" si="507"/>
        <v>1266.6204350684934</v>
      </c>
      <c r="S2738" s="18">
        <f t="shared" si="501"/>
        <v>6290.0395649315069</v>
      </c>
    </row>
    <row r="2739" spans="1:19" ht="15" customHeight="1" x14ac:dyDescent="0.2">
      <c r="A2739" s="14">
        <f t="shared" si="508"/>
        <v>2700</v>
      </c>
      <c r="B2739" s="28" t="s">
        <v>2284</v>
      </c>
      <c r="C2739" s="15" t="s">
        <v>3</v>
      </c>
      <c r="D2739" s="31" t="s">
        <v>1708</v>
      </c>
      <c r="E2739" s="31"/>
      <c r="F2739" s="73" t="s">
        <v>4</v>
      </c>
      <c r="G2739" s="25">
        <v>43966</v>
      </c>
      <c r="H2739" s="26">
        <v>0</v>
      </c>
      <c r="I2739" s="27">
        <v>5720.34</v>
      </c>
      <c r="J2739" s="17">
        <v>0</v>
      </c>
      <c r="K2739" s="17">
        <f t="shared" si="504"/>
        <v>5720.34</v>
      </c>
      <c r="L2739" s="23">
        <f t="shared" si="500"/>
        <v>286.017</v>
      </c>
      <c r="M2739" s="34">
        <v>5</v>
      </c>
      <c r="N2739" s="18">
        <f t="shared" si="505"/>
        <v>0</v>
      </c>
      <c r="O2739" s="23">
        <f t="shared" si="502"/>
        <v>0</v>
      </c>
      <c r="P2739" s="18">
        <f t="shared" si="506"/>
        <v>0.88219178082191785</v>
      </c>
      <c r="Q2739" s="18">
        <f t="shared" si="503"/>
        <v>958.82301698630158</v>
      </c>
      <c r="R2739" s="18">
        <f t="shared" si="507"/>
        <v>958.82301698630158</v>
      </c>
      <c r="S2739" s="18">
        <f t="shared" si="501"/>
        <v>4761.5169830136983</v>
      </c>
    </row>
    <row r="2740" spans="1:19" ht="15" customHeight="1" x14ac:dyDescent="0.2">
      <c r="A2740" s="14">
        <f t="shared" si="508"/>
        <v>2701</v>
      </c>
      <c r="B2740" s="28" t="s">
        <v>2285</v>
      </c>
      <c r="C2740" s="15" t="s">
        <v>3</v>
      </c>
      <c r="D2740" s="31" t="s">
        <v>1708</v>
      </c>
      <c r="E2740" s="31"/>
      <c r="F2740" s="73" t="s">
        <v>4</v>
      </c>
      <c r="G2740" s="25">
        <v>43997</v>
      </c>
      <c r="H2740" s="26">
        <v>0</v>
      </c>
      <c r="I2740" s="27">
        <v>15381</v>
      </c>
      <c r="J2740" s="17">
        <v>0</v>
      </c>
      <c r="K2740" s="17">
        <f t="shared" si="504"/>
        <v>15381</v>
      </c>
      <c r="L2740" s="23">
        <f t="shared" si="500"/>
        <v>769.05000000000007</v>
      </c>
      <c r="M2740" s="34">
        <v>5</v>
      </c>
      <c r="N2740" s="18">
        <f t="shared" si="505"/>
        <v>0</v>
      </c>
      <c r="O2740" s="23">
        <f t="shared" si="502"/>
        <v>0</v>
      </c>
      <c r="P2740" s="18">
        <f t="shared" si="506"/>
        <v>0.79726027397260268</v>
      </c>
      <c r="Q2740" s="18">
        <f>(P2740-N2740)/M2740*(K2740-L2740)+280</f>
        <v>2609.9054520547948</v>
      </c>
      <c r="R2740" s="18">
        <f t="shared" si="507"/>
        <v>2609.9054520547948</v>
      </c>
      <c r="S2740" s="18">
        <f t="shared" si="501"/>
        <v>12771.094547945206</v>
      </c>
    </row>
    <row r="2741" spans="1:19" ht="15" customHeight="1" x14ac:dyDescent="0.2">
      <c r="A2741" s="14">
        <f t="shared" si="508"/>
        <v>2702</v>
      </c>
      <c r="B2741" s="24" t="s">
        <v>2000</v>
      </c>
      <c r="C2741" s="15" t="s">
        <v>3</v>
      </c>
      <c r="D2741" s="31" t="s">
        <v>1708</v>
      </c>
      <c r="E2741" s="31"/>
      <c r="F2741" s="73" t="s">
        <v>4</v>
      </c>
      <c r="G2741" s="25">
        <v>44027</v>
      </c>
      <c r="H2741" s="26">
        <v>0</v>
      </c>
      <c r="I2741" s="27">
        <v>1802</v>
      </c>
      <c r="J2741" s="17">
        <v>0</v>
      </c>
      <c r="K2741" s="17">
        <f t="shared" si="504"/>
        <v>1802</v>
      </c>
      <c r="L2741" s="23">
        <f t="shared" si="500"/>
        <v>90.100000000000009</v>
      </c>
      <c r="M2741" s="34">
        <v>5</v>
      </c>
      <c r="N2741" s="18">
        <f t="shared" si="505"/>
        <v>0</v>
      </c>
      <c r="O2741" s="23">
        <f t="shared" si="502"/>
        <v>0</v>
      </c>
      <c r="P2741" s="18">
        <f t="shared" si="506"/>
        <v>0.71506849315068488</v>
      </c>
      <c r="Q2741" s="18">
        <f t="shared" si="503"/>
        <v>244.82515068493149</v>
      </c>
      <c r="R2741" s="18">
        <f t="shared" si="507"/>
        <v>244.82515068493149</v>
      </c>
      <c r="S2741" s="18">
        <f t="shared" si="501"/>
        <v>1557.1748493150685</v>
      </c>
    </row>
    <row r="2742" spans="1:19" ht="15" customHeight="1" x14ac:dyDescent="0.2">
      <c r="A2742" s="14">
        <f t="shared" si="508"/>
        <v>2703</v>
      </c>
      <c r="B2742" s="28" t="s">
        <v>2286</v>
      </c>
      <c r="C2742" s="15" t="s">
        <v>3</v>
      </c>
      <c r="D2742" s="31" t="s">
        <v>1708</v>
      </c>
      <c r="E2742" s="31"/>
      <c r="F2742" s="73" t="s">
        <v>4</v>
      </c>
      <c r="G2742" s="25">
        <v>44027</v>
      </c>
      <c r="H2742" s="26">
        <v>0</v>
      </c>
      <c r="I2742" s="27">
        <v>3203.97</v>
      </c>
      <c r="J2742" s="17">
        <v>0</v>
      </c>
      <c r="K2742" s="17">
        <f t="shared" si="504"/>
        <v>3203.97</v>
      </c>
      <c r="L2742" s="23">
        <f t="shared" si="500"/>
        <v>160.1985</v>
      </c>
      <c r="M2742" s="34">
        <v>10</v>
      </c>
      <c r="N2742" s="18">
        <f t="shared" si="505"/>
        <v>0</v>
      </c>
      <c r="O2742" s="23">
        <f t="shared" si="502"/>
        <v>0</v>
      </c>
      <c r="P2742" s="18">
        <f t="shared" si="506"/>
        <v>0.71506849315068488</v>
      </c>
      <c r="Q2742" s="18">
        <f t="shared" si="503"/>
        <v>217.65050999999997</v>
      </c>
      <c r="R2742" s="18">
        <f t="shared" si="507"/>
        <v>217.65050999999997</v>
      </c>
      <c r="S2742" s="18">
        <f t="shared" si="501"/>
        <v>2986.3194899999999</v>
      </c>
    </row>
    <row r="2743" spans="1:19" ht="15" customHeight="1" x14ac:dyDescent="0.2">
      <c r="A2743" s="14">
        <f t="shared" si="508"/>
        <v>2704</v>
      </c>
      <c r="B2743" s="14" t="s">
        <v>1840</v>
      </c>
      <c r="C2743" s="15" t="s">
        <v>3</v>
      </c>
      <c r="D2743" s="31" t="s">
        <v>1708</v>
      </c>
      <c r="E2743" s="31"/>
      <c r="F2743" s="73" t="s">
        <v>4</v>
      </c>
      <c r="G2743" s="32">
        <v>41627</v>
      </c>
      <c r="H2743" s="29">
        <v>32467.22</v>
      </c>
      <c r="I2743" s="17">
        <v>0</v>
      </c>
      <c r="J2743" s="17">
        <v>0</v>
      </c>
      <c r="K2743" s="17">
        <f t="shared" si="504"/>
        <v>32467.22</v>
      </c>
      <c r="L2743" s="23">
        <f>H2743*0.05</f>
        <v>1623.3610000000001</v>
      </c>
      <c r="M2743" s="34">
        <v>10</v>
      </c>
      <c r="N2743" s="18">
        <f t="shared" si="505"/>
        <v>6.2904109589041095</v>
      </c>
      <c r="O2743" s="23">
        <f>(H2743-L2743)/M2743*N2743-J2743</f>
        <v>19402.054866849317</v>
      </c>
      <c r="P2743" s="18">
        <f t="shared" si="506"/>
        <v>7.2904109589041095</v>
      </c>
      <c r="Q2743" s="18">
        <f t="shared" si="503"/>
        <v>3084.3859000000002</v>
      </c>
      <c r="R2743" s="18">
        <f t="shared" si="507"/>
        <v>22486.440766849319</v>
      </c>
      <c r="S2743" s="18">
        <f t="shared" si="501"/>
        <v>9980.7792331506826</v>
      </c>
    </row>
    <row r="2744" spans="1:19" ht="15" customHeight="1" x14ac:dyDescent="0.2">
      <c r="A2744" s="14">
        <f t="shared" si="508"/>
        <v>2705</v>
      </c>
      <c r="B2744" s="14" t="s">
        <v>2287</v>
      </c>
      <c r="C2744" s="15" t="s">
        <v>3</v>
      </c>
      <c r="D2744" s="14" t="s">
        <v>2288</v>
      </c>
      <c r="E2744" s="14" t="s">
        <v>2289</v>
      </c>
      <c r="F2744" s="72" t="s">
        <v>17</v>
      </c>
      <c r="G2744" s="32">
        <v>42686</v>
      </c>
      <c r="H2744" s="17">
        <v>38590345.728477307</v>
      </c>
      <c r="I2744" s="17">
        <v>0</v>
      </c>
      <c r="J2744" s="17">
        <v>0</v>
      </c>
      <c r="K2744" s="17">
        <f t="shared" si="504"/>
        <v>38590345.728477307</v>
      </c>
      <c r="L2744" s="17">
        <f t="shared" ref="L2744:L2775" si="509">H2744*0.05</f>
        <v>1929517.2864238655</v>
      </c>
      <c r="M2744" s="42">
        <v>25</v>
      </c>
      <c r="N2744" s="18">
        <f t="shared" si="505"/>
        <v>3.3890410958904109</v>
      </c>
      <c r="O2744" s="23">
        <f>(K2744-L2744)/M2744*N2744-J2744</f>
        <v>4969802.1679802863</v>
      </c>
      <c r="P2744" s="18">
        <f t="shared" si="506"/>
        <v>4.3890410958904109</v>
      </c>
      <c r="Q2744" s="18">
        <f t="shared" si="503"/>
        <v>1466433.1376821378</v>
      </c>
      <c r="R2744" s="18">
        <f t="shared" ref="R2744:R2775" si="510">O2744+Q2744</f>
        <v>6436235.3056624243</v>
      </c>
      <c r="S2744" s="18">
        <f>K2744-R2744+2947412</f>
        <v>35101522.422814883</v>
      </c>
    </row>
    <row r="2745" spans="1:19" ht="15" customHeight="1" x14ac:dyDescent="0.2">
      <c r="A2745" s="14">
        <f t="shared" si="508"/>
        <v>2706</v>
      </c>
      <c r="B2745" s="14" t="s">
        <v>2290</v>
      </c>
      <c r="C2745" s="15" t="s">
        <v>3</v>
      </c>
      <c r="D2745" s="14" t="s">
        <v>2288</v>
      </c>
      <c r="E2745" s="14" t="s">
        <v>2289</v>
      </c>
      <c r="F2745" s="72" t="s">
        <v>11</v>
      </c>
      <c r="G2745" s="32">
        <v>42686</v>
      </c>
      <c r="H2745" s="17">
        <f>63537846.3384059-1623000</f>
        <v>61914846.3384059</v>
      </c>
      <c r="I2745" s="17">
        <v>0</v>
      </c>
      <c r="J2745" s="17">
        <v>0</v>
      </c>
      <c r="K2745" s="17">
        <f t="shared" si="504"/>
        <v>61914846.3384059</v>
      </c>
      <c r="L2745" s="17">
        <f t="shared" si="509"/>
        <v>3095742.3169202954</v>
      </c>
      <c r="M2745" s="42">
        <v>25</v>
      </c>
      <c r="N2745" s="18">
        <f t="shared" si="505"/>
        <v>3.3890410958904109</v>
      </c>
      <c r="O2745" s="23">
        <f>(K2745-L2745)/M2745*N2745-J2745</f>
        <v>7973614.4300907059</v>
      </c>
      <c r="P2745" s="18">
        <f t="shared" si="506"/>
        <v>4.3890410958904109</v>
      </c>
      <c r="Q2745" s="18">
        <f t="shared" si="503"/>
        <v>2352764.1608594242</v>
      </c>
      <c r="R2745" s="18">
        <f t="shared" si="510"/>
        <v>10326378.59095013</v>
      </c>
      <c r="S2745" s="18">
        <f>K2745-R2745+2947412+2947412-294741+3242155</f>
        <v>60430705.747455768</v>
      </c>
    </row>
    <row r="2746" spans="1:19" ht="15" customHeight="1" x14ac:dyDescent="0.2">
      <c r="A2746" s="14">
        <f t="shared" si="508"/>
        <v>2707</v>
      </c>
      <c r="B2746" s="14" t="s">
        <v>2291</v>
      </c>
      <c r="C2746" s="15" t="s">
        <v>3</v>
      </c>
      <c r="D2746" s="14" t="s">
        <v>2288</v>
      </c>
      <c r="E2746" s="14" t="s">
        <v>2289</v>
      </c>
      <c r="F2746" s="72" t="s">
        <v>8</v>
      </c>
      <c r="G2746" s="32">
        <v>42686</v>
      </c>
      <c r="H2746" s="17">
        <v>563328.63730022963</v>
      </c>
      <c r="I2746" s="17">
        <v>0</v>
      </c>
      <c r="J2746" s="17">
        <v>0</v>
      </c>
      <c r="K2746" s="17">
        <f t="shared" si="504"/>
        <v>563328.63730022963</v>
      </c>
      <c r="L2746" s="17">
        <f t="shared" si="509"/>
        <v>28166.431865011484</v>
      </c>
      <c r="M2746" s="42">
        <v>25</v>
      </c>
      <c r="N2746" s="18">
        <f t="shared" si="505"/>
        <v>3.3890410958904109</v>
      </c>
      <c r="O2746" s="23">
        <f>(K2746-L2746)/M2746*N2746-J2746</f>
        <v>72547.46828749204</v>
      </c>
      <c r="P2746" s="18">
        <f t="shared" si="506"/>
        <v>4.3890410958904109</v>
      </c>
      <c r="Q2746" s="18">
        <f t="shared" si="503"/>
        <v>21406.488217408729</v>
      </c>
      <c r="R2746" s="18">
        <f t="shared" si="510"/>
        <v>93953.956504900765</v>
      </c>
      <c r="S2746" s="18">
        <f t="shared" si="501"/>
        <v>469374.68079532887</v>
      </c>
    </row>
    <row r="2747" spans="1:19" ht="15" customHeight="1" x14ac:dyDescent="0.2">
      <c r="A2747" s="14">
        <f t="shared" si="508"/>
        <v>2708</v>
      </c>
      <c r="B2747" s="14" t="s">
        <v>2292</v>
      </c>
      <c r="C2747" s="15" t="s">
        <v>3</v>
      </c>
      <c r="D2747" s="14" t="s">
        <v>2288</v>
      </c>
      <c r="E2747" s="14" t="s">
        <v>2289</v>
      </c>
      <c r="F2747" s="72" t="s">
        <v>8</v>
      </c>
      <c r="G2747" s="32">
        <v>42686</v>
      </c>
      <c r="H2747" s="17">
        <v>32764.204816688882</v>
      </c>
      <c r="I2747" s="17">
        <v>0</v>
      </c>
      <c r="J2747" s="17">
        <v>0</v>
      </c>
      <c r="K2747" s="17">
        <f t="shared" si="504"/>
        <v>32764.204816688882</v>
      </c>
      <c r="L2747" s="17">
        <f t="shared" si="509"/>
        <v>1638.2102408344442</v>
      </c>
      <c r="M2747" s="42">
        <v>25</v>
      </c>
      <c r="N2747" s="18">
        <f t="shared" si="505"/>
        <v>3.3890410958904109</v>
      </c>
      <c r="O2747" s="23">
        <f>(K2747-L2747)/M2747*N2747-J2747</f>
        <v>4219.4909907213087</v>
      </c>
      <c r="P2747" s="18">
        <f t="shared" si="506"/>
        <v>4.3890410958904109</v>
      </c>
      <c r="Q2747" s="18">
        <f t="shared" si="503"/>
        <v>1245.0397830341776</v>
      </c>
      <c r="R2747" s="18">
        <f t="shared" si="510"/>
        <v>5464.5307737554867</v>
      </c>
      <c r="S2747" s="18">
        <f t="shared" si="501"/>
        <v>27299.674042933395</v>
      </c>
    </row>
    <row r="2748" spans="1:19" ht="15" customHeight="1" x14ac:dyDescent="0.2">
      <c r="A2748" s="14">
        <f t="shared" si="508"/>
        <v>2709</v>
      </c>
      <c r="B2748" s="14" t="s">
        <v>2293</v>
      </c>
      <c r="C2748" s="15" t="s">
        <v>3</v>
      </c>
      <c r="D2748" s="14" t="s">
        <v>2288</v>
      </c>
      <c r="E2748" s="14" t="s">
        <v>2289</v>
      </c>
      <c r="F2748" s="72" t="s">
        <v>16</v>
      </c>
      <c r="G2748" s="32">
        <v>42686</v>
      </c>
      <c r="H2748" s="17">
        <v>194111707.35598338</v>
      </c>
      <c r="I2748" s="17">
        <v>0</v>
      </c>
      <c r="J2748" s="17">
        <v>0</v>
      </c>
      <c r="K2748" s="17">
        <f t="shared" si="504"/>
        <v>194111707.35598338</v>
      </c>
      <c r="L2748" s="17">
        <f t="shared" si="509"/>
        <v>9705585.3677991685</v>
      </c>
      <c r="M2748" s="42">
        <v>25</v>
      </c>
      <c r="N2748" s="18">
        <f t="shared" si="505"/>
        <v>3.3890410958904109</v>
      </c>
      <c r="O2748" s="23">
        <f>(K2748-L2748)/M2748*N2748-J2748-7644164</f>
        <v>17354233.030069467</v>
      </c>
      <c r="P2748" s="18">
        <f t="shared" si="506"/>
        <v>4.3890410958904109</v>
      </c>
      <c r="Q2748" s="18">
        <f>(P2748-N2748)/M2748*(K2748-L2748)+1013764</f>
        <v>8390008.8795273677</v>
      </c>
      <c r="R2748" s="18">
        <f t="shared" si="510"/>
        <v>25744241.909596834</v>
      </c>
      <c r="S2748" s="18">
        <f>K2748-R2748+2947412+8842236+2947412</f>
        <v>183104525.44638655</v>
      </c>
    </row>
    <row r="2749" spans="1:19" ht="15" customHeight="1" x14ac:dyDescent="0.2">
      <c r="A2749" s="14">
        <f t="shared" si="508"/>
        <v>2710</v>
      </c>
      <c r="B2749" s="14" t="s">
        <v>2294</v>
      </c>
      <c r="C2749" s="15" t="s">
        <v>3</v>
      </c>
      <c r="D2749" s="14" t="s">
        <v>2288</v>
      </c>
      <c r="E2749" s="14" t="s">
        <v>2289</v>
      </c>
      <c r="F2749" s="72" t="s">
        <v>8</v>
      </c>
      <c r="G2749" s="32">
        <v>42686</v>
      </c>
      <c r="H2749" s="17">
        <v>6201123.8138762563</v>
      </c>
      <c r="I2749" s="17">
        <v>0</v>
      </c>
      <c r="J2749" s="17">
        <v>0</v>
      </c>
      <c r="K2749" s="17">
        <f t="shared" si="504"/>
        <v>6201123.8138762563</v>
      </c>
      <c r="L2749" s="17">
        <f t="shared" si="509"/>
        <v>310056.19069381285</v>
      </c>
      <c r="M2749" s="42">
        <v>25</v>
      </c>
      <c r="N2749" s="18">
        <f t="shared" si="505"/>
        <v>3.3890410958904109</v>
      </c>
      <c r="O2749" s="23">
        <f>(K2749-L2749)/M2749*N2749-J2749</f>
        <v>798602.81094538991</v>
      </c>
      <c r="P2749" s="18">
        <f t="shared" si="506"/>
        <v>4.3890410958904109</v>
      </c>
      <c r="Q2749" s="18">
        <f t="shared" ref="Q2749:Q2789" si="511">(P2749-N2749)/M2749*(K2749-L2749)</f>
        <v>235642.70492729777</v>
      </c>
      <c r="R2749" s="18">
        <f t="shared" si="510"/>
        <v>1034245.5158726877</v>
      </c>
      <c r="S2749" s="18">
        <f t="shared" si="501"/>
        <v>5166878.2980035683</v>
      </c>
    </row>
    <row r="2750" spans="1:19" ht="15" customHeight="1" x14ac:dyDescent="0.2">
      <c r="A2750" s="14">
        <f t="shared" si="508"/>
        <v>2711</v>
      </c>
      <c r="B2750" s="14" t="s">
        <v>2295</v>
      </c>
      <c r="C2750" s="15" t="s">
        <v>3</v>
      </c>
      <c r="D2750" s="14" t="s">
        <v>2288</v>
      </c>
      <c r="E2750" s="14" t="s">
        <v>2289</v>
      </c>
      <c r="F2750" s="72" t="s">
        <v>8</v>
      </c>
      <c r="G2750" s="32">
        <v>42686</v>
      </c>
      <c r="H2750" s="17">
        <v>63387508.816070199</v>
      </c>
      <c r="I2750" s="17">
        <v>0</v>
      </c>
      <c r="J2750" s="17">
        <v>0</v>
      </c>
      <c r="K2750" s="17">
        <f t="shared" si="504"/>
        <v>63387508.816070199</v>
      </c>
      <c r="L2750" s="17">
        <f t="shared" si="509"/>
        <v>3169375.4408035101</v>
      </c>
      <c r="M2750" s="42">
        <v>25</v>
      </c>
      <c r="N2750" s="18">
        <f t="shared" si="505"/>
        <v>3.3890410958904109</v>
      </c>
      <c r="O2750" s="23">
        <f>(K2750-L2750)/M2750*N2750-J2750-2000000-1527753</f>
        <v>4635516.149063549</v>
      </c>
      <c r="P2750" s="18">
        <f t="shared" si="506"/>
        <v>4.3890410958904109</v>
      </c>
      <c r="Q2750" s="18">
        <f t="shared" si="511"/>
        <v>2408725.3350106673</v>
      </c>
      <c r="R2750" s="18">
        <f t="shared" si="510"/>
        <v>7044241.4840742163</v>
      </c>
      <c r="S2750" s="18">
        <f>K2750-R2750+2947412</f>
        <v>59290679.331995979</v>
      </c>
    </row>
    <row r="2751" spans="1:19" ht="15" customHeight="1" x14ac:dyDescent="0.2">
      <c r="A2751" s="14">
        <f t="shared" si="508"/>
        <v>2712</v>
      </c>
      <c r="B2751" s="14" t="s">
        <v>2296</v>
      </c>
      <c r="C2751" s="15" t="s">
        <v>3</v>
      </c>
      <c r="D2751" s="14" t="s">
        <v>2297</v>
      </c>
      <c r="E2751" s="14" t="s">
        <v>2289</v>
      </c>
      <c r="F2751" s="72" t="s">
        <v>4</v>
      </c>
      <c r="G2751" s="32">
        <v>42686</v>
      </c>
      <c r="H2751" s="17">
        <v>35698952.173636384</v>
      </c>
      <c r="I2751" s="17">
        <v>0</v>
      </c>
      <c r="J2751" s="17">
        <v>0</v>
      </c>
      <c r="K2751" s="17">
        <f t="shared" si="504"/>
        <v>35698952.173636384</v>
      </c>
      <c r="L2751" s="17">
        <f t="shared" si="509"/>
        <v>1784947.6086818194</v>
      </c>
      <c r="M2751" s="42">
        <v>60</v>
      </c>
      <c r="N2751" s="18">
        <f t="shared" si="505"/>
        <v>3.3890410958904109</v>
      </c>
      <c r="O2751" s="23">
        <f>(K2751-L2751)/M2751*N2751-J2751-1000000</f>
        <v>915599.25328076701</v>
      </c>
      <c r="P2751" s="18">
        <f t="shared" si="506"/>
        <v>4.3890410958904109</v>
      </c>
      <c r="Q2751" s="18">
        <f t="shared" si="511"/>
        <v>565233.40941590944</v>
      </c>
      <c r="R2751" s="18">
        <f t="shared" si="510"/>
        <v>1480832.6626966763</v>
      </c>
      <c r="S2751" s="18">
        <f t="shared" si="501"/>
        <v>34218119.51093971</v>
      </c>
    </row>
    <row r="2752" spans="1:19" ht="15" customHeight="1" x14ac:dyDescent="0.2">
      <c r="A2752" s="14">
        <f t="shared" si="508"/>
        <v>2713</v>
      </c>
      <c r="B2752" s="14" t="s">
        <v>2298</v>
      </c>
      <c r="C2752" s="15" t="s">
        <v>3</v>
      </c>
      <c r="D2752" s="14" t="s">
        <v>2288</v>
      </c>
      <c r="E2752" s="14" t="s">
        <v>2289</v>
      </c>
      <c r="F2752" s="72" t="s">
        <v>4</v>
      </c>
      <c r="G2752" s="32">
        <v>43110</v>
      </c>
      <c r="H2752" s="17">
        <v>1370151.7480803938</v>
      </c>
      <c r="I2752" s="17">
        <v>0</v>
      </c>
      <c r="J2752" s="17">
        <v>0</v>
      </c>
      <c r="K2752" s="17">
        <f t="shared" si="504"/>
        <v>1370151.7480803938</v>
      </c>
      <c r="L2752" s="17">
        <f t="shared" si="509"/>
        <v>68507.587404019694</v>
      </c>
      <c r="M2752" s="42">
        <v>25</v>
      </c>
      <c r="N2752" s="18">
        <f t="shared" si="505"/>
        <v>2.2273972602739724</v>
      </c>
      <c r="O2752" s="23">
        <f t="shared" ref="O2752:O2774" si="512">(K2752-L2752)/M2752*N2752-J2752</f>
        <v>115971.14549368681</v>
      </c>
      <c r="P2752" s="18">
        <f t="shared" si="506"/>
        <v>3.2273972602739724</v>
      </c>
      <c r="Q2752" s="18">
        <f t="shared" si="511"/>
        <v>52065.766427054965</v>
      </c>
      <c r="R2752" s="18">
        <f t="shared" si="510"/>
        <v>168036.91192074178</v>
      </c>
      <c r="S2752" s="18">
        <f t="shared" si="501"/>
        <v>1202114.8361596521</v>
      </c>
    </row>
    <row r="2753" spans="1:19" ht="15" customHeight="1" x14ac:dyDescent="0.2">
      <c r="A2753" s="14">
        <f t="shared" si="508"/>
        <v>2714</v>
      </c>
      <c r="B2753" s="14" t="s">
        <v>2299</v>
      </c>
      <c r="C2753" s="15" t="s">
        <v>3</v>
      </c>
      <c r="D2753" s="14" t="s">
        <v>2288</v>
      </c>
      <c r="E2753" s="14" t="s">
        <v>2289</v>
      </c>
      <c r="F2753" s="72" t="s">
        <v>4</v>
      </c>
      <c r="G2753" s="32">
        <v>43110</v>
      </c>
      <c r="H2753" s="17">
        <v>1320854.1210444733</v>
      </c>
      <c r="I2753" s="17">
        <v>0</v>
      </c>
      <c r="J2753" s="17">
        <v>0</v>
      </c>
      <c r="K2753" s="17">
        <f t="shared" si="504"/>
        <v>1320854.1210444733</v>
      </c>
      <c r="L2753" s="17">
        <f t="shared" si="509"/>
        <v>66042.706052223672</v>
      </c>
      <c r="M2753" s="42">
        <v>25</v>
      </c>
      <c r="N2753" s="18">
        <f t="shared" si="505"/>
        <v>2.2273972602739724</v>
      </c>
      <c r="O2753" s="23">
        <f t="shared" si="512"/>
        <v>111798.54031656974</v>
      </c>
      <c r="P2753" s="18">
        <f t="shared" si="506"/>
        <v>3.2273972602739724</v>
      </c>
      <c r="Q2753" s="18">
        <f t="shared" si="511"/>
        <v>50192.456599689984</v>
      </c>
      <c r="R2753" s="18">
        <f t="shared" si="510"/>
        <v>161990.99691625973</v>
      </c>
      <c r="S2753" s="18">
        <f t="shared" si="501"/>
        <v>1158863.1241282136</v>
      </c>
    </row>
    <row r="2754" spans="1:19" ht="15" customHeight="1" x14ac:dyDescent="0.2">
      <c r="A2754" s="14">
        <f t="shared" si="508"/>
        <v>2715</v>
      </c>
      <c r="B2754" s="14" t="s">
        <v>2300</v>
      </c>
      <c r="C2754" s="15" t="s">
        <v>3</v>
      </c>
      <c r="D2754" s="14" t="s">
        <v>2288</v>
      </c>
      <c r="E2754" s="14" t="s">
        <v>2289</v>
      </c>
      <c r="F2754" s="72" t="s">
        <v>4</v>
      </c>
      <c r="G2754" s="32">
        <v>43110</v>
      </c>
      <c r="H2754" s="17">
        <v>90811.889669272161</v>
      </c>
      <c r="I2754" s="17">
        <v>0</v>
      </c>
      <c r="J2754" s="17">
        <v>0</v>
      </c>
      <c r="K2754" s="17">
        <f t="shared" si="504"/>
        <v>90811.889669272161</v>
      </c>
      <c r="L2754" s="17">
        <f t="shared" si="509"/>
        <v>4540.5944834636084</v>
      </c>
      <c r="M2754" s="42">
        <v>25</v>
      </c>
      <c r="N2754" s="18">
        <f t="shared" si="505"/>
        <v>2.2273972602739724</v>
      </c>
      <c r="O2754" s="23">
        <f t="shared" si="512"/>
        <v>7686.4178614862858</v>
      </c>
      <c r="P2754" s="18">
        <f t="shared" si="506"/>
        <v>3.2273972602739724</v>
      </c>
      <c r="Q2754" s="18">
        <f t="shared" si="511"/>
        <v>3450.8518074323424</v>
      </c>
      <c r="R2754" s="18">
        <f t="shared" si="510"/>
        <v>11137.269668918629</v>
      </c>
      <c r="S2754" s="18">
        <f t="shared" si="501"/>
        <v>79674.620000353534</v>
      </c>
    </row>
    <row r="2755" spans="1:19" ht="15" customHeight="1" x14ac:dyDescent="0.2">
      <c r="A2755" s="14">
        <f t="shared" si="508"/>
        <v>2716</v>
      </c>
      <c r="B2755" s="14" t="s">
        <v>2301</v>
      </c>
      <c r="C2755" s="15" t="s">
        <v>3</v>
      </c>
      <c r="D2755" s="14" t="s">
        <v>2288</v>
      </c>
      <c r="E2755" s="14" t="s">
        <v>2289</v>
      </c>
      <c r="F2755" s="72" t="s">
        <v>16</v>
      </c>
      <c r="G2755" s="32">
        <v>43110</v>
      </c>
      <c r="H2755" s="17">
        <v>67529.685803980654</v>
      </c>
      <c r="I2755" s="17">
        <v>0</v>
      </c>
      <c r="J2755" s="17">
        <v>0</v>
      </c>
      <c r="K2755" s="17">
        <f t="shared" si="504"/>
        <v>67529.685803980654</v>
      </c>
      <c r="L2755" s="17">
        <f t="shared" si="509"/>
        <v>3376.4842901990328</v>
      </c>
      <c r="M2755" s="42">
        <v>25</v>
      </c>
      <c r="N2755" s="18">
        <f t="shared" si="505"/>
        <v>2.2273972602739724</v>
      </c>
      <c r="O2755" s="23">
        <f t="shared" si="512"/>
        <v>5715.7866115840498</v>
      </c>
      <c r="P2755" s="18">
        <f t="shared" si="506"/>
        <v>3.2273972602739724</v>
      </c>
      <c r="Q2755" s="18">
        <f t="shared" si="511"/>
        <v>2566.1280605512648</v>
      </c>
      <c r="R2755" s="18">
        <f t="shared" si="510"/>
        <v>8281.9146721353136</v>
      </c>
      <c r="S2755" s="18">
        <f t="shared" ref="S2755:S2818" si="513">K2755-R2755</f>
        <v>59247.771131845337</v>
      </c>
    </row>
    <row r="2756" spans="1:19" ht="15" customHeight="1" x14ac:dyDescent="0.2">
      <c r="A2756" s="14">
        <f t="shared" si="508"/>
        <v>2717</v>
      </c>
      <c r="B2756" s="14" t="s">
        <v>2302</v>
      </c>
      <c r="C2756" s="15" t="s">
        <v>3</v>
      </c>
      <c r="D2756" s="14" t="s">
        <v>2288</v>
      </c>
      <c r="E2756" s="14" t="s">
        <v>2289</v>
      </c>
      <c r="F2756" s="72" t="s">
        <v>4</v>
      </c>
      <c r="G2756" s="32">
        <v>43110</v>
      </c>
      <c r="H2756" s="17">
        <v>742797.04862930847</v>
      </c>
      <c r="I2756" s="17">
        <v>0</v>
      </c>
      <c r="J2756" s="17">
        <v>0</v>
      </c>
      <c r="K2756" s="17">
        <f t="shared" si="504"/>
        <v>742797.04862930847</v>
      </c>
      <c r="L2756" s="17">
        <f t="shared" si="509"/>
        <v>37139.852431465428</v>
      </c>
      <c r="M2756" s="42">
        <v>25</v>
      </c>
      <c r="N2756" s="18">
        <f t="shared" si="505"/>
        <v>2.2273972602739724</v>
      </c>
      <c r="O2756" s="23">
        <f t="shared" si="512"/>
        <v>62871.156220147546</v>
      </c>
      <c r="P2756" s="18">
        <f t="shared" si="506"/>
        <v>3.2273972602739724</v>
      </c>
      <c r="Q2756" s="18">
        <f t="shared" si="511"/>
        <v>28226.287847913722</v>
      </c>
      <c r="R2756" s="18">
        <f t="shared" si="510"/>
        <v>91097.444068061275</v>
      </c>
      <c r="S2756" s="18">
        <f t="shared" si="513"/>
        <v>651699.60456124716</v>
      </c>
    </row>
    <row r="2757" spans="1:19" ht="15" customHeight="1" x14ac:dyDescent="0.2">
      <c r="A2757" s="14">
        <f t="shared" si="508"/>
        <v>2718</v>
      </c>
      <c r="B2757" s="14" t="s">
        <v>2303</v>
      </c>
      <c r="C2757" s="15" t="s">
        <v>3</v>
      </c>
      <c r="D2757" s="14" t="s">
        <v>2288</v>
      </c>
      <c r="E2757" s="14" t="s">
        <v>2289</v>
      </c>
      <c r="F2757" s="72" t="s">
        <v>8</v>
      </c>
      <c r="G2757" s="32">
        <v>43110</v>
      </c>
      <c r="H2757" s="17">
        <v>621357.85047094757</v>
      </c>
      <c r="I2757" s="17">
        <v>0</v>
      </c>
      <c r="J2757" s="17">
        <v>0</v>
      </c>
      <c r="K2757" s="17">
        <f t="shared" si="504"/>
        <v>621357.85047094757</v>
      </c>
      <c r="L2757" s="17">
        <f t="shared" si="509"/>
        <v>31067.89252354738</v>
      </c>
      <c r="M2757" s="42">
        <v>25</v>
      </c>
      <c r="N2757" s="18">
        <f t="shared" si="505"/>
        <v>2.2273972602739724</v>
      </c>
      <c r="O2757" s="23">
        <f t="shared" si="512"/>
        <v>52592.409403971098</v>
      </c>
      <c r="P2757" s="18">
        <f t="shared" si="506"/>
        <v>3.2273972602739724</v>
      </c>
      <c r="Q2757" s="18">
        <f t="shared" si="511"/>
        <v>23611.598317896009</v>
      </c>
      <c r="R2757" s="18">
        <f t="shared" si="510"/>
        <v>76204.007721867107</v>
      </c>
      <c r="S2757" s="18">
        <f t="shared" si="513"/>
        <v>545153.8427490805</v>
      </c>
    </row>
    <row r="2758" spans="1:19" ht="15" customHeight="1" x14ac:dyDescent="0.2">
      <c r="A2758" s="14">
        <f t="shared" si="508"/>
        <v>2719</v>
      </c>
      <c r="B2758" s="14" t="s">
        <v>2304</v>
      </c>
      <c r="C2758" s="15" t="s">
        <v>3</v>
      </c>
      <c r="D2758" s="14" t="s">
        <v>2288</v>
      </c>
      <c r="E2758" s="14" t="s">
        <v>2289</v>
      </c>
      <c r="F2758" s="72" t="s">
        <v>8</v>
      </c>
      <c r="G2758" s="32">
        <v>43110</v>
      </c>
      <c r="H2758" s="17">
        <v>863666.62265350274</v>
      </c>
      <c r="I2758" s="17">
        <v>0</v>
      </c>
      <c r="J2758" s="17">
        <v>0</v>
      </c>
      <c r="K2758" s="17">
        <f t="shared" si="504"/>
        <v>863666.62265350274</v>
      </c>
      <c r="L2758" s="17">
        <f t="shared" si="509"/>
        <v>43183.331132675143</v>
      </c>
      <c r="M2758" s="42">
        <v>25</v>
      </c>
      <c r="N2758" s="18">
        <f t="shared" si="505"/>
        <v>2.2273972602739724</v>
      </c>
      <c r="O2758" s="23">
        <f t="shared" si="512"/>
        <v>73101.689425362492</v>
      </c>
      <c r="P2758" s="18">
        <f t="shared" si="506"/>
        <v>3.2273972602739724</v>
      </c>
      <c r="Q2758" s="18">
        <f t="shared" si="511"/>
        <v>32819.331660833101</v>
      </c>
      <c r="R2758" s="18">
        <f t="shared" si="510"/>
        <v>105921.0210861956</v>
      </c>
      <c r="S2758" s="18">
        <f t="shared" si="513"/>
        <v>757745.60156730714</v>
      </c>
    </row>
    <row r="2759" spans="1:19" ht="15" customHeight="1" x14ac:dyDescent="0.2">
      <c r="A2759" s="14">
        <f t="shared" si="508"/>
        <v>2720</v>
      </c>
      <c r="B2759" s="14" t="s">
        <v>2305</v>
      </c>
      <c r="C2759" s="15" t="s">
        <v>3</v>
      </c>
      <c r="D2759" s="14" t="s">
        <v>2297</v>
      </c>
      <c r="E2759" s="14" t="s">
        <v>2289</v>
      </c>
      <c r="F2759" s="72" t="s">
        <v>6</v>
      </c>
      <c r="G2759" s="32">
        <v>43110</v>
      </c>
      <c r="H2759" s="17">
        <v>1631265.2124030164</v>
      </c>
      <c r="I2759" s="17">
        <v>0</v>
      </c>
      <c r="J2759" s="17">
        <v>0</v>
      </c>
      <c r="K2759" s="17">
        <f t="shared" si="504"/>
        <v>1631265.2124030164</v>
      </c>
      <c r="L2759" s="17">
        <f t="shared" si="509"/>
        <v>81563.260620150832</v>
      </c>
      <c r="M2759" s="42">
        <v>30</v>
      </c>
      <c r="N2759" s="18">
        <f t="shared" si="505"/>
        <v>2.2273972602739724</v>
      </c>
      <c r="O2759" s="23">
        <f t="shared" si="512"/>
        <v>115060.06272141275</v>
      </c>
      <c r="P2759" s="18">
        <f t="shared" si="506"/>
        <v>3.2273972602739724</v>
      </c>
      <c r="Q2759" s="18">
        <f t="shared" si="511"/>
        <v>51656.731726095517</v>
      </c>
      <c r="R2759" s="18">
        <f t="shared" si="510"/>
        <v>166716.79444750826</v>
      </c>
      <c r="S2759" s="18">
        <f t="shared" si="513"/>
        <v>1464548.4179555082</v>
      </c>
    </row>
    <row r="2760" spans="1:19" ht="15" customHeight="1" x14ac:dyDescent="0.2">
      <c r="A2760" s="14">
        <f t="shared" si="508"/>
        <v>2721</v>
      </c>
      <c r="B2760" s="14" t="s">
        <v>2306</v>
      </c>
      <c r="C2760" s="15" t="s">
        <v>3</v>
      </c>
      <c r="D2760" s="14" t="s">
        <v>2288</v>
      </c>
      <c r="E2760" s="14" t="s">
        <v>2289</v>
      </c>
      <c r="F2760" s="72" t="s">
        <v>16</v>
      </c>
      <c r="G2760" s="32">
        <v>43110</v>
      </c>
      <c r="H2760" s="17">
        <v>1669723.0612451052</v>
      </c>
      <c r="I2760" s="17">
        <v>0</v>
      </c>
      <c r="J2760" s="17">
        <v>0</v>
      </c>
      <c r="K2760" s="17">
        <f t="shared" si="504"/>
        <v>1669723.0612451052</v>
      </c>
      <c r="L2760" s="17">
        <f t="shared" si="509"/>
        <v>83486.153062255267</v>
      </c>
      <c r="M2760" s="42">
        <v>25</v>
      </c>
      <c r="N2760" s="18">
        <f t="shared" si="505"/>
        <v>2.2273972602739724</v>
      </c>
      <c r="O2760" s="23">
        <f t="shared" si="512"/>
        <v>141327.18973727748</v>
      </c>
      <c r="P2760" s="18">
        <f t="shared" si="506"/>
        <v>3.2273972602739724</v>
      </c>
      <c r="Q2760" s="18">
        <f t="shared" si="511"/>
        <v>63449.476327313998</v>
      </c>
      <c r="R2760" s="18">
        <f t="shared" si="510"/>
        <v>204776.6660645915</v>
      </c>
      <c r="S2760" s="18">
        <f t="shared" si="513"/>
        <v>1464946.3951805136</v>
      </c>
    </row>
    <row r="2761" spans="1:19" ht="15" customHeight="1" x14ac:dyDescent="0.2">
      <c r="A2761" s="14">
        <f t="shared" si="508"/>
        <v>2722</v>
      </c>
      <c r="B2761" s="14" t="s">
        <v>2307</v>
      </c>
      <c r="C2761" s="15" t="s">
        <v>3</v>
      </c>
      <c r="D2761" s="14" t="s">
        <v>2297</v>
      </c>
      <c r="E2761" s="14" t="s">
        <v>2289</v>
      </c>
      <c r="F2761" s="72" t="s">
        <v>11</v>
      </c>
      <c r="G2761" s="32">
        <v>43157</v>
      </c>
      <c r="H2761" s="17">
        <v>554918.04</v>
      </c>
      <c r="I2761" s="17">
        <v>0</v>
      </c>
      <c r="J2761" s="17">
        <v>0</v>
      </c>
      <c r="K2761" s="17">
        <f t="shared" si="504"/>
        <v>554918.04</v>
      </c>
      <c r="L2761" s="17">
        <f t="shared" si="509"/>
        <v>27745.902000000002</v>
      </c>
      <c r="M2761" s="42">
        <v>30</v>
      </c>
      <c r="N2761" s="18">
        <f t="shared" si="505"/>
        <v>2.0986301369863014</v>
      </c>
      <c r="O2761" s="23">
        <f t="shared" si="512"/>
        <v>36877.97787287672</v>
      </c>
      <c r="P2761" s="18">
        <f t="shared" si="506"/>
        <v>3.0986301369863014</v>
      </c>
      <c r="Q2761" s="18">
        <f t="shared" si="511"/>
        <v>17572.404600000002</v>
      </c>
      <c r="R2761" s="18">
        <f t="shared" si="510"/>
        <v>54450.382472876721</v>
      </c>
      <c r="S2761" s="18">
        <f t="shared" si="513"/>
        <v>500467.65752712335</v>
      </c>
    </row>
    <row r="2762" spans="1:19" ht="15" customHeight="1" x14ac:dyDescent="0.2">
      <c r="A2762" s="14">
        <f t="shared" si="508"/>
        <v>2723</v>
      </c>
      <c r="B2762" s="14" t="s">
        <v>2308</v>
      </c>
      <c r="C2762" s="15" t="s">
        <v>3</v>
      </c>
      <c r="D2762" s="14" t="s">
        <v>2297</v>
      </c>
      <c r="E2762" s="14" t="s">
        <v>2289</v>
      </c>
      <c r="F2762" s="72" t="s">
        <v>4</v>
      </c>
      <c r="G2762" s="32">
        <v>43524</v>
      </c>
      <c r="H2762" s="17">
        <v>137014.56776788118</v>
      </c>
      <c r="I2762" s="17">
        <v>0</v>
      </c>
      <c r="J2762" s="17">
        <v>0</v>
      </c>
      <c r="K2762" s="17">
        <f t="shared" si="504"/>
        <v>137014.56776788118</v>
      </c>
      <c r="L2762" s="17">
        <f t="shared" si="509"/>
        <v>6850.728388394059</v>
      </c>
      <c r="M2762" s="42">
        <v>60</v>
      </c>
      <c r="N2762" s="18">
        <f t="shared" si="505"/>
        <v>1.0931506849315069</v>
      </c>
      <c r="O2762" s="23">
        <f t="shared" si="512"/>
        <v>2371.4781695166835</v>
      </c>
      <c r="P2762" s="18">
        <f t="shared" si="506"/>
        <v>2.0931506849315067</v>
      </c>
      <c r="Q2762" s="18">
        <f t="shared" si="511"/>
        <v>2169.3973229914513</v>
      </c>
      <c r="R2762" s="18">
        <f t="shared" si="510"/>
        <v>4540.8754925081348</v>
      </c>
      <c r="S2762" s="18">
        <f t="shared" si="513"/>
        <v>132473.69227537303</v>
      </c>
    </row>
    <row r="2763" spans="1:19" ht="15" customHeight="1" x14ac:dyDescent="0.2">
      <c r="A2763" s="14">
        <f t="shared" si="508"/>
        <v>2724</v>
      </c>
      <c r="B2763" s="14" t="s">
        <v>2309</v>
      </c>
      <c r="C2763" s="15" t="s">
        <v>3</v>
      </c>
      <c r="D2763" s="14" t="s">
        <v>2288</v>
      </c>
      <c r="E2763" s="14" t="s">
        <v>2289</v>
      </c>
      <c r="F2763" s="72" t="s">
        <v>4</v>
      </c>
      <c r="G2763" s="32">
        <v>43524</v>
      </c>
      <c r="H2763" s="17">
        <v>262230.49893719709</v>
      </c>
      <c r="I2763" s="17">
        <v>0</v>
      </c>
      <c r="J2763" s="17">
        <v>0</v>
      </c>
      <c r="K2763" s="17">
        <f t="shared" si="504"/>
        <v>262230.49893719709</v>
      </c>
      <c r="L2763" s="17">
        <f t="shared" si="509"/>
        <v>13111.524946859856</v>
      </c>
      <c r="M2763" s="42">
        <v>25</v>
      </c>
      <c r="N2763" s="18">
        <f t="shared" si="505"/>
        <v>1.0931506849315069</v>
      </c>
      <c r="O2763" s="23">
        <f t="shared" si="512"/>
        <v>10892.983081878856</v>
      </c>
      <c r="P2763" s="18">
        <f t="shared" si="506"/>
        <v>2.0931506849315067</v>
      </c>
      <c r="Q2763" s="18">
        <f t="shared" si="511"/>
        <v>9964.7589596134876</v>
      </c>
      <c r="R2763" s="18">
        <f t="shared" si="510"/>
        <v>20857.742041492344</v>
      </c>
      <c r="S2763" s="18">
        <f t="shared" si="513"/>
        <v>241372.75689570475</v>
      </c>
    </row>
    <row r="2764" spans="1:19" ht="15" customHeight="1" x14ac:dyDescent="0.2">
      <c r="A2764" s="14">
        <f t="shared" si="508"/>
        <v>2725</v>
      </c>
      <c r="B2764" s="14" t="s">
        <v>2310</v>
      </c>
      <c r="C2764" s="15" t="s">
        <v>3</v>
      </c>
      <c r="D2764" s="14" t="s">
        <v>2288</v>
      </c>
      <c r="E2764" s="14" t="s">
        <v>2289</v>
      </c>
      <c r="F2764" s="72" t="s">
        <v>4</v>
      </c>
      <c r="G2764" s="32">
        <v>43524</v>
      </c>
      <c r="H2764" s="17">
        <v>4124995.6047767308</v>
      </c>
      <c r="I2764" s="17">
        <v>0</v>
      </c>
      <c r="J2764" s="17">
        <v>0</v>
      </c>
      <c r="K2764" s="17">
        <f t="shared" si="504"/>
        <v>4124995.6047767308</v>
      </c>
      <c r="L2764" s="17">
        <f t="shared" si="509"/>
        <v>206249.78023883654</v>
      </c>
      <c r="M2764" s="42">
        <v>25</v>
      </c>
      <c r="N2764" s="18">
        <f t="shared" si="505"/>
        <v>1.0931506849315069</v>
      </c>
      <c r="O2764" s="23">
        <f t="shared" si="512"/>
        <v>171351.18728664328</v>
      </c>
      <c r="P2764" s="18">
        <f t="shared" si="506"/>
        <v>2.0931506849315067</v>
      </c>
      <c r="Q2764" s="18">
        <f t="shared" si="511"/>
        <v>156749.83298151573</v>
      </c>
      <c r="R2764" s="18">
        <f t="shared" si="510"/>
        <v>328101.02026815899</v>
      </c>
      <c r="S2764" s="18">
        <f t="shared" si="513"/>
        <v>3796894.5845085718</v>
      </c>
    </row>
    <row r="2765" spans="1:19" ht="15" customHeight="1" x14ac:dyDescent="0.2">
      <c r="A2765" s="14">
        <f t="shared" si="508"/>
        <v>2726</v>
      </c>
      <c r="B2765" s="14" t="s">
        <v>2310</v>
      </c>
      <c r="C2765" s="15" t="s">
        <v>3</v>
      </c>
      <c r="D2765" s="14" t="s">
        <v>2288</v>
      </c>
      <c r="E2765" s="14" t="s">
        <v>2289</v>
      </c>
      <c r="F2765" s="72" t="s">
        <v>4</v>
      </c>
      <c r="G2765" s="32">
        <v>43549</v>
      </c>
      <c r="H2765" s="17">
        <v>983592.44624098809</v>
      </c>
      <c r="I2765" s="17">
        <v>0</v>
      </c>
      <c r="J2765" s="17">
        <v>0</v>
      </c>
      <c r="K2765" s="17">
        <f t="shared" si="504"/>
        <v>983592.44624098809</v>
      </c>
      <c r="L2765" s="17">
        <f t="shared" si="509"/>
        <v>49179.622312049411</v>
      </c>
      <c r="M2765" s="42">
        <v>25</v>
      </c>
      <c r="N2765" s="18">
        <f t="shared" si="505"/>
        <v>1.0246575342465754</v>
      </c>
      <c r="O2765" s="23">
        <f t="shared" si="512"/>
        <v>38298.125605416222</v>
      </c>
      <c r="P2765" s="18">
        <f t="shared" si="506"/>
        <v>2.0246575342465754</v>
      </c>
      <c r="Q2765" s="18">
        <f t="shared" si="511"/>
        <v>37376.512957157553</v>
      </c>
      <c r="R2765" s="18">
        <f t="shared" si="510"/>
        <v>75674.638562573775</v>
      </c>
      <c r="S2765" s="18">
        <f t="shared" si="513"/>
        <v>907917.80767841428</v>
      </c>
    </row>
    <row r="2766" spans="1:19" ht="15" customHeight="1" x14ac:dyDescent="0.2">
      <c r="A2766" s="14">
        <f t="shared" si="508"/>
        <v>2727</v>
      </c>
      <c r="B2766" s="14" t="s">
        <v>2311</v>
      </c>
      <c r="C2766" s="15" t="s">
        <v>3</v>
      </c>
      <c r="D2766" s="14" t="s">
        <v>2297</v>
      </c>
      <c r="E2766" s="14" t="s">
        <v>2289</v>
      </c>
      <c r="F2766" s="72" t="s">
        <v>4</v>
      </c>
      <c r="G2766" s="32">
        <v>43549</v>
      </c>
      <c r="H2766" s="17">
        <v>29901.904732690171</v>
      </c>
      <c r="I2766" s="17">
        <v>0</v>
      </c>
      <c r="J2766" s="17">
        <v>0</v>
      </c>
      <c r="K2766" s="17">
        <f t="shared" si="504"/>
        <v>29901.904732690171</v>
      </c>
      <c r="L2766" s="17">
        <f t="shared" si="509"/>
        <v>1495.0952366345086</v>
      </c>
      <c r="M2766" s="42">
        <v>25</v>
      </c>
      <c r="N2766" s="18">
        <f t="shared" si="505"/>
        <v>1.0246575342465754</v>
      </c>
      <c r="O2766" s="23">
        <f t="shared" si="512"/>
        <v>1164.2900549616238</v>
      </c>
      <c r="P2766" s="18">
        <f t="shared" si="506"/>
        <v>2.0246575342465754</v>
      </c>
      <c r="Q2766" s="18">
        <f t="shared" si="511"/>
        <v>1136.2723798422264</v>
      </c>
      <c r="R2766" s="18">
        <f t="shared" si="510"/>
        <v>2300.56243480385</v>
      </c>
      <c r="S2766" s="18">
        <f t="shared" si="513"/>
        <v>27601.34229788632</v>
      </c>
    </row>
    <row r="2767" spans="1:19" ht="15" customHeight="1" x14ac:dyDescent="0.2">
      <c r="A2767" s="14">
        <f t="shared" si="508"/>
        <v>2728</v>
      </c>
      <c r="B2767" s="14" t="s">
        <v>2312</v>
      </c>
      <c r="C2767" s="15" t="s">
        <v>3</v>
      </c>
      <c r="D2767" s="14" t="s">
        <v>2288</v>
      </c>
      <c r="E2767" s="14" t="s">
        <v>2289</v>
      </c>
      <c r="F2767" s="72" t="s">
        <v>16</v>
      </c>
      <c r="G2767" s="32">
        <v>43549</v>
      </c>
      <c r="H2767" s="17">
        <v>10106897.839712735</v>
      </c>
      <c r="I2767" s="17">
        <v>0</v>
      </c>
      <c r="J2767" s="17">
        <v>0</v>
      </c>
      <c r="K2767" s="17">
        <f t="shared" si="504"/>
        <v>10106897.839712735</v>
      </c>
      <c r="L2767" s="17">
        <f t="shared" si="509"/>
        <v>505344.89198563679</v>
      </c>
      <c r="M2767" s="42">
        <v>25</v>
      </c>
      <c r="N2767" s="18">
        <f t="shared" si="505"/>
        <v>1.0246575342465754</v>
      </c>
      <c r="O2767" s="23">
        <f t="shared" si="512"/>
        <v>393532.14273423946</v>
      </c>
      <c r="P2767" s="18">
        <f t="shared" si="506"/>
        <v>2.0246575342465754</v>
      </c>
      <c r="Q2767" s="18">
        <f t="shared" si="511"/>
        <v>384062.11790908396</v>
      </c>
      <c r="R2767" s="18">
        <f t="shared" si="510"/>
        <v>777594.26064332342</v>
      </c>
      <c r="S2767" s="18">
        <f t="shared" si="513"/>
        <v>9329303.5790694114</v>
      </c>
    </row>
    <row r="2768" spans="1:19" ht="15" customHeight="1" x14ac:dyDescent="0.2">
      <c r="A2768" s="14">
        <f t="shared" si="508"/>
        <v>2729</v>
      </c>
      <c r="B2768" s="14" t="s">
        <v>2313</v>
      </c>
      <c r="C2768" s="15" t="s">
        <v>3</v>
      </c>
      <c r="D2768" s="14" t="s">
        <v>2288</v>
      </c>
      <c r="E2768" s="14" t="s">
        <v>2289</v>
      </c>
      <c r="F2768" s="72" t="s">
        <v>8</v>
      </c>
      <c r="G2768" s="32">
        <v>43549</v>
      </c>
      <c r="H2768" s="17">
        <v>562292.73003453086</v>
      </c>
      <c r="I2768" s="17">
        <v>0</v>
      </c>
      <c r="J2768" s="17">
        <v>0</v>
      </c>
      <c r="K2768" s="17">
        <f t="shared" si="504"/>
        <v>562292.73003453086</v>
      </c>
      <c r="L2768" s="17">
        <f t="shared" si="509"/>
        <v>28114.636501726545</v>
      </c>
      <c r="M2768" s="42">
        <v>25</v>
      </c>
      <c r="N2768" s="18">
        <f t="shared" si="505"/>
        <v>1.0246575342465754</v>
      </c>
      <c r="O2768" s="23">
        <f t="shared" si="512"/>
        <v>21893.984326714388</v>
      </c>
      <c r="P2768" s="18">
        <f t="shared" si="506"/>
        <v>2.0246575342465754</v>
      </c>
      <c r="Q2768" s="18">
        <f t="shared" si="511"/>
        <v>21367.123741312171</v>
      </c>
      <c r="R2768" s="18">
        <f t="shared" si="510"/>
        <v>43261.108068026559</v>
      </c>
      <c r="S2768" s="18">
        <f t="shared" si="513"/>
        <v>519031.62196650432</v>
      </c>
    </row>
    <row r="2769" spans="1:19" ht="15" customHeight="1" x14ac:dyDescent="0.2">
      <c r="A2769" s="14">
        <f t="shared" si="508"/>
        <v>2730</v>
      </c>
      <c r="B2769" s="14" t="s">
        <v>2314</v>
      </c>
      <c r="C2769" s="15" t="s">
        <v>3</v>
      </c>
      <c r="D2769" s="14" t="s">
        <v>2297</v>
      </c>
      <c r="E2769" s="14" t="s">
        <v>2289</v>
      </c>
      <c r="F2769" s="72" t="s">
        <v>6</v>
      </c>
      <c r="G2769" s="32">
        <v>43549</v>
      </c>
      <c r="H2769" s="17">
        <v>2963165.375683065</v>
      </c>
      <c r="I2769" s="17">
        <v>0</v>
      </c>
      <c r="J2769" s="17">
        <v>0</v>
      </c>
      <c r="K2769" s="17">
        <f t="shared" si="504"/>
        <v>2963165.375683065</v>
      </c>
      <c r="L2769" s="17">
        <f t="shared" si="509"/>
        <v>148158.26878415325</v>
      </c>
      <c r="M2769" s="42">
        <v>25</v>
      </c>
      <c r="N2769" s="18">
        <f t="shared" si="505"/>
        <v>1.0246575342465754</v>
      </c>
      <c r="O2769" s="23">
        <f t="shared" si="512"/>
        <v>115376.72964166498</v>
      </c>
      <c r="P2769" s="18">
        <f t="shared" si="506"/>
        <v>2.0246575342465754</v>
      </c>
      <c r="Q2769" s="18">
        <f t="shared" si="511"/>
        <v>112600.28427595647</v>
      </c>
      <c r="R2769" s="18">
        <f t="shared" si="510"/>
        <v>227977.01391762146</v>
      </c>
      <c r="S2769" s="18">
        <f t="shared" si="513"/>
        <v>2735188.3617654433</v>
      </c>
    </row>
    <row r="2770" spans="1:19" ht="15" customHeight="1" x14ac:dyDescent="0.2">
      <c r="A2770" s="14">
        <f t="shared" si="508"/>
        <v>2731</v>
      </c>
      <c r="B2770" s="14" t="s">
        <v>2315</v>
      </c>
      <c r="C2770" s="15" t="s">
        <v>3</v>
      </c>
      <c r="D2770" s="14" t="s">
        <v>2297</v>
      </c>
      <c r="E2770" s="14" t="s">
        <v>2289</v>
      </c>
      <c r="F2770" s="72" t="s">
        <v>8</v>
      </c>
      <c r="G2770" s="32">
        <v>43549</v>
      </c>
      <c r="H2770" s="17">
        <v>291453.34912042896</v>
      </c>
      <c r="I2770" s="17">
        <v>0</v>
      </c>
      <c r="J2770" s="17">
        <v>0</v>
      </c>
      <c r="K2770" s="17">
        <f t="shared" si="504"/>
        <v>291453.34912042896</v>
      </c>
      <c r="L2770" s="17">
        <f t="shared" si="509"/>
        <v>14572.667456021449</v>
      </c>
      <c r="M2770" s="42">
        <v>25</v>
      </c>
      <c r="N2770" s="18">
        <f t="shared" si="505"/>
        <v>1.0246575342465754</v>
      </c>
      <c r="O2770" s="23">
        <f t="shared" si="512"/>
        <v>11348.31506219051</v>
      </c>
      <c r="P2770" s="18">
        <f t="shared" si="506"/>
        <v>2.0246575342465754</v>
      </c>
      <c r="Q2770" s="18">
        <f t="shared" si="511"/>
        <v>11075.227266576299</v>
      </c>
      <c r="R2770" s="18">
        <f t="shared" si="510"/>
        <v>22423.542328766809</v>
      </c>
      <c r="S2770" s="18">
        <f t="shared" si="513"/>
        <v>269029.80679166212</v>
      </c>
    </row>
    <row r="2771" spans="1:19" ht="15" customHeight="1" x14ac:dyDescent="0.2">
      <c r="A2771" s="14">
        <f t="shared" si="508"/>
        <v>2732</v>
      </c>
      <c r="B2771" s="14" t="s">
        <v>2316</v>
      </c>
      <c r="C2771" s="15" t="s">
        <v>3</v>
      </c>
      <c r="D2771" s="14" t="s">
        <v>2288</v>
      </c>
      <c r="E2771" s="14" t="s">
        <v>2289</v>
      </c>
      <c r="F2771" s="68" t="s">
        <v>6</v>
      </c>
      <c r="G2771" s="32">
        <v>43549</v>
      </c>
      <c r="H2771" s="17">
        <v>978940.94299375184</v>
      </c>
      <c r="I2771" s="17">
        <v>0</v>
      </c>
      <c r="J2771" s="17">
        <v>0</v>
      </c>
      <c r="K2771" s="17">
        <f t="shared" si="504"/>
        <v>978940.94299375184</v>
      </c>
      <c r="L2771" s="17">
        <f t="shared" si="509"/>
        <v>48947.047149687598</v>
      </c>
      <c r="M2771" s="42">
        <v>25</v>
      </c>
      <c r="N2771" s="18">
        <f t="shared" si="505"/>
        <v>1.0246575342465754</v>
      </c>
      <c r="O2771" s="23">
        <f t="shared" si="512"/>
        <v>38117.010087197807</v>
      </c>
      <c r="P2771" s="18">
        <f t="shared" si="506"/>
        <v>2.0246575342465754</v>
      </c>
      <c r="Q2771" s="18">
        <f t="shared" si="511"/>
        <v>37199.755833762567</v>
      </c>
      <c r="R2771" s="18">
        <f t="shared" si="510"/>
        <v>75316.765920960373</v>
      </c>
      <c r="S2771" s="18">
        <f t="shared" si="513"/>
        <v>903624.1770727915</v>
      </c>
    </row>
    <row r="2772" spans="1:19" ht="15" customHeight="1" x14ac:dyDescent="0.2">
      <c r="A2772" s="14">
        <f t="shared" si="508"/>
        <v>2733</v>
      </c>
      <c r="B2772" s="14" t="s">
        <v>2317</v>
      </c>
      <c r="C2772" s="15" t="s">
        <v>3</v>
      </c>
      <c r="D2772" s="14" t="s">
        <v>2297</v>
      </c>
      <c r="E2772" s="14" t="s">
        <v>2289</v>
      </c>
      <c r="F2772" s="72" t="s">
        <v>4</v>
      </c>
      <c r="G2772" s="32">
        <v>43921</v>
      </c>
      <c r="H2772" s="17">
        <v>2119587.77</v>
      </c>
      <c r="I2772" s="17">
        <v>0</v>
      </c>
      <c r="J2772" s="17">
        <v>0</v>
      </c>
      <c r="K2772" s="17">
        <f t="shared" si="504"/>
        <v>2119587.77</v>
      </c>
      <c r="L2772" s="17">
        <f t="shared" si="509"/>
        <v>105979.3885</v>
      </c>
      <c r="M2772" s="42">
        <v>30</v>
      </c>
      <c r="N2772" s="18">
        <f t="shared" si="505"/>
        <v>5.4794520547945206E-3</v>
      </c>
      <c r="O2772" s="23">
        <f t="shared" si="512"/>
        <v>367.78235278538818</v>
      </c>
      <c r="P2772" s="18">
        <f t="shared" si="506"/>
        <v>1.0054794520547945</v>
      </c>
      <c r="Q2772" s="18">
        <f t="shared" si="511"/>
        <v>67120.279383333342</v>
      </c>
      <c r="R2772" s="18">
        <f t="shared" si="510"/>
        <v>67488.061736118732</v>
      </c>
      <c r="S2772" s="18">
        <f t="shared" si="513"/>
        <v>2052099.7082638813</v>
      </c>
    </row>
    <row r="2773" spans="1:19" ht="15" customHeight="1" x14ac:dyDescent="0.2">
      <c r="A2773" s="14">
        <f t="shared" si="508"/>
        <v>2734</v>
      </c>
      <c r="B2773" s="14" t="s">
        <v>2318</v>
      </c>
      <c r="C2773" s="15" t="s">
        <v>3</v>
      </c>
      <c r="D2773" s="14" t="s">
        <v>500</v>
      </c>
      <c r="E2773" s="14" t="s">
        <v>2319</v>
      </c>
      <c r="F2773" s="72" t="s">
        <v>16</v>
      </c>
      <c r="G2773" s="32">
        <v>42686</v>
      </c>
      <c r="H2773" s="17">
        <v>39577406.873110346</v>
      </c>
      <c r="I2773" s="17">
        <v>0</v>
      </c>
      <c r="J2773" s="17">
        <v>0</v>
      </c>
      <c r="K2773" s="17">
        <f t="shared" si="504"/>
        <v>39577406.873110346</v>
      </c>
      <c r="L2773" s="17">
        <f t="shared" si="509"/>
        <v>1978870.3436555173</v>
      </c>
      <c r="M2773" s="42">
        <v>25</v>
      </c>
      <c r="N2773" s="18">
        <f t="shared" si="505"/>
        <v>3.3890410958904109</v>
      </c>
      <c r="O2773" s="23">
        <f t="shared" si="512"/>
        <v>5096919.4177463697</v>
      </c>
      <c r="P2773" s="18">
        <f t="shared" si="506"/>
        <v>4.3890410958904109</v>
      </c>
      <c r="Q2773" s="18">
        <f t="shared" si="511"/>
        <v>1503941.4611781931</v>
      </c>
      <c r="R2773" s="18">
        <f t="shared" si="510"/>
        <v>6600860.8789245626</v>
      </c>
      <c r="S2773" s="18">
        <f t="shared" si="513"/>
        <v>32976545.994185783</v>
      </c>
    </row>
    <row r="2774" spans="1:19" ht="15" customHeight="1" x14ac:dyDescent="0.2">
      <c r="A2774" s="14">
        <f t="shared" si="508"/>
        <v>2735</v>
      </c>
      <c r="B2774" s="14" t="s">
        <v>2320</v>
      </c>
      <c r="C2774" s="15" t="s">
        <v>3</v>
      </c>
      <c r="D2774" s="14" t="s">
        <v>500</v>
      </c>
      <c r="E2774" s="14" t="s">
        <v>2319</v>
      </c>
      <c r="F2774" s="72" t="s">
        <v>16</v>
      </c>
      <c r="G2774" s="32">
        <v>42686</v>
      </c>
      <c r="H2774" s="17">
        <v>9262870.3233854417</v>
      </c>
      <c r="I2774" s="17">
        <v>0</v>
      </c>
      <c r="J2774" s="17">
        <v>0</v>
      </c>
      <c r="K2774" s="17">
        <f t="shared" si="504"/>
        <v>9262870.3233854417</v>
      </c>
      <c r="L2774" s="17">
        <f t="shared" si="509"/>
        <v>463143.51616927213</v>
      </c>
      <c r="M2774" s="42">
        <v>25</v>
      </c>
      <c r="N2774" s="18">
        <f t="shared" si="505"/>
        <v>3.3890410958904109</v>
      </c>
      <c r="O2774" s="23">
        <f t="shared" si="512"/>
        <v>1192905.4312905646</v>
      </c>
      <c r="P2774" s="18">
        <f t="shared" si="506"/>
        <v>4.3890410958904109</v>
      </c>
      <c r="Q2774" s="18">
        <f t="shared" si="511"/>
        <v>351989.07228864677</v>
      </c>
      <c r="R2774" s="18">
        <f t="shared" si="510"/>
        <v>1544894.5035792114</v>
      </c>
      <c r="S2774" s="18">
        <f t="shared" si="513"/>
        <v>7717975.8198062303</v>
      </c>
    </row>
    <row r="2775" spans="1:19" ht="15" customHeight="1" x14ac:dyDescent="0.2">
      <c r="A2775" s="14">
        <f t="shared" si="508"/>
        <v>2736</v>
      </c>
      <c r="B2775" s="14" t="s">
        <v>2321</v>
      </c>
      <c r="C2775" s="15" t="s">
        <v>3</v>
      </c>
      <c r="D2775" s="14" t="s">
        <v>500</v>
      </c>
      <c r="E2775" s="14" t="s">
        <v>2319</v>
      </c>
      <c r="F2775" s="72" t="s">
        <v>16</v>
      </c>
      <c r="G2775" s="32">
        <v>42686</v>
      </c>
      <c r="H2775" s="17">
        <v>105281791.00571306</v>
      </c>
      <c r="I2775" s="17">
        <v>0</v>
      </c>
      <c r="J2775" s="17">
        <v>0</v>
      </c>
      <c r="K2775" s="17">
        <f t="shared" si="504"/>
        <v>105281791.00571306</v>
      </c>
      <c r="L2775" s="17">
        <f t="shared" si="509"/>
        <v>5264089.5502856532</v>
      </c>
      <c r="M2775" s="42">
        <v>25</v>
      </c>
      <c r="N2775" s="18">
        <f t="shared" si="505"/>
        <v>3.3890410958904109</v>
      </c>
      <c r="O2775" s="23">
        <f>(K2775-L2775)/M2775*N2775-J2775-7500000</f>
        <v>6058564.0219576657</v>
      </c>
      <c r="P2775" s="18">
        <f t="shared" si="506"/>
        <v>4.3890410958904109</v>
      </c>
      <c r="Q2775" s="18">
        <f t="shared" si="511"/>
        <v>4000708.0582170966</v>
      </c>
      <c r="R2775" s="18">
        <f t="shared" si="510"/>
        <v>10059272.080174763</v>
      </c>
      <c r="S2775" s="18">
        <f t="shared" si="513"/>
        <v>95222518.925538301</v>
      </c>
    </row>
    <row r="2776" spans="1:19" ht="15" customHeight="1" x14ac:dyDescent="0.2">
      <c r="A2776" s="14">
        <f t="shared" si="508"/>
        <v>2737</v>
      </c>
      <c r="B2776" s="14" t="s">
        <v>2322</v>
      </c>
      <c r="C2776" s="15" t="s">
        <v>3</v>
      </c>
      <c r="D2776" s="14" t="s">
        <v>500</v>
      </c>
      <c r="E2776" s="14" t="s">
        <v>2319</v>
      </c>
      <c r="F2776" s="72" t="s">
        <v>16</v>
      </c>
      <c r="G2776" s="32">
        <v>42686</v>
      </c>
      <c r="H2776" s="17">
        <v>19410712.823085234</v>
      </c>
      <c r="I2776" s="17">
        <v>0</v>
      </c>
      <c r="J2776" s="17">
        <v>0</v>
      </c>
      <c r="K2776" s="17">
        <f t="shared" si="504"/>
        <v>19410712.823085234</v>
      </c>
      <c r="L2776" s="17">
        <f t="shared" ref="L2776:L2807" si="514">H2776*0.05</f>
        <v>970535.64115426177</v>
      </c>
      <c r="M2776" s="42">
        <v>25</v>
      </c>
      <c r="N2776" s="18">
        <f t="shared" si="505"/>
        <v>3.3890410958904109</v>
      </c>
      <c r="O2776" s="23">
        <f t="shared" ref="O2776:O2789" si="515">(K2776-L2776)/M2776*N2776-J2776</f>
        <v>2499780.7314025876</v>
      </c>
      <c r="P2776" s="18">
        <f t="shared" si="506"/>
        <v>4.3890410958904109</v>
      </c>
      <c r="Q2776" s="18">
        <f t="shared" si="511"/>
        <v>737607.08727723884</v>
      </c>
      <c r="R2776" s="18">
        <f t="shared" ref="R2776:R2807" si="516">O2776+Q2776</f>
        <v>3237387.8186798263</v>
      </c>
      <c r="S2776" s="18">
        <f t="shared" si="513"/>
        <v>16173325.004405407</v>
      </c>
    </row>
    <row r="2777" spans="1:19" ht="15" customHeight="1" x14ac:dyDescent="0.2">
      <c r="A2777" s="14">
        <f t="shared" si="508"/>
        <v>2738</v>
      </c>
      <c r="B2777" s="14" t="s">
        <v>2323</v>
      </c>
      <c r="C2777" s="15" t="s">
        <v>3</v>
      </c>
      <c r="D2777" s="14" t="s">
        <v>500</v>
      </c>
      <c r="E2777" s="14" t="s">
        <v>2324</v>
      </c>
      <c r="F2777" s="72" t="s">
        <v>16</v>
      </c>
      <c r="G2777" s="32">
        <v>42686</v>
      </c>
      <c r="H2777" s="17">
        <v>9844446.2149472367</v>
      </c>
      <c r="I2777" s="17">
        <v>0</v>
      </c>
      <c r="J2777" s="17">
        <v>0</v>
      </c>
      <c r="K2777" s="17">
        <f t="shared" si="504"/>
        <v>9844446.2149472367</v>
      </c>
      <c r="L2777" s="17">
        <f t="shared" si="514"/>
        <v>492222.31074736186</v>
      </c>
      <c r="M2777" s="42">
        <v>25</v>
      </c>
      <c r="N2777" s="18">
        <f t="shared" si="505"/>
        <v>3.3890410958904109</v>
      </c>
      <c r="O2777" s="23">
        <f t="shared" si="515"/>
        <v>1267802.8459720814</v>
      </c>
      <c r="P2777" s="18">
        <f t="shared" si="506"/>
        <v>4.3890410958904109</v>
      </c>
      <c r="Q2777" s="18">
        <f t="shared" si="511"/>
        <v>374088.95616799494</v>
      </c>
      <c r="R2777" s="18">
        <f t="shared" si="516"/>
        <v>1641891.8021400764</v>
      </c>
      <c r="S2777" s="18">
        <f t="shared" si="513"/>
        <v>8202554.4128071601</v>
      </c>
    </row>
    <row r="2778" spans="1:19" ht="15" customHeight="1" x14ac:dyDescent="0.2">
      <c r="A2778" s="14">
        <f t="shared" si="508"/>
        <v>2739</v>
      </c>
      <c r="B2778" s="14" t="s">
        <v>2325</v>
      </c>
      <c r="C2778" s="15" t="s">
        <v>3</v>
      </c>
      <c r="D2778" s="14" t="s">
        <v>500</v>
      </c>
      <c r="E2778" s="14" t="s">
        <v>2324</v>
      </c>
      <c r="F2778" s="72" t="s">
        <v>16</v>
      </c>
      <c r="G2778" s="32">
        <v>42686</v>
      </c>
      <c r="H2778" s="17">
        <v>40511356.176728927</v>
      </c>
      <c r="I2778" s="17">
        <v>0</v>
      </c>
      <c r="J2778" s="17">
        <v>0</v>
      </c>
      <c r="K2778" s="17">
        <f t="shared" si="504"/>
        <v>40511356.176728927</v>
      </c>
      <c r="L2778" s="17">
        <f t="shared" si="514"/>
        <v>2025567.8088364464</v>
      </c>
      <c r="M2778" s="42">
        <v>25</v>
      </c>
      <c r="N2778" s="18">
        <f t="shared" si="505"/>
        <v>3.3890410958904109</v>
      </c>
      <c r="O2778" s="23">
        <f t="shared" si="515"/>
        <v>5217196.7354611503</v>
      </c>
      <c r="P2778" s="18">
        <f t="shared" si="506"/>
        <v>4.3890410958904109</v>
      </c>
      <c r="Q2778" s="18">
        <f t="shared" si="511"/>
        <v>1539431.5347156993</v>
      </c>
      <c r="R2778" s="18">
        <f t="shared" si="516"/>
        <v>6756628.2701768493</v>
      </c>
      <c r="S2778" s="18">
        <f t="shared" si="513"/>
        <v>33754727.906552076</v>
      </c>
    </row>
    <row r="2779" spans="1:19" ht="15" customHeight="1" x14ac:dyDescent="0.2">
      <c r="A2779" s="14">
        <f t="shared" si="508"/>
        <v>2740</v>
      </c>
      <c r="B2779" s="14" t="s">
        <v>2326</v>
      </c>
      <c r="C2779" s="15" t="s">
        <v>3</v>
      </c>
      <c r="D2779" s="14" t="s">
        <v>500</v>
      </c>
      <c r="E2779" s="14" t="s">
        <v>2327</v>
      </c>
      <c r="F2779" s="72" t="s">
        <v>11</v>
      </c>
      <c r="G2779" s="32">
        <v>42686</v>
      </c>
      <c r="H2779" s="17">
        <v>3728806.8640767732</v>
      </c>
      <c r="I2779" s="17">
        <v>0</v>
      </c>
      <c r="J2779" s="17">
        <v>0</v>
      </c>
      <c r="K2779" s="17">
        <f t="shared" si="504"/>
        <v>3728806.8640767732</v>
      </c>
      <c r="L2779" s="17">
        <f t="shared" si="514"/>
        <v>186440.34320383868</v>
      </c>
      <c r="M2779" s="42">
        <v>25</v>
      </c>
      <c r="N2779" s="18">
        <f t="shared" si="505"/>
        <v>3.3890410958904109</v>
      </c>
      <c r="O2779" s="23">
        <f t="shared" si="515"/>
        <v>480209.02863778855</v>
      </c>
      <c r="P2779" s="18">
        <f t="shared" si="506"/>
        <v>4.3890410958904109</v>
      </c>
      <c r="Q2779" s="18">
        <f t="shared" si="511"/>
        <v>141694.66083491739</v>
      </c>
      <c r="R2779" s="18">
        <f t="shared" si="516"/>
        <v>621903.68947270594</v>
      </c>
      <c r="S2779" s="18">
        <f t="shared" si="513"/>
        <v>3106903.1746040671</v>
      </c>
    </row>
    <row r="2780" spans="1:19" ht="15" customHeight="1" x14ac:dyDescent="0.2">
      <c r="A2780" s="14">
        <f t="shared" si="508"/>
        <v>2741</v>
      </c>
      <c r="B2780" s="14" t="s">
        <v>2328</v>
      </c>
      <c r="C2780" s="15" t="s">
        <v>3</v>
      </c>
      <c r="D2780" s="14" t="s">
        <v>500</v>
      </c>
      <c r="E2780" s="14" t="s">
        <v>2327</v>
      </c>
      <c r="F2780" s="72" t="s">
        <v>11</v>
      </c>
      <c r="G2780" s="32">
        <v>42686</v>
      </c>
      <c r="H2780" s="17">
        <v>3083763.4869500771</v>
      </c>
      <c r="I2780" s="17">
        <v>0</v>
      </c>
      <c r="J2780" s="17">
        <v>0</v>
      </c>
      <c r="K2780" s="17">
        <f t="shared" si="504"/>
        <v>3083763.4869500771</v>
      </c>
      <c r="L2780" s="17">
        <f t="shared" si="514"/>
        <v>154188.17434750387</v>
      </c>
      <c r="M2780" s="42">
        <v>25</v>
      </c>
      <c r="N2780" s="18">
        <f t="shared" si="505"/>
        <v>3.3890410958904109</v>
      </c>
      <c r="O2780" s="23">
        <f t="shared" si="515"/>
        <v>397138.0451166447</v>
      </c>
      <c r="P2780" s="18">
        <f t="shared" si="506"/>
        <v>4.3890410958904109</v>
      </c>
      <c r="Q2780" s="18">
        <f t="shared" si="511"/>
        <v>117183.01250410292</v>
      </c>
      <c r="R2780" s="18">
        <f t="shared" si="516"/>
        <v>514321.0576207476</v>
      </c>
      <c r="S2780" s="18">
        <f t="shared" si="513"/>
        <v>2569442.4293293296</v>
      </c>
    </row>
    <row r="2781" spans="1:19" ht="15" customHeight="1" x14ac:dyDescent="0.2">
      <c r="A2781" s="14">
        <f t="shared" si="508"/>
        <v>2742</v>
      </c>
      <c r="B2781" s="14" t="s">
        <v>2329</v>
      </c>
      <c r="C2781" s="15" t="s">
        <v>3</v>
      </c>
      <c r="D2781" s="14" t="s">
        <v>500</v>
      </c>
      <c r="E2781" s="14" t="s">
        <v>2327</v>
      </c>
      <c r="F2781" s="72" t="s">
        <v>11</v>
      </c>
      <c r="G2781" s="32">
        <v>42686</v>
      </c>
      <c r="H2781" s="17">
        <v>707551.46303073387</v>
      </c>
      <c r="I2781" s="17">
        <v>0</v>
      </c>
      <c r="J2781" s="17">
        <v>0</v>
      </c>
      <c r="K2781" s="17">
        <f t="shared" si="504"/>
        <v>707551.46303073387</v>
      </c>
      <c r="L2781" s="17">
        <f t="shared" si="514"/>
        <v>35377.573151536693</v>
      </c>
      <c r="M2781" s="42">
        <v>25</v>
      </c>
      <c r="N2781" s="18">
        <f t="shared" si="505"/>
        <v>3.3890410958904109</v>
      </c>
      <c r="O2781" s="23">
        <f t="shared" si="515"/>
        <v>91120.997455404591</v>
      </c>
      <c r="P2781" s="18">
        <f t="shared" si="506"/>
        <v>4.3890410958904109</v>
      </c>
      <c r="Q2781" s="18">
        <f t="shared" si="511"/>
        <v>26886.955595167885</v>
      </c>
      <c r="R2781" s="18">
        <f t="shared" si="516"/>
        <v>118007.95305057248</v>
      </c>
      <c r="S2781" s="18">
        <f t="shared" si="513"/>
        <v>589543.50998016144</v>
      </c>
    </row>
    <row r="2782" spans="1:19" ht="15" customHeight="1" x14ac:dyDescent="0.2">
      <c r="A2782" s="14">
        <f t="shared" si="508"/>
        <v>2743</v>
      </c>
      <c r="B2782" s="14" t="s">
        <v>2330</v>
      </c>
      <c r="C2782" s="15" t="s">
        <v>3</v>
      </c>
      <c r="D2782" s="14" t="s">
        <v>500</v>
      </c>
      <c r="E2782" s="14" t="s">
        <v>2327</v>
      </c>
      <c r="F2782" s="72" t="s">
        <v>11</v>
      </c>
      <c r="G2782" s="32">
        <v>42686</v>
      </c>
      <c r="H2782" s="17">
        <v>44020518.338287838</v>
      </c>
      <c r="I2782" s="17">
        <v>0</v>
      </c>
      <c r="J2782" s="17">
        <v>0</v>
      </c>
      <c r="K2782" s="17">
        <f t="shared" si="504"/>
        <v>44020518.338287838</v>
      </c>
      <c r="L2782" s="17">
        <f t="shared" si="514"/>
        <v>2201025.9169143918</v>
      </c>
      <c r="M2782" s="42">
        <v>25</v>
      </c>
      <c r="N2782" s="18">
        <f t="shared" si="505"/>
        <v>3.3890410958904109</v>
      </c>
      <c r="O2782" s="23">
        <f t="shared" si="515"/>
        <v>5669119.1370124882</v>
      </c>
      <c r="P2782" s="18">
        <f t="shared" si="506"/>
        <v>4.3890410958904109</v>
      </c>
      <c r="Q2782" s="18">
        <f t="shared" si="511"/>
        <v>1672779.6968549381</v>
      </c>
      <c r="R2782" s="18">
        <f t="shared" si="516"/>
        <v>7341898.833867426</v>
      </c>
      <c r="S2782" s="18">
        <f t="shared" si="513"/>
        <v>36678619.504420415</v>
      </c>
    </row>
    <row r="2783" spans="1:19" ht="15" customHeight="1" x14ac:dyDescent="0.2">
      <c r="A2783" s="14">
        <f t="shared" si="508"/>
        <v>2744</v>
      </c>
      <c r="B2783" s="14" t="s">
        <v>2331</v>
      </c>
      <c r="C2783" s="15" t="s">
        <v>3</v>
      </c>
      <c r="D2783" s="14" t="s">
        <v>500</v>
      </c>
      <c r="E2783" s="14" t="s">
        <v>2327</v>
      </c>
      <c r="F2783" s="72" t="s">
        <v>11</v>
      </c>
      <c r="G2783" s="32">
        <v>42686</v>
      </c>
      <c r="H2783" s="17">
        <v>16047150.481989726</v>
      </c>
      <c r="I2783" s="17">
        <v>0</v>
      </c>
      <c r="J2783" s="17">
        <v>0</v>
      </c>
      <c r="K2783" s="17">
        <f t="shared" si="504"/>
        <v>16047150.481989726</v>
      </c>
      <c r="L2783" s="17">
        <f t="shared" si="514"/>
        <v>802357.52409948641</v>
      </c>
      <c r="M2783" s="42">
        <v>25</v>
      </c>
      <c r="N2783" s="18">
        <f t="shared" si="505"/>
        <v>3.3890410958904109</v>
      </c>
      <c r="O2783" s="23">
        <f t="shared" si="515"/>
        <v>2066609.1933052305</v>
      </c>
      <c r="P2783" s="18">
        <f t="shared" si="506"/>
        <v>4.3890410958904109</v>
      </c>
      <c r="Q2783" s="18">
        <f t="shared" si="511"/>
        <v>609791.71831560961</v>
      </c>
      <c r="R2783" s="18">
        <f t="shared" si="516"/>
        <v>2676400.91162084</v>
      </c>
      <c r="S2783" s="18">
        <f t="shared" si="513"/>
        <v>13370749.570368886</v>
      </c>
    </row>
    <row r="2784" spans="1:19" ht="15" customHeight="1" x14ac:dyDescent="0.2">
      <c r="A2784" s="14">
        <f t="shared" si="508"/>
        <v>2745</v>
      </c>
      <c r="B2784" s="14" t="s">
        <v>2332</v>
      </c>
      <c r="C2784" s="15" t="s">
        <v>3</v>
      </c>
      <c r="D2784" s="14" t="s">
        <v>500</v>
      </c>
      <c r="E2784" s="14" t="s">
        <v>2327</v>
      </c>
      <c r="F2784" s="72" t="s">
        <v>11</v>
      </c>
      <c r="G2784" s="32">
        <v>42686</v>
      </c>
      <c r="H2784" s="17">
        <v>6092555.902641654</v>
      </c>
      <c r="I2784" s="17">
        <v>0</v>
      </c>
      <c r="J2784" s="17">
        <v>0</v>
      </c>
      <c r="K2784" s="17">
        <f t="shared" si="504"/>
        <v>6092555.902641654</v>
      </c>
      <c r="L2784" s="17">
        <f t="shared" si="514"/>
        <v>304627.79513208271</v>
      </c>
      <c r="M2784" s="42">
        <v>25</v>
      </c>
      <c r="N2784" s="18">
        <f t="shared" si="505"/>
        <v>3.3890410958904109</v>
      </c>
      <c r="O2784" s="23">
        <f t="shared" si="515"/>
        <v>784621.04865636595</v>
      </c>
      <c r="P2784" s="18">
        <f t="shared" si="506"/>
        <v>4.3890410958904109</v>
      </c>
      <c r="Q2784" s="18">
        <f t="shared" si="511"/>
        <v>231517.12430038286</v>
      </c>
      <c r="R2784" s="18">
        <f t="shared" si="516"/>
        <v>1016138.1729567489</v>
      </c>
      <c r="S2784" s="18">
        <f t="shared" si="513"/>
        <v>5076417.7296849051</v>
      </c>
    </row>
    <row r="2785" spans="1:19" ht="15" customHeight="1" x14ac:dyDescent="0.2">
      <c r="A2785" s="14">
        <f t="shared" si="508"/>
        <v>2746</v>
      </c>
      <c r="B2785" s="14" t="s">
        <v>2333</v>
      </c>
      <c r="C2785" s="15" t="s">
        <v>3</v>
      </c>
      <c r="D2785" s="14" t="s">
        <v>500</v>
      </c>
      <c r="E2785" s="14" t="s">
        <v>2327</v>
      </c>
      <c r="F2785" s="72" t="s">
        <v>11</v>
      </c>
      <c r="G2785" s="32">
        <v>42686</v>
      </c>
      <c r="H2785" s="17">
        <v>1568454.5861389567</v>
      </c>
      <c r="I2785" s="17">
        <v>0</v>
      </c>
      <c r="J2785" s="17">
        <v>0</v>
      </c>
      <c r="K2785" s="17">
        <f t="shared" si="504"/>
        <v>1568454.5861389567</v>
      </c>
      <c r="L2785" s="17">
        <f t="shared" si="514"/>
        <v>78422.729306947833</v>
      </c>
      <c r="M2785" s="42">
        <v>25</v>
      </c>
      <c r="N2785" s="18">
        <f t="shared" si="505"/>
        <v>3.3890410958904109</v>
      </c>
      <c r="O2785" s="23">
        <f t="shared" si="515"/>
        <v>201991.16787958299</v>
      </c>
      <c r="P2785" s="18">
        <f t="shared" si="506"/>
        <v>4.3890410958904109</v>
      </c>
      <c r="Q2785" s="18">
        <f t="shared" si="511"/>
        <v>59601.274273280353</v>
      </c>
      <c r="R2785" s="18">
        <f t="shared" si="516"/>
        <v>261592.44215286334</v>
      </c>
      <c r="S2785" s="18">
        <f t="shared" si="513"/>
        <v>1306862.1439860933</v>
      </c>
    </row>
    <row r="2786" spans="1:19" ht="15" customHeight="1" x14ac:dyDescent="0.2">
      <c r="A2786" s="14">
        <f t="shared" si="508"/>
        <v>2747</v>
      </c>
      <c r="B2786" s="14" t="s">
        <v>2334</v>
      </c>
      <c r="C2786" s="15" t="s">
        <v>3</v>
      </c>
      <c r="D2786" s="14" t="s">
        <v>500</v>
      </c>
      <c r="E2786" s="14" t="s">
        <v>507</v>
      </c>
      <c r="F2786" s="74" t="s">
        <v>11</v>
      </c>
      <c r="G2786" s="32">
        <v>42686</v>
      </c>
      <c r="H2786" s="17">
        <v>4217038.7849318394</v>
      </c>
      <c r="I2786" s="17">
        <v>0</v>
      </c>
      <c r="J2786" s="17">
        <v>0</v>
      </c>
      <c r="K2786" s="17">
        <f t="shared" si="504"/>
        <v>4217038.7849318394</v>
      </c>
      <c r="L2786" s="17">
        <f t="shared" si="514"/>
        <v>210851.939246592</v>
      </c>
      <c r="M2786" s="42">
        <v>25</v>
      </c>
      <c r="N2786" s="18">
        <f t="shared" si="505"/>
        <v>3.3890410958904109</v>
      </c>
      <c r="O2786" s="23">
        <f t="shared" si="515"/>
        <v>543085.27431371517</v>
      </c>
      <c r="P2786" s="18">
        <f t="shared" si="506"/>
        <v>4.3890410958904109</v>
      </c>
      <c r="Q2786" s="18">
        <f t="shared" si="511"/>
        <v>160247.47382740991</v>
      </c>
      <c r="R2786" s="18">
        <f t="shared" si="516"/>
        <v>703332.74814112508</v>
      </c>
      <c r="S2786" s="18">
        <f t="shared" si="513"/>
        <v>3513706.0367907146</v>
      </c>
    </row>
    <row r="2787" spans="1:19" ht="15" customHeight="1" x14ac:dyDescent="0.2">
      <c r="A2787" s="14">
        <f t="shared" si="508"/>
        <v>2748</v>
      </c>
      <c r="B2787" s="14" t="s">
        <v>2335</v>
      </c>
      <c r="C2787" s="15" t="s">
        <v>3</v>
      </c>
      <c r="D2787" s="14" t="s">
        <v>500</v>
      </c>
      <c r="E2787" s="14" t="s">
        <v>2327</v>
      </c>
      <c r="F2787" s="72" t="s">
        <v>11</v>
      </c>
      <c r="G2787" s="32">
        <v>42686</v>
      </c>
      <c r="H2787" s="17">
        <v>8470415.8279670533</v>
      </c>
      <c r="I2787" s="17">
        <v>0</v>
      </c>
      <c r="J2787" s="17">
        <v>0</v>
      </c>
      <c r="K2787" s="17">
        <f t="shared" si="504"/>
        <v>8470415.8279670533</v>
      </c>
      <c r="L2787" s="17">
        <f t="shared" si="514"/>
        <v>423520.79139835271</v>
      </c>
      <c r="M2787" s="42">
        <v>25</v>
      </c>
      <c r="N2787" s="18">
        <f t="shared" si="505"/>
        <v>3.3890410958904109</v>
      </c>
      <c r="O2787" s="23">
        <f t="shared" si="515"/>
        <v>1090850.318929916</v>
      </c>
      <c r="P2787" s="18">
        <f t="shared" si="506"/>
        <v>4.3890410958904109</v>
      </c>
      <c r="Q2787" s="18">
        <f t="shared" si="511"/>
        <v>321875.80146274803</v>
      </c>
      <c r="R2787" s="18">
        <f t="shared" si="516"/>
        <v>1412726.1203926641</v>
      </c>
      <c r="S2787" s="18">
        <f t="shared" si="513"/>
        <v>7057689.7075743889</v>
      </c>
    </row>
    <row r="2788" spans="1:19" ht="15" customHeight="1" x14ac:dyDescent="0.2">
      <c r="A2788" s="14">
        <f t="shared" si="508"/>
        <v>2749</v>
      </c>
      <c r="B2788" s="14" t="s">
        <v>2336</v>
      </c>
      <c r="C2788" s="15" t="s">
        <v>3</v>
      </c>
      <c r="D2788" s="14" t="s">
        <v>500</v>
      </c>
      <c r="E2788" s="14" t="s">
        <v>2327</v>
      </c>
      <c r="F2788" s="72" t="s">
        <v>11</v>
      </c>
      <c r="G2788" s="32">
        <v>42686</v>
      </c>
      <c r="H2788" s="17">
        <v>111386.69047738569</v>
      </c>
      <c r="I2788" s="17">
        <v>0</v>
      </c>
      <c r="J2788" s="17">
        <v>0</v>
      </c>
      <c r="K2788" s="17">
        <f t="shared" si="504"/>
        <v>111386.69047738569</v>
      </c>
      <c r="L2788" s="17">
        <f t="shared" si="514"/>
        <v>5569.3345238692855</v>
      </c>
      <c r="M2788" s="42">
        <v>25</v>
      </c>
      <c r="N2788" s="18">
        <f t="shared" si="505"/>
        <v>3.3890410958904109</v>
      </c>
      <c r="O2788" s="23">
        <f t="shared" si="515"/>
        <v>14344.774719397237</v>
      </c>
      <c r="P2788" s="18">
        <f t="shared" si="506"/>
        <v>4.3890410958904109</v>
      </c>
      <c r="Q2788" s="18">
        <f t="shared" si="511"/>
        <v>4232.6942381406561</v>
      </c>
      <c r="R2788" s="18">
        <f t="shared" si="516"/>
        <v>18577.468957537894</v>
      </c>
      <c r="S2788" s="18">
        <f t="shared" si="513"/>
        <v>92809.221519847808</v>
      </c>
    </row>
    <row r="2789" spans="1:19" ht="15" customHeight="1" x14ac:dyDescent="0.2">
      <c r="A2789" s="14">
        <f t="shared" si="508"/>
        <v>2750</v>
      </c>
      <c r="B2789" s="14" t="s">
        <v>2337</v>
      </c>
      <c r="C2789" s="15" t="s">
        <v>3</v>
      </c>
      <c r="D2789" s="14" t="s">
        <v>500</v>
      </c>
      <c r="E2789" s="14" t="s">
        <v>2327</v>
      </c>
      <c r="F2789" s="72" t="s">
        <v>11</v>
      </c>
      <c r="G2789" s="32">
        <v>42686</v>
      </c>
      <c r="H2789" s="17">
        <v>419234.7114848661</v>
      </c>
      <c r="I2789" s="17">
        <v>0</v>
      </c>
      <c r="J2789" s="17">
        <v>0</v>
      </c>
      <c r="K2789" s="17">
        <f t="shared" si="504"/>
        <v>419234.7114848661</v>
      </c>
      <c r="L2789" s="17">
        <f t="shared" si="514"/>
        <v>20961.735574243306</v>
      </c>
      <c r="M2789" s="42">
        <v>25</v>
      </c>
      <c r="N2789" s="18">
        <f t="shared" si="505"/>
        <v>3.3890410958904109</v>
      </c>
      <c r="O2789" s="23">
        <f t="shared" si="515"/>
        <v>53990.539309746891</v>
      </c>
      <c r="P2789" s="18">
        <f t="shared" si="506"/>
        <v>4.3890410958904109</v>
      </c>
      <c r="Q2789" s="18">
        <f t="shared" si="511"/>
        <v>15930.919036424912</v>
      </c>
      <c r="R2789" s="18">
        <f t="shared" si="516"/>
        <v>69921.458346171799</v>
      </c>
      <c r="S2789" s="18">
        <f t="shared" si="513"/>
        <v>349313.25313869433</v>
      </c>
    </row>
    <row r="2790" spans="1:19" ht="15" customHeight="1" x14ac:dyDescent="0.2">
      <c r="A2790" s="14">
        <f t="shared" si="508"/>
        <v>2751</v>
      </c>
      <c r="B2790" s="14" t="s">
        <v>2338</v>
      </c>
      <c r="C2790" s="15" t="s">
        <v>3</v>
      </c>
      <c r="D2790" s="14" t="s">
        <v>500</v>
      </c>
      <c r="E2790" s="14" t="s">
        <v>2327</v>
      </c>
      <c r="F2790" s="74" t="s">
        <v>11</v>
      </c>
      <c r="G2790" s="32">
        <v>42686</v>
      </c>
      <c r="H2790" s="17">
        <v>223643447.32178235</v>
      </c>
      <c r="I2790" s="17">
        <v>0</v>
      </c>
      <c r="J2790" s="17">
        <v>0</v>
      </c>
      <c r="K2790" s="17">
        <f t="shared" ref="K2790:K2853" si="517">H2790+I2790-J2790</f>
        <v>223643447.32178235</v>
      </c>
      <c r="L2790" s="17">
        <f t="shared" si="514"/>
        <v>11182172.366089119</v>
      </c>
      <c r="M2790" s="42">
        <v>25</v>
      </c>
      <c r="N2790" s="18">
        <f t="shared" ref="N2790:N2853" si="518">IF(($N$35-G2790+1)/365&gt;0,($N$35-G2790+1)/365,0)</f>
        <v>3.3890410958904109</v>
      </c>
      <c r="O2790" s="23">
        <f>(K2790-L2790)/M2790*N2790-J2790-10000000</f>
        <v>18801599.684404664</v>
      </c>
      <c r="P2790" s="18">
        <f t="shared" ref="P2790:P2853" si="519">($P$35-G2790+1)/365</f>
        <v>4.3890410958904109</v>
      </c>
      <c r="Q2790" s="18">
        <f>(P2790-N2790)/M2790*(K2790-L2790)+6107641</f>
        <v>14606091.99822773</v>
      </c>
      <c r="R2790" s="18">
        <f t="shared" si="516"/>
        <v>33407691.682632394</v>
      </c>
      <c r="S2790" s="18">
        <f>K2790-R2790+10429340+10429340</f>
        <v>211094435.63914996</v>
      </c>
    </row>
    <row r="2791" spans="1:19" ht="15" customHeight="1" x14ac:dyDescent="0.2">
      <c r="A2791" s="14">
        <f t="shared" si="508"/>
        <v>2752</v>
      </c>
      <c r="B2791" s="14" t="s">
        <v>2339</v>
      </c>
      <c r="C2791" s="15" t="s">
        <v>3</v>
      </c>
      <c r="D2791" s="14" t="s">
        <v>500</v>
      </c>
      <c r="E2791" s="14" t="s">
        <v>2327</v>
      </c>
      <c r="F2791" s="72" t="s">
        <v>11</v>
      </c>
      <c r="G2791" s="32">
        <v>42686</v>
      </c>
      <c r="H2791" s="17">
        <v>1083234.5223449443</v>
      </c>
      <c r="I2791" s="17">
        <v>0</v>
      </c>
      <c r="J2791" s="17">
        <v>0</v>
      </c>
      <c r="K2791" s="17">
        <f t="shared" si="517"/>
        <v>1083234.5223449443</v>
      </c>
      <c r="L2791" s="17">
        <f t="shared" si="514"/>
        <v>54161.726117247221</v>
      </c>
      <c r="M2791" s="42">
        <v>25</v>
      </c>
      <c r="N2791" s="18">
        <f t="shared" si="518"/>
        <v>3.3890410958904109</v>
      </c>
      <c r="O2791" s="23">
        <f>(K2791-L2791)/M2791*N2791-J2791</f>
        <v>139502.79988314098</v>
      </c>
      <c r="P2791" s="18">
        <f t="shared" si="519"/>
        <v>4.3890410958904109</v>
      </c>
      <c r="Q2791" s="18">
        <f>(P2791-N2791)/M2791*(K2791-L2791)</f>
        <v>41162.911849107884</v>
      </c>
      <c r="R2791" s="18">
        <f t="shared" si="516"/>
        <v>180665.71173224886</v>
      </c>
      <c r="S2791" s="18">
        <f t="shared" si="513"/>
        <v>902568.81061269541</v>
      </c>
    </row>
    <row r="2792" spans="1:19" ht="15" customHeight="1" x14ac:dyDescent="0.2">
      <c r="A2792" s="14">
        <f t="shared" si="508"/>
        <v>2753</v>
      </c>
      <c r="B2792" s="14" t="s">
        <v>2340</v>
      </c>
      <c r="C2792" s="15" t="s">
        <v>3</v>
      </c>
      <c r="D2792" s="14" t="s">
        <v>500</v>
      </c>
      <c r="E2792" s="14" t="s">
        <v>599</v>
      </c>
      <c r="F2792" s="72" t="s">
        <v>17</v>
      </c>
      <c r="G2792" s="32">
        <v>42686</v>
      </c>
      <c r="H2792" s="17">
        <v>6105134.7225608844</v>
      </c>
      <c r="I2792" s="17">
        <v>0</v>
      </c>
      <c r="J2792" s="17">
        <v>0</v>
      </c>
      <c r="K2792" s="17">
        <f t="shared" si="517"/>
        <v>6105134.7225608844</v>
      </c>
      <c r="L2792" s="17">
        <f t="shared" si="514"/>
        <v>305256.73612804426</v>
      </c>
      <c r="M2792" s="42">
        <v>25</v>
      </c>
      <c r="N2792" s="18">
        <f t="shared" si="518"/>
        <v>3.3890410958904109</v>
      </c>
      <c r="O2792" s="23">
        <f>(K2792-L2792)/M2792*N2792-J2792</f>
        <v>786240.99388684088</v>
      </c>
      <c r="P2792" s="18">
        <f t="shared" si="519"/>
        <v>4.3890410958904109</v>
      </c>
      <c r="Q2792" s="18">
        <f>(P2792-N2792)/M2792*(K2792-L2792)</f>
        <v>231995.11945731362</v>
      </c>
      <c r="R2792" s="18">
        <f t="shared" si="516"/>
        <v>1018236.1133441546</v>
      </c>
      <c r="S2792" s="18">
        <f t="shared" si="513"/>
        <v>5086898.6092167301</v>
      </c>
    </row>
    <row r="2793" spans="1:19" ht="15" customHeight="1" x14ac:dyDescent="0.2">
      <c r="A2793" s="14">
        <f t="shared" si="508"/>
        <v>2754</v>
      </c>
      <c r="B2793" s="14" t="s">
        <v>2341</v>
      </c>
      <c r="C2793" s="15" t="s">
        <v>3</v>
      </c>
      <c r="D2793" s="14" t="s">
        <v>500</v>
      </c>
      <c r="E2793" s="14" t="s">
        <v>2327</v>
      </c>
      <c r="F2793" s="72" t="s">
        <v>11</v>
      </c>
      <c r="G2793" s="32">
        <v>42686</v>
      </c>
      <c r="H2793" s="17">
        <v>52397083.157395966</v>
      </c>
      <c r="I2793" s="17">
        <v>0</v>
      </c>
      <c r="J2793" s="17">
        <v>0</v>
      </c>
      <c r="K2793" s="17">
        <f t="shared" si="517"/>
        <v>52397083.157395966</v>
      </c>
      <c r="L2793" s="17">
        <f t="shared" si="514"/>
        <v>2619854.1578697986</v>
      </c>
      <c r="M2793" s="42">
        <v>25</v>
      </c>
      <c r="N2793" s="18">
        <f t="shared" si="518"/>
        <v>3.3890410958904109</v>
      </c>
      <c r="O2793" s="23">
        <f>(K2793-L2793)/M2793*N2793-J2793-2000000</f>
        <v>4747882.9887576839</v>
      </c>
      <c r="P2793" s="18">
        <f t="shared" si="519"/>
        <v>4.3890410958904109</v>
      </c>
      <c r="Q2793" s="18">
        <f>(P2793-N2793)/M2793*(K2793-L2793)</f>
        <v>1991089.1599810466</v>
      </c>
      <c r="R2793" s="18">
        <f t="shared" si="516"/>
        <v>6738972.1487387307</v>
      </c>
      <c r="S2793" s="18">
        <f t="shared" si="513"/>
        <v>45658111.008657232</v>
      </c>
    </row>
    <row r="2794" spans="1:19" ht="15" customHeight="1" x14ac:dyDescent="0.2">
      <c r="A2794" s="14">
        <f t="shared" si="508"/>
        <v>2755</v>
      </c>
      <c r="B2794" s="14" t="s">
        <v>2342</v>
      </c>
      <c r="C2794" s="15" t="s">
        <v>3</v>
      </c>
      <c r="D2794" s="14" t="s">
        <v>500</v>
      </c>
      <c r="E2794" s="14" t="s">
        <v>2327</v>
      </c>
      <c r="F2794" s="72" t="s">
        <v>11</v>
      </c>
      <c r="G2794" s="32">
        <v>42686</v>
      </c>
      <c r="H2794" s="17">
        <v>5858814.0799869699</v>
      </c>
      <c r="I2794" s="17">
        <v>0</v>
      </c>
      <c r="J2794" s="17">
        <v>0</v>
      </c>
      <c r="K2794" s="17">
        <f t="shared" si="517"/>
        <v>5858814.0799869699</v>
      </c>
      <c r="L2794" s="17">
        <f t="shared" si="514"/>
        <v>292940.70399934851</v>
      </c>
      <c r="M2794" s="42">
        <v>25</v>
      </c>
      <c r="N2794" s="18">
        <f t="shared" si="518"/>
        <v>3.3890410958904109</v>
      </c>
      <c r="O2794" s="23">
        <f>(K2794-L2794)/M2794*N2794-J2794</f>
        <v>754518.94422977394</v>
      </c>
      <c r="P2794" s="18">
        <f t="shared" si="519"/>
        <v>4.3890410958904109</v>
      </c>
      <c r="Q2794" s="18">
        <f>(P2794-N2794)/M2794*(K2794-L2794)</f>
        <v>222634.93503950484</v>
      </c>
      <c r="R2794" s="18">
        <f t="shared" si="516"/>
        <v>977153.87926927884</v>
      </c>
      <c r="S2794" s="18">
        <f t="shared" si="513"/>
        <v>4881660.2007176913</v>
      </c>
    </row>
    <row r="2795" spans="1:19" ht="15" customHeight="1" x14ac:dyDescent="0.2">
      <c r="A2795" s="14">
        <f t="shared" ref="A2795:A2858" si="520">+A2794+1</f>
        <v>2756</v>
      </c>
      <c r="B2795" s="14" t="s">
        <v>2343</v>
      </c>
      <c r="C2795" s="15" t="s">
        <v>3</v>
      </c>
      <c r="D2795" s="14" t="s">
        <v>500</v>
      </c>
      <c r="E2795" s="14" t="s">
        <v>2327</v>
      </c>
      <c r="F2795" s="72" t="s">
        <v>11</v>
      </c>
      <c r="G2795" s="32">
        <v>42686</v>
      </c>
      <c r="H2795" s="17">
        <v>8878533.064913258</v>
      </c>
      <c r="I2795" s="17">
        <v>0</v>
      </c>
      <c r="J2795" s="17">
        <v>0</v>
      </c>
      <c r="K2795" s="17">
        <f t="shared" si="517"/>
        <v>8878533.064913258</v>
      </c>
      <c r="L2795" s="17">
        <f t="shared" si="514"/>
        <v>443926.65324566292</v>
      </c>
      <c r="M2795" s="42">
        <v>25</v>
      </c>
      <c r="N2795" s="18">
        <f t="shared" si="518"/>
        <v>3.3890410958904109</v>
      </c>
      <c r="O2795" s="23">
        <f>(K2795-L2795)/M2795*N2795-J2795</f>
        <v>1143409.1102720893</v>
      </c>
      <c r="P2795" s="18">
        <f t="shared" si="519"/>
        <v>4.3890410958904109</v>
      </c>
      <c r="Q2795" s="18">
        <f>(P2795-N2795)/M2795*(K2795-L2795)</f>
        <v>337384.25646670378</v>
      </c>
      <c r="R2795" s="18">
        <f t="shared" si="516"/>
        <v>1480793.366738793</v>
      </c>
      <c r="S2795" s="18">
        <f t="shared" si="513"/>
        <v>7397739.6981744654</v>
      </c>
    </row>
    <row r="2796" spans="1:19" ht="15" customHeight="1" x14ac:dyDescent="0.2">
      <c r="A2796" s="14">
        <f t="shared" si="520"/>
        <v>2757</v>
      </c>
      <c r="B2796" s="14" t="s">
        <v>2344</v>
      </c>
      <c r="C2796" s="15" t="s">
        <v>3</v>
      </c>
      <c r="D2796" s="14" t="s">
        <v>500</v>
      </c>
      <c r="E2796" s="14" t="s">
        <v>2327</v>
      </c>
      <c r="F2796" s="72" t="s">
        <v>11</v>
      </c>
      <c r="G2796" s="32">
        <v>42686</v>
      </c>
      <c r="H2796" s="17">
        <v>106899158.36932757</v>
      </c>
      <c r="I2796" s="17">
        <v>0</v>
      </c>
      <c r="J2796" s="17">
        <v>0</v>
      </c>
      <c r="K2796" s="17">
        <f t="shared" si="517"/>
        <v>106899158.36932757</v>
      </c>
      <c r="L2796" s="17">
        <f t="shared" si="514"/>
        <v>5344957.9184663789</v>
      </c>
      <c r="M2796" s="42">
        <v>25</v>
      </c>
      <c r="N2796" s="18">
        <f t="shared" si="518"/>
        <v>3.3890410958904109</v>
      </c>
      <c r="O2796" s="23">
        <f>(K2796-L2796)/M2796*N2796-J2796-4000000</f>
        <v>9766854.3515304439</v>
      </c>
      <c r="P2796" s="18">
        <f t="shared" si="519"/>
        <v>4.3890410958904109</v>
      </c>
      <c r="Q2796" s="18">
        <f>(P2796-N2796)/M2796*(K2796-L2796)+4000000</f>
        <v>8062168.0180344479</v>
      </c>
      <c r="R2796" s="18">
        <f t="shared" si="516"/>
        <v>17829022.369564891</v>
      </c>
      <c r="S2796" s="18">
        <f>K2796-R2796+10429340</f>
        <v>99499475.999762684</v>
      </c>
    </row>
    <row r="2797" spans="1:19" ht="15" customHeight="1" x14ac:dyDescent="0.2">
      <c r="A2797" s="14">
        <f t="shared" si="520"/>
        <v>2758</v>
      </c>
      <c r="B2797" s="14" t="s">
        <v>2345</v>
      </c>
      <c r="C2797" s="15" t="s">
        <v>3</v>
      </c>
      <c r="D2797" s="14" t="s">
        <v>500</v>
      </c>
      <c r="E2797" s="14" t="s">
        <v>2327</v>
      </c>
      <c r="F2797" s="74" t="s">
        <v>11</v>
      </c>
      <c r="G2797" s="32">
        <v>42686</v>
      </c>
      <c r="H2797" s="17">
        <v>4283792.5463179331</v>
      </c>
      <c r="I2797" s="17">
        <v>0</v>
      </c>
      <c r="J2797" s="17">
        <v>0</v>
      </c>
      <c r="K2797" s="17">
        <f t="shared" si="517"/>
        <v>4283792.5463179331</v>
      </c>
      <c r="L2797" s="17">
        <f t="shared" si="514"/>
        <v>214189.62731589668</v>
      </c>
      <c r="M2797" s="42">
        <v>25</v>
      </c>
      <c r="N2797" s="18">
        <f t="shared" si="518"/>
        <v>3.3890410958904109</v>
      </c>
      <c r="O2797" s="23">
        <f t="shared" ref="O2797:O2807" si="521">(K2797-L2797)/M2797*N2797-J2797</f>
        <v>551682.0614581391</v>
      </c>
      <c r="P2797" s="18">
        <f t="shared" si="519"/>
        <v>4.3890410958904109</v>
      </c>
      <c r="Q2797" s="18">
        <f t="shared" ref="Q2797:Q2807" si="522">(P2797-N2797)/M2797*(K2797-L2797)</f>
        <v>162784.11676008147</v>
      </c>
      <c r="R2797" s="18">
        <f t="shared" si="516"/>
        <v>714466.17821822059</v>
      </c>
      <c r="S2797" s="18">
        <f t="shared" si="513"/>
        <v>3569326.3680997128</v>
      </c>
    </row>
    <row r="2798" spans="1:19" ht="15" customHeight="1" x14ac:dyDescent="0.2">
      <c r="A2798" s="14">
        <f t="shared" si="520"/>
        <v>2759</v>
      </c>
      <c r="B2798" s="14" t="s">
        <v>2346</v>
      </c>
      <c r="C2798" s="15" t="s">
        <v>3</v>
      </c>
      <c r="D2798" s="14" t="s">
        <v>500</v>
      </c>
      <c r="E2798" s="14" t="s">
        <v>2327</v>
      </c>
      <c r="F2798" s="74" t="s">
        <v>11</v>
      </c>
      <c r="G2798" s="32">
        <v>42686</v>
      </c>
      <c r="H2798" s="17">
        <v>1103959.8210301942</v>
      </c>
      <c r="I2798" s="17">
        <v>0</v>
      </c>
      <c r="J2798" s="17">
        <v>0</v>
      </c>
      <c r="K2798" s="17">
        <f t="shared" si="517"/>
        <v>1103959.8210301942</v>
      </c>
      <c r="L2798" s="17">
        <f t="shared" si="514"/>
        <v>55197.991051509714</v>
      </c>
      <c r="M2798" s="42">
        <v>25</v>
      </c>
      <c r="N2798" s="18">
        <f t="shared" si="518"/>
        <v>3.3890410958904109</v>
      </c>
      <c r="O2798" s="23">
        <f t="shared" si="521"/>
        <v>142171.87766395972</v>
      </c>
      <c r="P2798" s="18">
        <f t="shared" si="519"/>
        <v>4.3890410958904109</v>
      </c>
      <c r="Q2798" s="18">
        <f t="shared" si="522"/>
        <v>41950.473199147375</v>
      </c>
      <c r="R2798" s="18">
        <f t="shared" si="516"/>
        <v>184122.3508631071</v>
      </c>
      <c r="S2798" s="18">
        <f t="shared" si="513"/>
        <v>919837.47016708704</v>
      </c>
    </row>
    <row r="2799" spans="1:19" ht="15" customHeight="1" x14ac:dyDescent="0.2">
      <c r="A2799" s="14">
        <f t="shared" si="520"/>
        <v>2760</v>
      </c>
      <c r="B2799" s="14" t="s">
        <v>2347</v>
      </c>
      <c r="C2799" s="15" t="s">
        <v>3</v>
      </c>
      <c r="D2799" s="14" t="s">
        <v>500</v>
      </c>
      <c r="E2799" s="14" t="s">
        <v>2327</v>
      </c>
      <c r="F2799" s="72" t="s">
        <v>11</v>
      </c>
      <c r="G2799" s="32">
        <v>42686</v>
      </c>
      <c r="H2799" s="17">
        <v>542221.0129019093</v>
      </c>
      <c r="I2799" s="17">
        <v>0</v>
      </c>
      <c r="J2799" s="17">
        <v>0</v>
      </c>
      <c r="K2799" s="17">
        <f t="shared" si="517"/>
        <v>542221.0129019093</v>
      </c>
      <c r="L2799" s="17">
        <f t="shared" si="514"/>
        <v>27111.050645095467</v>
      </c>
      <c r="M2799" s="42">
        <v>25</v>
      </c>
      <c r="N2799" s="18">
        <f t="shared" si="518"/>
        <v>3.3890410958904109</v>
      </c>
      <c r="O2799" s="23">
        <f t="shared" si="521"/>
        <v>69829.153239636027</v>
      </c>
      <c r="P2799" s="18">
        <f t="shared" si="519"/>
        <v>4.3890410958904109</v>
      </c>
      <c r="Q2799" s="18">
        <f t="shared" si="522"/>
        <v>20604.398490272553</v>
      </c>
      <c r="R2799" s="18">
        <f t="shared" si="516"/>
        <v>90433.551729908577</v>
      </c>
      <c r="S2799" s="18">
        <f t="shared" si="513"/>
        <v>451787.46117200074</v>
      </c>
    </row>
    <row r="2800" spans="1:19" ht="15" customHeight="1" x14ac:dyDescent="0.2">
      <c r="A2800" s="14">
        <f t="shared" si="520"/>
        <v>2761</v>
      </c>
      <c r="B2800" s="14" t="s">
        <v>2348</v>
      </c>
      <c r="C2800" s="15" t="s">
        <v>3</v>
      </c>
      <c r="D2800" s="14" t="s">
        <v>500</v>
      </c>
      <c r="E2800" s="14" t="s">
        <v>2327</v>
      </c>
      <c r="F2800" s="72" t="s">
        <v>11</v>
      </c>
      <c r="G2800" s="32">
        <v>42686</v>
      </c>
      <c r="H2800" s="17">
        <v>32403734.656380702</v>
      </c>
      <c r="I2800" s="17">
        <v>0</v>
      </c>
      <c r="J2800" s="17">
        <v>0</v>
      </c>
      <c r="K2800" s="17">
        <f t="shared" si="517"/>
        <v>32403734.656380702</v>
      </c>
      <c r="L2800" s="17">
        <f t="shared" si="514"/>
        <v>1620186.7328190352</v>
      </c>
      <c r="M2800" s="42">
        <v>25</v>
      </c>
      <c r="N2800" s="18">
        <f t="shared" si="518"/>
        <v>3.3890410958904109</v>
      </c>
      <c r="O2800" s="23">
        <f t="shared" si="521"/>
        <v>4173068.359610497</v>
      </c>
      <c r="P2800" s="18">
        <f t="shared" si="519"/>
        <v>4.3890410958904109</v>
      </c>
      <c r="Q2800" s="18">
        <f t="shared" si="522"/>
        <v>1231341.9169424667</v>
      </c>
      <c r="R2800" s="18">
        <f t="shared" si="516"/>
        <v>5404410.276552964</v>
      </c>
      <c r="S2800" s="18">
        <f t="shared" si="513"/>
        <v>26999324.379827738</v>
      </c>
    </row>
    <row r="2801" spans="1:19" ht="15" customHeight="1" x14ac:dyDescent="0.2">
      <c r="A2801" s="14">
        <f t="shared" si="520"/>
        <v>2762</v>
      </c>
      <c r="B2801" s="14" t="s">
        <v>2349</v>
      </c>
      <c r="C2801" s="15" t="s">
        <v>3</v>
      </c>
      <c r="D2801" s="14" t="s">
        <v>500</v>
      </c>
      <c r="E2801" s="14" t="s">
        <v>2327</v>
      </c>
      <c r="F2801" s="72" t="s">
        <v>11</v>
      </c>
      <c r="G2801" s="32">
        <v>42686</v>
      </c>
      <c r="H2801" s="17">
        <v>4572093.0581209697</v>
      </c>
      <c r="I2801" s="17">
        <v>0</v>
      </c>
      <c r="J2801" s="17">
        <v>0</v>
      </c>
      <c r="K2801" s="17">
        <f t="shared" si="517"/>
        <v>4572093.0581209697</v>
      </c>
      <c r="L2801" s="17">
        <f t="shared" si="514"/>
        <v>228604.65290604849</v>
      </c>
      <c r="M2801" s="42">
        <v>25</v>
      </c>
      <c r="N2801" s="18">
        <f t="shared" si="518"/>
        <v>3.3890410958904109</v>
      </c>
      <c r="O2801" s="23">
        <f t="shared" si="521"/>
        <v>588810.42819187487</v>
      </c>
      <c r="P2801" s="18">
        <f t="shared" si="519"/>
        <v>4.3890410958904109</v>
      </c>
      <c r="Q2801" s="18">
        <f t="shared" si="522"/>
        <v>173739.53620859687</v>
      </c>
      <c r="R2801" s="18">
        <f t="shared" si="516"/>
        <v>762549.96440047177</v>
      </c>
      <c r="S2801" s="18">
        <f t="shared" si="513"/>
        <v>3809543.093720498</v>
      </c>
    </row>
    <row r="2802" spans="1:19" ht="15" customHeight="1" x14ac:dyDescent="0.2">
      <c r="A2802" s="14">
        <f t="shared" si="520"/>
        <v>2763</v>
      </c>
      <c r="B2802" s="14" t="s">
        <v>2350</v>
      </c>
      <c r="C2802" s="15" t="s">
        <v>3</v>
      </c>
      <c r="D2802" s="14" t="s">
        <v>500</v>
      </c>
      <c r="E2802" s="14" t="s">
        <v>2327</v>
      </c>
      <c r="F2802" s="72" t="s">
        <v>11</v>
      </c>
      <c r="G2802" s="32">
        <v>42686</v>
      </c>
      <c r="H2802" s="17">
        <v>756186.45927876583</v>
      </c>
      <c r="I2802" s="17">
        <v>0</v>
      </c>
      <c r="J2802" s="17">
        <v>0</v>
      </c>
      <c r="K2802" s="17">
        <f t="shared" si="517"/>
        <v>756186.45927876583</v>
      </c>
      <c r="L2802" s="17">
        <f t="shared" si="514"/>
        <v>37809.322963938292</v>
      </c>
      <c r="M2802" s="42">
        <v>25</v>
      </c>
      <c r="N2802" s="18">
        <f t="shared" si="518"/>
        <v>3.3890410958904109</v>
      </c>
      <c r="O2802" s="23">
        <f t="shared" si="521"/>
        <v>97384.385492760717</v>
      </c>
      <c r="P2802" s="18">
        <f t="shared" si="519"/>
        <v>4.3890410958904109</v>
      </c>
      <c r="Q2802" s="18">
        <f t="shared" si="522"/>
        <v>28735.085452593099</v>
      </c>
      <c r="R2802" s="18">
        <f t="shared" si="516"/>
        <v>126119.47094535382</v>
      </c>
      <c r="S2802" s="18">
        <f t="shared" si="513"/>
        <v>630066.98833341198</v>
      </c>
    </row>
    <row r="2803" spans="1:19" ht="15" customHeight="1" x14ac:dyDescent="0.2">
      <c r="A2803" s="14">
        <f t="shared" si="520"/>
        <v>2764</v>
      </c>
      <c r="B2803" s="14" t="s">
        <v>2351</v>
      </c>
      <c r="C2803" s="15" t="s">
        <v>3</v>
      </c>
      <c r="D2803" s="14" t="s">
        <v>500</v>
      </c>
      <c r="E2803" s="14" t="s">
        <v>2327</v>
      </c>
      <c r="F2803" s="72" t="s">
        <v>11</v>
      </c>
      <c r="G2803" s="32">
        <v>42686</v>
      </c>
      <c r="H2803" s="17">
        <v>427298.66360577103</v>
      </c>
      <c r="I2803" s="17">
        <v>0</v>
      </c>
      <c r="J2803" s="17">
        <v>0</v>
      </c>
      <c r="K2803" s="17">
        <f t="shared" si="517"/>
        <v>427298.66360577103</v>
      </c>
      <c r="L2803" s="17">
        <f t="shared" si="514"/>
        <v>21364.933180288554</v>
      </c>
      <c r="M2803" s="42">
        <v>25</v>
      </c>
      <c r="N2803" s="18">
        <f t="shared" si="518"/>
        <v>3.3890410958904109</v>
      </c>
      <c r="O2803" s="23">
        <f t="shared" si="521"/>
        <v>55029.043784802394</v>
      </c>
      <c r="P2803" s="18">
        <f t="shared" si="519"/>
        <v>4.3890410958904109</v>
      </c>
      <c r="Q2803" s="18">
        <f t="shared" si="522"/>
        <v>16237.3492170193</v>
      </c>
      <c r="R2803" s="18">
        <f t="shared" si="516"/>
        <v>71266.393001821692</v>
      </c>
      <c r="S2803" s="18">
        <f t="shared" si="513"/>
        <v>356032.27060394932</v>
      </c>
    </row>
    <row r="2804" spans="1:19" ht="15" customHeight="1" x14ac:dyDescent="0.2">
      <c r="A2804" s="14">
        <f t="shared" si="520"/>
        <v>2765</v>
      </c>
      <c r="B2804" s="14" t="s">
        <v>2352</v>
      </c>
      <c r="C2804" s="15" t="s">
        <v>3</v>
      </c>
      <c r="D2804" s="14" t="s">
        <v>500</v>
      </c>
      <c r="E2804" s="14" t="s">
        <v>2327</v>
      </c>
      <c r="F2804" s="72" t="s">
        <v>11</v>
      </c>
      <c r="G2804" s="32">
        <v>42686</v>
      </c>
      <c r="H2804" s="17">
        <v>3357420.4289351795</v>
      </c>
      <c r="I2804" s="17">
        <v>0</v>
      </c>
      <c r="J2804" s="17">
        <v>0</v>
      </c>
      <c r="K2804" s="17">
        <f t="shared" si="517"/>
        <v>3357420.4289351795</v>
      </c>
      <c r="L2804" s="17">
        <f t="shared" si="514"/>
        <v>167871.021446759</v>
      </c>
      <c r="M2804" s="42">
        <v>25</v>
      </c>
      <c r="N2804" s="18">
        <f t="shared" si="518"/>
        <v>3.3890410958904109</v>
      </c>
      <c r="O2804" s="23">
        <f t="shared" si="521"/>
        <v>432380.56077404669</v>
      </c>
      <c r="P2804" s="18">
        <f t="shared" si="519"/>
        <v>4.3890410958904109</v>
      </c>
      <c r="Q2804" s="18">
        <f t="shared" si="522"/>
        <v>127581.97629953682</v>
      </c>
      <c r="R2804" s="18">
        <f t="shared" si="516"/>
        <v>559962.53707358357</v>
      </c>
      <c r="S2804" s="18">
        <f t="shared" si="513"/>
        <v>2797457.8918615961</v>
      </c>
    </row>
    <row r="2805" spans="1:19" ht="15" customHeight="1" x14ac:dyDescent="0.2">
      <c r="A2805" s="14">
        <f t="shared" si="520"/>
        <v>2766</v>
      </c>
      <c r="B2805" s="14" t="s">
        <v>2353</v>
      </c>
      <c r="C2805" s="15" t="s">
        <v>3</v>
      </c>
      <c r="D2805" s="14" t="s">
        <v>500</v>
      </c>
      <c r="E2805" s="14" t="s">
        <v>2327</v>
      </c>
      <c r="F2805" s="72" t="s">
        <v>8</v>
      </c>
      <c r="G2805" s="32">
        <v>42686</v>
      </c>
      <c r="H2805" s="17">
        <v>0.12182852836344686</v>
      </c>
      <c r="I2805" s="17">
        <v>0</v>
      </c>
      <c r="J2805" s="17">
        <v>0</v>
      </c>
      <c r="K2805" s="17">
        <f t="shared" si="517"/>
        <v>0.12182852836344686</v>
      </c>
      <c r="L2805" s="17">
        <f t="shared" si="514"/>
        <v>6.0914264181723436E-3</v>
      </c>
      <c r="M2805" s="42">
        <v>25</v>
      </c>
      <c r="N2805" s="18">
        <f t="shared" si="518"/>
        <v>3.3890410958904109</v>
      </c>
      <c r="O2805" s="23">
        <f t="shared" si="521"/>
        <v>1.5689511792471734E-2</v>
      </c>
      <c r="P2805" s="18">
        <f t="shared" si="519"/>
        <v>4.3890410958904109</v>
      </c>
      <c r="Q2805" s="18">
        <f t="shared" si="522"/>
        <v>4.6294840778109813E-3</v>
      </c>
      <c r="R2805" s="18">
        <f t="shared" si="516"/>
        <v>2.0318995870282713E-2</v>
      </c>
      <c r="S2805" s="18">
        <f t="shared" si="513"/>
        <v>0.10150953249316415</v>
      </c>
    </row>
    <row r="2806" spans="1:19" ht="15" customHeight="1" x14ac:dyDescent="0.2">
      <c r="A2806" s="14">
        <f t="shared" si="520"/>
        <v>2767</v>
      </c>
      <c r="B2806" s="14" t="s">
        <v>2354</v>
      </c>
      <c r="C2806" s="15" t="s">
        <v>3</v>
      </c>
      <c r="D2806" s="14" t="s">
        <v>500</v>
      </c>
      <c r="E2806" s="14" t="s">
        <v>2327</v>
      </c>
      <c r="F2806" s="72" t="s">
        <v>8</v>
      </c>
      <c r="G2806" s="32">
        <v>42686</v>
      </c>
      <c r="H2806" s="17">
        <v>12560062.687324906</v>
      </c>
      <c r="I2806" s="17">
        <v>0</v>
      </c>
      <c r="J2806" s="17">
        <v>0</v>
      </c>
      <c r="K2806" s="17">
        <f t="shared" si="517"/>
        <v>12560062.687324906</v>
      </c>
      <c r="L2806" s="17">
        <f t="shared" si="514"/>
        <v>628003.13436624536</v>
      </c>
      <c r="M2806" s="42">
        <v>25</v>
      </c>
      <c r="N2806" s="18">
        <f t="shared" si="518"/>
        <v>3.3890410958904109</v>
      </c>
      <c r="O2806" s="23">
        <f t="shared" si="521"/>
        <v>1617529.6073435466</v>
      </c>
      <c r="P2806" s="18">
        <f t="shared" si="519"/>
        <v>4.3890410958904109</v>
      </c>
      <c r="Q2806" s="18">
        <f t="shared" si="522"/>
        <v>477282.3821183464</v>
      </c>
      <c r="R2806" s="18">
        <f t="shared" si="516"/>
        <v>2094811.989461893</v>
      </c>
      <c r="S2806" s="18">
        <f t="shared" si="513"/>
        <v>10465250.697863013</v>
      </c>
    </row>
    <row r="2807" spans="1:19" ht="15" customHeight="1" x14ac:dyDescent="0.2">
      <c r="A2807" s="14">
        <f t="shared" si="520"/>
        <v>2768</v>
      </c>
      <c r="B2807" s="14" t="s">
        <v>2355</v>
      </c>
      <c r="C2807" s="15" t="s">
        <v>3</v>
      </c>
      <c r="D2807" s="14" t="s">
        <v>500</v>
      </c>
      <c r="E2807" s="14" t="s">
        <v>2327</v>
      </c>
      <c r="F2807" s="72" t="s">
        <v>11</v>
      </c>
      <c r="G2807" s="32">
        <v>42686</v>
      </c>
      <c r="H2807" s="17">
        <v>3692475.1359825204</v>
      </c>
      <c r="I2807" s="17">
        <v>0</v>
      </c>
      <c r="J2807" s="17">
        <v>0</v>
      </c>
      <c r="K2807" s="17">
        <f t="shared" si="517"/>
        <v>3692475.1359825204</v>
      </c>
      <c r="L2807" s="17">
        <f t="shared" si="514"/>
        <v>184623.75679912604</v>
      </c>
      <c r="M2807" s="42">
        <v>25</v>
      </c>
      <c r="N2807" s="18">
        <f t="shared" si="518"/>
        <v>3.3890410958904109</v>
      </c>
      <c r="O2807" s="23">
        <f t="shared" si="521"/>
        <v>475530.09929313522</v>
      </c>
      <c r="P2807" s="18">
        <f t="shared" si="519"/>
        <v>4.3890410958904109</v>
      </c>
      <c r="Q2807" s="18">
        <f t="shared" si="522"/>
        <v>140314.05516733578</v>
      </c>
      <c r="R2807" s="18">
        <f t="shared" si="516"/>
        <v>615844.15446047101</v>
      </c>
      <c r="S2807" s="18">
        <f t="shared" si="513"/>
        <v>3076630.9815220493</v>
      </c>
    </row>
    <row r="2808" spans="1:19" ht="15" customHeight="1" x14ac:dyDescent="0.2">
      <c r="A2808" s="14">
        <f t="shared" si="520"/>
        <v>2769</v>
      </c>
      <c r="B2808" s="14" t="s">
        <v>2356</v>
      </c>
      <c r="C2808" s="15" t="s">
        <v>3</v>
      </c>
      <c r="D2808" s="14" t="s">
        <v>500</v>
      </c>
      <c r="E2808" s="14" t="s">
        <v>2327</v>
      </c>
      <c r="F2808" s="74" t="s">
        <v>11</v>
      </c>
      <c r="G2808" s="32">
        <v>42686</v>
      </c>
      <c r="H2808" s="17">
        <v>130969698.74848053</v>
      </c>
      <c r="I2808" s="17">
        <v>0</v>
      </c>
      <c r="J2808" s="17">
        <v>0</v>
      </c>
      <c r="K2808" s="17">
        <f t="shared" si="517"/>
        <v>130969698.74848053</v>
      </c>
      <c r="L2808" s="17">
        <f t="shared" ref="L2808:L2839" si="523">H2808*0.05</f>
        <v>6548484.9374240264</v>
      </c>
      <c r="M2808" s="42">
        <v>25</v>
      </c>
      <c r="N2808" s="18">
        <f t="shared" si="518"/>
        <v>3.3890410958904109</v>
      </c>
      <c r="O2808" s="23">
        <f>(K2808-L2808)/M2808*N2808-J2808-10000000</f>
        <v>6866744.2722495236</v>
      </c>
      <c r="P2808" s="18">
        <f t="shared" si="519"/>
        <v>4.3890410958904109</v>
      </c>
      <c r="Q2808" s="18">
        <f>(P2808-N2808)/M2808*(K2808-L2808)+5000000</f>
        <v>9976848.5524422601</v>
      </c>
      <c r="R2808" s="18">
        <f t="shared" ref="R2808:R2839" si="524">O2808+Q2808</f>
        <v>16843592.824691784</v>
      </c>
      <c r="S2808" s="18">
        <f>K2808-R2808+10429340</f>
        <v>124555445.92378874</v>
      </c>
    </row>
    <row r="2809" spans="1:19" ht="15" customHeight="1" x14ac:dyDescent="0.2">
      <c r="A2809" s="14">
        <f t="shared" si="520"/>
        <v>2770</v>
      </c>
      <c r="B2809" s="14" t="s">
        <v>2357</v>
      </c>
      <c r="C2809" s="15" t="s">
        <v>3</v>
      </c>
      <c r="D2809" s="14" t="s">
        <v>500</v>
      </c>
      <c r="E2809" s="14" t="s">
        <v>2327</v>
      </c>
      <c r="F2809" s="72" t="s">
        <v>8</v>
      </c>
      <c r="G2809" s="32">
        <v>42686</v>
      </c>
      <c r="H2809" s="17">
        <v>51395381.415212885</v>
      </c>
      <c r="I2809" s="17">
        <v>0</v>
      </c>
      <c r="J2809" s="17">
        <v>0</v>
      </c>
      <c r="K2809" s="17">
        <f t="shared" si="517"/>
        <v>51395381.415212885</v>
      </c>
      <c r="L2809" s="17">
        <f t="shared" si="523"/>
        <v>2569769.0707606445</v>
      </c>
      <c r="M2809" s="42">
        <v>25</v>
      </c>
      <c r="N2809" s="18">
        <f t="shared" si="518"/>
        <v>3.3890410958904109</v>
      </c>
      <c r="O2809" s="23">
        <f>(K2809-L2809)/M2809*N2809-J2809-2000000</f>
        <v>4618880.2706945119</v>
      </c>
      <c r="P2809" s="18">
        <f t="shared" si="519"/>
        <v>4.3890410958904109</v>
      </c>
      <c r="Q2809" s="18">
        <f t="shared" ref="Q2809:Q2829" si="525">(P2809-N2809)/M2809*(K2809-L2809)</f>
        <v>1953024.4937780895</v>
      </c>
      <c r="R2809" s="18">
        <f t="shared" si="524"/>
        <v>6571904.7644726019</v>
      </c>
      <c r="S2809" s="18">
        <f t="shared" si="513"/>
        <v>44823476.650740281</v>
      </c>
    </row>
    <row r="2810" spans="1:19" ht="15" customHeight="1" x14ac:dyDescent="0.2">
      <c r="A2810" s="14">
        <f t="shared" si="520"/>
        <v>2771</v>
      </c>
      <c r="B2810" s="14" t="s">
        <v>2358</v>
      </c>
      <c r="C2810" s="15" t="s">
        <v>3</v>
      </c>
      <c r="D2810" s="14" t="s">
        <v>500</v>
      </c>
      <c r="E2810" s="14" t="s">
        <v>2327</v>
      </c>
      <c r="F2810" s="72" t="s">
        <v>8</v>
      </c>
      <c r="G2810" s="32">
        <v>42686</v>
      </c>
      <c r="H2810" s="17">
        <v>10241135.741007308</v>
      </c>
      <c r="I2810" s="17">
        <v>0</v>
      </c>
      <c r="J2810" s="17">
        <v>0</v>
      </c>
      <c r="K2810" s="17">
        <f t="shared" si="517"/>
        <v>10241135.741007308</v>
      </c>
      <c r="L2810" s="17">
        <f t="shared" si="523"/>
        <v>512056.78705036541</v>
      </c>
      <c r="M2810" s="42">
        <v>25</v>
      </c>
      <c r="N2810" s="18">
        <f t="shared" si="518"/>
        <v>3.3890410958904109</v>
      </c>
      <c r="O2810" s="23">
        <f>(K2810-L2810)/M2810*N2810-J2810</f>
        <v>1318889.9360049029</v>
      </c>
      <c r="P2810" s="18">
        <f t="shared" si="519"/>
        <v>4.3890410958904109</v>
      </c>
      <c r="Q2810" s="18">
        <f t="shared" si="525"/>
        <v>389163.15815827774</v>
      </c>
      <c r="R2810" s="18">
        <f t="shared" si="524"/>
        <v>1708053.0941631808</v>
      </c>
      <c r="S2810" s="18">
        <f t="shared" si="513"/>
        <v>8533082.6468441263</v>
      </c>
    </row>
    <row r="2811" spans="1:19" ht="15" customHeight="1" x14ac:dyDescent="0.2">
      <c r="A2811" s="14">
        <f t="shared" si="520"/>
        <v>2772</v>
      </c>
      <c r="B2811" s="14" t="s">
        <v>2359</v>
      </c>
      <c r="C2811" s="15" t="s">
        <v>3</v>
      </c>
      <c r="D2811" s="14" t="s">
        <v>500</v>
      </c>
      <c r="E2811" s="14" t="s">
        <v>2327</v>
      </c>
      <c r="F2811" s="72" t="s">
        <v>8</v>
      </c>
      <c r="G2811" s="32">
        <v>42686</v>
      </c>
      <c r="H2811" s="17">
        <v>290690.40986108989</v>
      </c>
      <c r="I2811" s="17">
        <v>0</v>
      </c>
      <c r="J2811" s="17">
        <v>0</v>
      </c>
      <c r="K2811" s="17">
        <f t="shared" si="517"/>
        <v>290690.40986108989</v>
      </c>
      <c r="L2811" s="17">
        <f t="shared" si="523"/>
        <v>14534.520493054495</v>
      </c>
      <c r="M2811" s="42">
        <v>25</v>
      </c>
      <c r="N2811" s="18">
        <f t="shared" si="518"/>
        <v>3.3890410958904109</v>
      </c>
      <c r="O2811" s="23">
        <f>(K2811-L2811)/M2811*N2811-J2811</f>
        <v>37436.146317617517</v>
      </c>
      <c r="P2811" s="18">
        <f t="shared" si="519"/>
        <v>4.3890410958904109</v>
      </c>
      <c r="Q2811" s="18">
        <f t="shared" si="525"/>
        <v>11046.235574721417</v>
      </c>
      <c r="R2811" s="18">
        <f t="shared" si="524"/>
        <v>48482.381892338934</v>
      </c>
      <c r="S2811" s="18">
        <f t="shared" si="513"/>
        <v>242208.02796875098</v>
      </c>
    </row>
    <row r="2812" spans="1:19" ht="15" customHeight="1" x14ac:dyDescent="0.2">
      <c r="A2812" s="14">
        <f t="shared" si="520"/>
        <v>2773</v>
      </c>
      <c r="B2812" s="14" t="s">
        <v>2360</v>
      </c>
      <c r="C2812" s="15" t="s">
        <v>3</v>
      </c>
      <c r="D2812" s="14" t="s">
        <v>500</v>
      </c>
      <c r="E2812" s="14" t="s">
        <v>2327</v>
      </c>
      <c r="F2812" s="72" t="s">
        <v>8</v>
      </c>
      <c r="G2812" s="32">
        <v>42686</v>
      </c>
      <c r="H2812" s="17">
        <v>44455262.950686574</v>
      </c>
      <c r="I2812" s="17">
        <v>0</v>
      </c>
      <c r="J2812" s="17">
        <v>0</v>
      </c>
      <c r="K2812" s="17">
        <f t="shared" si="517"/>
        <v>44455262.950686574</v>
      </c>
      <c r="L2812" s="17">
        <f t="shared" si="523"/>
        <v>2222763.147534329</v>
      </c>
      <c r="M2812" s="42">
        <v>25</v>
      </c>
      <c r="N2812" s="18">
        <f t="shared" si="518"/>
        <v>3.3890410958904109</v>
      </c>
      <c r="O2812" s="23">
        <f>(K2812-L2812)/M2812*N2812-J2812</f>
        <v>5725107.0966026662</v>
      </c>
      <c r="P2812" s="18">
        <f t="shared" si="519"/>
        <v>4.3890410958904109</v>
      </c>
      <c r="Q2812" s="18">
        <f t="shared" si="525"/>
        <v>1689299.99212609</v>
      </c>
      <c r="R2812" s="18">
        <f t="shared" si="524"/>
        <v>7414407.0887287557</v>
      </c>
      <c r="S2812" s="18">
        <f t="shared" si="513"/>
        <v>37040855.861957818</v>
      </c>
    </row>
    <row r="2813" spans="1:19" ht="15" customHeight="1" x14ac:dyDescent="0.2">
      <c r="A2813" s="14">
        <f t="shared" si="520"/>
        <v>2774</v>
      </c>
      <c r="B2813" s="14" t="s">
        <v>2361</v>
      </c>
      <c r="C2813" s="15" t="s">
        <v>3</v>
      </c>
      <c r="D2813" s="14" t="s">
        <v>500</v>
      </c>
      <c r="E2813" s="14" t="s">
        <v>2327</v>
      </c>
      <c r="F2813" s="72" t="s">
        <v>11</v>
      </c>
      <c r="G2813" s="32">
        <v>42686</v>
      </c>
      <c r="H2813" s="17">
        <v>48942650.622593552</v>
      </c>
      <c r="I2813" s="17">
        <v>0</v>
      </c>
      <c r="J2813" s="17">
        <v>0</v>
      </c>
      <c r="K2813" s="17">
        <f t="shared" si="517"/>
        <v>48942650.622593552</v>
      </c>
      <c r="L2813" s="17">
        <f t="shared" si="523"/>
        <v>2447132.5311296778</v>
      </c>
      <c r="M2813" s="42">
        <v>25</v>
      </c>
      <c r="N2813" s="18">
        <f t="shared" si="518"/>
        <v>3.3890410958904109</v>
      </c>
      <c r="O2813" s="23">
        <f>(K2813-L2813)/M2813*N2813-J2813-2000000</f>
        <v>4303008.8634674866</v>
      </c>
      <c r="P2813" s="18">
        <f t="shared" si="519"/>
        <v>4.3890410958904109</v>
      </c>
      <c r="Q2813" s="18">
        <f t="shared" si="525"/>
        <v>1859820.723658555</v>
      </c>
      <c r="R2813" s="18">
        <f t="shared" si="524"/>
        <v>6162829.5871260418</v>
      </c>
      <c r="S2813" s="18">
        <f t="shared" si="513"/>
        <v>42779821.035467513</v>
      </c>
    </row>
    <row r="2814" spans="1:19" ht="15" customHeight="1" x14ac:dyDescent="0.2">
      <c r="A2814" s="14">
        <f t="shared" si="520"/>
        <v>2775</v>
      </c>
      <c r="B2814" s="14" t="s">
        <v>2362</v>
      </c>
      <c r="C2814" s="15" t="s">
        <v>3</v>
      </c>
      <c r="D2814" s="14" t="s">
        <v>500</v>
      </c>
      <c r="E2814" s="14" t="s">
        <v>2327</v>
      </c>
      <c r="F2814" s="72" t="s">
        <v>8</v>
      </c>
      <c r="G2814" s="32">
        <v>42686</v>
      </c>
      <c r="H2814" s="17">
        <v>6689740.9403886339</v>
      </c>
      <c r="I2814" s="17">
        <v>0</v>
      </c>
      <c r="J2814" s="17">
        <v>0</v>
      </c>
      <c r="K2814" s="17">
        <f t="shared" si="517"/>
        <v>6689740.9403886339</v>
      </c>
      <c r="L2814" s="17">
        <f t="shared" si="523"/>
        <v>334487.04701943172</v>
      </c>
      <c r="M2814" s="42">
        <v>25</v>
      </c>
      <c r="N2814" s="18">
        <f t="shared" si="518"/>
        <v>3.3890410958904109</v>
      </c>
      <c r="O2814" s="23">
        <f t="shared" ref="O2814:O2829" si="526">(K2814-L2814)/M2814*N2814-J2814</f>
        <v>861528.66477783059</v>
      </c>
      <c r="P2814" s="18">
        <f t="shared" si="519"/>
        <v>4.3890410958904109</v>
      </c>
      <c r="Q2814" s="18">
        <f t="shared" si="525"/>
        <v>254210.15573476811</v>
      </c>
      <c r="R2814" s="18">
        <f t="shared" si="524"/>
        <v>1115738.8205125986</v>
      </c>
      <c r="S2814" s="18">
        <f t="shared" si="513"/>
        <v>5574002.1198760355</v>
      </c>
    </row>
    <row r="2815" spans="1:19" ht="15" customHeight="1" x14ac:dyDescent="0.2">
      <c r="A2815" s="14">
        <f t="shared" si="520"/>
        <v>2776</v>
      </c>
      <c r="B2815" s="14" t="s">
        <v>2363</v>
      </c>
      <c r="C2815" s="15" t="s">
        <v>3</v>
      </c>
      <c r="D2815" s="14" t="s">
        <v>500</v>
      </c>
      <c r="E2815" s="14" t="s">
        <v>2327</v>
      </c>
      <c r="F2815" s="74" t="s">
        <v>11</v>
      </c>
      <c r="G2815" s="32">
        <v>42686</v>
      </c>
      <c r="H2815" s="17">
        <v>2865791.855612223</v>
      </c>
      <c r="I2815" s="17">
        <v>0</v>
      </c>
      <c r="J2815" s="17">
        <v>0</v>
      </c>
      <c r="K2815" s="17">
        <f t="shared" si="517"/>
        <v>2865791.855612223</v>
      </c>
      <c r="L2815" s="17">
        <f t="shared" si="523"/>
        <v>143289.59278061116</v>
      </c>
      <c r="M2815" s="42">
        <v>25</v>
      </c>
      <c r="N2815" s="18">
        <f t="shared" si="518"/>
        <v>3.3890410958904109</v>
      </c>
      <c r="O2815" s="23">
        <f t="shared" si="526"/>
        <v>369066.88209563878</v>
      </c>
      <c r="P2815" s="18">
        <f t="shared" si="519"/>
        <v>4.3890410958904109</v>
      </c>
      <c r="Q2815" s="18">
        <f t="shared" si="525"/>
        <v>108900.09051326448</v>
      </c>
      <c r="R2815" s="18">
        <f t="shared" si="524"/>
        <v>477966.97260890325</v>
      </c>
      <c r="S2815" s="18">
        <f t="shared" si="513"/>
        <v>2387824.8830033196</v>
      </c>
    </row>
    <row r="2816" spans="1:19" ht="15" customHeight="1" x14ac:dyDescent="0.2">
      <c r="A2816" s="14">
        <f t="shared" si="520"/>
        <v>2777</v>
      </c>
      <c r="B2816" s="14" t="s">
        <v>2364</v>
      </c>
      <c r="C2816" s="15" t="s">
        <v>3</v>
      </c>
      <c r="D2816" s="14" t="s">
        <v>500</v>
      </c>
      <c r="E2816" s="14" t="s">
        <v>2327</v>
      </c>
      <c r="F2816" s="72" t="s">
        <v>11</v>
      </c>
      <c r="G2816" s="32">
        <v>42686</v>
      </c>
      <c r="H2816" s="17">
        <v>1228174.1783788467</v>
      </c>
      <c r="I2816" s="17">
        <v>0</v>
      </c>
      <c r="J2816" s="17">
        <v>0</v>
      </c>
      <c r="K2816" s="17">
        <f t="shared" si="517"/>
        <v>1228174.1783788467</v>
      </c>
      <c r="L2816" s="17">
        <f t="shared" si="523"/>
        <v>61408.708918942342</v>
      </c>
      <c r="M2816" s="42">
        <v>25</v>
      </c>
      <c r="N2816" s="18">
        <f t="shared" si="518"/>
        <v>3.3890410958904109</v>
      </c>
      <c r="O2816" s="23">
        <f t="shared" si="526"/>
        <v>158168.64501061937</v>
      </c>
      <c r="P2816" s="18">
        <f t="shared" si="519"/>
        <v>4.3890410958904109</v>
      </c>
      <c r="Q2816" s="18">
        <f t="shared" si="525"/>
        <v>46670.618778396172</v>
      </c>
      <c r="R2816" s="18">
        <f t="shared" si="524"/>
        <v>204839.26378901553</v>
      </c>
      <c r="S2816" s="18">
        <f t="shared" si="513"/>
        <v>1023334.9145898311</v>
      </c>
    </row>
    <row r="2817" spans="1:19" ht="15" customHeight="1" x14ac:dyDescent="0.2">
      <c r="A2817" s="14">
        <f t="shared" si="520"/>
        <v>2778</v>
      </c>
      <c r="B2817" s="14" t="s">
        <v>2365</v>
      </c>
      <c r="C2817" s="15" t="s">
        <v>3</v>
      </c>
      <c r="D2817" s="14" t="s">
        <v>500</v>
      </c>
      <c r="E2817" s="14" t="s">
        <v>2327</v>
      </c>
      <c r="F2817" s="72" t="s">
        <v>11</v>
      </c>
      <c r="G2817" s="32">
        <v>42686</v>
      </c>
      <c r="H2817" s="17">
        <v>1902534.8477021828</v>
      </c>
      <c r="I2817" s="17">
        <v>0</v>
      </c>
      <c r="J2817" s="17">
        <v>0</v>
      </c>
      <c r="K2817" s="17">
        <f t="shared" si="517"/>
        <v>1902534.8477021828</v>
      </c>
      <c r="L2817" s="17">
        <f t="shared" si="523"/>
        <v>95126.742385109144</v>
      </c>
      <c r="M2817" s="42">
        <v>25</v>
      </c>
      <c r="N2817" s="18">
        <f t="shared" si="518"/>
        <v>3.3890410958904109</v>
      </c>
      <c r="O2817" s="23">
        <f t="shared" si="526"/>
        <v>245015.21383859945</v>
      </c>
      <c r="P2817" s="18">
        <f t="shared" si="519"/>
        <v>4.3890410958904109</v>
      </c>
      <c r="Q2817" s="18">
        <f t="shared" si="525"/>
        <v>72296.324212682943</v>
      </c>
      <c r="R2817" s="18">
        <f t="shared" si="524"/>
        <v>317311.5380512824</v>
      </c>
      <c r="S2817" s="18">
        <f t="shared" si="513"/>
        <v>1585223.3096509003</v>
      </c>
    </row>
    <row r="2818" spans="1:19" ht="15" customHeight="1" x14ac:dyDescent="0.2">
      <c r="A2818" s="14">
        <f t="shared" si="520"/>
        <v>2779</v>
      </c>
      <c r="B2818" s="14" t="s">
        <v>2366</v>
      </c>
      <c r="C2818" s="15" t="s">
        <v>3</v>
      </c>
      <c r="D2818" s="14" t="s">
        <v>500</v>
      </c>
      <c r="E2818" s="14" t="s">
        <v>2327</v>
      </c>
      <c r="F2818" s="72" t="s">
        <v>11</v>
      </c>
      <c r="G2818" s="32">
        <v>42686</v>
      </c>
      <c r="H2818" s="17">
        <v>7308560.422213777</v>
      </c>
      <c r="I2818" s="17">
        <v>0</v>
      </c>
      <c r="J2818" s="17">
        <v>0</v>
      </c>
      <c r="K2818" s="17">
        <f t="shared" si="517"/>
        <v>7308560.422213777</v>
      </c>
      <c r="L2818" s="17">
        <f t="shared" si="523"/>
        <v>365428.02111068886</v>
      </c>
      <c r="M2818" s="42">
        <v>25</v>
      </c>
      <c r="N2818" s="18">
        <f t="shared" si="518"/>
        <v>3.3890410958904109</v>
      </c>
      <c r="O2818" s="23">
        <f t="shared" si="526"/>
        <v>941222.44166186522</v>
      </c>
      <c r="P2818" s="18">
        <f t="shared" si="519"/>
        <v>4.3890410958904109</v>
      </c>
      <c r="Q2818" s="18">
        <f t="shared" si="525"/>
        <v>277725.29604412353</v>
      </c>
      <c r="R2818" s="18">
        <f t="shared" si="524"/>
        <v>1218947.7377059888</v>
      </c>
      <c r="S2818" s="18">
        <f t="shared" si="513"/>
        <v>6089612.6845077882</v>
      </c>
    </row>
    <row r="2819" spans="1:19" ht="15" customHeight="1" x14ac:dyDescent="0.2">
      <c r="A2819" s="14">
        <f t="shared" si="520"/>
        <v>2780</v>
      </c>
      <c r="B2819" s="14" t="s">
        <v>2367</v>
      </c>
      <c r="C2819" s="15" t="s">
        <v>3</v>
      </c>
      <c r="D2819" s="14" t="s">
        <v>500</v>
      </c>
      <c r="E2819" s="14" t="s">
        <v>2327</v>
      </c>
      <c r="F2819" s="74" t="s">
        <v>11</v>
      </c>
      <c r="G2819" s="32">
        <v>42686</v>
      </c>
      <c r="H2819" s="17">
        <v>19648863.254695803</v>
      </c>
      <c r="I2819" s="17">
        <v>0</v>
      </c>
      <c r="J2819" s="17">
        <v>0</v>
      </c>
      <c r="K2819" s="17">
        <f t="shared" si="517"/>
        <v>19648863.254695803</v>
      </c>
      <c r="L2819" s="17">
        <f t="shared" si="523"/>
        <v>982443.16273479024</v>
      </c>
      <c r="M2819" s="42">
        <v>25</v>
      </c>
      <c r="N2819" s="18">
        <f t="shared" si="518"/>
        <v>3.3890410958904109</v>
      </c>
      <c r="O2819" s="23">
        <f t="shared" si="526"/>
        <v>2530450.5921924128</v>
      </c>
      <c r="P2819" s="18">
        <f t="shared" si="519"/>
        <v>4.3890410958904109</v>
      </c>
      <c r="Q2819" s="18">
        <f t="shared" si="525"/>
        <v>746656.80367844051</v>
      </c>
      <c r="R2819" s="18">
        <f t="shared" si="524"/>
        <v>3277107.3958708532</v>
      </c>
      <c r="S2819" s="18">
        <f t="shared" ref="S2819:S2882" si="527">K2819-R2819</f>
        <v>16371755.85882495</v>
      </c>
    </row>
    <row r="2820" spans="1:19" ht="15" customHeight="1" x14ac:dyDescent="0.2">
      <c r="A2820" s="14">
        <f t="shared" si="520"/>
        <v>2781</v>
      </c>
      <c r="B2820" s="14" t="s">
        <v>2368</v>
      </c>
      <c r="C2820" s="15" t="s">
        <v>3</v>
      </c>
      <c r="D2820" s="14" t="s">
        <v>500</v>
      </c>
      <c r="E2820" s="14" t="s">
        <v>2327</v>
      </c>
      <c r="F2820" s="72" t="s">
        <v>11</v>
      </c>
      <c r="G2820" s="32">
        <v>42686</v>
      </c>
      <c r="H2820" s="17">
        <v>1157371.0194527451</v>
      </c>
      <c r="I2820" s="17">
        <v>0</v>
      </c>
      <c r="J2820" s="17">
        <v>0</v>
      </c>
      <c r="K2820" s="17">
        <f t="shared" si="517"/>
        <v>1157371.0194527451</v>
      </c>
      <c r="L2820" s="17">
        <f t="shared" si="523"/>
        <v>57868.550972637255</v>
      </c>
      <c r="M2820" s="42">
        <v>25</v>
      </c>
      <c r="N2820" s="18">
        <f t="shared" si="518"/>
        <v>3.3890410958904109</v>
      </c>
      <c r="O2820" s="23">
        <f t="shared" si="526"/>
        <v>149050.36202848147</v>
      </c>
      <c r="P2820" s="18">
        <f t="shared" si="519"/>
        <v>4.3890410958904109</v>
      </c>
      <c r="Q2820" s="18">
        <f t="shared" si="525"/>
        <v>43980.098739204317</v>
      </c>
      <c r="R2820" s="18">
        <f t="shared" si="524"/>
        <v>193030.46076768578</v>
      </c>
      <c r="S2820" s="18">
        <f t="shared" si="527"/>
        <v>964340.55868505931</v>
      </c>
    </row>
    <row r="2821" spans="1:19" ht="15" customHeight="1" x14ac:dyDescent="0.2">
      <c r="A2821" s="14">
        <f t="shared" si="520"/>
        <v>2782</v>
      </c>
      <c r="B2821" s="14" t="s">
        <v>2369</v>
      </c>
      <c r="C2821" s="15" t="s">
        <v>3</v>
      </c>
      <c r="D2821" s="14" t="s">
        <v>500</v>
      </c>
      <c r="E2821" s="14" t="s">
        <v>2327</v>
      </c>
      <c r="F2821" s="72" t="s">
        <v>11</v>
      </c>
      <c r="G2821" s="32">
        <v>42686</v>
      </c>
      <c r="H2821" s="17">
        <v>2232295.3864038149</v>
      </c>
      <c r="I2821" s="17">
        <v>0</v>
      </c>
      <c r="J2821" s="17">
        <v>0</v>
      </c>
      <c r="K2821" s="17">
        <f t="shared" si="517"/>
        <v>2232295.3864038149</v>
      </c>
      <c r="L2821" s="17">
        <f t="shared" si="523"/>
        <v>111614.76932019075</v>
      </c>
      <c r="M2821" s="42">
        <v>25</v>
      </c>
      <c r="N2821" s="18">
        <f t="shared" si="518"/>
        <v>3.3890410958904109</v>
      </c>
      <c r="O2821" s="23">
        <f t="shared" si="526"/>
        <v>287482.9505021855</v>
      </c>
      <c r="P2821" s="18">
        <f t="shared" si="519"/>
        <v>4.3890410958904109</v>
      </c>
      <c r="Q2821" s="18">
        <f t="shared" si="525"/>
        <v>84827.224683344961</v>
      </c>
      <c r="R2821" s="18">
        <f t="shared" si="524"/>
        <v>372310.17518553045</v>
      </c>
      <c r="S2821" s="18">
        <f t="shared" si="527"/>
        <v>1859985.2112182844</v>
      </c>
    </row>
    <row r="2822" spans="1:19" ht="15" customHeight="1" x14ac:dyDescent="0.2">
      <c r="A2822" s="14">
        <f t="shared" si="520"/>
        <v>2783</v>
      </c>
      <c r="B2822" s="14" t="s">
        <v>2370</v>
      </c>
      <c r="C2822" s="15" t="s">
        <v>3</v>
      </c>
      <c r="D2822" s="14" t="s">
        <v>500</v>
      </c>
      <c r="E2822" s="14" t="s">
        <v>2327</v>
      </c>
      <c r="F2822" s="72" t="s">
        <v>11</v>
      </c>
      <c r="G2822" s="32">
        <v>42686</v>
      </c>
      <c r="H2822" s="17">
        <v>35599353.873642363</v>
      </c>
      <c r="I2822" s="17">
        <v>0</v>
      </c>
      <c r="J2822" s="17">
        <v>0</v>
      </c>
      <c r="K2822" s="17">
        <f t="shared" si="517"/>
        <v>35599353.873642363</v>
      </c>
      <c r="L2822" s="17">
        <f t="shared" si="523"/>
        <v>1779967.6936821183</v>
      </c>
      <c r="M2822" s="42">
        <v>25</v>
      </c>
      <c r="N2822" s="18">
        <f t="shared" si="518"/>
        <v>3.3890410958904109</v>
      </c>
      <c r="O2822" s="23">
        <f t="shared" si="526"/>
        <v>4584611.5840669395</v>
      </c>
      <c r="P2822" s="18">
        <f t="shared" si="519"/>
        <v>4.3890410958904109</v>
      </c>
      <c r="Q2822" s="18">
        <f t="shared" si="525"/>
        <v>1352775.4471984098</v>
      </c>
      <c r="R2822" s="18">
        <f t="shared" si="524"/>
        <v>5937387.0312653491</v>
      </c>
      <c r="S2822" s="18">
        <f t="shared" si="527"/>
        <v>29661966.842377014</v>
      </c>
    </row>
    <row r="2823" spans="1:19" ht="15" customHeight="1" x14ac:dyDescent="0.2">
      <c r="A2823" s="14">
        <f t="shared" si="520"/>
        <v>2784</v>
      </c>
      <c r="B2823" s="14" t="s">
        <v>2371</v>
      </c>
      <c r="C2823" s="15" t="s">
        <v>3</v>
      </c>
      <c r="D2823" s="14" t="s">
        <v>500</v>
      </c>
      <c r="E2823" s="14" t="s">
        <v>2327</v>
      </c>
      <c r="F2823" s="72" t="s">
        <v>11</v>
      </c>
      <c r="G2823" s="32">
        <v>42686</v>
      </c>
      <c r="H2823" s="17">
        <v>7885762.986361498</v>
      </c>
      <c r="I2823" s="17">
        <v>0</v>
      </c>
      <c r="J2823" s="17">
        <v>0</v>
      </c>
      <c r="K2823" s="17">
        <f t="shared" si="517"/>
        <v>7885762.986361498</v>
      </c>
      <c r="L2823" s="17">
        <f t="shared" si="523"/>
        <v>394288.14931807492</v>
      </c>
      <c r="M2823" s="42">
        <v>25</v>
      </c>
      <c r="N2823" s="18">
        <f t="shared" si="518"/>
        <v>3.3890410958904109</v>
      </c>
      <c r="O2823" s="23">
        <f t="shared" si="526"/>
        <v>1015556.6436627632</v>
      </c>
      <c r="P2823" s="18">
        <f t="shared" si="519"/>
        <v>4.3890410958904109</v>
      </c>
      <c r="Q2823" s="18">
        <f t="shared" si="525"/>
        <v>299658.99348173692</v>
      </c>
      <c r="R2823" s="18">
        <f t="shared" si="524"/>
        <v>1315215.6371445002</v>
      </c>
      <c r="S2823" s="18">
        <f t="shared" si="527"/>
        <v>6570547.3492169976</v>
      </c>
    </row>
    <row r="2824" spans="1:19" ht="15" customHeight="1" x14ac:dyDescent="0.2">
      <c r="A2824" s="14">
        <f t="shared" si="520"/>
        <v>2785</v>
      </c>
      <c r="B2824" s="14" t="s">
        <v>2372</v>
      </c>
      <c r="C2824" s="15" t="s">
        <v>3</v>
      </c>
      <c r="D2824" s="14" t="s">
        <v>500</v>
      </c>
      <c r="E2824" s="14" t="s">
        <v>2327</v>
      </c>
      <c r="F2824" s="72" t="s">
        <v>11</v>
      </c>
      <c r="G2824" s="32">
        <v>42686</v>
      </c>
      <c r="H2824" s="17">
        <v>1904619.6993080664</v>
      </c>
      <c r="I2824" s="17">
        <v>0</v>
      </c>
      <c r="J2824" s="17">
        <v>0</v>
      </c>
      <c r="K2824" s="17">
        <f t="shared" si="517"/>
        <v>1904619.6993080664</v>
      </c>
      <c r="L2824" s="17">
        <f t="shared" si="523"/>
        <v>95230.984965403331</v>
      </c>
      <c r="M2824" s="42">
        <v>25</v>
      </c>
      <c r="N2824" s="18">
        <f t="shared" si="518"/>
        <v>3.3890410958904109</v>
      </c>
      <c r="O2824" s="23">
        <f t="shared" si="526"/>
        <v>245283.70845390399</v>
      </c>
      <c r="P2824" s="18">
        <f t="shared" si="519"/>
        <v>4.3890410958904109</v>
      </c>
      <c r="Q2824" s="18">
        <f t="shared" si="525"/>
        <v>72375.548573706517</v>
      </c>
      <c r="R2824" s="18">
        <f t="shared" si="524"/>
        <v>317659.2570276105</v>
      </c>
      <c r="S2824" s="18">
        <f t="shared" si="527"/>
        <v>1586960.442280456</v>
      </c>
    </row>
    <row r="2825" spans="1:19" ht="15" customHeight="1" x14ac:dyDescent="0.2">
      <c r="A2825" s="14">
        <f t="shared" si="520"/>
        <v>2786</v>
      </c>
      <c r="B2825" s="14" t="s">
        <v>2373</v>
      </c>
      <c r="C2825" s="15" t="s">
        <v>3</v>
      </c>
      <c r="D2825" s="14" t="s">
        <v>500</v>
      </c>
      <c r="E2825" s="14" t="s">
        <v>2327</v>
      </c>
      <c r="F2825" s="72" t="s">
        <v>11</v>
      </c>
      <c r="G2825" s="32">
        <v>42686</v>
      </c>
      <c r="H2825" s="17">
        <v>3704.2938677132925</v>
      </c>
      <c r="I2825" s="17">
        <v>0</v>
      </c>
      <c r="J2825" s="17">
        <v>0</v>
      </c>
      <c r="K2825" s="17">
        <f t="shared" si="517"/>
        <v>3704.2938677132925</v>
      </c>
      <c r="L2825" s="17">
        <f t="shared" si="523"/>
        <v>185.21469338566465</v>
      </c>
      <c r="M2825" s="42">
        <v>25</v>
      </c>
      <c r="N2825" s="18">
        <f t="shared" si="518"/>
        <v>3.3890410958904109</v>
      </c>
      <c r="O2825" s="23">
        <f t="shared" si="526"/>
        <v>477.05215765953704</v>
      </c>
      <c r="P2825" s="18">
        <f t="shared" si="519"/>
        <v>4.3890410958904109</v>
      </c>
      <c r="Q2825" s="18">
        <f t="shared" si="525"/>
        <v>140.76316697310511</v>
      </c>
      <c r="R2825" s="18">
        <f t="shared" si="524"/>
        <v>617.81532463264216</v>
      </c>
      <c r="S2825" s="18">
        <f t="shared" si="527"/>
        <v>3086.4785430806505</v>
      </c>
    </row>
    <row r="2826" spans="1:19" ht="15" customHeight="1" x14ac:dyDescent="0.2">
      <c r="A2826" s="14">
        <f t="shared" si="520"/>
        <v>2787</v>
      </c>
      <c r="B2826" s="14" t="s">
        <v>2374</v>
      </c>
      <c r="C2826" s="15" t="s">
        <v>3</v>
      </c>
      <c r="D2826" s="14" t="s">
        <v>500</v>
      </c>
      <c r="E2826" s="14" t="s">
        <v>2327</v>
      </c>
      <c r="F2826" s="72" t="s">
        <v>11</v>
      </c>
      <c r="G2826" s="32">
        <v>42686</v>
      </c>
      <c r="H2826" s="17">
        <v>4878582.1428088201</v>
      </c>
      <c r="I2826" s="17">
        <v>0</v>
      </c>
      <c r="J2826" s="17">
        <v>0</v>
      </c>
      <c r="K2826" s="17">
        <f t="shared" si="517"/>
        <v>4878582.1428088201</v>
      </c>
      <c r="L2826" s="17">
        <f t="shared" si="523"/>
        <v>243929.10714044102</v>
      </c>
      <c r="M2826" s="42">
        <v>25</v>
      </c>
      <c r="N2826" s="18">
        <f t="shared" si="518"/>
        <v>3.3890410958904109</v>
      </c>
      <c r="O2826" s="23">
        <f t="shared" si="526"/>
        <v>628281.18412293529</v>
      </c>
      <c r="P2826" s="18">
        <f t="shared" si="519"/>
        <v>4.3890410958904109</v>
      </c>
      <c r="Q2826" s="18">
        <f t="shared" si="525"/>
        <v>185386.12142673516</v>
      </c>
      <c r="R2826" s="18">
        <f t="shared" si="524"/>
        <v>813667.30554967048</v>
      </c>
      <c r="S2826" s="18">
        <f t="shared" si="527"/>
        <v>4064914.8372591496</v>
      </c>
    </row>
    <row r="2827" spans="1:19" ht="15" customHeight="1" x14ac:dyDescent="0.2">
      <c r="A2827" s="14">
        <f t="shared" si="520"/>
        <v>2788</v>
      </c>
      <c r="B2827" s="14" t="s">
        <v>2375</v>
      </c>
      <c r="C2827" s="15" t="s">
        <v>3</v>
      </c>
      <c r="D2827" s="14" t="s">
        <v>500</v>
      </c>
      <c r="E2827" s="14" t="s">
        <v>2327</v>
      </c>
      <c r="F2827" s="72" t="s">
        <v>11</v>
      </c>
      <c r="G2827" s="32">
        <v>42686</v>
      </c>
      <c r="H2827" s="17">
        <v>2550158.4068653821</v>
      </c>
      <c r="I2827" s="17">
        <v>0</v>
      </c>
      <c r="J2827" s="17">
        <v>0</v>
      </c>
      <c r="K2827" s="17">
        <f t="shared" si="517"/>
        <v>2550158.4068653821</v>
      </c>
      <c r="L2827" s="17">
        <f t="shared" si="523"/>
        <v>127507.92034326911</v>
      </c>
      <c r="M2827" s="42">
        <v>25</v>
      </c>
      <c r="N2827" s="18">
        <f t="shared" si="518"/>
        <v>3.3890410958904109</v>
      </c>
      <c r="O2827" s="23">
        <f t="shared" si="526"/>
        <v>328418.48239209357</v>
      </c>
      <c r="P2827" s="18">
        <f t="shared" si="519"/>
        <v>4.3890410958904109</v>
      </c>
      <c r="Q2827" s="18">
        <f t="shared" si="525"/>
        <v>96906.01946088452</v>
      </c>
      <c r="R2827" s="18">
        <f t="shared" si="524"/>
        <v>425324.50185297808</v>
      </c>
      <c r="S2827" s="18">
        <f t="shared" si="527"/>
        <v>2124833.9050124041</v>
      </c>
    </row>
    <row r="2828" spans="1:19" ht="15" customHeight="1" x14ac:dyDescent="0.2">
      <c r="A2828" s="14">
        <f t="shared" si="520"/>
        <v>2789</v>
      </c>
      <c r="B2828" s="14" t="s">
        <v>2376</v>
      </c>
      <c r="C2828" s="15" t="s">
        <v>3</v>
      </c>
      <c r="D2828" s="14" t="s">
        <v>500</v>
      </c>
      <c r="E2828" s="14" t="s">
        <v>2327</v>
      </c>
      <c r="F2828" s="72" t="s">
        <v>11</v>
      </c>
      <c r="G2828" s="32">
        <v>42686</v>
      </c>
      <c r="H2828" s="17">
        <v>17179155.693197593</v>
      </c>
      <c r="I2828" s="17">
        <v>0</v>
      </c>
      <c r="J2828" s="17">
        <v>0</v>
      </c>
      <c r="K2828" s="17">
        <f t="shared" si="517"/>
        <v>17179155.693197593</v>
      </c>
      <c r="L2828" s="17">
        <f t="shared" si="523"/>
        <v>858957.78465987975</v>
      </c>
      <c r="M2828" s="42">
        <v>25</v>
      </c>
      <c r="N2828" s="18">
        <f t="shared" si="518"/>
        <v>3.3890410958904109</v>
      </c>
      <c r="O2828" s="23">
        <f t="shared" si="526"/>
        <v>2212392.8562039617</v>
      </c>
      <c r="P2828" s="18">
        <f t="shared" si="519"/>
        <v>4.3890410958904109</v>
      </c>
      <c r="Q2828" s="18">
        <f t="shared" si="525"/>
        <v>652807.91634150862</v>
      </c>
      <c r="R2828" s="18">
        <f t="shared" si="524"/>
        <v>2865200.7725454704</v>
      </c>
      <c r="S2828" s="18">
        <f t="shared" si="527"/>
        <v>14313954.920652123</v>
      </c>
    </row>
    <row r="2829" spans="1:19" ht="15" customHeight="1" x14ac:dyDescent="0.2">
      <c r="A2829" s="14">
        <f t="shared" si="520"/>
        <v>2790</v>
      </c>
      <c r="B2829" s="14" t="s">
        <v>2377</v>
      </c>
      <c r="C2829" s="15" t="s">
        <v>3</v>
      </c>
      <c r="D2829" s="14" t="s">
        <v>500</v>
      </c>
      <c r="E2829" s="14" t="s">
        <v>2327</v>
      </c>
      <c r="F2829" s="72" t="s">
        <v>11</v>
      </c>
      <c r="G2829" s="32">
        <v>42686</v>
      </c>
      <c r="H2829" s="17">
        <v>981989.32588264544</v>
      </c>
      <c r="I2829" s="17">
        <v>0</v>
      </c>
      <c r="J2829" s="17">
        <v>0</v>
      </c>
      <c r="K2829" s="17">
        <f t="shared" si="517"/>
        <v>981989.32588264544</v>
      </c>
      <c r="L2829" s="17">
        <f t="shared" si="523"/>
        <v>49099.466294132275</v>
      </c>
      <c r="M2829" s="42">
        <v>25</v>
      </c>
      <c r="N2829" s="18">
        <f t="shared" si="518"/>
        <v>3.3890410958904109</v>
      </c>
      <c r="O2829" s="23">
        <f t="shared" si="526"/>
        <v>126464.08288339624</v>
      </c>
      <c r="P2829" s="18">
        <f t="shared" si="519"/>
        <v>4.3890410958904109</v>
      </c>
      <c r="Q2829" s="18">
        <f t="shared" si="525"/>
        <v>37315.594383540527</v>
      </c>
      <c r="R2829" s="18">
        <f t="shared" si="524"/>
        <v>163779.67726693678</v>
      </c>
      <c r="S2829" s="18">
        <f t="shared" si="527"/>
        <v>818209.64861570869</v>
      </c>
    </row>
    <row r="2830" spans="1:19" ht="15" customHeight="1" x14ac:dyDescent="0.2">
      <c r="A2830" s="14">
        <f t="shared" si="520"/>
        <v>2791</v>
      </c>
      <c r="B2830" s="14" t="s">
        <v>2378</v>
      </c>
      <c r="C2830" s="15" t="s">
        <v>3</v>
      </c>
      <c r="D2830" s="14" t="s">
        <v>500</v>
      </c>
      <c r="E2830" s="14" t="s">
        <v>2327</v>
      </c>
      <c r="F2830" s="74" t="s">
        <v>11</v>
      </c>
      <c r="G2830" s="32">
        <v>42686</v>
      </c>
      <c r="H2830" s="17">
        <v>198915459.06141996</v>
      </c>
      <c r="I2830" s="17">
        <v>0</v>
      </c>
      <c r="J2830" s="17">
        <v>0</v>
      </c>
      <c r="K2830" s="17">
        <f t="shared" si="517"/>
        <v>198915459.06141996</v>
      </c>
      <c r="L2830" s="17">
        <f t="shared" si="523"/>
        <v>9945772.9530709982</v>
      </c>
      <c r="M2830" s="42">
        <v>25</v>
      </c>
      <c r="N2830" s="18">
        <f t="shared" si="518"/>
        <v>3.3890410958904109</v>
      </c>
      <c r="O2830" s="23">
        <f>(K2830-L2830)/M2830*N2830-J2830-10000000-131439</f>
        <v>15485602.283948235</v>
      </c>
      <c r="P2830" s="18">
        <f t="shared" si="519"/>
        <v>4.3890410958904109</v>
      </c>
      <c r="Q2830" s="18">
        <f>(P2830-N2830)/M2830*(K2830-L2830)+5000000</f>
        <v>12558787.444333959</v>
      </c>
      <c r="R2830" s="18">
        <f>O2830+Q2830-1490465</f>
        <v>26553924.728282195</v>
      </c>
      <c r="S2830" s="18">
        <f>K2830-R2830+10429340+10429340</f>
        <v>193220214.33313778</v>
      </c>
    </row>
    <row r="2831" spans="1:19" ht="15" customHeight="1" x14ac:dyDescent="0.2">
      <c r="A2831" s="14">
        <f t="shared" si="520"/>
        <v>2792</v>
      </c>
      <c r="B2831" s="14" t="s">
        <v>2379</v>
      </c>
      <c r="C2831" s="15" t="s">
        <v>3</v>
      </c>
      <c r="D2831" s="14" t="s">
        <v>500</v>
      </c>
      <c r="E2831" s="14" t="s">
        <v>2327</v>
      </c>
      <c r="F2831" s="72" t="s">
        <v>11</v>
      </c>
      <c r="G2831" s="32">
        <v>42686</v>
      </c>
      <c r="H2831" s="17">
        <v>604626.36080797855</v>
      </c>
      <c r="I2831" s="17">
        <v>0</v>
      </c>
      <c r="J2831" s="17">
        <v>0</v>
      </c>
      <c r="K2831" s="17">
        <f t="shared" si="517"/>
        <v>604626.36080797855</v>
      </c>
      <c r="L2831" s="17">
        <f t="shared" si="523"/>
        <v>30231.318040398928</v>
      </c>
      <c r="M2831" s="42">
        <v>25</v>
      </c>
      <c r="N2831" s="18">
        <f t="shared" si="518"/>
        <v>3.3890410958904109</v>
      </c>
      <c r="O2831" s="23">
        <f t="shared" ref="O2831:O2862" si="528">(K2831-L2831)/M2831*N2831-J2831</f>
        <v>77865.936208602317</v>
      </c>
      <c r="P2831" s="18">
        <f t="shared" si="519"/>
        <v>4.3890410958904109</v>
      </c>
      <c r="Q2831" s="18">
        <f t="shared" ref="Q2831:Q2862" si="529">(P2831-N2831)/M2831*(K2831-L2831)</f>
        <v>22975.801710703188</v>
      </c>
      <c r="R2831" s="18">
        <f t="shared" si="524"/>
        <v>100841.73791930551</v>
      </c>
      <c r="S2831" s="18">
        <f t="shared" si="527"/>
        <v>503784.62288867304</v>
      </c>
    </row>
    <row r="2832" spans="1:19" ht="15" customHeight="1" x14ac:dyDescent="0.2">
      <c r="A2832" s="14">
        <f t="shared" si="520"/>
        <v>2793</v>
      </c>
      <c r="B2832" s="14" t="s">
        <v>2380</v>
      </c>
      <c r="C2832" s="15" t="s">
        <v>3</v>
      </c>
      <c r="D2832" s="14" t="s">
        <v>500</v>
      </c>
      <c r="E2832" s="14" t="s">
        <v>2327</v>
      </c>
      <c r="F2832" s="72" t="s">
        <v>11</v>
      </c>
      <c r="G2832" s="32">
        <v>42686</v>
      </c>
      <c r="H2832" s="17">
        <v>5081514.6758285537</v>
      </c>
      <c r="I2832" s="17">
        <v>0</v>
      </c>
      <c r="J2832" s="17">
        <v>0</v>
      </c>
      <c r="K2832" s="17">
        <f t="shared" si="517"/>
        <v>5081514.6758285537</v>
      </c>
      <c r="L2832" s="17">
        <f t="shared" si="523"/>
        <v>254075.73379142769</v>
      </c>
      <c r="M2832" s="42">
        <v>25</v>
      </c>
      <c r="N2832" s="18">
        <f t="shared" si="518"/>
        <v>3.3890410958904109</v>
      </c>
      <c r="O2832" s="23">
        <f t="shared" si="528"/>
        <v>654415.55849862192</v>
      </c>
      <c r="P2832" s="18">
        <f t="shared" si="519"/>
        <v>4.3890410958904109</v>
      </c>
      <c r="Q2832" s="18">
        <f t="shared" si="529"/>
        <v>193097.55768148505</v>
      </c>
      <c r="R2832" s="18">
        <f t="shared" si="524"/>
        <v>847513.116180107</v>
      </c>
      <c r="S2832" s="18">
        <f t="shared" si="527"/>
        <v>4234001.5596484467</v>
      </c>
    </row>
    <row r="2833" spans="1:19" ht="15" customHeight="1" x14ac:dyDescent="0.2">
      <c r="A2833" s="14">
        <f t="shared" si="520"/>
        <v>2794</v>
      </c>
      <c r="B2833" s="14" t="s">
        <v>2381</v>
      </c>
      <c r="C2833" s="15" t="s">
        <v>3</v>
      </c>
      <c r="D2833" s="14" t="s">
        <v>2382</v>
      </c>
      <c r="E2833" s="14" t="s">
        <v>2382</v>
      </c>
      <c r="F2833" s="72" t="s">
        <v>18</v>
      </c>
      <c r="G2833" s="32">
        <v>43127</v>
      </c>
      <c r="H2833" s="17">
        <v>29853865.120000001</v>
      </c>
      <c r="I2833" s="17">
        <v>0</v>
      </c>
      <c r="J2833" s="17">
        <v>0</v>
      </c>
      <c r="K2833" s="17">
        <f t="shared" si="517"/>
        <v>29853865.120000001</v>
      </c>
      <c r="L2833" s="17">
        <f t="shared" si="523"/>
        <v>1492693.2560000001</v>
      </c>
      <c r="M2833" s="42">
        <v>15</v>
      </c>
      <c r="N2833" s="18">
        <f t="shared" si="518"/>
        <v>2.1808219178082191</v>
      </c>
      <c r="O2833" s="23">
        <f t="shared" si="528"/>
        <v>4123377.6810491323</v>
      </c>
      <c r="P2833" s="18">
        <f t="shared" si="519"/>
        <v>3.1808219178082191</v>
      </c>
      <c r="Q2833" s="18">
        <f t="shared" si="529"/>
        <v>1890744.7909333333</v>
      </c>
      <c r="R2833" s="18">
        <f t="shared" si="524"/>
        <v>6014122.4719824661</v>
      </c>
      <c r="S2833" s="18">
        <f t="shared" si="527"/>
        <v>23839742.648017533</v>
      </c>
    </row>
    <row r="2834" spans="1:19" ht="15" customHeight="1" x14ac:dyDescent="0.2">
      <c r="A2834" s="14">
        <f t="shared" si="520"/>
        <v>2795</v>
      </c>
      <c r="B2834" s="14" t="s">
        <v>2383</v>
      </c>
      <c r="C2834" s="15" t="s">
        <v>3</v>
      </c>
      <c r="D2834" s="14" t="s">
        <v>500</v>
      </c>
      <c r="E2834" s="14" t="s">
        <v>2327</v>
      </c>
      <c r="F2834" s="72" t="s">
        <v>11</v>
      </c>
      <c r="G2834" s="32">
        <v>43101</v>
      </c>
      <c r="H2834" s="17">
        <v>2216592.3396951747</v>
      </c>
      <c r="I2834" s="17">
        <v>0</v>
      </c>
      <c r="J2834" s="17">
        <v>0</v>
      </c>
      <c r="K2834" s="17">
        <f t="shared" si="517"/>
        <v>2216592.3396951747</v>
      </c>
      <c r="L2834" s="17">
        <f t="shared" si="523"/>
        <v>110829.61698475874</v>
      </c>
      <c r="M2834" s="42">
        <v>25</v>
      </c>
      <c r="N2834" s="18">
        <f t="shared" si="518"/>
        <v>2.2520547945205478</v>
      </c>
      <c r="O2834" s="23">
        <f t="shared" si="528"/>
        <v>189691.72143210543</v>
      </c>
      <c r="P2834" s="18">
        <f t="shared" si="519"/>
        <v>3.2520547945205478</v>
      </c>
      <c r="Q2834" s="18">
        <f t="shared" si="529"/>
        <v>84230.508908416654</v>
      </c>
      <c r="R2834" s="18">
        <f t="shared" si="524"/>
        <v>273922.23034052207</v>
      </c>
      <c r="S2834" s="18">
        <f t="shared" si="527"/>
        <v>1942670.1093546527</v>
      </c>
    </row>
    <row r="2835" spans="1:19" ht="15" customHeight="1" x14ac:dyDescent="0.2">
      <c r="A2835" s="14">
        <f t="shared" si="520"/>
        <v>2796</v>
      </c>
      <c r="B2835" s="14" t="s">
        <v>2384</v>
      </c>
      <c r="C2835" s="15" t="s">
        <v>3</v>
      </c>
      <c r="D2835" s="14" t="s">
        <v>500</v>
      </c>
      <c r="E2835" s="14" t="s">
        <v>2327</v>
      </c>
      <c r="F2835" s="72" t="s">
        <v>11</v>
      </c>
      <c r="G2835" s="32">
        <v>43101</v>
      </c>
      <c r="H2835" s="17">
        <v>4693.7692512831263</v>
      </c>
      <c r="I2835" s="17">
        <v>0</v>
      </c>
      <c r="J2835" s="17">
        <v>0</v>
      </c>
      <c r="K2835" s="17">
        <f t="shared" si="517"/>
        <v>4693.7692512831263</v>
      </c>
      <c r="L2835" s="17">
        <f t="shared" si="523"/>
        <v>234.68846256415634</v>
      </c>
      <c r="M2835" s="42">
        <v>25</v>
      </c>
      <c r="N2835" s="18">
        <f t="shared" si="518"/>
        <v>2.2520547945205478</v>
      </c>
      <c r="O2835" s="23">
        <f t="shared" si="528"/>
        <v>401.6837707755609</v>
      </c>
      <c r="P2835" s="18">
        <f t="shared" si="519"/>
        <v>3.2520547945205478</v>
      </c>
      <c r="Q2835" s="18">
        <f t="shared" si="529"/>
        <v>178.36323154875882</v>
      </c>
      <c r="R2835" s="18">
        <f t="shared" si="524"/>
        <v>580.04700232431969</v>
      </c>
      <c r="S2835" s="18">
        <f t="shared" si="527"/>
        <v>4113.7222489588066</v>
      </c>
    </row>
    <row r="2836" spans="1:19" ht="15" customHeight="1" x14ac:dyDescent="0.2">
      <c r="A2836" s="14">
        <f t="shared" si="520"/>
        <v>2797</v>
      </c>
      <c r="B2836" s="14" t="s">
        <v>2385</v>
      </c>
      <c r="C2836" s="15" t="s">
        <v>3</v>
      </c>
      <c r="D2836" s="14" t="s">
        <v>500</v>
      </c>
      <c r="E2836" s="14" t="s">
        <v>2327</v>
      </c>
      <c r="F2836" s="72" t="s">
        <v>11</v>
      </c>
      <c r="G2836" s="32">
        <v>43101</v>
      </c>
      <c r="H2836" s="17">
        <v>1845821.7605920311</v>
      </c>
      <c r="I2836" s="17">
        <v>0</v>
      </c>
      <c r="J2836" s="17">
        <v>0</v>
      </c>
      <c r="K2836" s="17">
        <f t="shared" si="517"/>
        <v>1845821.7605920311</v>
      </c>
      <c r="L2836" s="17">
        <f t="shared" si="523"/>
        <v>92291.088029601553</v>
      </c>
      <c r="M2836" s="42">
        <v>25</v>
      </c>
      <c r="N2836" s="18">
        <f t="shared" si="518"/>
        <v>2.2520547945205478</v>
      </c>
      <c r="O2836" s="23">
        <f t="shared" si="528"/>
        <v>157961.8863393224</v>
      </c>
      <c r="P2836" s="18">
        <f t="shared" si="519"/>
        <v>3.2520547945205478</v>
      </c>
      <c r="Q2836" s="18">
        <f t="shared" si="529"/>
        <v>70141.226902497176</v>
      </c>
      <c r="R2836" s="18">
        <f t="shared" si="524"/>
        <v>228103.11324181958</v>
      </c>
      <c r="S2836" s="18">
        <f t="shared" si="527"/>
        <v>1617718.6473502114</v>
      </c>
    </row>
    <row r="2837" spans="1:19" ht="15" customHeight="1" x14ac:dyDescent="0.2">
      <c r="A2837" s="14">
        <f t="shared" si="520"/>
        <v>2798</v>
      </c>
      <c r="B2837" s="14" t="s">
        <v>2296</v>
      </c>
      <c r="C2837" s="15" t="s">
        <v>3</v>
      </c>
      <c r="D2837" s="14" t="s">
        <v>500</v>
      </c>
      <c r="E2837" s="14" t="s">
        <v>2327</v>
      </c>
      <c r="F2837" s="72" t="s">
        <v>4</v>
      </c>
      <c r="G2837" s="32">
        <v>43101</v>
      </c>
      <c r="H2837" s="17">
        <v>4414027.3090277817</v>
      </c>
      <c r="I2837" s="17">
        <v>0</v>
      </c>
      <c r="J2837" s="17">
        <v>0</v>
      </c>
      <c r="K2837" s="17">
        <f t="shared" si="517"/>
        <v>4414027.3090277817</v>
      </c>
      <c r="L2837" s="17">
        <f t="shared" si="523"/>
        <v>220701.36545138911</v>
      </c>
      <c r="M2837" s="42">
        <v>25</v>
      </c>
      <c r="N2837" s="18">
        <f t="shared" si="518"/>
        <v>2.2520547945205478</v>
      </c>
      <c r="O2837" s="23">
        <f t="shared" si="528"/>
        <v>377743.99184874457</v>
      </c>
      <c r="P2837" s="18">
        <f t="shared" si="519"/>
        <v>3.2520547945205478</v>
      </c>
      <c r="Q2837" s="18">
        <f t="shared" si="529"/>
        <v>167733.0377430557</v>
      </c>
      <c r="R2837" s="18">
        <f t="shared" si="524"/>
        <v>545477.0295918003</v>
      </c>
      <c r="S2837" s="18">
        <f t="shared" si="527"/>
        <v>3868550.2794359815</v>
      </c>
    </row>
    <row r="2838" spans="1:19" ht="15" customHeight="1" x14ac:dyDescent="0.2">
      <c r="A2838" s="14">
        <f t="shared" si="520"/>
        <v>2799</v>
      </c>
      <c r="B2838" s="14" t="s">
        <v>2332</v>
      </c>
      <c r="C2838" s="15" t="s">
        <v>3</v>
      </c>
      <c r="D2838" s="14" t="s">
        <v>500</v>
      </c>
      <c r="E2838" s="14" t="s">
        <v>2327</v>
      </c>
      <c r="F2838" s="72" t="s">
        <v>11</v>
      </c>
      <c r="G2838" s="32">
        <v>43101</v>
      </c>
      <c r="H2838" s="17">
        <v>662945.51757778111</v>
      </c>
      <c r="I2838" s="17">
        <v>0</v>
      </c>
      <c r="J2838" s="17">
        <v>0</v>
      </c>
      <c r="K2838" s="17">
        <f t="shared" si="517"/>
        <v>662945.51757778111</v>
      </c>
      <c r="L2838" s="17">
        <f t="shared" si="523"/>
        <v>33147.275878889057</v>
      </c>
      <c r="M2838" s="42">
        <v>25</v>
      </c>
      <c r="N2838" s="18">
        <f t="shared" si="518"/>
        <v>2.2520547945205478</v>
      </c>
      <c r="O2838" s="23">
        <f t="shared" si="528"/>
        <v>56733.60599194403</v>
      </c>
      <c r="P2838" s="18">
        <f t="shared" si="519"/>
        <v>3.2520547945205478</v>
      </c>
      <c r="Q2838" s="18">
        <f t="shared" si="529"/>
        <v>25191.929667955683</v>
      </c>
      <c r="R2838" s="18">
        <f t="shared" si="524"/>
        <v>81925.535659899717</v>
      </c>
      <c r="S2838" s="18">
        <f t="shared" si="527"/>
        <v>581019.98191788141</v>
      </c>
    </row>
    <row r="2839" spans="1:19" ht="15" customHeight="1" x14ac:dyDescent="0.2">
      <c r="A2839" s="14">
        <f t="shared" si="520"/>
        <v>2800</v>
      </c>
      <c r="B2839" s="14" t="s">
        <v>2386</v>
      </c>
      <c r="C2839" s="15" t="s">
        <v>3</v>
      </c>
      <c r="D2839" s="14" t="s">
        <v>500</v>
      </c>
      <c r="E2839" s="14" t="s">
        <v>2327</v>
      </c>
      <c r="F2839" s="72" t="s">
        <v>11</v>
      </c>
      <c r="G2839" s="32">
        <v>43101</v>
      </c>
      <c r="H2839" s="17">
        <v>17379.590962993476</v>
      </c>
      <c r="I2839" s="17">
        <v>0</v>
      </c>
      <c r="J2839" s="17">
        <v>0</v>
      </c>
      <c r="K2839" s="17">
        <f t="shared" si="517"/>
        <v>17379.590962993476</v>
      </c>
      <c r="L2839" s="17">
        <f t="shared" si="523"/>
        <v>868.97954814967386</v>
      </c>
      <c r="M2839" s="42">
        <v>25</v>
      </c>
      <c r="N2839" s="18">
        <f t="shared" si="518"/>
        <v>2.2520547945205478</v>
      </c>
      <c r="O2839" s="23">
        <f t="shared" si="528"/>
        <v>1487.3120638905868</v>
      </c>
      <c r="P2839" s="18">
        <f t="shared" si="519"/>
        <v>3.2520547945205478</v>
      </c>
      <c r="Q2839" s="18">
        <f t="shared" si="529"/>
        <v>660.4244565937521</v>
      </c>
      <c r="R2839" s="18">
        <f t="shared" si="524"/>
        <v>2147.7365204843391</v>
      </c>
      <c r="S2839" s="18">
        <f t="shared" si="527"/>
        <v>15231.854442509137</v>
      </c>
    </row>
    <row r="2840" spans="1:19" ht="15" customHeight="1" x14ac:dyDescent="0.2">
      <c r="A2840" s="14">
        <f t="shared" si="520"/>
        <v>2801</v>
      </c>
      <c r="B2840" s="14" t="s">
        <v>2387</v>
      </c>
      <c r="C2840" s="15" t="s">
        <v>3</v>
      </c>
      <c r="D2840" s="14" t="s">
        <v>500</v>
      </c>
      <c r="E2840" s="14" t="s">
        <v>2327</v>
      </c>
      <c r="F2840" s="72" t="s">
        <v>16</v>
      </c>
      <c r="G2840" s="32">
        <v>43115</v>
      </c>
      <c r="H2840" s="17">
        <v>51340412.331409134</v>
      </c>
      <c r="I2840" s="17">
        <v>0</v>
      </c>
      <c r="J2840" s="17">
        <v>0</v>
      </c>
      <c r="K2840" s="17">
        <f t="shared" si="517"/>
        <v>51340412.331409134</v>
      </c>
      <c r="L2840" s="17">
        <f t="shared" ref="L2840:L2871" si="530">H2840*0.05</f>
        <v>2567020.6165704569</v>
      </c>
      <c r="M2840" s="42">
        <v>25</v>
      </c>
      <c r="N2840" s="18">
        <f t="shared" si="518"/>
        <v>2.2136986301369861</v>
      </c>
      <c r="O2840" s="23">
        <f t="shared" si="528"/>
        <v>4318783.6170509206</v>
      </c>
      <c r="P2840" s="18">
        <f t="shared" si="519"/>
        <v>3.2136986301369861</v>
      </c>
      <c r="Q2840" s="18">
        <f t="shared" si="529"/>
        <v>1950935.6685935471</v>
      </c>
      <c r="R2840" s="18">
        <f t="shared" ref="R2840:R2871" si="531">O2840+Q2840</f>
        <v>6269719.2856444679</v>
      </c>
      <c r="S2840" s="18">
        <f t="shared" si="527"/>
        <v>45070693.04576467</v>
      </c>
    </row>
    <row r="2841" spans="1:19" ht="15" customHeight="1" x14ac:dyDescent="0.2">
      <c r="A2841" s="14">
        <f t="shared" si="520"/>
        <v>2802</v>
      </c>
      <c r="B2841" s="14" t="s">
        <v>2388</v>
      </c>
      <c r="C2841" s="15" t="s">
        <v>3</v>
      </c>
      <c r="D2841" s="14" t="s">
        <v>500</v>
      </c>
      <c r="E2841" s="14" t="s">
        <v>2327</v>
      </c>
      <c r="F2841" s="72" t="s">
        <v>11</v>
      </c>
      <c r="G2841" s="32">
        <v>43101</v>
      </c>
      <c r="H2841" s="17">
        <v>1486020.937200974</v>
      </c>
      <c r="I2841" s="17">
        <v>0</v>
      </c>
      <c r="J2841" s="17">
        <v>0</v>
      </c>
      <c r="K2841" s="17">
        <f t="shared" si="517"/>
        <v>1486020.937200974</v>
      </c>
      <c r="L2841" s="17">
        <f t="shared" si="530"/>
        <v>74301.046860048707</v>
      </c>
      <c r="M2841" s="42">
        <v>25</v>
      </c>
      <c r="N2841" s="18">
        <f t="shared" si="518"/>
        <v>2.2520547945205478</v>
      </c>
      <c r="O2841" s="23">
        <f t="shared" si="528"/>
        <v>127170.8219024921</v>
      </c>
      <c r="P2841" s="18">
        <f t="shared" si="519"/>
        <v>3.2520547945205478</v>
      </c>
      <c r="Q2841" s="18">
        <f t="shared" si="529"/>
        <v>56468.795613637012</v>
      </c>
      <c r="R2841" s="18">
        <f t="shared" si="531"/>
        <v>183639.6175161291</v>
      </c>
      <c r="S2841" s="18">
        <f t="shared" si="527"/>
        <v>1302381.3196848449</v>
      </c>
    </row>
    <row r="2842" spans="1:19" ht="15" customHeight="1" x14ac:dyDescent="0.2">
      <c r="A2842" s="14">
        <f t="shared" si="520"/>
        <v>2803</v>
      </c>
      <c r="B2842" s="14" t="s">
        <v>2389</v>
      </c>
      <c r="C2842" s="15" t="s">
        <v>3</v>
      </c>
      <c r="D2842" s="14" t="s">
        <v>500</v>
      </c>
      <c r="E2842" s="14" t="s">
        <v>2327</v>
      </c>
      <c r="F2842" s="72" t="s">
        <v>4</v>
      </c>
      <c r="G2842" s="32">
        <v>43101</v>
      </c>
      <c r="H2842" s="17">
        <v>845161.79579647293</v>
      </c>
      <c r="I2842" s="17">
        <v>0</v>
      </c>
      <c r="J2842" s="17">
        <v>0</v>
      </c>
      <c r="K2842" s="17">
        <f t="shared" si="517"/>
        <v>845161.79579647293</v>
      </c>
      <c r="L2842" s="17">
        <f t="shared" si="530"/>
        <v>42258.089789823651</v>
      </c>
      <c r="M2842" s="42">
        <v>25</v>
      </c>
      <c r="N2842" s="18">
        <f t="shared" si="518"/>
        <v>2.2520547945205478</v>
      </c>
      <c r="O2842" s="23">
        <f t="shared" si="528"/>
        <v>72327.325626023638</v>
      </c>
      <c r="P2842" s="18">
        <f t="shared" si="519"/>
        <v>3.2520547945205478</v>
      </c>
      <c r="Q2842" s="18">
        <f t="shared" si="529"/>
        <v>32116.148240265971</v>
      </c>
      <c r="R2842" s="18">
        <f t="shared" si="531"/>
        <v>104443.47386628961</v>
      </c>
      <c r="S2842" s="18">
        <f t="shared" si="527"/>
        <v>740718.32193018333</v>
      </c>
    </row>
    <row r="2843" spans="1:19" ht="15" customHeight="1" x14ac:dyDescent="0.2">
      <c r="A2843" s="14">
        <f t="shared" si="520"/>
        <v>2804</v>
      </c>
      <c r="B2843" s="14" t="s">
        <v>2390</v>
      </c>
      <c r="C2843" s="15" t="s">
        <v>3</v>
      </c>
      <c r="D2843" s="14" t="s">
        <v>500</v>
      </c>
      <c r="E2843" s="14" t="s">
        <v>2327</v>
      </c>
      <c r="F2843" s="72" t="s">
        <v>4</v>
      </c>
      <c r="G2843" s="32">
        <v>43101</v>
      </c>
      <c r="H2843" s="17">
        <v>646083.08329234505</v>
      </c>
      <c r="I2843" s="17">
        <v>0</v>
      </c>
      <c r="J2843" s="17">
        <v>0</v>
      </c>
      <c r="K2843" s="17">
        <f t="shared" si="517"/>
        <v>646083.08329234505</v>
      </c>
      <c r="L2843" s="17">
        <f t="shared" si="530"/>
        <v>32304.154164617255</v>
      </c>
      <c r="M2843" s="42">
        <v>25</v>
      </c>
      <c r="N2843" s="18">
        <f t="shared" si="518"/>
        <v>2.2520547945205478</v>
      </c>
      <c r="O2843" s="23">
        <f t="shared" si="528"/>
        <v>55290.551204711475</v>
      </c>
      <c r="P2843" s="18">
        <f t="shared" si="519"/>
        <v>3.2520547945205478</v>
      </c>
      <c r="Q2843" s="18">
        <f t="shared" si="529"/>
        <v>24551.157165109111</v>
      </c>
      <c r="R2843" s="18">
        <f t="shared" si="531"/>
        <v>79841.708369820582</v>
      </c>
      <c r="S2843" s="18">
        <f t="shared" si="527"/>
        <v>566241.37492252444</v>
      </c>
    </row>
    <row r="2844" spans="1:19" ht="15" customHeight="1" x14ac:dyDescent="0.2">
      <c r="A2844" s="14">
        <f t="shared" si="520"/>
        <v>2805</v>
      </c>
      <c r="B2844" s="14" t="s">
        <v>2318</v>
      </c>
      <c r="C2844" s="15" t="s">
        <v>3</v>
      </c>
      <c r="D2844" s="14" t="s">
        <v>500</v>
      </c>
      <c r="E2844" s="14" t="s">
        <v>2319</v>
      </c>
      <c r="F2844" s="72" t="s">
        <v>11</v>
      </c>
      <c r="G2844" s="32">
        <v>43101</v>
      </c>
      <c r="H2844" s="17">
        <v>108010.48592805806</v>
      </c>
      <c r="I2844" s="17">
        <v>0</v>
      </c>
      <c r="J2844" s="17">
        <v>0</v>
      </c>
      <c r="K2844" s="17">
        <f t="shared" si="517"/>
        <v>108010.48592805806</v>
      </c>
      <c r="L2844" s="17">
        <f t="shared" si="530"/>
        <v>5400.524296402903</v>
      </c>
      <c r="M2844" s="42">
        <v>25</v>
      </c>
      <c r="N2844" s="18">
        <f t="shared" si="518"/>
        <v>2.2520547945205478</v>
      </c>
      <c r="O2844" s="23">
        <f t="shared" si="528"/>
        <v>9243.3302423255391</v>
      </c>
      <c r="P2844" s="18">
        <f t="shared" si="519"/>
        <v>3.2520547945205478</v>
      </c>
      <c r="Q2844" s="18">
        <f t="shared" si="529"/>
        <v>4104.3984652662066</v>
      </c>
      <c r="R2844" s="18">
        <f t="shared" si="531"/>
        <v>13347.728707591745</v>
      </c>
      <c r="S2844" s="18">
        <f t="shared" si="527"/>
        <v>94662.757220466316</v>
      </c>
    </row>
    <row r="2845" spans="1:19" ht="15" customHeight="1" x14ac:dyDescent="0.2">
      <c r="A2845" s="14">
        <f t="shared" si="520"/>
        <v>2806</v>
      </c>
      <c r="B2845" s="14" t="s">
        <v>2391</v>
      </c>
      <c r="C2845" s="15" t="s">
        <v>3</v>
      </c>
      <c r="D2845" s="14" t="s">
        <v>500</v>
      </c>
      <c r="E2845" s="14" t="s">
        <v>2392</v>
      </c>
      <c r="F2845" s="72" t="s">
        <v>8</v>
      </c>
      <c r="G2845" s="32">
        <v>43101</v>
      </c>
      <c r="H2845" s="17">
        <v>922745.39661529718</v>
      </c>
      <c r="I2845" s="17">
        <v>0</v>
      </c>
      <c r="J2845" s="17">
        <v>0</v>
      </c>
      <c r="K2845" s="17">
        <f t="shared" si="517"/>
        <v>922745.39661529718</v>
      </c>
      <c r="L2845" s="17">
        <f t="shared" si="530"/>
        <v>46137.269830764861</v>
      </c>
      <c r="M2845" s="42">
        <v>25</v>
      </c>
      <c r="N2845" s="18">
        <f t="shared" si="518"/>
        <v>2.2520547945205478</v>
      </c>
      <c r="O2845" s="23">
        <f t="shared" si="528"/>
        <v>78966.781393631303</v>
      </c>
      <c r="P2845" s="18">
        <f t="shared" si="519"/>
        <v>3.2520547945205478</v>
      </c>
      <c r="Q2845" s="18">
        <f t="shared" si="529"/>
        <v>35064.325071381296</v>
      </c>
      <c r="R2845" s="18">
        <f t="shared" si="531"/>
        <v>114031.10646501259</v>
      </c>
      <c r="S2845" s="18">
        <f t="shared" si="527"/>
        <v>808714.29015028453</v>
      </c>
    </row>
    <row r="2846" spans="1:19" ht="15" customHeight="1" x14ac:dyDescent="0.2">
      <c r="A2846" s="14">
        <f t="shared" si="520"/>
        <v>2807</v>
      </c>
      <c r="B2846" s="14" t="s">
        <v>2393</v>
      </c>
      <c r="C2846" s="15" t="s">
        <v>3</v>
      </c>
      <c r="D2846" s="14" t="s">
        <v>500</v>
      </c>
      <c r="E2846" s="14" t="s">
        <v>507</v>
      </c>
      <c r="F2846" s="72" t="s">
        <v>2394</v>
      </c>
      <c r="G2846" s="32">
        <v>43101</v>
      </c>
      <c r="H2846" s="17">
        <v>736869.47804043384</v>
      </c>
      <c r="I2846" s="17">
        <v>0</v>
      </c>
      <c r="J2846" s="17">
        <v>0</v>
      </c>
      <c r="K2846" s="17">
        <f t="shared" si="517"/>
        <v>736869.47804043384</v>
      </c>
      <c r="L2846" s="17">
        <f t="shared" si="530"/>
        <v>36843.473902021695</v>
      </c>
      <c r="M2846" s="42">
        <v>25</v>
      </c>
      <c r="N2846" s="18">
        <f t="shared" si="518"/>
        <v>2.2520547945205478</v>
      </c>
      <c r="O2846" s="23">
        <f t="shared" si="528"/>
        <v>63059.876756358877</v>
      </c>
      <c r="P2846" s="18">
        <f t="shared" si="519"/>
        <v>3.2520547945205478</v>
      </c>
      <c r="Q2846" s="18">
        <f t="shared" si="529"/>
        <v>28001.040165536488</v>
      </c>
      <c r="R2846" s="18">
        <f t="shared" si="531"/>
        <v>91060.916921895361</v>
      </c>
      <c r="S2846" s="18">
        <f t="shared" si="527"/>
        <v>645808.56111853849</v>
      </c>
    </row>
    <row r="2847" spans="1:19" ht="15" customHeight="1" x14ac:dyDescent="0.2">
      <c r="A2847" s="14">
        <f t="shared" si="520"/>
        <v>2808</v>
      </c>
      <c r="B2847" s="14" t="s">
        <v>57</v>
      </c>
      <c r="C2847" s="15" t="s">
        <v>3</v>
      </c>
      <c r="D2847" s="14" t="s">
        <v>500</v>
      </c>
      <c r="E2847" s="14" t="s">
        <v>2392</v>
      </c>
      <c r="F2847" s="72" t="s">
        <v>2394</v>
      </c>
      <c r="G2847" s="32">
        <v>43101</v>
      </c>
      <c r="H2847" s="17">
        <v>374579.47065971792</v>
      </c>
      <c r="I2847" s="17">
        <v>0</v>
      </c>
      <c r="J2847" s="17">
        <v>0</v>
      </c>
      <c r="K2847" s="17">
        <f t="shared" si="517"/>
        <v>374579.47065971792</v>
      </c>
      <c r="L2847" s="17">
        <f t="shared" si="530"/>
        <v>18728.973532985896</v>
      </c>
      <c r="M2847" s="42">
        <v>25</v>
      </c>
      <c r="N2847" s="18">
        <f t="shared" si="518"/>
        <v>2.2520547945205478</v>
      </c>
      <c r="O2847" s="23">
        <f t="shared" si="528"/>
        <v>32055.792727471093</v>
      </c>
      <c r="P2847" s="18">
        <f t="shared" si="519"/>
        <v>3.2520547945205478</v>
      </c>
      <c r="Q2847" s="18">
        <f t="shared" si="529"/>
        <v>14234.019885069281</v>
      </c>
      <c r="R2847" s="18">
        <f t="shared" si="531"/>
        <v>46289.812612540372</v>
      </c>
      <c r="S2847" s="18">
        <f t="shared" si="527"/>
        <v>328289.65804717754</v>
      </c>
    </row>
    <row r="2848" spans="1:19" ht="15" customHeight="1" x14ac:dyDescent="0.2">
      <c r="A2848" s="14">
        <f t="shared" si="520"/>
        <v>2809</v>
      </c>
      <c r="B2848" s="14" t="s">
        <v>2395</v>
      </c>
      <c r="C2848" s="15" t="s">
        <v>3</v>
      </c>
      <c r="D2848" s="14" t="s">
        <v>500</v>
      </c>
      <c r="E2848" s="14" t="s">
        <v>2392</v>
      </c>
      <c r="F2848" s="72" t="s">
        <v>2394</v>
      </c>
      <c r="G2848" s="32">
        <v>43101</v>
      </c>
      <c r="H2848" s="17">
        <v>665235.40406231408</v>
      </c>
      <c r="I2848" s="17">
        <v>0</v>
      </c>
      <c r="J2848" s="17">
        <v>0</v>
      </c>
      <c r="K2848" s="17">
        <f t="shared" si="517"/>
        <v>665235.40406231408</v>
      </c>
      <c r="L2848" s="17">
        <f t="shared" si="530"/>
        <v>33261.770203115702</v>
      </c>
      <c r="M2848" s="42">
        <v>25</v>
      </c>
      <c r="N2848" s="18">
        <f t="shared" si="518"/>
        <v>2.2520547945205478</v>
      </c>
      <c r="O2848" s="23">
        <f t="shared" si="528"/>
        <v>56929.570085727239</v>
      </c>
      <c r="P2848" s="18">
        <f t="shared" si="519"/>
        <v>3.2520547945205478</v>
      </c>
      <c r="Q2848" s="18">
        <f t="shared" si="529"/>
        <v>25278.945354367937</v>
      </c>
      <c r="R2848" s="18">
        <f t="shared" si="531"/>
        <v>82208.515440095172</v>
      </c>
      <c r="S2848" s="18">
        <f t="shared" si="527"/>
        <v>583026.88862221886</v>
      </c>
    </row>
    <row r="2849" spans="1:19" ht="15" customHeight="1" x14ac:dyDescent="0.2">
      <c r="A2849" s="14">
        <f t="shared" si="520"/>
        <v>2810</v>
      </c>
      <c r="B2849" s="14" t="s">
        <v>511</v>
      </c>
      <c r="C2849" s="15" t="s">
        <v>3</v>
      </c>
      <c r="D2849" s="14" t="s">
        <v>500</v>
      </c>
      <c r="E2849" s="14" t="s">
        <v>2327</v>
      </c>
      <c r="F2849" s="72" t="s">
        <v>11</v>
      </c>
      <c r="G2849" s="32">
        <v>43101</v>
      </c>
      <c r="H2849" s="17">
        <v>2717086.6298411493</v>
      </c>
      <c r="I2849" s="17">
        <v>0</v>
      </c>
      <c r="J2849" s="17">
        <v>0</v>
      </c>
      <c r="K2849" s="17">
        <f t="shared" si="517"/>
        <v>2717086.6298411493</v>
      </c>
      <c r="L2849" s="17">
        <f t="shared" si="530"/>
        <v>135854.33149205748</v>
      </c>
      <c r="M2849" s="42">
        <v>25</v>
      </c>
      <c r="N2849" s="18">
        <f t="shared" si="518"/>
        <v>2.2520547945205478</v>
      </c>
      <c r="O2849" s="23">
        <f t="shared" si="528"/>
        <v>232523.06293073462</v>
      </c>
      <c r="P2849" s="18">
        <f t="shared" si="519"/>
        <v>3.2520547945205478</v>
      </c>
      <c r="Q2849" s="18">
        <f t="shared" si="529"/>
        <v>103249.29193396367</v>
      </c>
      <c r="R2849" s="18">
        <f t="shared" si="531"/>
        <v>335772.35486469831</v>
      </c>
      <c r="S2849" s="18">
        <f t="shared" si="527"/>
        <v>2381314.2749764509</v>
      </c>
    </row>
    <row r="2850" spans="1:19" ht="15" customHeight="1" x14ac:dyDescent="0.2">
      <c r="A2850" s="14">
        <f t="shared" si="520"/>
        <v>2811</v>
      </c>
      <c r="B2850" s="14" t="s">
        <v>2396</v>
      </c>
      <c r="C2850" s="15" t="s">
        <v>3</v>
      </c>
      <c r="D2850" s="14" t="s">
        <v>500</v>
      </c>
      <c r="E2850" s="14" t="s">
        <v>2327</v>
      </c>
      <c r="F2850" s="72" t="s">
        <v>11</v>
      </c>
      <c r="G2850" s="32">
        <v>43101</v>
      </c>
      <c r="H2850" s="17">
        <v>1229858.1136979403</v>
      </c>
      <c r="I2850" s="17">
        <v>0</v>
      </c>
      <c r="J2850" s="17">
        <v>0</v>
      </c>
      <c r="K2850" s="17">
        <f t="shared" si="517"/>
        <v>1229858.1136979403</v>
      </c>
      <c r="L2850" s="17">
        <f t="shared" si="530"/>
        <v>61492.905684897014</v>
      </c>
      <c r="M2850" s="42">
        <v>25</v>
      </c>
      <c r="N2850" s="18">
        <f t="shared" si="518"/>
        <v>2.2520547945205478</v>
      </c>
      <c r="O2850" s="23">
        <f t="shared" si="528"/>
        <v>105248.89873827084</v>
      </c>
      <c r="P2850" s="18">
        <f t="shared" si="519"/>
        <v>3.2520547945205478</v>
      </c>
      <c r="Q2850" s="18">
        <f t="shared" si="529"/>
        <v>46734.608320521729</v>
      </c>
      <c r="R2850" s="18">
        <f t="shared" si="531"/>
        <v>151983.50705879257</v>
      </c>
      <c r="S2850" s="18">
        <f t="shared" si="527"/>
        <v>1077874.6066391477</v>
      </c>
    </row>
    <row r="2851" spans="1:19" ht="15" customHeight="1" x14ac:dyDescent="0.2">
      <c r="A2851" s="14">
        <f t="shared" si="520"/>
        <v>2812</v>
      </c>
      <c r="B2851" s="14" t="s">
        <v>2397</v>
      </c>
      <c r="C2851" s="15" t="s">
        <v>3</v>
      </c>
      <c r="D2851" s="14" t="s">
        <v>500</v>
      </c>
      <c r="E2851" s="14" t="s">
        <v>2327</v>
      </c>
      <c r="F2851" s="72" t="s">
        <v>16</v>
      </c>
      <c r="G2851" s="32">
        <v>43115</v>
      </c>
      <c r="H2851" s="17">
        <v>9029342.7348389104</v>
      </c>
      <c r="I2851" s="17">
        <v>0</v>
      </c>
      <c r="J2851" s="17">
        <v>0</v>
      </c>
      <c r="K2851" s="17">
        <f t="shared" si="517"/>
        <v>9029342.7348389104</v>
      </c>
      <c r="L2851" s="17">
        <f t="shared" si="530"/>
        <v>451467.13674194552</v>
      </c>
      <c r="M2851" s="42">
        <v>25</v>
      </c>
      <c r="N2851" s="18">
        <f t="shared" si="518"/>
        <v>2.2136986301369861</v>
      </c>
      <c r="O2851" s="23">
        <f t="shared" si="528"/>
        <v>759553.25843970932</v>
      </c>
      <c r="P2851" s="18">
        <f t="shared" si="519"/>
        <v>3.2136986301369861</v>
      </c>
      <c r="Q2851" s="18">
        <f t="shared" si="529"/>
        <v>343115.02392387862</v>
      </c>
      <c r="R2851" s="18">
        <f t="shared" si="531"/>
        <v>1102668.282363588</v>
      </c>
      <c r="S2851" s="18">
        <f t="shared" si="527"/>
        <v>7926674.4524753224</v>
      </c>
    </row>
    <row r="2852" spans="1:19" ht="15" customHeight="1" x14ac:dyDescent="0.2">
      <c r="A2852" s="14">
        <f t="shared" si="520"/>
        <v>2813</v>
      </c>
      <c r="B2852" s="14" t="s">
        <v>2398</v>
      </c>
      <c r="C2852" s="15" t="s">
        <v>3</v>
      </c>
      <c r="D2852" s="14" t="s">
        <v>500</v>
      </c>
      <c r="E2852" s="14" t="s">
        <v>2327</v>
      </c>
      <c r="F2852" s="72" t="s">
        <v>4</v>
      </c>
      <c r="G2852" s="32">
        <v>43101</v>
      </c>
      <c r="H2852" s="17">
        <v>2095939.8874212592</v>
      </c>
      <c r="I2852" s="17">
        <v>0</v>
      </c>
      <c r="J2852" s="17">
        <v>0</v>
      </c>
      <c r="K2852" s="17">
        <f t="shared" si="517"/>
        <v>2095939.8874212592</v>
      </c>
      <c r="L2852" s="17">
        <f t="shared" si="530"/>
        <v>104796.99437106296</v>
      </c>
      <c r="M2852" s="42">
        <v>25</v>
      </c>
      <c r="N2852" s="18">
        <f t="shared" si="518"/>
        <v>2.2520547945205478</v>
      </c>
      <c r="O2852" s="23">
        <f t="shared" si="528"/>
        <v>179366.51595476834</v>
      </c>
      <c r="P2852" s="18">
        <f t="shared" si="519"/>
        <v>3.2520547945205478</v>
      </c>
      <c r="Q2852" s="18">
        <f t="shared" si="529"/>
        <v>79645.715722007852</v>
      </c>
      <c r="R2852" s="18">
        <f t="shared" si="531"/>
        <v>259012.23167677619</v>
      </c>
      <c r="S2852" s="18">
        <f t="shared" si="527"/>
        <v>1836927.655744483</v>
      </c>
    </row>
    <row r="2853" spans="1:19" ht="15" customHeight="1" x14ac:dyDescent="0.2">
      <c r="A2853" s="14">
        <f t="shared" si="520"/>
        <v>2814</v>
      </c>
      <c r="B2853" s="14" t="s">
        <v>2399</v>
      </c>
      <c r="C2853" s="15" t="s">
        <v>3</v>
      </c>
      <c r="D2853" s="14" t="s">
        <v>500</v>
      </c>
      <c r="E2853" s="14" t="s">
        <v>2327</v>
      </c>
      <c r="F2853" s="72" t="s">
        <v>11</v>
      </c>
      <c r="G2853" s="32">
        <v>43101</v>
      </c>
      <c r="H2853" s="17">
        <v>683712.53204665217</v>
      </c>
      <c r="I2853" s="17">
        <v>0</v>
      </c>
      <c r="J2853" s="17">
        <v>0</v>
      </c>
      <c r="K2853" s="17">
        <f t="shared" si="517"/>
        <v>683712.53204665217</v>
      </c>
      <c r="L2853" s="17">
        <f t="shared" si="530"/>
        <v>34185.62660233261</v>
      </c>
      <c r="M2853" s="42">
        <v>25</v>
      </c>
      <c r="N2853" s="18">
        <f t="shared" si="518"/>
        <v>2.2520547945205478</v>
      </c>
      <c r="O2853" s="23">
        <f t="shared" si="528"/>
        <v>58510.80726303898</v>
      </c>
      <c r="P2853" s="18">
        <f t="shared" si="519"/>
        <v>3.2520547945205478</v>
      </c>
      <c r="Q2853" s="18">
        <f t="shared" si="529"/>
        <v>25981.076217772785</v>
      </c>
      <c r="R2853" s="18">
        <f t="shared" si="531"/>
        <v>84491.883480811768</v>
      </c>
      <c r="S2853" s="18">
        <f t="shared" si="527"/>
        <v>599220.64856584044</v>
      </c>
    </row>
    <row r="2854" spans="1:19" ht="15" customHeight="1" x14ac:dyDescent="0.2">
      <c r="A2854" s="14">
        <f t="shared" si="520"/>
        <v>2815</v>
      </c>
      <c r="B2854" s="14" t="s">
        <v>2400</v>
      </c>
      <c r="C2854" s="15" t="s">
        <v>3</v>
      </c>
      <c r="D2854" s="14" t="s">
        <v>500</v>
      </c>
      <c r="E2854" s="14" t="s">
        <v>2327</v>
      </c>
      <c r="F2854" s="72" t="s">
        <v>11</v>
      </c>
      <c r="G2854" s="32">
        <v>43115</v>
      </c>
      <c r="H2854" s="17">
        <v>15562135.438695606</v>
      </c>
      <c r="I2854" s="17">
        <v>0</v>
      </c>
      <c r="J2854" s="17">
        <v>0</v>
      </c>
      <c r="K2854" s="17">
        <f t="shared" ref="K2854:K2917" si="532">H2854+I2854-J2854</f>
        <v>15562135.438695606</v>
      </c>
      <c r="L2854" s="17">
        <f t="shared" si="530"/>
        <v>778106.77193478029</v>
      </c>
      <c r="M2854" s="42">
        <v>25</v>
      </c>
      <c r="N2854" s="18">
        <f t="shared" ref="N2854:N2917" si="533">IF(($N$35-G2854+1)/365&gt;0,($N$35-G2854+1)/365,0)</f>
        <v>2.2136986301369861</v>
      </c>
      <c r="O2854" s="23">
        <f t="shared" si="528"/>
        <v>1309095.3603005749</v>
      </c>
      <c r="P2854" s="18">
        <f t="shared" ref="P2854:P2917" si="534">($P$35-G2854+1)/365</f>
        <v>3.2136986301369861</v>
      </c>
      <c r="Q2854" s="18">
        <f t="shared" si="529"/>
        <v>591361.14667043299</v>
      </c>
      <c r="R2854" s="18">
        <f t="shared" si="531"/>
        <v>1900456.5069710079</v>
      </c>
      <c r="S2854" s="18">
        <f t="shared" si="527"/>
        <v>13661678.931724599</v>
      </c>
    </row>
    <row r="2855" spans="1:19" ht="15" customHeight="1" x14ac:dyDescent="0.2">
      <c r="A2855" s="14">
        <f t="shared" si="520"/>
        <v>2816</v>
      </c>
      <c r="B2855" s="14" t="s">
        <v>2401</v>
      </c>
      <c r="C2855" s="15" t="s">
        <v>3</v>
      </c>
      <c r="D2855" s="14" t="s">
        <v>500</v>
      </c>
      <c r="E2855" s="14" t="s">
        <v>2327</v>
      </c>
      <c r="F2855" s="72" t="s">
        <v>11</v>
      </c>
      <c r="G2855" s="32">
        <v>43101</v>
      </c>
      <c r="H2855" s="17">
        <v>10837.036739505693</v>
      </c>
      <c r="I2855" s="17">
        <v>0</v>
      </c>
      <c r="J2855" s="17">
        <v>0</v>
      </c>
      <c r="K2855" s="17">
        <f t="shared" si="532"/>
        <v>10837.036739505693</v>
      </c>
      <c r="L2855" s="17">
        <f t="shared" si="530"/>
        <v>541.85183697528464</v>
      </c>
      <c r="M2855" s="42">
        <v>25</v>
      </c>
      <c r="N2855" s="18">
        <f t="shared" si="533"/>
        <v>2.2520547945205478</v>
      </c>
      <c r="O2855" s="23">
        <f t="shared" si="528"/>
        <v>927.41282080876647</v>
      </c>
      <c r="P2855" s="18">
        <f t="shared" si="534"/>
        <v>3.2520547945205478</v>
      </c>
      <c r="Q2855" s="18">
        <f t="shared" si="529"/>
        <v>411.80739610121628</v>
      </c>
      <c r="R2855" s="18">
        <f t="shared" si="531"/>
        <v>1339.2202169099828</v>
      </c>
      <c r="S2855" s="18">
        <f t="shared" si="527"/>
        <v>9497.8165225957091</v>
      </c>
    </row>
    <row r="2856" spans="1:19" ht="15" customHeight="1" x14ac:dyDescent="0.2">
      <c r="A2856" s="14">
        <f t="shared" si="520"/>
        <v>2817</v>
      </c>
      <c r="B2856" s="14" t="s">
        <v>599</v>
      </c>
      <c r="C2856" s="15" t="s">
        <v>3</v>
      </c>
      <c r="D2856" s="14" t="s">
        <v>500</v>
      </c>
      <c r="E2856" s="14" t="s">
        <v>599</v>
      </c>
      <c r="F2856" s="74" t="s">
        <v>17</v>
      </c>
      <c r="G2856" s="32">
        <v>43101</v>
      </c>
      <c r="H2856" s="17">
        <v>1834184.9168057209</v>
      </c>
      <c r="I2856" s="17">
        <v>0</v>
      </c>
      <c r="J2856" s="17">
        <v>0</v>
      </c>
      <c r="K2856" s="17">
        <f t="shared" si="532"/>
        <v>1834184.9168057209</v>
      </c>
      <c r="L2856" s="17">
        <f t="shared" si="530"/>
        <v>91709.24584028605</v>
      </c>
      <c r="M2856" s="42">
        <v>25</v>
      </c>
      <c r="N2856" s="18">
        <f t="shared" si="533"/>
        <v>2.2520547945205478</v>
      </c>
      <c r="O2856" s="23">
        <f t="shared" si="528"/>
        <v>156966.02756532462</v>
      </c>
      <c r="P2856" s="18">
        <f t="shared" si="534"/>
        <v>3.2520547945205478</v>
      </c>
      <c r="Q2856" s="18">
        <f t="shared" si="529"/>
        <v>69699.026838617385</v>
      </c>
      <c r="R2856" s="18">
        <f t="shared" si="531"/>
        <v>226665.05440394202</v>
      </c>
      <c r="S2856" s="18">
        <f t="shared" si="527"/>
        <v>1607519.8624017788</v>
      </c>
    </row>
    <row r="2857" spans="1:19" ht="15" customHeight="1" x14ac:dyDescent="0.2">
      <c r="A2857" s="14">
        <f t="shared" si="520"/>
        <v>2818</v>
      </c>
      <c r="B2857" s="14" t="s">
        <v>2402</v>
      </c>
      <c r="C2857" s="15" t="s">
        <v>3</v>
      </c>
      <c r="D2857" s="14" t="s">
        <v>500</v>
      </c>
      <c r="E2857" s="14" t="s">
        <v>2327</v>
      </c>
      <c r="F2857" s="72" t="s">
        <v>8</v>
      </c>
      <c r="G2857" s="32">
        <v>43101</v>
      </c>
      <c r="H2857" s="17">
        <v>489971.88452883769</v>
      </c>
      <c r="I2857" s="17">
        <v>0</v>
      </c>
      <c r="J2857" s="17">
        <v>0</v>
      </c>
      <c r="K2857" s="17">
        <f t="shared" si="532"/>
        <v>489971.88452883769</v>
      </c>
      <c r="L2857" s="17">
        <f t="shared" si="530"/>
        <v>24498.594226441885</v>
      </c>
      <c r="M2857" s="42">
        <v>25</v>
      </c>
      <c r="N2857" s="18">
        <f t="shared" si="533"/>
        <v>2.2520547945205478</v>
      </c>
      <c r="O2857" s="23">
        <f t="shared" si="528"/>
        <v>41930.854205870608</v>
      </c>
      <c r="P2857" s="18">
        <f t="shared" si="534"/>
        <v>3.2520547945205478</v>
      </c>
      <c r="Q2857" s="18">
        <f t="shared" si="529"/>
        <v>18618.931612095832</v>
      </c>
      <c r="R2857" s="18">
        <f t="shared" si="531"/>
        <v>60549.78581796644</v>
      </c>
      <c r="S2857" s="18">
        <f t="shared" si="527"/>
        <v>429422.09871087124</v>
      </c>
    </row>
    <row r="2858" spans="1:19" ht="15" customHeight="1" x14ac:dyDescent="0.2">
      <c r="A2858" s="14">
        <f t="shared" si="520"/>
        <v>2819</v>
      </c>
      <c r="B2858" s="14" t="s">
        <v>2403</v>
      </c>
      <c r="C2858" s="15" t="s">
        <v>3</v>
      </c>
      <c r="D2858" s="14" t="s">
        <v>500</v>
      </c>
      <c r="E2858" s="14" t="s">
        <v>2327</v>
      </c>
      <c r="F2858" s="72" t="s">
        <v>11</v>
      </c>
      <c r="G2858" s="32">
        <v>43101</v>
      </c>
      <c r="H2858" s="17">
        <v>316793.21265715681</v>
      </c>
      <c r="I2858" s="17">
        <v>0</v>
      </c>
      <c r="J2858" s="17">
        <v>0</v>
      </c>
      <c r="K2858" s="17">
        <f t="shared" si="532"/>
        <v>316793.21265715681</v>
      </c>
      <c r="L2858" s="17">
        <f t="shared" si="530"/>
        <v>15839.660632857842</v>
      </c>
      <c r="M2858" s="42">
        <v>25</v>
      </c>
      <c r="N2858" s="18">
        <f t="shared" si="533"/>
        <v>2.2520547945205478</v>
      </c>
      <c r="O2858" s="23">
        <f t="shared" si="528"/>
        <v>27110.555590572469</v>
      </c>
      <c r="P2858" s="18">
        <f t="shared" si="534"/>
        <v>3.2520547945205478</v>
      </c>
      <c r="Q2858" s="18">
        <f t="shared" si="529"/>
        <v>12038.14208097196</v>
      </c>
      <c r="R2858" s="18">
        <f t="shared" si="531"/>
        <v>39148.697671544433</v>
      </c>
      <c r="S2858" s="18">
        <f t="shared" si="527"/>
        <v>277644.51498561236</v>
      </c>
    </row>
    <row r="2859" spans="1:19" ht="15" customHeight="1" x14ac:dyDescent="0.2">
      <c r="A2859" s="14">
        <f t="shared" ref="A2859:A2922" si="535">+A2858+1</f>
        <v>2820</v>
      </c>
      <c r="B2859" s="14" t="s">
        <v>2404</v>
      </c>
      <c r="C2859" s="15" t="s">
        <v>3</v>
      </c>
      <c r="D2859" s="14" t="s">
        <v>500</v>
      </c>
      <c r="E2859" s="14" t="s">
        <v>2327</v>
      </c>
      <c r="F2859" s="72" t="s">
        <v>8</v>
      </c>
      <c r="G2859" s="32">
        <v>43101</v>
      </c>
      <c r="H2859" s="17">
        <v>3926646.2113643293</v>
      </c>
      <c r="I2859" s="17">
        <v>0</v>
      </c>
      <c r="J2859" s="17">
        <v>0</v>
      </c>
      <c r="K2859" s="17">
        <f t="shared" si="532"/>
        <v>3926646.2113643293</v>
      </c>
      <c r="L2859" s="17">
        <f t="shared" si="530"/>
        <v>196332.31056821649</v>
      </c>
      <c r="M2859" s="42">
        <v>25</v>
      </c>
      <c r="N2859" s="18">
        <f t="shared" si="533"/>
        <v>2.2520547945205478</v>
      </c>
      <c r="O2859" s="23">
        <f t="shared" si="528"/>
        <v>336034.85221418127</v>
      </c>
      <c r="P2859" s="18">
        <f t="shared" si="534"/>
        <v>3.2520547945205478</v>
      </c>
      <c r="Q2859" s="18">
        <f t="shared" si="529"/>
        <v>149212.55603184452</v>
      </c>
      <c r="R2859" s="18">
        <f t="shared" si="531"/>
        <v>485247.40824602579</v>
      </c>
      <c r="S2859" s="18">
        <f t="shared" si="527"/>
        <v>3441398.8031183034</v>
      </c>
    </row>
    <row r="2860" spans="1:19" ht="15" customHeight="1" x14ac:dyDescent="0.2">
      <c r="A2860" s="14">
        <f t="shared" si="535"/>
        <v>2821</v>
      </c>
      <c r="B2860" s="14" t="s">
        <v>2405</v>
      </c>
      <c r="C2860" s="15" t="s">
        <v>3</v>
      </c>
      <c r="D2860" s="14" t="s">
        <v>500</v>
      </c>
      <c r="E2860" s="14" t="s">
        <v>2327</v>
      </c>
      <c r="F2860" s="72" t="s">
        <v>11</v>
      </c>
      <c r="G2860" s="32">
        <v>43101</v>
      </c>
      <c r="H2860" s="17">
        <v>582393.86307123478</v>
      </c>
      <c r="I2860" s="17">
        <v>0</v>
      </c>
      <c r="J2860" s="17">
        <v>0</v>
      </c>
      <c r="K2860" s="17">
        <f t="shared" si="532"/>
        <v>582393.86307123478</v>
      </c>
      <c r="L2860" s="17">
        <f t="shared" si="530"/>
        <v>29119.69315356174</v>
      </c>
      <c r="M2860" s="42">
        <v>25</v>
      </c>
      <c r="N2860" s="18">
        <f t="shared" si="533"/>
        <v>2.2520547945205478</v>
      </c>
      <c r="O2860" s="23">
        <f t="shared" si="528"/>
        <v>49840.149881898862</v>
      </c>
      <c r="P2860" s="18">
        <f t="shared" si="534"/>
        <v>3.2520547945205478</v>
      </c>
      <c r="Q2860" s="18">
        <f t="shared" si="529"/>
        <v>22130.966796706922</v>
      </c>
      <c r="R2860" s="18">
        <f t="shared" si="531"/>
        <v>71971.116678605787</v>
      </c>
      <c r="S2860" s="18">
        <f t="shared" si="527"/>
        <v>510422.74639262899</v>
      </c>
    </row>
    <row r="2861" spans="1:19" ht="15" customHeight="1" x14ac:dyDescent="0.2">
      <c r="A2861" s="14">
        <f t="shared" si="535"/>
        <v>2822</v>
      </c>
      <c r="B2861" s="14" t="s">
        <v>2406</v>
      </c>
      <c r="C2861" s="15" t="s">
        <v>3</v>
      </c>
      <c r="D2861" s="14" t="s">
        <v>500</v>
      </c>
      <c r="E2861" s="14" t="s">
        <v>2327</v>
      </c>
      <c r="F2861" s="72" t="s">
        <v>2407</v>
      </c>
      <c r="G2861" s="32">
        <v>43101</v>
      </c>
      <c r="H2861" s="17">
        <v>230400.63213701776</v>
      </c>
      <c r="I2861" s="17">
        <v>0</v>
      </c>
      <c r="J2861" s="17">
        <v>0</v>
      </c>
      <c r="K2861" s="17">
        <f t="shared" si="532"/>
        <v>230400.63213701776</v>
      </c>
      <c r="L2861" s="17">
        <f t="shared" si="530"/>
        <v>11520.031606850889</v>
      </c>
      <c r="M2861" s="42">
        <v>25</v>
      </c>
      <c r="N2861" s="18">
        <f t="shared" si="533"/>
        <v>2.2520547945205478</v>
      </c>
      <c r="O2861" s="23">
        <f t="shared" si="528"/>
        <v>19717.244234059963</v>
      </c>
      <c r="P2861" s="18">
        <f t="shared" si="534"/>
        <v>3.2520547945205478</v>
      </c>
      <c r="Q2861" s="18">
        <f t="shared" si="529"/>
        <v>8755.2240212066754</v>
      </c>
      <c r="R2861" s="18">
        <f t="shared" si="531"/>
        <v>28472.468255266638</v>
      </c>
      <c r="S2861" s="18">
        <f t="shared" si="527"/>
        <v>201928.16388175113</v>
      </c>
    </row>
    <row r="2862" spans="1:19" ht="15" customHeight="1" x14ac:dyDescent="0.2">
      <c r="A2862" s="14">
        <f t="shared" si="535"/>
        <v>2823</v>
      </c>
      <c r="B2862" s="14" t="s">
        <v>2408</v>
      </c>
      <c r="C2862" s="15" t="s">
        <v>3</v>
      </c>
      <c r="D2862" s="14" t="s">
        <v>500</v>
      </c>
      <c r="E2862" s="14" t="s">
        <v>2327</v>
      </c>
      <c r="F2862" s="72" t="s">
        <v>11</v>
      </c>
      <c r="G2862" s="32">
        <v>43101</v>
      </c>
      <c r="H2862" s="17">
        <v>301677.11886943318</v>
      </c>
      <c r="I2862" s="17">
        <v>0</v>
      </c>
      <c r="J2862" s="17">
        <v>0</v>
      </c>
      <c r="K2862" s="17">
        <f t="shared" si="532"/>
        <v>301677.11886943318</v>
      </c>
      <c r="L2862" s="17">
        <f t="shared" si="530"/>
        <v>15083.855943471659</v>
      </c>
      <c r="M2862" s="42">
        <v>25</v>
      </c>
      <c r="N2862" s="18">
        <f t="shared" si="533"/>
        <v>2.2520547945205478</v>
      </c>
      <c r="O2862" s="23">
        <f t="shared" si="528"/>
        <v>25816.949273987982</v>
      </c>
      <c r="P2862" s="18">
        <f t="shared" si="534"/>
        <v>3.2520547945205478</v>
      </c>
      <c r="Q2862" s="18">
        <f t="shared" si="529"/>
        <v>11463.730517038461</v>
      </c>
      <c r="R2862" s="18">
        <f t="shared" si="531"/>
        <v>37280.679791026443</v>
      </c>
      <c r="S2862" s="18">
        <f t="shared" si="527"/>
        <v>264396.43907840672</v>
      </c>
    </row>
    <row r="2863" spans="1:19" ht="15" customHeight="1" x14ac:dyDescent="0.2">
      <c r="A2863" s="14">
        <f t="shared" si="535"/>
        <v>2824</v>
      </c>
      <c r="B2863" s="14" t="s">
        <v>2409</v>
      </c>
      <c r="C2863" s="15" t="s">
        <v>3</v>
      </c>
      <c r="D2863" s="14" t="s">
        <v>500</v>
      </c>
      <c r="E2863" s="14" t="s">
        <v>2327</v>
      </c>
      <c r="F2863" s="72" t="s">
        <v>8</v>
      </c>
      <c r="G2863" s="32">
        <v>43101</v>
      </c>
      <c r="H2863" s="17">
        <v>6643787.0148027819</v>
      </c>
      <c r="I2863" s="17">
        <v>0</v>
      </c>
      <c r="J2863" s="17">
        <v>0</v>
      </c>
      <c r="K2863" s="17">
        <f t="shared" si="532"/>
        <v>6643787.0148027819</v>
      </c>
      <c r="L2863" s="17">
        <f t="shared" si="530"/>
        <v>332189.35074013914</v>
      </c>
      <c r="M2863" s="42">
        <v>25</v>
      </c>
      <c r="N2863" s="18">
        <f t="shared" si="533"/>
        <v>2.2520547945205478</v>
      </c>
      <c r="O2863" s="23">
        <f t="shared" ref="O2863:O2894" si="536">(K2863-L2863)/M2863*N2863-J2863</f>
        <v>568562.55121747858</v>
      </c>
      <c r="P2863" s="18">
        <f t="shared" si="534"/>
        <v>3.2520547945205478</v>
      </c>
      <c r="Q2863" s="18">
        <f t="shared" ref="Q2863:Q2894" si="537">(P2863-N2863)/M2863*(K2863-L2863)</f>
        <v>252463.9065625057</v>
      </c>
      <c r="R2863" s="18">
        <f t="shared" si="531"/>
        <v>821026.45777998422</v>
      </c>
      <c r="S2863" s="18">
        <f t="shared" si="527"/>
        <v>5822760.5570227979</v>
      </c>
    </row>
    <row r="2864" spans="1:19" ht="15" customHeight="1" x14ac:dyDescent="0.2">
      <c r="A2864" s="14">
        <f t="shared" si="535"/>
        <v>2825</v>
      </c>
      <c r="B2864" s="14" t="s">
        <v>2410</v>
      </c>
      <c r="C2864" s="15" t="s">
        <v>3</v>
      </c>
      <c r="D2864" s="14" t="s">
        <v>500</v>
      </c>
      <c r="E2864" s="14" t="s">
        <v>2327</v>
      </c>
      <c r="F2864" s="74" t="s">
        <v>11</v>
      </c>
      <c r="G2864" s="32">
        <v>43101</v>
      </c>
      <c r="H2864" s="17">
        <v>7358816.2554872232</v>
      </c>
      <c r="I2864" s="17">
        <v>0</v>
      </c>
      <c r="J2864" s="17">
        <v>0</v>
      </c>
      <c r="K2864" s="17">
        <f t="shared" si="532"/>
        <v>7358816.2554872232</v>
      </c>
      <c r="L2864" s="17">
        <f t="shared" si="530"/>
        <v>367940.81277436117</v>
      </c>
      <c r="M2864" s="42">
        <v>25</v>
      </c>
      <c r="N2864" s="18">
        <f t="shared" si="533"/>
        <v>2.2520547945205478</v>
      </c>
      <c r="O2864" s="23">
        <f t="shared" si="536"/>
        <v>629753.38234629831</v>
      </c>
      <c r="P2864" s="18">
        <f t="shared" si="534"/>
        <v>3.2520547945205478</v>
      </c>
      <c r="Q2864" s="18">
        <f t="shared" si="537"/>
        <v>279635.01770851447</v>
      </c>
      <c r="R2864" s="18">
        <f t="shared" si="531"/>
        <v>909388.40005481278</v>
      </c>
      <c r="S2864" s="18">
        <f t="shared" si="527"/>
        <v>6449427.8554324107</v>
      </c>
    </row>
    <row r="2865" spans="1:19" ht="15" customHeight="1" x14ac:dyDescent="0.2">
      <c r="A2865" s="14">
        <f t="shared" si="535"/>
        <v>2826</v>
      </c>
      <c r="B2865" s="14" t="s">
        <v>2411</v>
      </c>
      <c r="C2865" s="15" t="s">
        <v>3</v>
      </c>
      <c r="D2865" s="14" t="s">
        <v>500</v>
      </c>
      <c r="E2865" s="14" t="s">
        <v>2327</v>
      </c>
      <c r="F2865" s="72" t="s">
        <v>4</v>
      </c>
      <c r="G2865" s="32">
        <v>43101</v>
      </c>
      <c r="H2865" s="17">
        <v>1027566.7304838335</v>
      </c>
      <c r="I2865" s="17">
        <v>0</v>
      </c>
      <c r="J2865" s="17">
        <v>0</v>
      </c>
      <c r="K2865" s="17">
        <f t="shared" si="532"/>
        <v>1027566.7304838335</v>
      </c>
      <c r="L2865" s="17">
        <f t="shared" si="530"/>
        <v>51378.336524191676</v>
      </c>
      <c r="M2865" s="42">
        <v>25</v>
      </c>
      <c r="N2865" s="18">
        <f t="shared" si="533"/>
        <v>2.2520547945205478</v>
      </c>
      <c r="O2865" s="23">
        <f t="shared" si="536"/>
        <v>87937.190118884988</v>
      </c>
      <c r="P2865" s="18">
        <f t="shared" si="534"/>
        <v>3.2520547945205478</v>
      </c>
      <c r="Q2865" s="18">
        <f t="shared" si="537"/>
        <v>39047.535758385675</v>
      </c>
      <c r="R2865" s="18">
        <f t="shared" si="531"/>
        <v>126984.72587727066</v>
      </c>
      <c r="S2865" s="18">
        <f t="shared" si="527"/>
        <v>900582.00460656278</v>
      </c>
    </row>
    <row r="2866" spans="1:19" ht="15" customHeight="1" x14ac:dyDescent="0.2">
      <c r="A2866" s="14">
        <f t="shared" si="535"/>
        <v>2827</v>
      </c>
      <c r="B2866" s="14" t="s">
        <v>2412</v>
      </c>
      <c r="C2866" s="15" t="s">
        <v>3</v>
      </c>
      <c r="D2866" s="14" t="s">
        <v>500</v>
      </c>
      <c r="E2866" s="14" t="s">
        <v>2327</v>
      </c>
      <c r="F2866" s="72" t="s">
        <v>11</v>
      </c>
      <c r="G2866" s="32">
        <v>43101</v>
      </c>
      <c r="H2866" s="17">
        <v>2695204.9696856006</v>
      </c>
      <c r="I2866" s="17">
        <v>0</v>
      </c>
      <c r="J2866" s="17">
        <v>0</v>
      </c>
      <c r="K2866" s="17">
        <f t="shared" si="532"/>
        <v>2695204.9696856006</v>
      </c>
      <c r="L2866" s="17">
        <f t="shared" si="530"/>
        <v>134760.24848428005</v>
      </c>
      <c r="M2866" s="42">
        <v>25</v>
      </c>
      <c r="N2866" s="18">
        <f t="shared" si="533"/>
        <v>2.2520547945205478</v>
      </c>
      <c r="O2866" s="23">
        <f t="shared" si="536"/>
        <v>230650.47241945044</v>
      </c>
      <c r="P2866" s="18">
        <f t="shared" si="534"/>
        <v>3.2520547945205478</v>
      </c>
      <c r="Q2866" s="18">
        <f t="shared" si="537"/>
        <v>102417.78884805283</v>
      </c>
      <c r="R2866" s="18">
        <f t="shared" si="531"/>
        <v>333068.26126750326</v>
      </c>
      <c r="S2866" s="18">
        <f t="shared" si="527"/>
        <v>2362136.7084180973</v>
      </c>
    </row>
    <row r="2867" spans="1:19" ht="15" customHeight="1" x14ac:dyDescent="0.2">
      <c r="A2867" s="14">
        <f t="shared" si="535"/>
        <v>2828</v>
      </c>
      <c r="B2867" s="14" t="s">
        <v>2413</v>
      </c>
      <c r="C2867" s="15" t="s">
        <v>3</v>
      </c>
      <c r="D2867" s="14" t="s">
        <v>500</v>
      </c>
      <c r="E2867" s="14" t="s">
        <v>2327</v>
      </c>
      <c r="F2867" s="72" t="s">
        <v>11</v>
      </c>
      <c r="G2867" s="32">
        <v>43101</v>
      </c>
      <c r="H2867" s="17">
        <v>759449.21555080824</v>
      </c>
      <c r="I2867" s="17">
        <v>0</v>
      </c>
      <c r="J2867" s="17">
        <v>0</v>
      </c>
      <c r="K2867" s="17">
        <f t="shared" si="532"/>
        <v>759449.21555080824</v>
      </c>
      <c r="L2867" s="17">
        <f t="shared" si="530"/>
        <v>37972.460777540415</v>
      </c>
      <c r="M2867" s="42">
        <v>25</v>
      </c>
      <c r="N2867" s="18">
        <f t="shared" si="533"/>
        <v>2.2520547945205478</v>
      </c>
      <c r="O2867" s="23">
        <f t="shared" si="536"/>
        <v>64992.207388890529</v>
      </c>
      <c r="P2867" s="18">
        <f t="shared" si="534"/>
        <v>3.2520547945205478</v>
      </c>
      <c r="Q2867" s="18">
        <f t="shared" si="537"/>
        <v>28859.07019093071</v>
      </c>
      <c r="R2867" s="18">
        <f t="shared" si="531"/>
        <v>93851.277579821239</v>
      </c>
      <c r="S2867" s="18">
        <f t="shared" si="527"/>
        <v>665597.93797098706</v>
      </c>
    </row>
    <row r="2868" spans="1:19" ht="15" customHeight="1" x14ac:dyDescent="0.2">
      <c r="A2868" s="14">
        <f t="shared" si="535"/>
        <v>2829</v>
      </c>
      <c r="B2868" s="14" t="s">
        <v>2414</v>
      </c>
      <c r="C2868" s="15" t="s">
        <v>3</v>
      </c>
      <c r="D2868" s="14" t="s">
        <v>500</v>
      </c>
      <c r="E2868" s="14" t="s">
        <v>2327</v>
      </c>
      <c r="F2868" s="72" t="s">
        <v>11</v>
      </c>
      <c r="G2868" s="32">
        <v>43101</v>
      </c>
      <c r="H2868" s="17">
        <v>727132.1111410642</v>
      </c>
      <c r="I2868" s="17">
        <v>0</v>
      </c>
      <c r="J2868" s="17">
        <v>0</v>
      </c>
      <c r="K2868" s="17">
        <f t="shared" si="532"/>
        <v>727132.1111410642</v>
      </c>
      <c r="L2868" s="17">
        <f t="shared" si="530"/>
        <v>36356.605557053212</v>
      </c>
      <c r="M2868" s="42">
        <v>25</v>
      </c>
      <c r="N2868" s="18">
        <f t="shared" si="533"/>
        <v>2.2520547945205478</v>
      </c>
      <c r="O2868" s="23">
        <f t="shared" si="536"/>
        <v>62226.571571513094</v>
      </c>
      <c r="P2868" s="18">
        <f t="shared" si="534"/>
        <v>3.2520547945205478</v>
      </c>
      <c r="Q2868" s="18">
        <f t="shared" si="537"/>
        <v>27631.02022336044</v>
      </c>
      <c r="R2868" s="18">
        <f t="shared" si="531"/>
        <v>89857.59179487353</v>
      </c>
      <c r="S2868" s="18">
        <f t="shared" si="527"/>
        <v>637274.51934619062</v>
      </c>
    </row>
    <row r="2869" spans="1:19" ht="15" customHeight="1" x14ac:dyDescent="0.2">
      <c r="A2869" s="14">
        <f t="shared" si="535"/>
        <v>2830</v>
      </c>
      <c r="B2869" s="14" t="s">
        <v>2415</v>
      </c>
      <c r="C2869" s="15" t="s">
        <v>3</v>
      </c>
      <c r="D2869" s="14" t="s">
        <v>500</v>
      </c>
      <c r="E2869" s="14" t="s">
        <v>2327</v>
      </c>
      <c r="F2869" s="72" t="s">
        <v>11</v>
      </c>
      <c r="G2869" s="32">
        <v>43101</v>
      </c>
      <c r="H2869" s="17">
        <v>38319.259995222368</v>
      </c>
      <c r="I2869" s="17">
        <v>0</v>
      </c>
      <c r="J2869" s="17">
        <v>0</v>
      </c>
      <c r="K2869" s="17">
        <f t="shared" si="532"/>
        <v>38319.259995222368</v>
      </c>
      <c r="L2869" s="17">
        <f t="shared" si="530"/>
        <v>1915.9629997611185</v>
      </c>
      <c r="M2869" s="42">
        <v>25</v>
      </c>
      <c r="N2869" s="18">
        <f t="shared" si="533"/>
        <v>2.2520547945205478</v>
      </c>
      <c r="O2869" s="23">
        <f t="shared" si="536"/>
        <v>3279.2887813993584</v>
      </c>
      <c r="P2869" s="18">
        <f t="shared" si="534"/>
        <v>3.2520547945205478</v>
      </c>
      <c r="Q2869" s="18">
        <f t="shared" si="537"/>
        <v>1456.13187981845</v>
      </c>
      <c r="R2869" s="18">
        <f t="shared" si="531"/>
        <v>4735.4206612178086</v>
      </c>
      <c r="S2869" s="18">
        <f t="shared" si="527"/>
        <v>33583.839334004559</v>
      </c>
    </row>
    <row r="2870" spans="1:19" ht="15" customHeight="1" x14ac:dyDescent="0.2">
      <c r="A2870" s="14">
        <f t="shared" si="535"/>
        <v>2831</v>
      </c>
      <c r="B2870" s="14" t="s">
        <v>2416</v>
      </c>
      <c r="C2870" s="15" t="s">
        <v>3</v>
      </c>
      <c r="D2870" s="14" t="s">
        <v>500</v>
      </c>
      <c r="E2870" s="14" t="s">
        <v>2319</v>
      </c>
      <c r="F2870" s="72" t="s">
        <v>11</v>
      </c>
      <c r="G2870" s="32">
        <v>43101</v>
      </c>
      <c r="H2870" s="17">
        <v>5696524.8879169803</v>
      </c>
      <c r="I2870" s="17">
        <v>0</v>
      </c>
      <c r="J2870" s="17">
        <v>0</v>
      </c>
      <c r="K2870" s="17">
        <f t="shared" si="532"/>
        <v>5696524.8879169803</v>
      </c>
      <c r="L2870" s="17">
        <f t="shared" si="530"/>
        <v>284826.244395849</v>
      </c>
      <c r="M2870" s="42">
        <v>25</v>
      </c>
      <c r="N2870" s="18">
        <f t="shared" si="533"/>
        <v>2.2520547945205478</v>
      </c>
      <c r="O2870" s="23">
        <f t="shared" si="536"/>
        <v>487497.67506568431</v>
      </c>
      <c r="P2870" s="18">
        <f t="shared" si="534"/>
        <v>3.2520547945205478</v>
      </c>
      <c r="Q2870" s="18">
        <f t="shared" si="537"/>
        <v>216467.94574084526</v>
      </c>
      <c r="R2870" s="18">
        <f t="shared" si="531"/>
        <v>703965.62080652954</v>
      </c>
      <c r="S2870" s="18">
        <f t="shared" si="527"/>
        <v>4992559.2671104511</v>
      </c>
    </row>
    <row r="2871" spans="1:19" ht="15" customHeight="1" x14ac:dyDescent="0.2">
      <c r="A2871" s="14">
        <f t="shared" si="535"/>
        <v>2832</v>
      </c>
      <c r="B2871" s="14" t="s">
        <v>2417</v>
      </c>
      <c r="C2871" s="15" t="s">
        <v>3</v>
      </c>
      <c r="D2871" s="14" t="s">
        <v>500</v>
      </c>
      <c r="E2871" s="14" t="s">
        <v>2327</v>
      </c>
      <c r="F2871" s="72" t="s">
        <v>8</v>
      </c>
      <c r="G2871" s="32">
        <v>43101</v>
      </c>
      <c r="H2871" s="17">
        <v>11336926.807852417</v>
      </c>
      <c r="I2871" s="17">
        <v>0</v>
      </c>
      <c r="J2871" s="17">
        <v>0</v>
      </c>
      <c r="K2871" s="17">
        <f t="shared" si="532"/>
        <v>11336926.807852417</v>
      </c>
      <c r="L2871" s="17">
        <f t="shared" si="530"/>
        <v>566846.34039262088</v>
      </c>
      <c r="M2871" s="42">
        <v>25</v>
      </c>
      <c r="N2871" s="18">
        <f t="shared" si="533"/>
        <v>2.2520547945205478</v>
      </c>
      <c r="O2871" s="23">
        <f t="shared" si="536"/>
        <v>970192.45416459756</v>
      </c>
      <c r="P2871" s="18">
        <f t="shared" si="534"/>
        <v>3.2520547945205478</v>
      </c>
      <c r="Q2871" s="18">
        <f t="shared" si="537"/>
        <v>430803.21869839187</v>
      </c>
      <c r="R2871" s="18">
        <f t="shared" si="531"/>
        <v>1400995.6728629894</v>
      </c>
      <c r="S2871" s="18">
        <f t="shared" si="527"/>
        <v>9935931.1349894274</v>
      </c>
    </row>
    <row r="2872" spans="1:19" ht="15" customHeight="1" x14ac:dyDescent="0.2">
      <c r="A2872" s="14">
        <f t="shared" si="535"/>
        <v>2833</v>
      </c>
      <c r="B2872" s="14" t="s">
        <v>2418</v>
      </c>
      <c r="C2872" s="15" t="s">
        <v>3</v>
      </c>
      <c r="D2872" s="14" t="s">
        <v>500</v>
      </c>
      <c r="E2872" s="14" t="s">
        <v>2327</v>
      </c>
      <c r="F2872" s="72" t="s">
        <v>8</v>
      </c>
      <c r="G2872" s="32">
        <v>43101</v>
      </c>
      <c r="H2872" s="17">
        <v>8921679.3911088519</v>
      </c>
      <c r="I2872" s="17">
        <v>0</v>
      </c>
      <c r="J2872" s="17">
        <v>0</v>
      </c>
      <c r="K2872" s="17">
        <f t="shared" si="532"/>
        <v>8921679.3911088519</v>
      </c>
      <c r="L2872" s="17">
        <f t="shared" ref="L2872:L2903" si="538">H2872*0.05</f>
        <v>446083.96955544263</v>
      </c>
      <c r="M2872" s="42">
        <v>25</v>
      </c>
      <c r="N2872" s="18">
        <f t="shared" si="533"/>
        <v>2.2520547945205478</v>
      </c>
      <c r="O2872" s="23">
        <f t="shared" si="536"/>
        <v>763500.21222103038</v>
      </c>
      <c r="P2872" s="18">
        <f t="shared" si="534"/>
        <v>3.2520547945205478</v>
      </c>
      <c r="Q2872" s="18">
        <f t="shared" si="537"/>
        <v>339023.81686213636</v>
      </c>
      <c r="R2872" s="18">
        <f t="shared" ref="R2872:R2903" si="539">O2872+Q2872</f>
        <v>1102524.0290831667</v>
      </c>
      <c r="S2872" s="18">
        <f t="shared" si="527"/>
        <v>7819155.3620256856</v>
      </c>
    </row>
    <row r="2873" spans="1:19" ht="15" customHeight="1" x14ac:dyDescent="0.2">
      <c r="A2873" s="14">
        <f t="shared" si="535"/>
        <v>2834</v>
      </c>
      <c r="B2873" s="14" t="s">
        <v>2419</v>
      </c>
      <c r="C2873" s="15" t="s">
        <v>3</v>
      </c>
      <c r="D2873" s="14" t="s">
        <v>500</v>
      </c>
      <c r="E2873" s="14" t="s">
        <v>2327</v>
      </c>
      <c r="F2873" s="72" t="s">
        <v>8</v>
      </c>
      <c r="G2873" s="32">
        <v>43101</v>
      </c>
      <c r="H2873" s="17">
        <v>597246.90536509256</v>
      </c>
      <c r="I2873" s="17">
        <v>0</v>
      </c>
      <c r="J2873" s="17">
        <v>0</v>
      </c>
      <c r="K2873" s="17">
        <f t="shared" si="532"/>
        <v>597246.90536509256</v>
      </c>
      <c r="L2873" s="17">
        <f t="shared" si="538"/>
        <v>29862.34526825463</v>
      </c>
      <c r="M2873" s="42">
        <v>25</v>
      </c>
      <c r="N2873" s="18">
        <f t="shared" si="533"/>
        <v>2.2520547945205478</v>
      </c>
      <c r="O2873" s="23">
        <f t="shared" si="536"/>
        <v>51111.244756120635</v>
      </c>
      <c r="P2873" s="18">
        <f t="shared" si="534"/>
        <v>3.2520547945205478</v>
      </c>
      <c r="Q2873" s="18">
        <f t="shared" si="537"/>
        <v>22695.382403873518</v>
      </c>
      <c r="R2873" s="18">
        <f t="shared" si="539"/>
        <v>73806.627159994154</v>
      </c>
      <c r="S2873" s="18">
        <f t="shared" si="527"/>
        <v>523440.27820509841</v>
      </c>
    </row>
    <row r="2874" spans="1:19" ht="15" customHeight="1" x14ac:dyDescent="0.2">
      <c r="A2874" s="14">
        <f t="shared" si="535"/>
        <v>2835</v>
      </c>
      <c r="B2874" s="14" t="s">
        <v>2420</v>
      </c>
      <c r="C2874" s="15" t="s">
        <v>3</v>
      </c>
      <c r="D2874" s="14" t="s">
        <v>500</v>
      </c>
      <c r="E2874" s="14" t="s">
        <v>2327</v>
      </c>
      <c r="F2874" s="72" t="s">
        <v>6</v>
      </c>
      <c r="G2874" s="32">
        <v>43101</v>
      </c>
      <c r="H2874" s="17">
        <v>356430.91205676977</v>
      </c>
      <c r="I2874" s="17">
        <v>0</v>
      </c>
      <c r="J2874" s="17">
        <v>0</v>
      </c>
      <c r="K2874" s="17">
        <f t="shared" si="532"/>
        <v>356430.91205676977</v>
      </c>
      <c r="L2874" s="17">
        <f t="shared" si="538"/>
        <v>17821.545602838491</v>
      </c>
      <c r="M2874" s="42">
        <v>25</v>
      </c>
      <c r="N2874" s="18">
        <f t="shared" si="533"/>
        <v>2.2520547945205478</v>
      </c>
      <c r="O2874" s="23">
        <f t="shared" si="536"/>
        <v>30502.67388768564</v>
      </c>
      <c r="P2874" s="18">
        <f t="shared" si="534"/>
        <v>3.2520547945205478</v>
      </c>
      <c r="Q2874" s="18">
        <f t="shared" si="537"/>
        <v>13544.37465815725</v>
      </c>
      <c r="R2874" s="18">
        <f t="shared" si="539"/>
        <v>44047.048545842888</v>
      </c>
      <c r="S2874" s="18">
        <f t="shared" si="527"/>
        <v>312383.86351092689</v>
      </c>
    </row>
    <row r="2875" spans="1:19" ht="15" customHeight="1" x14ac:dyDescent="0.2">
      <c r="A2875" s="14">
        <f t="shared" si="535"/>
        <v>2836</v>
      </c>
      <c r="B2875" s="14" t="s">
        <v>2421</v>
      </c>
      <c r="C2875" s="15" t="s">
        <v>3</v>
      </c>
      <c r="D2875" s="14" t="s">
        <v>500</v>
      </c>
      <c r="E2875" s="14" t="s">
        <v>2327</v>
      </c>
      <c r="F2875" s="72" t="s">
        <v>8</v>
      </c>
      <c r="G2875" s="32">
        <v>43101</v>
      </c>
      <c r="H2875" s="17">
        <v>1401606.425058054</v>
      </c>
      <c r="I2875" s="17">
        <v>0</v>
      </c>
      <c r="J2875" s="17">
        <v>0</v>
      </c>
      <c r="K2875" s="17">
        <f t="shared" si="532"/>
        <v>1401606.425058054</v>
      </c>
      <c r="L2875" s="17">
        <f t="shared" si="538"/>
        <v>70080.321252902708</v>
      </c>
      <c r="M2875" s="42">
        <v>25</v>
      </c>
      <c r="N2875" s="18">
        <f t="shared" si="533"/>
        <v>2.2520547945205478</v>
      </c>
      <c r="O2875" s="23">
        <f t="shared" si="536"/>
        <v>119946.78984414622</v>
      </c>
      <c r="P2875" s="18">
        <f t="shared" si="534"/>
        <v>3.2520547945205478</v>
      </c>
      <c r="Q2875" s="18">
        <f t="shared" si="537"/>
        <v>53261.04415220605</v>
      </c>
      <c r="R2875" s="18">
        <f t="shared" si="539"/>
        <v>173207.83399635227</v>
      </c>
      <c r="S2875" s="18">
        <f t="shared" si="527"/>
        <v>1228398.5910617018</v>
      </c>
    </row>
    <row r="2876" spans="1:19" ht="15" customHeight="1" x14ac:dyDescent="0.2">
      <c r="A2876" s="14">
        <f t="shared" si="535"/>
        <v>2837</v>
      </c>
      <c r="B2876" s="14" t="s">
        <v>2422</v>
      </c>
      <c r="C2876" s="15" t="s">
        <v>3</v>
      </c>
      <c r="D2876" s="14" t="s">
        <v>500</v>
      </c>
      <c r="E2876" s="14" t="s">
        <v>2327</v>
      </c>
      <c r="F2876" s="72" t="s">
        <v>8</v>
      </c>
      <c r="G2876" s="32">
        <v>43101</v>
      </c>
      <c r="H2876" s="17">
        <v>524930.39854620118</v>
      </c>
      <c r="I2876" s="17">
        <v>0</v>
      </c>
      <c r="J2876" s="17">
        <v>0</v>
      </c>
      <c r="K2876" s="17">
        <f t="shared" si="532"/>
        <v>524930.39854620118</v>
      </c>
      <c r="L2876" s="17">
        <f t="shared" si="538"/>
        <v>26246.519927310059</v>
      </c>
      <c r="M2876" s="42">
        <v>25</v>
      </c>
      <c r="N2876" s="18">
        <f t="shared" si="533"/>
        <v>2.2520547945205478</v>
      </c>
      <c r="O2876" s="23">
        <f t="shared" si="536"/>
        <v>44922.536791751067</v>
      </c>
      <c r="P2876" s="18">
        <f t="shared" si="534"/>
        <v>3.2520547945205478</v>
      </c>
      <c r="Q2876" s="18">
        <f t="shared" si="537"/>
        <v>19947.355144755646</v>
      </c>
      <c r="R2876" s="18">
        <f t="shared" si="539"/>
        <v>64869.891936506712</v>
      </c>
      <c r="S2876" s="18">
        <f t="shared" si="527"/>
        <v>460060.50660969445</v>
      </c>
    </row>
    <row r="2877" spans="1:19" ht="15" customHeight="1" x14ac:dyDescent="0.2">
      <c r="A2877" s="14">
        <f t="shared" si="535"/>
        <v>2838</v>
      </c>
      <c r="B2877" s="14" t="s">
        <v>2423</v>
      </c>
      <c r="C2877" s="15" t="s">
        <v>3</v>
      </c>
      <c r="D2877" s="14" t="s">
        <v>500</v>
      </c>
      <c r="E2877" s="14" t="s">
        <v>2327</v>
      </c>
      <c r="F2877" s="74" t="s">
        <v>11</v>
      </c>
      <c r="G2877" s="32">
        <v>43101</v>
      </c>
      <c r="H2877" s="17">
        <v>17700096.225705326</v>
      </c>
      <c r="I2877" s="17">
        <v>0</v>
      </c>
      <c r="J2877" s="17">
        <v>0</v>
      </c>
      <c r="K2877" s="17">
        <f t="shared" si="532"/>
        <v>17700096.225705326</v>
      </c>
      <c r="L2877" s="17">
        <f t="shared" si="538"/>
        <v>885004.8112852663</v>
      </c>
      <c r="M2877" s="42">
        <v>25</v>
      </c>
      <c r="N2877" s="18">
        <f t="shared" si="533"/>
        <v>2.2520547945205478</v>
      </c>
      <c r="O2877" s="23">
        <f t="shared" si="536"/>
        <v>1514740.2896058401</v>
      </c>
      <c r="P2877" s="18">
        <f t="shared" si="534"/>
        <v>3.2520547945205478</v>
      </c>
      <c r="Q2877" s="18">
        <f t="shared" si="537"/>
        <v>672603.65657680249</v>
      </c>
      <c r="R2877" s="18">
        <f t="shared" si="539"/>
        <v>2187343.9461826426</v>
      </c>
      <c r="S2877" s="18">
        <f t="shared" si="527"/>
        <v>15512752.279522683</v>
      </c>
    </row>
    <row r="2878" spans="1:19" ht="15" customHeight="1" x14ac:dyDescent="0.2">
      <c r="A2878" s="14">
        <f t="shared" si="535"/>
        <v>2839</v>
      </c>
      <c r="B2878" s="14" t="s">
        <v>2424</v>
      </c>
      <c r="C2878" s="15" t="s">
        <v>3</v>
      </c>
      <c r="D2878" s="14" t="s">
        <v>500</v>
      </c>
      <c r="E2878" s="14" t="s">
        <v>2327</v>
      </c>
      <c r="F2878" s="72" t="s">
        <v>11</v>
      </c>
      <c r="G2878" s="32">
        <v>43101</v>
      </c>
      <c r="H2878" s="17">
        <v>823439.15169276693</v>
      </c>
      <c r="I2878" s="17">
        <v>0</v>
      </c>
      <c r="J2878" s="17">
        <v>0</v>
      </c>
      <c r="K2878" s="17">
        <f t="shared" si="532"/>
        <v>823439.15169276693</v>
      </c>
      <c r="L2878" s="17">
        <f t="shared" si="538"/>
        <v>41171.957584638352</v>
      </c>
      <c r="M2878" s="42">
        <v>25</v>
      </c>
      <c r="N2878" s="18">
        <f t="shared" si="533"/>
        <v>2.2520547945205478</v>
      </c>
      <c r="O2878" s="23">
        <f t="shared" si="536"/>
        <v>70468.343403493884</v>
      </c>
      <c r="P2878" s="18">
        <f t="shared" si="534"/>
        <v>3.2520547945205478</v>
      </c>
      <c r="Q2878" s="18">
        <f t="shared" si="537"/>
        <v>31290.687764325143</v>
      </c>
      <c r="R2878" s="18">
        <f t="shared" si="539"/>
        <v>101759.03116781902</v>
      </c>
      <c r="S2878" s="18">
        <f t="shared" si="527"/>
        <v>721680.12052494788</v>
      </c>
    </row>
    <row r="2879" spans="1:19" ht="15" customHeight="1" x14ac:dyDescent="0.2">
      <c r="A2879" s="14">
        <f t="shared" si="535"/>
        <v>2840</v>
      </c>
      <c r="B2879" s="14" t="s">
        <v>2425</v>
      </c>
      <c r="C2879" s="15" t="s">
        <v>3</v>
      </c>
      <c r="D2879" s="14" t="s">
        <v>500</v>
      </c>
      <c r="E2879" s="14" t="s">
        <v>2327</v>
      </c>
      <c r="F2879" s="72" t="s">
        <v>16</v>
      </c>
      <c r="G2879" s="32">
        <v>43101</v>
      </c>
      <c r="H2879" s="17">
        <v>5683763.7847862663</v>
      </c>
      <c r="I2879" s="17">
        <v>0</v>
      </c>
      <c r="J2879" s="17">
        <v>0</v>
      </c>
      <c r="K2879" s="17">
        <f t="shared" si="532"/>
        <v>5683763.7847862663</v>
      </c>
      <c r="L2879" s="17">
        <f t="shared" si="538"/>
        <v>284188.1892393133</v>
      </c>
      <c r="M2879" s="42">
        <v>25</v>
      </c>
      <c r="N2879" s="18">
        <f t="shared" si="533"/>
        <v>2.2520547945205478</v>
      </c>
      <c r="O2879" s="23">
        <f t="shared" si="536"/>
        <v>486405.60433310631</v>
      </c>
      <c r="P2879" s="18">
        <f t="shared" si="534"/>
        <v>3.2520547945205478</v>
      </c>
      <c r="Q2879" s="18">
        <f t="shared" si="537"/>
        <v>215983.02382187813</v>
      </c>
      <c r="R2879" s="18">
        <f t="shared" si="539"/>
        <v>702388.62815498444</v>
      </c>
      <c r="S2879" s="18">
        <f t="shared" si="527"/>
        <v>4981375.1566312816</v>
      </c>
    </row>
    <row r="2880" spans="1:19" ht="15" customHeight="1" x14ac:dyDescent="0.2">
      <c r="A2880" s="14">
        <f t="shared" si="535"/>
        <v>2841</v>
      </c>
      <c r="B2880" s="14" t="s">
        <v>2426</v>
      </c>
      <c r="C2880" s="15" t="s">
        <v>3</v>
      </c>
      <c r="D2880" s="14" t="s">
        <v>500</v>
      </c>
      <c r="E2880" s="14" t="s">
        <v>2327</v>
      </c>
      <c r="F2880" s="72" t="s">
        <v>11</v>
      </c>
      <c r="G2880" s="32">
        <v>43101</v>
      </c>
      <c r="H2880" s="17">
        <v>260704.5977113609</v>
      </c>
      <c r="I2880" s="17">
        <v>0</v>
      </c>
      <c r="J2880" s="17">
        <v>0</v>
      </c>
      <c r="K2880" s="17">
        <f t="shared" si="532"/>
        <v>260704.5977113609</v>
      </c>
      <c r="L2880" s="17">
        <f t="shared" si="538"/>
        <v>13035.229885568046</v>
      </c>
      <c r="M2880" s="42">
        <v>25</v>
      </c>
      <c r="N2880" s="18">
        <f t="shared" si="533"/>
        <v>2.2520547945205478</v>
      </c>
      <c r="O2880" s="23">
        <f t="shared" si="536"/>
        <v>22310.599490717992</v>
      </c>
      <c r="P2880" s="18">
        <f t="shared" si="534"/>
        <v>3.2520547945205478</v>
      </c>
      <c r="Q2880" s="18">
        <f t="shared" si="537"/>
        <v>9906.774713031713</v>
      </c>
      <c r="R2880" s="18">
        <f t="shared" si="539"/>
        <v>32217.374203749707</v>
      </c>
      <c r="S2880" s="18">
        <f t="shared" si="527"/>
        <v>228487.2235076112</v>
      </c>
    </row>
    <row r="2881" spans="1:19" ht="15" customHeight="1" x14ac:dyDescent="0.2">
      <c r="A2881" s="14">
        <f t="shared" si="535"/>
        <v>2842</v>
      </c>
      <c r="B2881" s="14" t="s">
        <v>2427</v>
      </c>
      <c r="C2881" s="15" t="s">
        <v>3</v>
      </c>
      <c r="D2881" s="14" t="s">
        <v>500</v>
      </c>
      <c r="E2881" s="14" t="s">
        <v>2327</v>
      </c>
      <c r="F2881" s="72" t="s">
        <v>2394</v>
      </c>
      <c r="G2881" s="32">
        <v>43101</v>
      </c>
      <c r="H2881" s="17">
        <v>489189.23226236686</v>
      </c>
      <c r="I2881" s="17">
        <v>0</v>
      </c>
      <c r="J2881" s="17">
        <v>0</v>
      </c>
      <c r="K2881" s="17">
        <f t="shared" si="532"/>
        <v>489189.23226236686</v>
      </c>
      <c r="L2881" s="17">
        <f t="shared" si="538"/>
        <v>24459.461613118343</v>
      </c>
      <c r="M2881" s="42">
        <v>25</v>
      </c>
      <c r="N2881" s="18">
        <f t="shared" si="533"/>
        <v>2.2520547945205478</v>
      </c>
      <c r="O2881" s="23">
        <f t="shared" si="536"/>
        <v>41863.876325882986</v>
      </c>
      <c r="P2881" s="18">
        <f t="shared" si="534"/>
        <v>3.2520547945205478</v>
      </c>
      <c r="Q2881" s="18">
        <f t="shared" si="537"/>
        <v>18589.190825969941</v>
      </c>
      <c r="R2881" s="18">
        <f t="shared" si="539"/>
        <v>60453.067151852927</v>
      </c>
      <c r="S2881" s="18">
        <f t="shared" si="527"/>
        <v>428736.16511051392</v>
      </c>
    </row>
    <row r="2882" spans="1:19" ht="15" customHeight="1" x14ac:dyDescent="0.2">
      <c r="A2882" s="14">
        <f t="shared" si="535"/>
        <v>2843</v>
      </c>
      <c r="B2882" s="14" t="s">
        <v>2428</v>
      </c>
      <c r="C2882" s="15" t="s">
        <v>3</v>
      </c>
      <c r="D2882" s="14" t="s">
        <v>500</v>
      </c>
      <c r="E2882" s="14" t="s">
        <v>2327</v>
      </c>
      <c r="F2882" s="72" t="s">
        <v>11</v>
      </c>
      <c r="G2882" s="32">
        <v>43101</v>
      </c>
      <c r="H2882" s="17">
        <v>13141609.122511879</v>
      </c>
      <c r="I2882" s="17">
        <v>0</v>
      </c>
      <c r="J2882" s="17">
        <v>0</v>
      </c>
      <c r="K2882" s="17">
        <f t="shared" si="532"/>
        <v>13141609.122511879</v>
      </c>
      <c r="L2882" s="17">
        <f t="shared" si="538"/>
        <v>657080.45612559398</v>
      </c>
      <c r="M2882" s="42">
        <v>25</v>
      </c>
      <c r="N2882" s="18">
        <f t="shared" si="533"/>
        <v>2.2520547945205478</v>
      </c>
      <c r="O2882" s="23">
        <f t="shared" si="536"/>
        <v>1124633.705618578</v>
      </c>
      <c r="P2882" s="18">
        <f t="shared" si="534"/>
        <v>3.2520547945205478</v>
      </c>
      <c r="Q2882" s="18">
        <f t="shared" si="537"/>
        <v>499381.14665545139</v>
      </c>
      <c r="R2882" s="18">
        <f t="shared" si="539"/>
        <v>1624014.8522740295</v>
      </c>
      <c r="S2882" s="18">
        <f t="shared" si="527"/>
        <v>11517594.270237848</v>
      </c>
    </row>
    <row r="2883" spans="1:19" ht="15" customHeight="1" x14ac:dyDescent="0.2">
      <c r="A2883" s="14">
        <f t="shared" si="535"/>
        <v>2844</v>
      </c>
      <c r="B2883" s="14" t="s">
        <v>2429</v>
      </c>
      <c r="C2883" s="15" t="s">
        <v>3</v>
      </c>
      <c r="D2883" s="14" t="s">
        <v>500</v>
      </c>
      <c r="E2883" s="14" t="s">
        <v>2327</v>
      </c>
      <c r="F2883" s="72" t="s">
        <v>11</v>
      </c>
      <c r="G2883" s="32">
        <v>43101</v>
      </c>
      <c r="H2883" s="17">
        <v>100666.74120773893</v>
      </c>
      <c r="I2883" s="17">
        <v>0</v>
      </c>
      <c r="J2883" s="17">
        <v>0</v>
      </c>
      <c r="K2883" s="17">
        <f t="shared" si="532"/>
        <v>100666.74120773893</v>
      </c>
      <c r="L2883" s="17">
        <f t="shared" si="538"/>
        <v>5033.3370603869471</v>
      </c>
      <c r="M2883" s="42">
        <v>25</v>
      </c>
      <c r="N2883" s="18">
        <f t="shared" si="533"/>
        <v>2.2520547945205478</v>
      </c>
      <c r="O2883" s="23">
        <f t="shared" si="536"/>
        <v>8614.8666530546107</v>
      </c>
      <c r="P2883" s="18">
        <f t="shared" si="534"/>
        <v>3.2520547945205478</v>
      </c>
      <c r="Q2883" s="18">
        <f t="shared" si="537"/>
        <v>3825.3361658940798</v>
      </c>
      <c r="R2883" s="18">
        <f t="shared" si="539"/>
        <v>12440.20281894869</v>
      </c>
      <c r="S2883" s="18">
        <f t="shared" ref="S2883:S2929" si="540">K2883-R2883</f>
        <v>88226.538388790243</v>
      </c>
    </row>
    <row r="2884" spans="1:19" ht="15" customHeight="1" x14ac:dyDescent="0.2">
      <c r="A2884" s="14">
        <f t="shared" si="535"/>
        <v>2845</v>
      </c>
      <c r="B2884" s="14" t="s">
        <v>2430</v>
      </c>
      <c r="C2884" s="15" t="s">
        <v>3</v>
      </c>
      <c r="D2884" s="14" t="s">
        <v>500</v>
      </c>
      <c r="E2884" s="14" t="s">
        <v>2327</v>
      </c>
      <c r="F2884" s="72" t="s">
        <v>8</v>
      </c>
      <c r="G2884" s="32">
        <v>43101</v>
      </c>
      <c r="H2884" s="17">
        <v>62707.178219511858</v>
      </c>
      <c r="I2884" s="17">
        <v>0</v>
      </c>
      <c r="J2884" s="17">
        <v>0</v>
      </c>
      <c r="K2884" s="17">
        <f t="shared" si="532"/>
        <v>62707.178219511858</v>
      </c>
      <c r="L2884" s="17">
        <f t="shared" si="538"/>
        <v>3135.3589109755931</v>
      </c>
      <c r="M2884" s="42">
        <v>25</v>
      </c>
      <c r="N2884" s="18">
        <f t="shared" si="533"/>
        <v>2.2520547945205478</v>
      </c>
      <c r="O2884" s="23">
        <f t="shared" si="536"/>
        <v>5366.3600516840334</v>
      </c>
      <c r="P2884" s="18">
        <f t="shared" si="534"/>
        <v>3.2520547945205478</v>
      </c>
      <c r="Q2884" s="18">
        <f t="shared" si="537"/>
        <v>2382.8727723414509</v>
      </c>
      <c r="R2884" s="18">
        <f t="shared" si="539"/>
        <v>7749.2328240254847</v>
      </c>
      <c r="S2884" s="18">
        <f t="shared" si="540"/>
        <v>54957.945395486371</v>
      </c>
    </row>
    <row r="2885" spans="1:19" ht="15" customHeight="1" x14ac:dyDescent="0.2">
      <c r="A2885" s="14">
        <f t="shared" si="535"/>
        <v>2846</v>
      </c>
      <c r="B2885" s="14" t="s">
        <v>213</v>
      </c>
      <c r="C2885" s="15" t="s">
        <v>3</v>
      </c>
      <c r="D2885" s="14" t="s">
        <v>500</v>
      </c>
      <c r="E2885" s="14" t="s">
        <v>2327</v>
      </c>
      <c r="F2885" s="72" t="s">
        <v>11</v>
      </c>
      <c r="G2885" s="32">
        <v>43101</v>
      </c>
      <c r="H2885" s="17">
        <v>447546.08370375243</v>
      </c>
      <c r="I2885" s="17">
        <v>0</v>
      </c>
      <c r="J2885" s="17">
        <v>0</v>
      </c>
      <c r="K2885" s="17">
        <f t="shared" si="532"/>
        <v>447546.08370375243</v>
      </c>
      <c r="L2885" s="17">
        <f t="shared" si="538"/>
        <v>22377.304185187622</v>
      </c>
      <c r="M2885" s="42">
        <v>25</v>
      </c>
      <c r="N2885" s="18">
        <f t="shared" si="533"/>
        <v>2.2520547945205478</v>
      </c>
      <c r="O2885" s="23">
        <f t="shared" si="536"/>
        <v>38300.135535809342</v>
      </c>
      <c r="P2885" s="18">
        <f t="shared" si="534"/>
        <v>3.2520547945205478</v>
      </c>
      <c r="Q2885" s="18">
        <f t="shared" si="537"/>
        <v>17006.751180742594</v>
      </c>
      <c r="R2885" s="18">
        <f t="shared" si="539"/>
        <v>55306.886716551933</v>
      </c>
      <c r="S2885" s="18">
        <f t="shared" si="540"/>
        <v>392239.19698720053</v>
      </c>
    </row>
    <row r="2886" spans="1:19" ht="15" customHeight="1" x14ac:dyDescent="0.2">
      <c r="A2886" s="14">
        <f t="shared" si="535"/>
        <v>2847</v>
      </c>
      <c r="B2886" s="14" t="s">
        <v>2431</v>
      </c>
      <c r="C2886" s="15" t="s">
        <v>3</v>
      </c>
      <c r="D2886" s="14" t="s">
        <v>500</v>
      </c>
      <c r="E2886" s="14" t="s">
        <v>2327</v>
      </c>
      <c r="F2886" s="72" t="s">
        <v>11</v>
      </c>
      <c r="G2886" s="32">
        <v>43101</v>
      </c>
      <c r="H2886" s="17">
        <v>2439557.331443836</v>
      </c>
      <c r="I2886" s="17">
        <v>0</v>
      </c>
      <c r="J2886" s="17">
        <v>0</v>
      </c>
      <c r="K2886" s="17">
        <f t="shared" si="532"/>
        <v>2439557.331443836</v>
      </c>
      <c r="L2886" s="17">
        <f t="shared" si="538"/>
        <v>121977.86657219181</v>
      </c>
      <c r="M2886" s="42">
        <v>25</v>
      </c>
      <c r="N2886" s="18">
        <f t="shared" si="533"/>
        <v>2.2520547945205478</v>
      </c>
      <c r="O2886" s="23">
        <f t="shared" si="536"/>
        <v>208772.63782186207</v>
      </c>
      <c r="P2886" s="18">
        <f t="shared" si="534"/>
        <v>3.2520547945205478</v>
      </c>
      <c r="Q2886" s="18">
        <f t="shared" si="537"/>
        <v>92703.178594865763</v>
      </c>
      <c r="R2886" s="18">
        <f t="shared" si="539"/>
        <v>301475.81641672784</v>
      </c>
      <c r="S2886" s="18">
        <f t="shared" si="540"/>
        <v>2138081.5150271081</v>
      </c>
    </row>
    <row r="2887" spans="1:19" ht="15" customHeight="1" x14ac:dyDescent="0.2">
      <c r="A2887" s="14">
        <f t="shared" si="535"/>
        <v>2848</v>
      </c>
      <c r="B2887" s="14" t="s">
        <v>2432</v>
      </c>
      <c r="C2887" s="15" t="s">
        <v>3</v>
      </c>
      <c r="D2887" s="14" t="s">
        <v>500</v>
      </c>
      <c r="E2887" s="14" t="s">
        <v>507</v>
      </c>
      <c r="F2887" s="72" t="s">
        <v>2394</v>
      </c>
      <c r="G2887" s="32">
        <v>43101</v>
      </c>
      <c r="H2887" s="17">
        <v>4465173.6870974628</v>
      </c>
      <c r="I2887" s="17">
        <v>0</v>
      </c>
      <c r="J2887" s="17">
        <v>0</v>
      </c>
      <c r="K2887" s="17">
        <f t="shared" si="532"/>
        <v>4465173.6870974628</v>
      </c>
      <c r="L2887" s="17">
        <f t="shared" si="538"/>
        <v>223258.68435487314</v>
      </c>
      <c r="M2887" s="42">
        <v>25</v>
      </c>
      <c r="N2887" s="18">
        <f t="shared" si="533"/>
        <v>2.2520547945205478</v>
      </c>
      <c r="O2887" s="23">
        <f t="shared" si="536"/>
        <v>382121.00079500367</v>
      </c>
      <c r="P2887" s="18">
        <f t="shared" si="534"/>
        <v>3.2520547945205478</v>
      </c>
      <c r="Q2887" s="18">
        <f t="shared" si="537"/>
        <v>169676.60010970358</v>
      </c>
      <c r="R2887" s="18">
        <f t="shared" si="539"/>
        <v>551797.60090470721</v>
      </c>
      <c r="S2887" s="18">
        <f t="shared" si="540"/>
        <v>3913376.0861927555</v>
      </c>
    </row>
    <row r="2888" spans="1:19" ht="15" customHeight="1" x14ac:dyDescent="0.2">
      <c r="A2888" s="14">
        <f t="shared" si="535"/>
        <v>2849</v>
      </c>
      <c r="B2888" s="14" t="s">
        <v>2433</v>
      </c>
      <c r="C2888" s="15" t="s">
        <v>3</v>
      </c>
      <c r="D2888" s="14" t="s">
        <v>500</v>
      </c>
      <c r="E2888" s="14" t="s">
        <v>507</v>
      </c>
      <c r="F2888" s="72" t="s">
        <v>2394</v>
      </c>
      <c r="G2888" s="32">
        <v>43101</v>
      </c>
      <c r="H2888" s="17">
        <v>13488.637762323297</v>
      </c>
      <c r="I2888" s="17">
        <v>0</v>
      </c>
      <c r="J2888" s="17">
        <v>0</v>
      </c>
      <c r="K2888" s="17">
        <f t="shared" si="532"/>
        <v>13488.637762323297</v>
      </c>
      <c r="L2888" s="17">
        <f t="shared" si="538"/>
        <v>674.43188811616483</v>
      </c>
      <c r="M2888" s="42">
        <v>25</v>
      </c>
      <c r="N2888" s="18">
        <f t="shared" si="533"/>
        <v>2.2520547945205478</v>
      </c>
      <c r="O2888" s="23">
        <f t="shared" si="536"/>
        <v>1154.3317510792615</v>
      </c>
      <c r="P2888" s="18">
        <f t="shared" si="534"/>
        <v>3.2520547945205478</v>
      </c>
      <c r="Q2888" s="18">
        <f t="shared" si="537"/>
        <v>512.56823496828531</v>
      </c>
      <c r="R2888" s="18">
        <f t="shared" si="539"/>
        <v>1666.8999860475469</v>
      </c>
      <c r="S2888" s="18">
        <f t="shared" si="540"/>
        <v>11821.73777627575</v>
      </c>
    </row>
    <row r="2889" spans="1:19" ht="15" customHeight="1" x14ac:dyDescent="0.2">
      <c r="A2889" s="14">
        <f t="shared" si="535"/>
        <v>2850</v>
      </c>
      <c r="B2889" s="14" t="s">
        <v>2434</v>
      </c>
      <c r="C2889" s="15" t="s">
        <v>3</v>
      </c>
      <c r="D2889" s="14" t="s">
        <v>500</v>
      </c>
      <c r="E2889" s="14" t="s">
        <v>2327</v>
      </c>
      <c r="F2889" s="72" t="s">
        <v>11</v>
      </c>
      <c r="G2889" s="32">
        <v>43101</v>
      </c>
      <c r="H2889" s="17">
        <v>17826919.706698004</v>
      </c>
      <c r="I2889" s="17">
        <v>0</v>
      </c>
      <c r="J2889" s="17">
        <v>0</v>
      </c>
      <c r="K2889" s="17">
        <f t="shared" si="532"/>
        <v>17826919.706698004</v>
      </c>
      <c r="L2889" s="17">
        <f t="shared" si="538"/>
        <v>891345.98533490021</v>
      </c>
      <c r="M2889" s="42">
        <v>25</v>
      </c>
      <c r="N2889" s="18">
        <f t="shared" si="533"/>
        <v>2.2520547945205478</v>
      </c>
      <c r="O2889" s="23">
        <f t="shared" si="536"/>
        <v>1525593.5998860791</v>
      </c>
      <c r="P2889" s="18">
        <f t="shared" si="534"/>
        <v>3.2520547945205478</v>
      </c>
      <c r="Q2889" s="18">
        <f t="shared" si="537"/>
        <v>677422.94885452418</v>
      </c>
      <c r="R2889" s="18">
        <f t="shared" si="539"/>
        <v>2203016.548740603</v>
      </c>
      <c r="S2889" s="18">
        <f t="shared" si="540"/>
        <v>15623903.157957401</v>
      </c>
    </row>
    <row r="2890" spans="1:19" ht="15" customHeight="1" x14ac:dyDescent="0.2">
      <c r="A2890" s="14">
        <f t="shared" si="535"/>
        <v>2851</v>
      </c>
      <c r="B2890" s="14" t="s">
        <v>2435</v>
      </c>
      <c r="C2890" s="15" t="s">
        <v>3</v>
      </c>
      <c r="D2890" s="14" t="s">
        <v>500</v>
      </c>
      <c r="E2890" s="14" t="s">
        <v>2327</v>
      </c>
      <c r="F2890" s="72" t="s">
        <v>11</v>
      </c>
      <c r="G2890" s="32">
        <v>43524</v>
      </c>
      <c r="H2890" s="17">
        <v>681103.19000000006</v>
      </c>
      <c r="I2890" s="17">
        <v>0</v>
      </c>
      <c r="J2890" s="17">
        <v>0</v>
      </c>
      <c r="K2890" s="17">
        <f t="shared" si="532"/>
        <v>681103.19000000006</v>
      </c>
      <c r="L2890" s="17">
        <f t="shared" si="538"/>
        <v>34055.159500000002</v>
      </c>
      <c r="M2890" s="42">
        <v>25</v>
      </c>
      <c r="N2890" s="18">
        <f t="shared" si="533"/>
        <v>1.0931506849315069</v>
      </c>
      <c r="O2890" s="23">
        <f t="shared" si="536"/>
        <v>28292.839908986309</v>
      </c>
      <c r="P2890" s="18">
        <f t="shared" si="534"/>
        <v>2.0931506849315067</v>
      </c>
      <c r="Q2890" s="18">
        <f t="shared" si="537"/>
        <v>25881.92122</v>
      </c>
      <c r="R2890" s="18">
        <f t="shared" si="539"/>
        <v>54174.761128986313</v>
      </c>
      <c r="S2890" s="18">
        <f t="shared" si="540"/>
        <v>626928.42887101369</v>
      </c>
    </row>
    <row r="2891" spans="1:19" ht="15" customHeight="1" x14ac:dyDescent="0.2">
      <c r="A2891" s="14">
        <f t="shared" si="535"/>
        <v>2852</v>
      </c>
      <c r="B2891" s="14" t="s">
        <v>2436</v>
      </c>
      <c r="C2891" s="15" t="s">
        <v>3</v>
      </c>
      <c r="D2891" s="14" t="s">
        <v>500</v>
      </c>
      <c r="E2891" s="14" t="s">
        <v>2327</v>
      </c>
      <c r="F2891" s="72" t="s">
        <v>4</v>
      </c>
      <c r="G2891" s="32">
        <v>43524</v>
      </c>
      <c r="H2891" s="17">
        <v>22697.24</v>
      </c>
      <c r="I2891" s="17">
        <v>0</v>
      </c>
      <c r="J2891" s="17">
        <v>0</v>
      </c>
      <c r="K2891" s="17">
        <f t="shared" si="532"/>
        <v>22697.24</v>
      </c>
      <c r="L2891" s="17">
        <f t="shared" si="538"/>
        <v>1134.8620000000001</v>
      </c>
      <c r="M2891" s="42">
        <v>25</v>
      </c>
      <c r="N2891" s="18">
        <f t="shared" si="533"/>
        <v>1.0931506849315069</v>
      </c>
      <c r="O2891" s="23">
        <f t="shared" si="536"/>
        <v>942.83713117808225</v>
      </c>
      <c r="P2891" s="18">
        <f t="shared" si="534"/>
        <v>2.0931506849315067</v>
      </c>
      <c r="Q2891" s="18">
        <f t="shared" si="537"/>
        <v>862.49511999999993</v>
      </c>
      <c r="R2891" s="18">
        <f t="shared" si="539"/>
        <v>1805.3322511780821</v>
      </c>
      <c r="S2891" s="18">
        <f t="shared" si="540"/>
        <v>20891.907748821919</v>
      </c>
    </row>
    <row r="2892" spans="1:19" ht="15" customHeight="1" x14ac:dyDescent="0.2">
      <c r="A2892" s="14">
        <f t="shared" si="535"/>
        <v>2853</v>
      </c>
      <c r="B2892" s="14" t="s">
        <v>2378</v>
      </c>
      <c r="C2892" s="15" t="s">
        <v>3</v>
      </c>
      <c r="D2892" s="14" t="s">
        <v>500</v>
      </c>
      <c r="E2892" s="14" t="s">
        <v>2327</v>
      </c>
      <c r="F2892" s="74" t="s">
        <v>11</v>
      </c>
      <c r="G2892" s="32">
        <v>43524</v>
      </c>
      <c r="H2892" s="17">
        <v>31065646.18</v>
      </c>
      <c r="I2892" s="17">
        <v>0</v>
      </c>
      <c r="J2892" s="17">
        <v>0</v>
      </c>
      <c r="K2892" s="17">
        <f t="shared" si="532"/>
        <v>31065646.18</v>
      </c>
      <c r="L2892" s="17">
        <f t="shared" si="538"/>
        <v>1553282.3090000001</v>
      </c>
      <c r="M2892" s="42">
        <v>25</v>
      </c>
      <c r="N2892" s="18">
        <f t="shared" si="533"/>
        <v>1.0931506849315069</v>
      </c>
      <c r="O2892" s="23">
        <f t="shared" si="536"/>
        <v>1290458.4311812602</v>
      </c>
      <c r="P2892" s="18">
        <f t="shared" si="534"/>
        <v>2.0931506849315067</v>
      </c>
      <c r="Q2892" s="18">
        <f t="shared" si="537"/>
        <v>1180494.5548399999</v>
      </c>
      <c r="R2892" s="18">
        <f t="shared" si="539"/>
        <v>2470952.9860212598</v>
      </c>
      <c r="S2892" s="18">
        <f t="shared" si="540"/>
        <v>28594693.193978742</v>
      </c>
    </row>
    <row r="2893" spans="1:19" ht="15" customHeight="1" x14ac:dyDescent="0.2">
      <c r="A2893" s="14">
        <f t="shared" si="535"/>
        <v>2854</v>
      </c>
      <c r="B2893" s="14" t="s">
        <v>2323</v>
      </c>
      <c r="C2893" s="15" t="s">
        <v>3</v>
      </c>
      <c r="D2893" s="14" t="s">
        <v>500</v>
      </c>
      <c r="E2893" s="14" t="s">
        <v>2327</v>
      </c>
      <c r="F2893" s="72" t="s">
        <v>11</v>
      </c>
      <c r="G2893" s="32">
        <v>43524</v>
      </c>
      <c r="H2893" s="17">
        <v>864971.89</v>
      </c>
      <c r="I2893" s="17">
        <v>0</v>
      </c>
      <c r="J2893" s="17">
        <v>0</v>
      </c>
      <c r="K2893" s="17">
        <f t="shared" si="532"/>
        <v>864971.89</v>
      </c>
      <c r="L2893" s="17">
        <f t="shared" si="538"/>
        <v>43248.594500000007</v>
      </c>
      <c r="M2893" s="42">
        <v>25</v>
      </c>
      <c r="N2893" s="18">
        <f t="shared" si="533"/>
        <v>1.0931506849315069</v>
      </c>
      <c r="O2893" s="23">
        <f t="shared" si="536"/>
        <v>35930.695332000003</v>
      </c>
      <c r="P2893" s="18">
        <f t="shared" si="534"/>
        <v>2.0931506849315067</v>
      </c>
      <c r="Q2893" s="18">
        <f t="shared" si="537"/>
        <v>32868.931819999998</v>
      </c>
      <c r="R2893" s="18">
        <f t="shared" si="539"/>
        <v>68799.627152000001</v>
      </c>
      <c r="S2893" s="18">
        <f t="shared" si="540"/>
        <v>796172.26284800004</v>
      </c>
    </row>
    <row r="2894" spans="1:19" ht="15" customHeight="1" x14ac:dyDescent="0.2">
      <c r="A2894" s="14">
        <f t="shared" si="535"/>
        <v>2855</v>
      </c>
      <c r="B2894" s="14" t="s">
        <v>2437</v>
      </c>
      <c r="C2894" s="15" t="s">
        <v>3</v>
      </c>
      <c r="D2894" s="14" t="s">
        <v>500</v>
      </c>
      <c r="E2894" s="14" t="s">
        <v>2382</v>
      </c>
      <c r="F2894" s="72" t="s">
        <v>11</v>
      </c>
      <c r="G2894" s="32">
        <v>43524</v>
      </c>
      <c r="H2894" s="17">
        <v>10966046.68</v>
      </c>
      <c r="I2894" s="17">
        <v>0</v>
      </c>
      <c r="J2894" s="17">
        <v>0</v>
      </c>
      <c r="K2894" s="17">
        <f t="shared" si="532"/>
        <v>10966046.68</v>
      </c>
      <c r="L2894" s="17">
        <f t="shared" si="538"/>
        <v>548302.33400000003</v>
      </c>
      <c r="M2894" s="42">
        <v>25</v>
      </c>
      <c r="N2894" s="18">
        <f t="shared" si="533"/>
        <v>1.0931506849315069</v>
      </c>
      <c r="O2894" s="23">
        <f t="shared" si="536"/>
        <v>455526.57469084935</v>
      </c>
      <c r="P2894" s="18">
        <f t="shared" si="534"/>
        <v>2.0931506849315067</v>
      </c>
      <c r="Q2894" s="18">
        <f t="shared" si="537"/>
        <v>416709.77383999992</v>
      </c>
      <c r="R2894" s="18">
        <f t="shared" si="539"/>
        <v>872236.34853084921</v>
      </c>
      <c r="S2894" s="18">
        <f t="shared" si="540"/>
        <v>10093810.33146915</v>
      </c>
    </row>
    <row r="2895" spans="1:19" ht="15" customHeight="1" x14ac:dyDescent="0.2">
      <c r="A2895" s="14">
        <f t="shared" si="535"/>
        <v>2856</v>
      </c>
      <c r="B2895" s="14" t="s">
        <v>2356</v>
      </c>
      <c r="C2895" s="15" t="s">
        <v>3</v>
      </c>
      <c r="D2895" s="14" t="s">
        <v>500</v>
      </c>
      <c r="E2895" s="14" t="s">
        <v>2327</v>
      </c>
      <c r="F2895" s="72" t="s">
        <v>8</v>
      </c>
      <c r="G2895" s="32">
        <v>43549</v>
      </c>
      <c r="H2895" s="17">
        <v>6827574.1399999997</v>
      </c>
      <c r="I2895" s="17">
        <v>0</v>
      </c>
      <c r="J2895" s="17">
        <v>0</v>
      </c>
      <c r="K2895" s="17">
        <f t="shared" si="532"/>
        <v>6827574.1399999997</v>
      </c>
      <c r="L2895" s="17">
        <f t="shared" si="538"/>
        <v>341378.70699999999</v>
      </c>
      <c r="M2895" s="42">
        <v>25</v>
      </c>
      <c r="N2895" s="18">
        <f t="shared" si="533"/>
        <v>1.0246575342465754</v>
      </c>
      <c r="O2895" s="23">
        <f t="shared" ref="O2895:O2904" si="541">(K2895-L2895)/M2895*N2895-J2895</f>
        <v>265845.16076076712</v>
      </c>
      <c r="P2895" s="18">
        <f t="shared" si="534"/>
        <v>2.0246575342465754</v>
      </c>
      <c r="Q2895" s="18">
        <f t="shared" ref="Q2895:Q2904" si="542">(P2895-N2895)/M2895*(K2895-L2895)</f>
        <v>259447.81731999997</v>
      </c>
      <c r="R2895" s="18">
        <f t="shared" si="539"/>
        <v>525292.97808076709</v>
      </c>
      <c r="S2895" s="18">
        <f t="shared" si="540"/>
        <v>6302281.1619192325</v>
      </c>
    </row>
    <row r="2896" spans="1:19" ht="15" customHeight="1" x14ac:dyDescent="0.2">
      <c r="A2896" s="14">
        <f t="shared" si="535"/>
        <v>2857</v>
      </c>
      <c r="B2896" s="14" t="s">
        <v>2438</v>
      </c>
      <c r="C2896" s="15" t="s">
        <v>3</v>
      </c>
      <c r="D2896" s="14" t="s">
        <v>500</v>
      </c>
      <c r="E2896" s="14" t="s">
        <v>2327</v>
      </c>
      <c r="F2896" s="72" t="s">
        <v>8</v>
      </c>
      <c r="G2896" s="32">
        <v>43549</v>
      </c>
      <c r="H2896" s="17">
        <v>1150338.8500000001</v>
      </c>
      <c r="I2896" s="17">
        <v>0</v>
      </c>
      <c r="J2896" s="17">
        <v>0</v>
      </c>
      <c r="K2896" s="17">
        <f t="shared" si="532"/>
        <v>1150338.8500000001</v>
      </c>
      <c r="L2896" s="17">
        <f t="shared" si="538"/>
        <v>57516.942500000005</v>
      </c>
      <c r="M2896" s="42">
        <v>25</v>
      </c>
      <c r="N2896" s="18">
        <f t="shared" si="533"/>
        <v>1.0246575342465754</v>
      </c>
      <c r="O2896" s="23">
        <f t="shared" si="541"/>
        <v>44790.72804438357</v>
      </c>
      <c r="P2896" s="18">
        <f t="shared" si="534"/>
        <v>2.0246575342465754</v>
      </c>
      <c r="Q2896" s="18">
        <f t="shared" si="542"/>
        <v>43712.876300000011</v>
      </c>
      <c r="R2896" s="18">
        <f t="shared" si="539"/>
        <v>88503.604344383581</v>
      </c>
      <c r="S2896" s="18">
        <f t="shared" si="540"/>
        <v>1061835.2456556165</v>
      </c>
    </row>
    <row r="2897" spans="1:19" ht="15" customHeight="1" x14ac:dyDescent="0.2">
      <c r="A2897" s="14">
        <f t="shared" si="535"/>
        <v>2858</v>
      </c>
      <c r="B2897" s="14" t="s">
        <v>2439</v>
      </c>
      <c r="C2897" s="15" t="s">
        <v>3</v>
      </c>
      <c r="D2897" s="14" t="s">
        <v>500</v>
      </c>
      <c r="E2897" s="14" t="s">
        <v>2327</v>
      </c>
      <c r="F2897" s="72" t="s">
        <v>8</v>
      </c>
      <c r="G2897" s="32">
        <v>43549</v>
      </c>
      <c r="H2897" s="17">
        <v>686824.36</v>
      </c>
      <c r="I2897" s="17">
        <v>0</v>
      </c>
      <c r="J2897" s="17">
        <v>0</v>
      </c>
      <c r="K2897" s="17">
        <f t="shared" si="532"/>
        <v>686824.36</v>
      </c>
      <c r="L2897" s="17">
        <f t="shared" si="538"/>
        <v>34341.218000000001</v>
      </c>
      <c r="M2897" s="42">
        <v>25</v>
      </c>
      <c r="N2897" s="18">
        <f t="shared" si="533"/>
        <v>1.0246575342465754</v>
      </c>
      <c r="O2897" s="23">
        <f t="shared" si="541"/>
        <v>26742.870696767121</v>
      </c>
      <c r="P2897" s="18">
        <f t="shared" si="534"/>
        <v>2.0246575342465754</v>
      </c>
      <c r="Q2897" s="18">
        <f t="shared" si="542"/>
        <v>26099.325680000002</v>
      </c>
      <c r="R2897" s="18">
        <f t="shared" si="539"/>
        <v>52842.196376767126</v>
      </c>
      <c r="S2897" s="18">
        <f t="shared" si="540"/>
        <v>633982.16362323286</v>
      </c>
    </row>
    <row r="2898" spans="1:19" ht="15" customHeight="1" x14ac:dyDescent="0.2">
      <c r="A2898" s="14">
        <f t="shared" si="535"/>
        <v>2859</v>
      </c>
      <c r="B2898" s="14" t="s">
        <v>2440</v>
      </c>
      <c r="C2898" s="15" t="s">
        <v>3</v>
      </c>
      <c r="D2898" s="14" t="s">
        <v>500</v>
      </c>
      <c r="E2898" s="14" t="s">
        <v>2327</v>
      </c>
      <c r="F2898" s="72" t="s">
        <v>8</v>
      </c>
      <c r="G2898" s="32">
        <v>43549</v>
      </c>
      <c r="H2898" s="17">
        <v>5802235.2999999998</v>
      </c>
      <c r="I2898" s="17">
        <v>0</v>
      </c>
      <c r="J2898" s="17">
        <v>0</v>
      </c>
      <c r="K2898" s="17">
        <f t="shared" si="532"/>
        <v>5802235.2999999998</v>
      </c>
      <c r="L2898" s="17">
        <f t="shared" si="538"/>
        <v>290111.76500000001</v>
      </c>
      <c r="M2898" s="42">
        <v>25</v>
      </c>
      <c r="N2898" s="18">
        <f t="shared" si="533"/>
        <v>1.0246575342465754</v>
      </c>
      <c r="O2898" s="23">
        <f t="shared" si="541"/>
        <v>225921.55639342466</v>
      </c>
      <c r="P2898" s="18">
        <f t="shared" si="534"/>
        <v>2.0246575342465754</v>
      </c>
      <c r="Q2898" s="18">
        <f t="shared" si="542"/>
        <v>220484.94140000001</v>
      </c>
      <c r="R2898" s="18">
        <f t="shared" si="539"/>
        <v>446406.49779342464</v>
      </c>
      <c r="S2898" s="18">
        <f t="shared" si="540"/>
        <v>5355828.8022065749</v>
      </c>
    </row>
    <row r="2899" spans="1:19" ht="15" customHeight="1" x14ac:dyDescent="0.2">
      <c r="A2899" s="14">
        <f t="shared" si="535"/>
        <v>2860</v>
      </c>
      <c r="B2899" s="14" t="s">
        <v>2387</v>
      </c>
      <c r="C2899" s="15" t="s">
        <v>3</v>
      </c>
      <c r="D2899" s="14" t="s">
        <v>500</v>
      </c>
      <c r="E2899" s="14" t="s">
        <v>2327</v>
      </c>
      <c r="F2899" s="72" t="s">
        <v>11</v>
      </c>
      <c r="G2899" s="32">
        <v>43549</v>
      </c>
      <c r="H2899" s="17">
        <v>7018343.8700000001</v>
      </c>
      <c r="I2899" s="17">
        <v>0</v>
      </c>
      <c r="J2899" s="17">
        <v>0</v>
      </c>
      <c r="K2899" s="17">
        <f t="shared" si="532"/>
        <v>7018343.8700000001</v>
      </c>
      <c r="L2899" s="17">
        <f t="shared" si="538"/>
        <v>350917.19350000005</v>
      </c>
      <c r="M2899" s="42">
        <v>25</v>
      </c>
      <c r="N2899" s="18">
        <f t="shared" si="533"/>
        <v>1.0246575342465754</v>
      </c>
      <c r="O2899" s="23">
        <f t="shared" si="541"/>
        <v>273273.15912449319</v>
      </c>
      <c r="P2899" s="18">
        <f t="shared" si="534"/>
        <v>2.0246575342465754</v>
      </c>
      <c r="Q2899" s="18">
        <f t="shared" si="542"/>
        <v>266697.06706000003</v>
      </c>
      <c r="R2899" s="18">
        <f t="shared" si="539"/>
        <v>539970.22618449316</v>
      </c>
      <c r="S2899" s="18">
        <f t="shared" si="540"/>
        <v>6478373.6438155072</v>
      </c>
    </row>
    <row r="2900" spans="1:19" ht="15" customHeight="1" x14ac:dyDescent="0.2">
      <c r="A2900" s="14">
        <f t="shared" si="535"/>
        <v>2861</v>
      </c>
      <c r="B2900" s="14" t="s">
        <v>2441</v>
      </c>
      <c r="C2900" s="15" t="s">
        <v>3</v>
      </c>
      <c r="D2900" s="14" t="s">
        <v>500</v>
      </c>
      <c r="E2900" s="14" t="s">
        <v>2327</v>
      </c>
      <c r="F2900" s="72" t="s">
        <v>16</v>
      </c>
      <c r="G2900" s="32">
        <v>43549</v>
      </c>
      <c r="H2900" s="17">
        <v>9208814.6999999993</v>
      </c>
      <c r="I2900" s="17">
        <v>0</v>
      </c>
      <c r="J2900" s="17">
        <v>0</v>
      </c>
      <c r="K2900" s="17">
        <f t="shared" si="532"/>
        <v>9208814.6999999993</v>
      </c>
      <c r="L2900" s="17">
        <f t="shared" si="538"/>
        <v>460440.73499999999</v>
      </c>
      <c r="M2900" s="42">
        <v>25</v>
      </c>
      <c r="N2900" s="18">
        <f t="shared" si="533"/>
        <v>1.0246575342465754</v>
      </c>
      <c r="O2900" s="23">
        <f t="shared" si="541"/>
        <v>358563.49182575342</v>
      </c>
      <c r="P2900" s="18">
        <f t="shared" si="534"/>
        <v>2.0246575342465754</v>
      </c>
      <c r="Q2900" s="18">
        <f t="shared" si="542"/>
        <v>349934.95860000001</v>
      </c>
      <c r="R2900" s="18">
        <f t="shared" si="539"/>
        <v>708498.45042575337</v>
      </c>
      <c r="S2900" s="18">
        <f t="shared" si="540"/>
        <v>8500316.2495742459</v>
      </c>
    </row>
    <row r="2901" spans="1:19" ht="15" customHeight="1" x14ac:dyDescent="0.2">
      <c r="A2901" s="14">
        <f t="shared" si="535"/>
        <v>2862</v>
      </c>
      <c r="B2901" s="14" t="s">
        <v>2442</v>
      </c>
      <c r="C2901" s="15" t="s">
        <v>3</v>
      </c>
      <c r="D2901" s="14" t="s">
        <v>500</v>
      </c>
      <c r="E2901" s="14" t="s">
        <v>2324</v>
      </c>
      <c r="F2901" s="72" t="s">
        <v>11</v>
      </c>
      <c r="G2901" s="32">
        <v>44270</v>
      </c>
      <c r="H2901" s="26">
        <v>0</v>
      </c>
      <c r="I2901" s="27">
        <v>10216504.140000001</v>
      </c>
      <c r="J2901" s="17">
        <v>0</v>
      </c>
      <c r="K2901" s="17">
        <f t="shared" si="532"/>
        <v>10216504.140000001</v>
      </c>
      <c r="L2901" s="17">
        <f t="shared" si="538"/>
        <v>0</v>
      </c>
      <c r="M2901" s="42">
        <v>25</v>
      </c>
      <c r="N2901" s="18">
        <f t="shared" si="533"/>
        <v>0</v>
      </c>
      <c r="O2901" s="23">
        <f t="shared" si="541"/>
        <v>0</v>
      </c>
      <c r="P2901" s="18">
        <f t="shared" si="534"/>
        <v>4.9315068493150684E-2</v>
      </c>
      <c r="Q2901" s="18">
        <f t="shared" si="542"/>
        <v>20153.104056986303</v>
      </c>
      <c r="R2901" s="18">
        <f t="shared" si="539"/>
        <v>20153.104056986303</v>
      </c>
      <c r="S2901" s="18">
        <f t="shared" si="540"/>
        <v>10196351.035943015</v>
      </c>
    </row>
    <row r="2902" spans="1:19" ht="15" customHeight="1" x14ac:dyDescent="0.2">
      <c r="A2902" s="14">
        <f t="shared" si="535"/>
        <v>2863</v>
      </c>
      <c r="B2902" s="14" t="s">
        <v>2443</v>
      </c>
      <c r="C2902" s="15" t="s">
        <v>3</v>
      </c>
      <c r="D2902" s="14" t="s">
        <v>500</v>
      </c>
      <c r="E2902" s="14" t="s">
        <v>2327</v>
      </c>
      <c r="F2902" s="72" t="s">
        <v>16</v>
      </c>
      <c r="G2902" s="32">
        <v>44270</v>
      </c>
      <c r="H2902" s="26">
        <v>0</v>
      </c>
      <c r="I2902" s="27">
        <v>5708721.4199999999</v>
      </c>
      <c r="J2902" s="17">
        <v>0</v>
      </c>
      <c r="K2902" s="17">
        <f t="shared" si="532"/>
        <v>5708721.4199999999</v>
      </c>
      <c r="L2902" s="17">
        <f t="shared" si="538"/>
        <v>0</v>
      </c>
      <c r="M2902" s="42">
        <v>25</v>
      </c>
      <c r="N2902" s="18">
        <f t="shared" si="533"/>
        <v>0</v>
      </c>
      <c r="O2902" s="23">
        <f t="shared" si="541"/>
        <v>0</v>
      </c>
      <c r="P2902" s="18">
        <f t="shared" si="534"/>
        <v>4.9315068493150684E-2</v>
      </c>
      <c r="Q2902" s="18">
        <f t="shared" si="542"/>
        <v>11261.039513424657</v>
      </c>
      <c r="R2902" s="18">
        <f t="shared" si="539"/>
        <v>11261.039513424657</v>
      </c>
      <c r="S2902" s="18">
        <f t="shared" si="540"/>
        <v>5697460.380486575</v>
      </c>
    </row>
    <row r="2903" spans="1:19" ht="15" customHeight="1" x14ac:dyDescent="0.2">
      <c r="A2903" s="14">
        <f t="shared" si="535"/>
        <v>2864</v>
      </c>
      <c r="B2903" s="14" t="s">
        <v>2444</v>
      </c>
      <c r="C2903" s="15" t="s">
        <v>3</v>
      </c>
      <c r="D2903" s="14" t="s">
        <v>500</v>
      </c>
      <c r="E2903" s="14" t="s">
        <v>2327</v>
      </c>
      <c r="F2903" s="72" t="s">
        <v>8</v>
      </c>
      <c r="G2903" s="32">
        <v>44270</v>
      </c>
      <c r="H2903" s="26">
        <v>0</v>
      </c>
      <c r="I2903" s="27">
        <v>1489005.6</v>
      </c>
      <c r="J2903" s="17">
        <v>0</v>
      </c>
      <c r="K2903" s="17">
        <f t="shared" si="532"/>
        <v>1489005.6</v>
      </c>
      <c r="L2903" s="17">
        <f t="shared" si="538"/>
        <v>0</v>
      </c>
      <c r="M2903" s="42">
        <v>25</v>
      </c>
      <c r="N2903" s="18">
        <f t="shared" si="533"/>
        <v>0</v>
      </c>
      <c r="O2903" s="23">
        <f t="shared" si="541"/>
        <v>0</v>
      </c>
      <c r="P2903" s="18">
        <f t="shared" si="534"/>
        <v>4.9315068493150684E-2</v>
      </c>
      <c r="Q2903" s="18">
        <f t="shared" si="542"/>
        <v>2937.2165260273973</v>
      </c>
      <c r="R2903" s="18">
        <f t="shared" si="539"/>
        <v>2937.2165260273973</v>
      </c>
      <c r="S2903" s="18">
        <f t="shared" si="540"/>
        <v>1486068.3834739728</v>
      </c>
    </row>
    <row r="2904" spans="1:19" ht="15" customHeight="1" x14ac:dyDescent="0.2">
      <c r="A2904" s="14">
        <f t="shared" si="535"/>
        <v>2865</v>
      </c>
      <c r="B2904" s="14" t="s">
        <v>2445</v>
      </c>
      <c r="C2904" s="15" t="s">
        <v>3</v>
      </c>
      <c r="D2904" s="14" t="s">
        <v>500</v>
      </c>
      <c r="E2904" s="14" t="s">
        <v>2327</v>
      </c>
      <c r="F2904" s="72" t="s">
        <v>11</v>
      </c>
      <c r="G2904" s="32">
        <v>44270</v>
      </c>
      <c r="H2904" s="26">
        <v>0</v>
      </c>
      <c r="I2904" s="27">
        <v>1618974.35</v>
      </c>
      <c r="J2904" s="17">
        <v>0</v>
      </c>
      <c r="K2904" s="17">
        <f t="shared" si="532"/>
        <v>1618974.35</v>
      </c>
      <c r="L2904" s="17">
        <f t="shared" ref="L2904:L2926" si="543">H2904*0.05</f>
        <v>0</v>
      </c>
      <c r="M2904" s="42">
        <v>25</v>
      </c>
      <c r="N2904" s="18">
        <f t="shared" si="533"/>
        <v>0</v>
      </c>
      <c r="O2904" s="23">
        <f t="shared" si="541"/>
        <v>0</v>
      </c>
      <c r="P2904" s="18">
        <f t="shared" si="534"/>
        <v>4.9315068493150684E-2</v>
      </c>
      <c r="Q2904" s="18">
        <f t="shared" si="542"/>
        <v>3193.5932383561644</v>
      </c>
      <c r="R2904" s="18">
        <f t="shared" ref="R2904:R2929" si="544">O2904+Q2904</f>
        <v>3193.5932383561644</v>
      </c>
      <c r="S2904" s="18">
        <f t="shared" si="540"/>
        <v>1615780.756761644</v>
      </c>
    </row>
    <row r="2905" spans="1:19" ht="15" customHeight="1" x14ac:dyDescent="0.2">
      <c r="A2905" s="14">
        <f t="shared" si="535"/>
        <v>2866</v>
      </c>
      <c r="B2905" s="14" t="s">
        <v>2446</v>
      </c>
      <c r="C2905" s="15" t="s">
        <v>3</v>
      </c>
      <c r="D2905" s="14" t="s">
        <v>1200</v>
      </c>
      <c r="E2905" s="14" t="s">
        <v>2447</v>
      </c>
      <c r="F2905" s="69" t="s">
        <v>4</v>
      </c>
      <c r="G2905" s="32">
        <v>42686</v>
      </c>
      <c r="H2905" s="17">
        <v>3767042.2055442007</v>
      </c>
      <c r="I2905" s="17">
        <v>0</v>
      </c>
      <c r="J2905" s="17">
        <v>0</v>
      </c>
      <c r="K2905" s="17">
        <f t="shared" si="532"/>
        <v>3767042.2055442007</v>
      </c>
      <c r="L2905" s="17">
        <f t="shared" si="543"/>
        <v>188352.11027721004</v>
      </c>
      <c r="M2905" s="42">
        <v>5</v>
      </c>
      <c r="N2905" s="18">
        <f t="shared" si="533"/>
        <v>3.3890410958904109</v>
      </c>
      <c r="O2905" s="23">
        <f>(K2905-L2905)/M2905*N2905-J2905+405112</f>
        <v>2830777.5604631603</v>
      </c>
      <c r="P2905" s="18">
        <f t="shared" si="534"/>
        <v>4.3890410958904109</v>
      </c>
      <c r="Q2905" s="18">
        <f>(P2905-N2905)/M2905*(K2905-L2905)-491394</f>
        <v>224344.01905339817</v>
      </c>
      <c r="R2905" s="18">
        <f>O2905+Q2905-12842</f>
        <v>3042279.5795165584</v>
      </c>
      <c r="S2905" s="18">
        <f>K2905-R2905-400000</f>
        <v>324762.62602764228</v>
      </c>
    </row>
    <row r="2906" spans="1:19" ht="15" customHeight="1" x14ac:dyDescent="0.2">
      <c r="A2906" s="14">
        <f t="shared" si="535"/>
        <v>2867</v>
      </c>
      <c r="B2906" s="14" t="s">
        <v>2448</v>
      </c>
      <c r="C2906" s="15" t="s">
        <v>3</v>
      </c>
      <c r="D2906" s="14" t="s">
        <v>1200</v>
      </c>
      <c r="E2906" s="14" t="s">
        <v>1200</v>
      </c>
      <c r="F2906" s="69" t="s">
        <v>4</v>
      </c>
      <c r="G2906" s="32">
        <v>43524</v>
      </c>
      <c r="H2906" s="17">
        <v>10238.01</v>
      </c>
      <c r="I2906" s="17">
        <v>0</v>
      </c>
      <c r="J2906" s="17">
        <v>0</v>
      </c>
      <c r="K2906" s="17">
        <f t="shared" si="532"/>
        <v>10238.01</v>
      </c>
      <c r="L2906" s="17">
        <f t="shared" si="543"/>
        <v>511.90050000000002</v>
      </c>
      <c r="M2906" s="42">
        <v>5</v>
      </c>
      <c r="N2906" s="18">
        <f t="shared" si="533"/>
        <v>1.0931506849315069</v>
      </c>
      <c r="O2906" s="23">
        <f t="shared" ref="O2906:O2927" si="545">(K2906-L2906)/M2906*N2906-J2906</f>
        <v>2126.4206523287671</v>
      </c>
      <c r="P2906" s="18">
        <f t="shared" si="534"/>
        <v>2.0931506849315067</v>
      </c>
      <c r="Q2906" s="18">
        <f t="shared" ref="Q2906:Q2927" si="546">(P2906-N2906)/M2906*(K2906-L2906)</f>
        <v>1945.2218999999998</v>
      </c>
      <c r="R2906" s="18">
        <f t="shared" si="544"/>
        <v>4071.6425523287671</v>
      </c>
      <c r="S2906" s="18">
        <f t="shared" si="540"/>
        <v>6166.3674476712331</v>
      </c>
    </row>
    <row r="2907" spans="1:19" ht="15" customHeight="1" x14ac:dyDescent="0.2">
      <c r="A2907" s="14">
        <f t="shared" si="535"/>
        <v>2868</v>
      </c>
      <c r="B2907" s="14" t="s">
        <v>2449</v>
      </c>
      <c r="C2907" s="15" t="s">
        <v>3</v>
      </c>
      <c r="D2907" s="14" t="s">
        <v>1200</v>
      </c>
      <c r="E2907" s="14" t="s">
        <v>1200</v>
      </c>
      <c r="F2907" s="69" t="s">
        <v>4</v>
      </c>
      <c r="G2907" s="32">
        <v>43524</v>
      </c>
      <c r="H2907" s="17">
        <v>42750</v>
      </c>
      <c r="I2907" s="17">
        <v>0</v>
      </c>
      <c r="J2907" s="17">
        <v>0</v>
      </c>
      <c r="K2907" s="17">
        <f t="shared" si="532"/>
        <v>42750</v>
      </c>
      <c r="L2907" s="17">
        <f t="shared" si="543"/>
        <v>2137.5</v>
      </c>
      <c r="M2907" s="42">
        <v>5</v>
      </c>
      <c r="N2907" s="18">
        <f t="shared" si="533"/>
        <v>1.0931506849315069</v>
      </c>
      <c r="O2907" s="23">
        <f t="shared" si="545"/>
        <v>8879.1164383561645</v>
      </c>
      <c r="P2907" s="18">
        <f t="shared" si="534"/>
        <v>2.0931506849315067</v>
      </c>
      <c r="Q2907" s="18">
        <f t="shared" si="546"/>
        <v>8122.4999999999982</v>
      </c>
      <c r="R2907" s="18">
        <f t="shared" si="544"/>
        <v>17001.616438356163</v>
      </c>
      <c r="S2907" s="18">
        <f t="shared" si="540"/>
        <v>25748.383561643837</v>
      </c>
    </row>
    <row r="2908" spans="1:19" ht="15" customHeight="1" x14ac:dyDescent="0.2">
      <c r="A2908" s="14">
        <f t="shared" si="535"/>
        <v>2869</v>
      </c>
      <c r="B2908" s="14" t="s">
        <v>2450</v>
      </c>
      <c r="C2908" s="15" t="s">
        <v>3</v>
      </c>
      <c r="D2908" s="14" t="s">
        <v>1200</v>
      </c>
      <c r="E2908" s="14" t="s">
        <v>1200</v>
      </c>
      <c r="F2908" s="69" t="s">
        <v>4</v>
      </c>
      <c r="G2908" s="32">
        <v>43524</v>
      </c>
      <c r="H2908" s="17">
        <v>320000</v>
      </c>
      <c r="I2908" s="17">
        <v>0</v>
      </c>
      <c r="J2908" s="17">
        <v>0</v>
      </c>
      <c r="K2908" s="17">
        <f t="shared" si="532"/>
        <v>320000</v>
      </c>
      <c r="L2908" s="17">
        <f t="shared" si="543"/>
        <v>16000</v>
      </c>
      <c r="M2908" s="42">
        <v>5</v>
      </c>
      <c r="N2908" s="18">
        <f t="shared" si="533"/>
        <v>1.0931506849315069</v>
      </c>
      <c r="O2908" s="23">
        <f t="shared" si="545"/>
        <v>66463.561643835623</v>
      </c>
      <c r="P2908" s="18">
        <f t="shared" si="534"/>
        <v>2.0931506849315067</v>
      </c>
      <c r="Q2908" s="18">
        <f t="shared" si="546"/>
        <v>60799.999999999985</v>
      </c>
      <c r="R2908" s="18">
        <f t="shared" si="544"/>
        <v>127263.56164383561</v>
      </c>
      <c r="S2908" s="18">
        <f>K2908-R2908-56987</f>
        <v>135749.43835616438</v>
      </c>
    </row>
    <row r="2909" spans="1:19" ht="15" customHeight="1" x14ac:dyDescent="0.2">
      <c r="A2909" s="14">
        <f t="shared" si="535"/>
        <v>2870</v>
      </c>
      <c r="B2909" s="14" t="s">
        <v>2451</v>
      </c>
      <c r="C2909" s="15" t="s">
        <v>3</v>
      </c>
      <c r="D2909" s="14" t="s">
        <v>1200</v>
      </c>
      <c r="E2909" s="14" t="s">
        <v>1200</v>
      </c>
      <c r="F2909" s="69" t="s">
        <v>4</v>
      </c>
      <c r="G2909" s="32">
        <v>43524</v>
      </c>
      <c r="H2909" s="17">
        <v>677.93</v>
      </c>
      <c r="I2909" s="17">
        <v>0</v>
      </c>
      <c r="J2909" s="17">
        <v>0</v>
      </c>
      <c r="K2909" s="17">
        <f t="shared" si="532"/>
        <v>677.93</v>
      </c>
      <c r="L2909" s="17">
        <f t="shared" si="543"/>
        <v>33.896499999999996</v>
      </c>
      <c r="M2909" s="42">
        <v>5</v>
      </c>
      <c r="N2909" s="18">
        <f t="shared" si="533"/>
        <v>1.0931506849315069</v>
      </c>
      <c r="O2909" s="23">
        <f t="shared" si="545"/>
        <v>140.80513232876714</v>
      </c>
      <c r="P2909" s="18">
        <f t="shared" si="534"/>
        <v>2.0931506849315067</v>
      </c>
      <c r="Q2909" s="18">
        <f t="shared" si="546"/>
        <v>128.80669999999998</v>
      </c>
      <c r="R2909" s="18">
        <f t="shared" si="544"/>
        <v>269.61183232876715</v>
      </c>
      <c r="S2909" s="18">
        <f t="shared" si="540"/>
        <v>408.3181676712328</v>
      </c>
    </row>
    <row r="2910" spans="1:19" ht="15" customHeight="1" x14ac:dyDescent="0.2">
      <c r="A2910" s="14">
        <f t="shared" si="535"/>
        <v>2871</v>
      </c>
      <c r="B2910" s="14" t="s">
        <v>2452</v>
      </c>
      <c r="C2910" s="15" t="s">
        <v>3</v>
      </c>
      <c r="D2910" s="14" t="s">
        <v>1200</v>
      </c>
      <c r="E2910" s="14" t="s">
        <v>1200</v>
      </c>
      <c r="F2910" s="69" t="s">
        <v>4</v>
      </c>
      <c r="G2910" s="32">
        <v>43524</v>
      </c>
      <c r="H2910" s="17">
        <v>2800</v>
      </c>
      <c r="I2910" s="17">
        <v>0</v>
      </c>
      <c r="J2910" s="17">
        <v>0</v>
      </c>
      <c r="K2910" s="17">
        <f t="shared" si="532"/>
        <v>2800</v>
      </c>
      <c r="L2910" s="17">
        <f t="shared" si="543"/>
        <v>140</v>
      </c>
      <c r="M2910" s="42">
        <v>5</v>
      </c>
      <c r="N2910" s="18">
        <f t="shared" si="533"/>
        <v>1.0931506849315069</v>
      </c>
      <c r="O2910" s="23">
        <f t="shared" si="545"/>
        <v>581.55616438356162</v>
      </c>
      <c r="P2910" s="18">
        <f t="shared" si="534"/>
        <v>2.0931506849315067</v>
      </c>
      <c r="Q2910" s="18">
        <f t="shared" si="546"/>
        <v>531.99999999999989</v>
      </c>
      <c r="R2910" s="18">
        <f t="shared" si="544"/>
        <v>1113.5561643835615</v>
      </c>
      <c r="S2910" s="18">
        <f t="shared" si="540"/>
        <v>1686.4438356164385</v>
      </c>
    </row>
    <row r="2911" spans="1:19" ht="15" customHeight="1" x14ac:dyDescent="0.2">
      <c r="A2911" s="14">
        <f t="shared" si="535"/>
        <v>2872</v>
      </c>
      <c r="B2911" s="14" t="s">
        <v>2453</v>
      </c>
      <c r="C2911" s="15" t="s">
        <v>3</v>
      </c>
      <c r="D2911" s="14" t="s">
        <v>1200</v>
      </c>
      <c r="E2911" s="14" t="s">
        <v>1200</v>
      </c>
      <c r="F2911" s="69" t="s">
        <v>4</v>
      </c>
      <c r="G2911" s="32">
        <v>43524</v>
      </c>
      <c r="H2911" s="17">
        <v>8553.75</v>
      </c>
      <c r="I2911" s="17">
        <v>0</v>
      </c>
      <c r="J2911" s="17">
        <v>0</v>
      </c>
      <c r="K2911" s="17">
        <f t="shared" si="532"/>
        <v>8553.75</v>
      </c>
      <c r="L2911" s="17">
        <f t="shared" si="543"/>
        <v>427.6875</v>
      </c>
      <c r="M2911" s="42">
        <v>5</v>
      </c>
      <c r="N2911" s="18">
        <f t="shared" si="533"/>
        <v>1.0931506849315069</v>
      </c>
      <c r="O2911" s="23">
        <f t="shared" si="545"/>
        <v>1776.6021575342468</v>
      </c>
      <c r="P2911" s="18">
        <f t="shared" si="534"/>
        <v>2.0931506849315067</v>
      </c>
      <c r="Q2911" s="18">
        <f t="shared" si="546"/>
        <v>1625.2124999999996</v>
      </c>
      <c r="R2911" s="18">
        <f t="shared" si="544"/>
        <v>3401.8146575342462</v>
      </c>
      <c r="S2911" s="18">
        <f t="shared" si="540"/>
        <v>5151.9353424657538</v>
      </c>
    </row>
    <row r="2912" spans="1:19" ht="15" customHeight="1" x14ac:dyDescent="0.2">
      <c r="A2912" s="14">
        <f t="shared" si="535"/>
        <v>2873</v>
      </c>
      <c r="B2912" s="14" t="s">
        <v>2454</v>
      </c>
      <c r="C2912" s="15" t="s">
        <v>3</v>
      </c>
      <c r="D2912" s="14" t="s">
        <v>1200</v>
      </c>
      <c r="E2912" s="14" t="s">
        <v>1200</v>
      </c>
      <c r="F2912" s="69" t="s">
        <v>4</v>
      </c>
      <c r="G2912" s="32">
        <v>43524</v>
      </c>
      <c r="H2912" s="17">
        <v>13646.619999999999</v>
      </c>
      <c r="I2912" s="17">
        <v>0</v>
      </c>
      <c r="J2912" s="17">
        <v>0</v>
      </c>
      <c r="K2912" s="17">
        <f t="shared" si="532"/>
        <v>13646.619999999999</v>
      </c>
      <c r="L2912" s="17">
        <f t="shared" si="543"/>
        <v>682.33100000000002</v>
      </c>
      <c r="M2912" s="42">
        <v>5</v>
      </c>
      <c r="N2912" s="18">
        <f t="shared" si="533"/>
        <v>1.0931506849315069</v>
      </c>
      <c r="O2912" s="23">
        <f t="shared" si="545"/>
        <v>2834.3842799999998</v>
      </c>
      <c r="P2912" s="18">
        <f t="shared" si="534"/>
        <v>2.0931506849315067</v>
      </c>
      <c r="Q2912" s="18">
        <f t="shared" si="546"/>
        <v>2592.8577999999993</v>
      </c>
      <c r="R2912" s="18">
        <f t="shared" si="544"/>
        <v>5427.2420799999991</v>
      </c>
      <c r="S2912" s="18">
        <f t="shared" si="540"/>
        <v>8219.377919999999</v>
      </c>
    </row>
    <row r="2913" spans="1:19" ht="15" customHeight="1" x14ac:dyDescent="0.2">
      <c r="A2913" s="14">
        <f t="shared" si="535"/>
        <v>2874</v>
      </c>
      <c r="B2913" s="14" t="s">
        <v>2455</v>
      </c>
      <c r="C2913" s="15" t="s">
        <v>3</v>
      </c>
      <c r="D2913" s="14" t="s">
        <v>1200</v>
      </c>
      <c r="E2913" s="14" t="s">
        <v>1200</v>
      </c>
      <c r="F2913" s="69" t="s">
        <v>4</v>
      </c>
      <c r="G2913" s="32">
        <v>43524</v>
      </c>
      <c r="H2913" s="17">
        <v>209864.39</v>
      </c>
      <c r="I2913" s="17">
        <v>0</v>
      </c>
      <c r="J2913" s="17">
        <v>0</v>
      </c>
      <c r="K2913" s="17">
        <f t="shared" si="532"/>
        <v>209864.39</v>
      </c>
      <c r="L2913" s="17">
        <f t="shared" si="543"/>
        <v>10493.219500000001</v>
      </c>
      <c r="M2913" s="42">
        <v>3</v>
      </c>
      <c r="N2913" s="18">
        <f t="shared" si="533"/>
        <v>1.0931506849315069</v>
      </c>
      <c r="O2913" s="23">
        <f t="shared" si="545"/>
        <v>72647.577195890422</v>
      </c>
      <c r="P2913" s="18">
        <f t="shared" si="534"/>
        <v>2.0931506849315067</v>
      </c>
      <c r="Q2913" s="18">
        <f t="shared" si="546"/>
        <v>66457.056833333321</v>
      </c>
      <c r="R2913" s="18">
        <f t="shared" si="544"/>
        <v>139104.63402922376</v>
      </c>
      <c r="S2913" s="18">
        <f t="shared" si="540"/>
        <v>70759.755970776256</v>
      </c>
    </row>
    <row r="2914" spans="1:19" ht="15" customHeight="1" x14ac:dyDescent="0.2">
      <c r="A2914" s="14">
        <f t="shared" si="535"/>
        <v>2875</v>
      </c>
      <c r="B2914" s="14" t="s">
        <v>2456</v>
      </c>
      <c r="C2914" s="15" t="s">
        <v>3</v>
      </c>
      <c r="D2914" s="14" t="s">
        <v>1200</v>
      </c>
      <c r="E2914" s="14" t="s">
        <v>1200</v>
      </c>
      <c r="F2914" s="69" t="s">
        <v>4</v>
      </c>
      <c r="G2914" s="32">
        <v>43524</v>
      </c>
      <c r="H2914" s="17">
        <v>57385.05</v>
      </c>
      <c r="I2914" s="17">
        <v>0</v>
      </c>
      <c r="J2914" s="17">
        <v>0</v>
      </c>
      <c r="K2914" s="17">
        <f t="shared" si="532"/>
        <v>57385.05</v>
      </c>
      <c r="L2914" s="17">
        <f t="shared" si="543"/>
        <v>2869.2525000000005</v>
      </c>
      <c r="M2914" s="42">
        <v>5</v>
      </c>
      <c r="N2914" s="18">
        <f t="shared" si="533"/>
        <v>1.0931506849315069</v>
      </c>
      <c r="O2914" s="23">
        <f t="shared" si="545"/>
        <v>11918.796275342465</v>
      </c>
      <c r="P2914" s="18">
        <f t="shared" si="534"/>
        <v>2.0931506849315067</v>
      </c>
      <c r="Q2914" s="18">
        <f t="shared" si="546"/>
        <v>10903.159499999998</v>
      </c>
      <c r="R2914" s="18">
        <f t="shared" si="544"/>
        <v>22821.955775342463</v>
      </c>
      <c r="S2914" s="18">
        <f t="shared" si="540"/>
        <v>34563.094224657543</v>
      </c>
    </row>
    <row r="2915" spans="1:19" ht="15" customHeight="1" x14ac:dyDescent="0.2">
      <c r="A2915" s="14">
        <f t="shared" si="535"/>
        <v>2876</v>
      </c>
      <c r="B2915" s="14" t="s">
        <v>2457</v>
      </c>
      <c r="C2915" s="15" t="s">
        <v>3</v>
      </c>
      <c r="D2915" s="14" t="s">
        <v>1200</v>
      </c>
      <c r="E2915" s="14" t="s">
        <v>1200</v>
      </c>
      <c r="F2915" s="69" t="s">
        <v>4</v>
      </c>
      <c r="G2915" s="32">
        <v>43524</v>
      </c>
      <c r="H2915" s="17">
        <v>10305.01</v>
      </c>
      <c r="I2915" s="17">
        <v>0</v>
      </c>
      <c r="J2915" s="17">
        <v>0</v>
      </c>
      <c r="K2915" s="17">
        <f t="shared" si="532"/>
        <v>10305.01</v>
      </c>
      <c r="L2915" s="17">
        <f t="shared" si="543"/>
        <v>515.25049999999999</v>
      </c>
      <c r="M2915" s="42">
        <v>5</v>
      </c>
      <c r="N2915" s="18">
        <f t="shared" si="533"/>
        <v>1.0931506849315069</v>
      </c>
      <c r="O2915" s="23">
        <f t="shared" si="545"/>
        <v>2140.3364605479455</v>
      </c>
      <c r="P2915" s="18">
        <f t="shared" si="534"/>
        <v>2.0931506849315067</v>
      </c>
      <c r="Q2915" s="18">
        <f t="shared" si="546"/>
        <v>1957.9518999999996</v>
      </c>
      <c r="R2915" s="18">
        <f t="shared" si="544"/>
        <v>4098.2883605479456</v>
      </c>
      <c r="S2915" s="18">
        <f t="shared" si="540"/>
        <v>6206.7216394520547</v>
      </c>
    </row>
    <row r="2916" spans="1:19" ht="15" customHeight="1" x14ac:dyDescent="0.2">
      <c r="A2916" s="14">
        <f t="shared" si="535"/>
        <v>2877</v>
      </c>
      <c r="B2916" s="14" t="s">
        <v>2458</v>
      </c>
      <c r="C2916" s="15" t="s">
        <v>3</v>
      </c>
      <c r="D2916" s="14" t="s">
        <v>1200</v>
      </c>
      <c r="E2916" s="14" t="s">
        <v>1200</v>
      </c>
      <c r="F2916" s="69" t="s">
        <v>4</v>
      </c>
      <c r="G2916" s="32">
        <v>43524</v>
      </c>
      <c r="H2916" s="17">
        <v>55722.46</v>
      </c>
      <c r="I2916" s="17">
        <v>0</v>
      </c>
      <c r="J2916" s="17">
        <v>0</v>
      </c>
      <c r="K2916" s="17">
        <f t="shared" si="532"/>
        <v>55722.46</v>
      </c>
      <c r="L2916" s="17">
        <f t="shared" si="543"/>
        <v>2786.123</v>
      </c>
      <c r="M2916" s="42">
        <v>3</v>
      </c>
      <c r="N2916" s="18">
        <f t="shared" si="533"/>
        <v>1.0931506849315069</v>
      </c>
      <c r="O2916" s="23">
        <f t="shared" si="545"/>
        <v>19289.131016438358</v>
      </c>
      <c r="P2916" s="18">
        <f t="shared" si="534"/>
        <v>2.0931506849315067</v>
      </c>
      <c r="Q2916" s="18">
        <f t="shared" si="546"/>
        <v>17645.445666666663</v>
      </c>
      <c r="R2916" s="18">
        <f t="shared" si="544"/>
        <v>36934.57668310502</v>
      </c>
      <c r="S2916" s="18">
        <f t="shared" si="540"/>
        <v>18787.883316894979</v>
      </c>
    </row>
    <row r="2917" spans="1:19" ht="15" customHeight="1" x14ac:dyDescent="0.2">
      <c r="A2917" s="14">
        <f t="shared" si="535"/>
        <v>2878</v>
      </c>
      <c r="B2917" s="14" t="s">
        <v>2459</v>
      </c>
      <c r="C2917" s="15" t="s">
        <v>3</v>
      </c>
      <c r="D2917" s="14" t="s">
        <v>1200</v>
      </c>
      <c r="E2917" s="14" t="s">
        <v>1200</v>
      </c>
      <c r="F2917" s="69" t="s">
        <v>4</v>
      </c>
      <c r="G2917" s="32">
        <v>43524</v>
      </c>
      <c r="H2917" s="17">
        <v>334399.52999999997</v>
      </c>
      <c r="I2917" s="17">
        <v>0</v>
      </c>
      <c r="J2917" s="17">
        <v>0</v>
      </c>
      <c r="K2917" s="17">
        <f t="shared" si="532"/>
        <v>334399.52999999997</v>
      </c>
      <c r="L2917" s="17">
        <f t="shared" si="543"/>
        <v>16719.976500000001</v>
      </c>
      <c r="M2917" s="42">
        <v>3</v>
      </c>
      <c r="N2917" s="18">
        <f t="shared" si="533"/>
        <v>1.0931506849315069</v>
      </c>
      <c r="O2917" s="23">
        <f>(K2917-L2917)/M2917*N2917-J2917-22499.11</f>
        <v>93258.097165753425</v>
      </c>
      <c r="P2917" s="18">
        <f t="shared" si="534"/>
        <v>2.0931506849315067</v>
      </c>
      <c r="Q2917" s="18">
        <f t="shared" si="546"/>
        <v>105893.18449999997</v>
      </c>
      <c r="R2917" s="18">
        <f t="shared" si="544"/>
        <v>199151.2816657534</v>
      </c>
      <c r="S2917" s="18">
        <f>K2917-R2917-22499</f>
        <v>112749.24833424657</v>
      </c>
    </row>
    <row r="2918" spans="1:19" ht="15" customHeight="1" x14ac:dyDescent="0.2">
      <c r="A2918" s="14">
        <f t="shared" si="535"/>
        <v>2879</v>
      </c>
      <c r="B2918" s="14" t="s">
        <v>2460</v>
      </c>
      <c r="C2918" s="15" t="s">
        <v>3</v>
      </c>
      <c r="D2918" s="14" t="s">
        <v>1200</v>
      </c>
      <c r="E2918" s="14" t="s">
        <v>1200</v>
      </c>
      <c r="F2918" s="69" t="s">
        <v>4</v>
      </c>
      <c r="G2918" s="32">
        <v>43524</v>
      </c>
      <c r="H2918" s="17">
        <v>184104.41</v>
      </c>
      <c r="I2918" s="17">
        <v>0</v>
      </c>
      <c r="J2918" s="17">
        <v>0</v>
      </c>
      <c r="K2918" s="17">
        <f t="shared" ref="K2918:K2926" si="547">H2918+I2918-J2918</f>
        <v>184104.41</v>
      </c>
      <c r="L2918" s="17">
        <f t="shared" si="543"/>
        <v>9205.2205000000013</v>
      </c>
      <c r="M2918" s="42">
        <v>3</v>
      </c>
      <c r="N2918" s="18">
        <f t="shared" ref="N2918:N2926" si="548">IF(($N$35-G2918+1)/365&gt;0,($N$35-G2918+1)/365,0)</f>
        <v>1.0931506849315069</v>
      </c>
      <c r="O2918" s="23">
        <f t="shared" si="545"/>
        <v>63730.389598630143</v>
      </c>
      <c r="P2918" s="18">
        <f t="shared" ref="P2918:P2929" si="549">($P$35-G2918+1)/365</f>
        <v>2.0931506849315067</v>
      </c>
      <c r="Q2918" s="18">
        <f t="shared" si="546"/>
        <v>58299.729833333324</v>
      </c>
      <c r="R2918" s="18">
        <f t="shared" si="544"/>
        <v>122030.11943196347</v>
      </c>
      <c r="S2918" s="18">
        <f t="shared" si="540"/>
        <v>62074.290568036537</v>
      </c>
    </row>
    <row r="2919" spans="1:19" ht="15" customHeight="1" x14ac:dyDescent="0.2">
      <c r="A2919" s="14">
        <f t="shared" si="535"/>
        <v>2880</v>
      </c>
      <c r="B2919" s="14" t="s">
        <v>2456</v>
      </c>
      <c r="C2919" s="15" t="s">
        <v>3</v>
      </c>
      <c r="D2919" s="14" t="s">
        <v>1200</v>
      </c>
      <c r="E2919" s="14" t="s">
        <v>1200</v>
      </c>
      <c r="F2919" s="69" t="s">
        <v>4</v>
      </c>
      <c r="G2919" s="32">
        <v>43524</v>
      </c>
      <c r="H2919" s="17">
        <v>57888.179999999993</v>
      </c>
      <c r="I2919" s="17">
        <v>0</v>
      </c>
      <c r="J2919" s="17">
        <v>0</v>
      </c>
      <c r="K2919" s="17">
        <f t="shared" si="547"/>
        <v>57888.179999999993</v>
      </c>
      <c r="L2919" s="17">
        <f t="shared" si="543"/>
        <v>2894.4089999999997</v>
      </c>
      <c r="M2919" s="42">
        <v>5</v>
      </c>
      <c r="N2919" s="18">
        <f t="shared" si="548"/>
        <v>1.0931506849315069</v>
      </c>
      <c r="O2919" s="23">
        <f t="shared" si="545"/>
        <v>12023.295687123287</v>
      </c>
      <c r="P2919" s="18">
        <f t="shared" si="549"/>
        <v>2.0931506849315067</v>
      </c>
      <c r="Q2919" s="18">
        <f t="shared" si="546"/>
        <v>10998.754199999996</v>
      </c>
      <c r="R2919" s="18">
        <f t="shared" si="544"/>
        <v>23022.049887123285</v>
      </c>
      <c r="S2919" s="18">
        <f t="shared" si="540"/>
        <v>34866.130112876708</v>
      </c>
    </row>
    <row r="2920" spans="1:19" ht="15" customHeight="1" x14ac:dyDescent="0.2">
      <c r="A2920" s="14">
        <f t="shared" si="535"/>
        <v>2881</v>
      </c>
      <c r="B2920" s="14" t="s">
        <v>2461</v>
      </c>
      <c r="C2920" s="15" t="s">
        <v>3</v>
      </c>
      <c r="D2920" s="14" t="s">
        <v>1200</v>
      </c>
      <c r="E2920" s="14" t="s">
        <v>1200</v>
      </c>
      <c r="F2920" s="69" t="s">
        <v>4</v>
      </c>
      <c r="G2920" s="32">
        <v>43524</v>
      </c>
      <c r="H2920" s="17">
        <v>28893.759999999998</v>
      </c>
      <c r="I2920" s="17">
        <v>0</v>
      </c>
      <c r="J2920" s="17">
        <v>0</v>
      </c>
      <c r="K2920" s="17">
        <f t="shared" si="547"/>
        <v>28893.759999999998</v>
      </c>
      <c r="L2920" s="17">
        <f t="shared" si="543"/>
        <v>1444.6880000000001</v>
      </c>
      <c r="M2920" s="42">
        <v>5</v>
      </c>
      <c r="N2920" s="18">
        <f t="shared" si="548"/>
        <v>1.0931506849315069</v>
      </c>
      <c r="O2920" s="23">
        <f t="shared" si="545"/>
        <v>6001.1943715068501</v>
      </c>
      <c r="P2920" s="18">
        <f t="shared" si="549"/>
        <v>2.0931506849315067</v>
      </c>
      <c r="Q2920" s="18">
        <f t="shared" si="546"/>
        <v>5489.8143999999984</v>
      </c>
      <c r="R2920" s="18">
        <f t="shared" si="544"/>
        <v>11491.008771506848</v>
      </c>
      <c r="S2920" s="18">
        <f t="shared" si="540"/>
        <v>17402.751228493151</v>
      </c>
    </row>
    <row r="2921" spans="1:19" ht="15" customHeight="1" x14ac:dyDescent="0.2">
      <c r="A2921" s="14">
        <f t="shared" si="535"/>
        <v>2882</v>
      </c>
      <c r="B2921" s="14" t="s">
        <v>2462</v>
      </c>
      <c r="C2921" s="15" t="s">
        <v>3</v>
      </c>
      <c r="D2921" s="14" t="s">
        <v>1200</v>
      </c>
      <c r="E2921" s="14" t="s">
        <v>1200</v>
      </c>
      <c r="F2921" s="69" t="s">
        <v>4</v>
      </c>
      <c r="G2921" s="32">
        <v>43689</v>
      </c>
      <c r="H2921" s="17">
        <v>927108</v>
      </c>
      <c r="I2921" s="17">
        <v>0</v>
      </c>
      <c r="J2921" s="17">
        <v>0</v>
      </c>
      <c r="K2921" s="17">
        <f t="shared" si="547"/>
        <v>927108</v>
      </c>
      <c r="L2921" s="17">
        <f t="shared" si="543"/>
        <v>46355.4</v>
      </c>
      <c r="M2921" s="42">
        <v>5</v>
      </c>
      <c r="N2921" s="18">
        <f t="shared" si="548"/>
        <v>0.64109589041095894</v>
      </c>
      <c r="O2921" s="23">
        <f>(K2921-L2921)/M2921*N2921-J2921</f>
        <v>112929.37446575343</v>
      </c>
      <c r="P2921" s="18">
        <f t="shared" si="549"/>
        <v>1.6410958904109589</v>
      </c>
      <c r="Q2921" s="18">
        <f t="shared" si="546"/>
        <v>176150.52000000002</v>
      </c>
      <c r="R2921" s="18">
        <f t="shared" si="544"/>
        <v>289079.89446575346</v>
      </c>
      <c r="S2921" s="18">
        <f t="shared" si="540"/>
        <v>638028.10553424654</v>
      </c>
    </row>
    <row r="2922" spans="1:19" ht="15" customHeight="1" x14ac:dyDescent="0.2">
      <c r="A2922" s="14">
        <f t="shared" si="535"/>
        <v>2883</v>
      </c>
      <c r="B2922" s="14" t="s">
        <v>2463</v>
      </c>
      <c r="C2922" s="15" t="s">
        <v>3</v>
      </c>
      <c r="D2922" s="31" t="s">
        <v>1708</v>
      </c>
      <c r="E2922" s="14" t="s">
        <v>2465</v>
      </c>
      <c r="F2922" s="73" t="s">
        <v>4</v>
      </c>
      <c r="G2922" s="32">
        <v>42686</v>
      </c>
      <c r="H2922" s="17">
        <v>23849.21030475591</v>
      </c>
      <c r="I2922" s="17">
        <v>0</v>
      </c>
      <c r="J2922" s="17">
        <v>0</v>
      </c>
      <c r="K2922" s="17">
        <f t="shared" si="547"/>
        <v>23849.21030475591</v>
      </c>
      <c r="L2922" s="17">
        <f t="shared" si="543"/>
        <v>1192.4605152377956</v>
      </c>
      <c r="M2922" s="42">
        <v>10</v>
      </c>
      <c r="N2922" s="18">
        <f t="shared" si="548"/>
        <v>3.3890410958904109</v>
      </c>
      <c r="O2922" s="23">
        <f t="shared" si="545"/>
        <v>7678.4656135983314</v>
      </c>
      <c r="P2922" s="18">
        <f t="shared" si="549"/>
        <v>4.3890410958904109</v>
      </c>
      <c r="Q2922" s="18">
        <f t="shared" si="546"/>
        <v>2265.6749789518117</v>
      </c>
      <c r="R2922" s="18">
        <f t="shared" si="544"/>
        <v>9944.1405925501422</v>
      </c>
      <c r="S2922" s="18">
        <f>K2922-R2922-5040.78</f>
        <v>8864.2897122057693</v>
      </c>
    </row>
    <row r="2923" spans="1:19" ht="15" customHeight="1" x14ac:dyDescent="0.2">
      <c r="A2923" s="14">
        <f t="shared" ref="A2923:A2926" si="550">+A2922+1</f>
        <v>2884</v>
      </c>
      <c r="B2923" s="14" t="s">
        <v>2466</v>
      </c>
      <c r="C2923" s="15" t="s">
        <v>3</v>
      </c>
      <c r="D2923" s="31" t="s">
        <v>1708</v>
      </c>
      <c r="E2923" s="14" t="s">
        <v>2464</v>
      </c>
      <c r="F2923" s="73" t="s">
        <v>4</v>
      </c>
      <c r="G2923" s="32">
        <v>43524</v>
      </c>
      <c r="H2923" s="17">
        <v>5100</v>
      </c>
      <c r="I2923" s="17">
        <v>0</v>
      </c>
      <c r="J2923" s="17">
        <v>0</v>
      </c>
      <c r="K2923" s="17">
        <f t="shared" si="547"/>
        <v>5100</v>
      </c>
      <c r="L2923" s="17">
        <f t="shared" si="543"/>
        <v>255</v>
      </c>
      <c r="M2923" s="42">
        <v>5</v>
      </c>
      <c r="N2923" s="18">
        <f t="shared" si="548"/>
        <v>1.0931506849315069</v>
      </c>
      <c r="O2923" s="23">
        <f t="shared" si="545"/>
        <v>1059.2630136986302</v>
      </c>
      <c r="P2923" s="18">
        <f t="shared" si="549"/>
        <v>2.0931506849315067</v>
      </c>
      <c r="Q2923" s="18">
        <f t="shared" si="546"/>
        <v>968.99999999999977</v>
      </c>
      <c r="R2923" s="18">
        <f t="shared" si="544"/>
        <v>2028.2630136986299</v>
      </c>
      <c r="S2923" s="18">
        <f>K2923-R2923</f>
        <v>3071.7369863013701</v>
      </c>
    </row>
    <row r="2924" spans="1:19" ht="15" customHeight="1" x14ac:dyDescent="0.2">
      <c r="A2924" s="14">
        <f t="shared" si="550"/>
        <v>2885</v>
      </c>
      <c r="B2924" s="14" t="s">
        <v>2467</v>
      </c>
      <c r="C2924" s="15" t="s">
        <v>3</v>
      </c>
      <c r="D2924" s="31" t="s">
        <v>1708</v>
      </c>
      <c r="E2924" s="14" t="s">
        <v>2464</v>
      </c>
      <c r="F2924" s="73" t="s">
        <v>4</v>
      </c>
      <c r="G2924" s="32">
        <v>43524</v>
      </c>
      <c r="H2924" s="17">
        <v>8130</v>
      </c>
      <c r="I2924" s="17">
        <v>0</v>
      </c>
      <c r="J2924" s="17">
        <v>0</v>
      </c>
      <c r="K2924" s="17">
        <f t="shared" si="547"/>
        <v>8130</v>
      </c>
      <c r="L2924" s="17">
        <f t="shared" si="543"/>
        <v>406.5</v>
      </c>
      <c r="M2924" s="42">
        <v>10</v>
      </c>
      <c r="N2924" s="18">
        <f t="shared" si="548"/>
        <v>1.0931506849315069</v>
      </c>
      <c r="O2924" s="23">
        <f t="shared" si="545"/>
        <v>844.29493150684937</v>
      </c>
      <c r="P2924" s="18">
        <f t="shared" si="549"/>
        <v>2.0931506849315067</v>
      </c>
      <c r="Q2924" s="18">
        <f t="shared" si="546"/>
        <v>772.3499999999998</v>
      </c>
      <c r="R2924" s="18">
        <f t="shared" si="544"/>
        <v>1616.6449315068492</v>
      </c>
      <c r="S2924" s="18">
        <f t="shared" si="540"/>
        <v>6513.3550684931506</v>
      </c>
    </row>
    <row r="2925" spans="1:19" ht="15" customHeight="1" x14ac:dyDescent="0.2">
      <c r="A2925" s="14">
        <f t="shared" si="550"/>
        <v>2886</v>
      </c>
      <c r="B2925" s="14" t="s">
        <v>2468</v>
      </c>
      <c r="C2925" s="15" t="s">
        <v>3</v>
      </c>
      <c r="D2925" s="31" t="s">
        <v>1708</v>
      </c>
      <c r="E2925" s="14" t="s">
        <v>2464</v>
      </c>
      <c r="F2925" s="73" t="s">
        <v>4</v>
      </c>
      <c r="G2925" s="32">
        <v>43524</v>
      </c>
      <c r="H2925" s="17">
        <v>12490</v>
      </c>
      <c r="I2925" s="17">
        <v>0</v>
      </c>
      <c r="J2925" s="17">
        <v>0</v>
      </c>
      <c r="K2925" s="17">
        <f t="shared" si="547"/>
        <v>12490</v>
      </c>
      <c r="L2925" s="17">
        <f t="shared" si="543"/>
        <v>624.5</v>
      </c>
      <c r="M2925" s="42">
        <v>10</v>
      </c>
      <c r="N2925" s="18">
        <f t="shared" si="548"/>
        <v>1.0931506849315069</v>
      </c>
      <c r="O2925" s="23">
        <f t="shared" si="545"/>
        <v>1297.0779452054794</v>
      </c>
      <c r="P2925" s="18">
        <f t="shared" si="549"/>
        <v>2.0931506849315067</v>
      </c>
      <c r="Q2925" s="18">
        <f t="shared" si="546"/>
        <v>1186.5499999999997</v>
      </c>
      <c r="R2925" s="18">
        <f t="shared" si="544"/>
        <v>2483.6279452054791</v>
      </c>
      <c r="S2925" s="18">
        <f t="shared" si="540"/>
        <v>10006.372054794521</v>
      </c>
    </row>
    <row r="2926" spans="1:19" ht="15" customHeight="1" x14ac:dyDescent="0.2">
      <c r="A2926" s="14">
        <f t="shared" si="550"/>
        <v>2887</v>
      </c>
      <c r="B2926" s="14" t="s">
        <v>2469</v>
      </c>
      <c r="C2926" s="15" t="s">
        <v>3</v>
      </c>
      <c r="D2926" s="31" t="s">
        <v>1708</v>
      </c>
      <c r="E2926" s="14" t="s">
        <v>2464</v>
      </c>
      <c r="F2926" s="73" t="s">
        <v>4</v>
      </c>
      <c r="G2926" s="32">
        <v>43524</v>
      </c>
      <c r="H2926" s="17">
        <f>47910-1.79</f>
        <v>47908.21</v>
      </c>
      <c r="I2926" s="17">
        <v>0</v>
      </c>
      <c r="J2926" s="17">
        <v>0</v>
      </c>
      <c r="K2926" s="17">
        <f t="shared" si="547"/>
        <v>47908.21</v>
      </c>
      <c r="L2926" s="17">
        <f t="shared" si="543"/>
        <v>2395.4105</v>
      </c>
      <c r="M2926" s="42">
        <v>10</v>
      </c>
      <c r="N2926" s="18">
        <f t="shared" si="548"/>
        <v>1.0931506849315069</v>
      </c>
      <c r="O2926" s="23">
        <f t="shared" si="545"/>
        <v>4975.2347946575346</v>
      </c>
      <c r="P2926" s="18">
        <f t="shared" si="549"/>
        <v>2.0931506849315067</v>
      </c>
      <c r="Q2926" s="18">
        <f t="shared" si="546"/>
        <v>4551.2799499999992</v>
      </c>
      <c r="R2926" s="18">
        <f t="shared" si="544"/>
        <v>9526.5147446575338</v>
      </c>
      <c r="S2926" s="18">
        <f t="shared" si="540"/>
        <v>38381.695255342463</v>
      </c>
    </row>
    <row r="2927" spans="1:19" ht="15" customHeight="1" x14ac:dyDescent="0.2">
      <c r="A2927" s="14">
        <f>+A2924+1</f>
        <v>2886</v>
      </c>
      <c r="B2927" s="14" t="s">
        <v>2470</v>
      </c>
      <c r="C2927" s="15" t="s">
        <v>3</v>
      </c>
      <c r="D2927" s="31" t="s">
        <v>1708</v>
      </c>
      <c r="E2927" s="14" t="s">
        <v>2464</v>
      </c>
      <c r="F2927" s="73" t="s">
        <v>4</v>
      </c>
      <c r="G2927" s="32">
        <v>43524</v>
      </c>
      <c r="H2927" s="17">
        <v>55500</v>
      </c>
      <c r="I2927" s="17">
        <v>0</v>
      </c>
      <c r="J2927" s="17">
        <v>0</v>
      </c>
      <c r="K2927" s="17">
        <f t="shared" ref="K2927" si="551">H2927+I2927-J2927</f>
        <v>55500</v>
      </c>
      <c r="L2927" s="17">
        <f t="shared" ref="L2927:L2929" si="552">H2927*0.05</f>
        <v>2775</v>
      </c>
      <c r="M2927" s="42">
        <v>10</v>
      </c>
      <c r="N2927" s="18">
        <f t="shared" ref="N2927:N2929" si="553">IF(($N$35-G2927+1)/365&gt;0,($N$35-G2927+1)/365,0)</f>
        <v>1.0931506849315069</v>
      </c>
      <c r="O2927" s="23">
        <f t="shared" si="545"/>
        <v>5763.6369863013706</v>
      </c>
      <c r="P2927" s="18">
        <f t="shared" si="549"/>
        <v>2.0931506849315067</v>
      </c>
      <c r="Q2927" s="18">
        <f t="shared" si="546"/>
        <v>5272.4999999999991</v>
      </c>
      <c r="R2927" s="18">
        <f t="shared" si="544"/>
        <v>11036.13698630137</v>
      </c>
      <c r="S2927" s="18">
        <f t="shared" si="540"/>
        <v>44463.863013698632</v>
      </c>
    </row>
    <row r="2928" spans="1:19" ht="15" customHeight="1" x14ac:dyDescent="0.2">
      <c r="A2928" s="14"/>
      <c r="B2928" s="14" t="s">
        <v>2614</v>
      </c>
      <c r="C2928" s="15" t="s">
        <v>3</v>
      </c>
      <c r="D2928" s="14" t="s">
        <v>2614</v>
      </c>
      <c r="E2928" s="14" t="s">
        <v>2615</v>
      </c>
      <c r="F2928" s="73"/>
      <c r="G2928" s="32">
        <v>42781</v>
      </c>
      <c r="H2928" s="17">
        <v>4567297</v>
      </c>
      <c r="I2928" s="17">
        <v>0</v>
      </c>
      <c r="J2928" s="17">
        <v>0</v>
      </c>
      <c r="K2928" s="17">
        <f t="shared" ref="K2928:K2929" si="554">H2928+I2928-J2928</f>
        <v>4567297</v>
      </c>
      <c r="L2928" s="17">
        <f t="shared" si="552"/>
        <v>228364.85</v>
      </c>
      <c r="M2928" s="42">
        <v>5</v>
      </c>
      <c r="N2928" s="18">
        <f t="shared" si="553"/>
        <v>3.128767123287671</v>
      </c>
      <c r="O2928" s="23">
        <f>(K2928-L2928)/M2928*N2928-J2928+257605.51</f>
        <v>2972707.1622191779</v>
      </c>
      <c r="P2928" s="18">
        <f t="shared" si="549"/>
        <v>4.1287671232876715</v>
      </c>
      <c r="Q2928" s="18">
        <f>(P2928-N2928)/M2928*(K2928-L2928)-154000-1983</f>
        <v>711803.43000000052</v>
      </c>
      <c r="R2928" s="18">
        <f t="shared" si="544"/>
        <v>3684510.5922191786</v>
      </c>
      <c r="S2928" s="18">
        <f t="shared" si="540"/>
        <v>882786.40778082144</v>
      </c>
    </row>
    <row r="2929" spans="1:20" ht="15" customHeight="1" x14ac:dyDescent="0.2">
      <c r="A2929" s="14"/>
      <c r="B2929" s="14" t="s">
        <v>2616</v>
      </c>
      <c r="C2929" s="15" t="s">
        <v>3</v>
      </c>
      <c r="D2929" s="14" t="s">
        <v>2616</v>
      </c>
      <c r="E2929" s="14" t="s">
        <v>2617</v>
      </c>
      <c r="F2929" s="73"/>
      <c r="G2929" s="32">
        <v>43738</v>
      </c>
      <c r="H2929" s="17">
        <v>52773160.229999997</v>
      </c>
      <c r="I2929" s="17">
        <v>0</v>
      </c>
      <c r="J2929" s="17">
        <v>0</v>
      </c>
      <c r="K2929" s="17">
        <f t="shared" si="554"/>
        <v>52773160.229999997</v>
      </c>
      <c r="L2929" s="17">
        <f t="shared" si="552"/>
        <v>2638658.0115</v>
      </c>
      <c r="M2929" s="42">
        <v>3</v>
      </c>
      <c r="N2929" s="18">
        <f t="shared" si="553"/>
        <v>0.50684931506849318</v>
      </c>
      <c r="O2929" s="23">
        <v>4185908.57</v>
      </c>
      <c r="P2929" s="18">
        <f t="shared" si="549"/>
        <v>1.5068493150684932</v>
      </c>
      <c r="Q2929" s="18">
        <v>10819776</v>
      </c>
      <c r="R2929" s="18">
        <f t="shared" si="544"/>
        <v>15005684.57</v>
      </c>
      <c r="S2929" s="18">
        <f t="shared" si="540"/>
        <v>37767475.659999996</v>
      </c>
    </row>
    <row r="2931" spans="1:20" ht="15" customHeight="1" x14ac:dyDescent="0.2">
      <c r="H2931" s="43">
        <f>SUM(H37:H2930)</f>
        <v>3408851342.6807408</v>
      </c>
      <c r="I2931" s="43">
        <f>SUM(I37:I2930)</f>
        <v>70589561.309999987</v>
      </c>
      <c r="J2931" s="43">
        <f>SUM(J37:J2930)</f>
        <v>700792506.3897717</v>
      </c>
      <c r="K2931" s="43">
        <f>SUM(K37:K2930)</f>
        <v>2780138862.4309711</v>
      </c>
      <c r="L2931" s="43">
        <f>SUM(L37:L2930)</f>
        <v>165030403.46553713</v>
      </c>
      <c r="M2931" s="43"/>
      <c r="N2931" s="43"/>
      <c r="O2931" s="43">
        <f>SUM(O37:O2930)</f>
        <v>391084783.31453234</v>
      </c>
      <c r="P2931" s="43"/>
      <c r="Q2931" s="43">
        <f>SUM(Q37:Q2930)</f>
        <v>130869276.28594923</v>
      </c>
      <c r="R2931" s="43">
        <f>SUM(R37:R2930)</f>
        <v>519028641.60048193</v>
      </c>
      <c r="S2931" s="43">
        <f>SUM(S37:S2930)</f>
        <v>2261110219.2598157</v>
      </c>
    </row>
    <row r="2932" spans="1:20" ht="15" customHeight="1" x14ac:dyDescent="0.2">
      <c r="K2932" s="60">
        <f>K2931-2780138862.43</f>
        <v>9.7131729125976563E-4</v>
      </c>
      <c r="O2932" s="60">
        <f>O2931-391084783.31</f>
        <v>4.5323371887207031E-3</v>
      </c>
      <c r="Q2932" s="60">
        <f>Q2931-130869276.96</f>
        <v>-0.67405076324939728</v>
      </c>
      <c r="R2932" s="60">
        <f>R2931-519028642.44</f>
        <v>-0.83951807022094727</v>
      </c>
      <c r="S2932" s="60">
        <f>S2931-2261110219.99</f>
        <v>-0.73018407821655273</v>
      </c>
    </row>
    <row r="2933" spans="1:20" ht="15" customHeight="1" x14ac:dyDescent="0.2">
      <c r="R2933" s="7">
        <f>+O2932-R2932</f>
        <v>0.84405040740966797</v>
      </c>
      <c r="S2933" s="7">
        <f>R2933+S2932</f>
        <v>0.11386632919311523</v>
      </c>
    </row>
    <row r="2936" spans="1:20" ht="15" customHeight="1" x14ac:dyDescent="0.2">
      <c r="A2936" s="10" t="s">
        <v>24</v>
      </c>
      <c r="B2936" s="10" t="s">
        <v>2471</v>
      </c>
      <c r="C2936" s="10" t="s">
        <v>26</v>
      </c>
      <c r="D2936" s="10" t="s">
        <v>2472</v>
      </c>
      <c r="E2936" s="10" t="s">
        <v>27</v>
      </c>
      <c r="F2936" s="67" t="s">
        <v>0</v>
      </c>
      <c r="G2936" s="10" t="s">
        <v>2473</v>
      </c>
      <c r="H2936" s="12" t="s">
        <v>2474</v>
      </c>
      <c r="I2936" s="12" t="s">
        <v>30</v>
      </c>
      <c r="J2936" s="12" t="s">
        <v>2475</v>
      </c>
      <c r="K2936" s="12" t="s">
        <v>2476</v>
      </c>
      <c r="L2936" s="12" t="s">
        <v>33</v>
      </c>
      <c r="M2936" s="12" t="s">
        <v>2477</v>
      </c>
      <c r="N2936" s="12" t="s">
        <v>35</v>
      </c>
      <c r="O2936" s="12" t="s">
        <v>36</v>
      </c>
      <c r="P2936" s="12" t="s">
        <v>37</v>
      </c>
      <c r="Q2936" s="12" t="s">
        <v>38</v>
      </c>
      <c r="R2936" s="12" t="s">
        <v>39</v>
      </c>
      <c r="S2936" s="12" t="s">
        <v>40</v>
      </c>
      <c r="T2936" s="7"/>
    </row>
    <row r="2937" spans="1:20" ht="15" customHeight="1" x14ac:dyDescent="0.2">
      <c r="A2937" s="14">
        <v>1</v>
      </c>
      <c r="B2937" s="14" t="s">
        <v>2478</v>
      </c>
      <c r="C2937" s="14" t="s">
        <v>18</v>
      </c>
      <c r="D2937" s="14" t="s">
        <v>2479</v>
      </c>
      <c r="E2937" s="14"/>
      <c r="F2937" s="72" t="s">
        <v>19</v>
      </c>
      <c r="G2937" s="32">
        <v>43799</v>
      </c>
      <c r="H2937" s="17">
        <v>25550058.898091983</v>
      </c>
      <c r="I2937" s="17">
        <v>0</v>
      </c>
      <c r="J2937" s="17">
        <v>0</v>
      </c>
      <c r="K2937" s="17">
        <f t="shared" ref="K2937:K2968" si="555">H2937+I2937-J2937</f>
        <v>25550058.898091983</v>
      </c>
      <c r="L2937" s="23">
        <f>K2937*0.05</f>
        <v>1277502.9449045993</v>
      </c>
      <c r="M2937" s="17">
        <v>30</v>
      </c>
      <c r="N2937" s="17">
        <f t="shared" ref="N2937:N2968" si="556">IF(($N$35-G2937+1)/365&gt;0,($N$35-G2937+1)/365,0)</f>
        <v>0.33972602739726027</v>
      </c>
      <c r="O2937" s="23">
        <f t="shared" ref="O2937:O2943" si="557">(K2937-L2937)/M2937*N2937</f>
        <v>274867.30029180233</v>
      </c>
      <c r="P2937" s="18">
        <f t="shared" ref="P2937:P2968" si="558">($P$35-G2937+1)/365</f>
        <v>1.3397260273972602</v>
      </c>
      <c r="Q2937" s="18">
        <f t="shared" ref="Q2937:Q2943" si="559">(P2937-N2937)/M2937*(K2937-L2937)</f>
        <v>809085.19843957946</v>
      </c>
      <c r="R2937" s="18">
        <f t="shared" ref="R2937:R2968" si="560">O2937+Q2937</f>
        <v>1083952.4987313817</v>
      </c>
      <c r="S2937" s="18">
        <f t="shared" ref="S2937:S2968" si="561">K2937-R2937</f>
        <v>24466106.399360601</v>
      </c>
      <c r="T2937" s="7"/>
    </row>
    <row r="2938" spans="1:20" ht="15" customHeight="1" x14ac:dyDescent="0.2">
      <c r="A2938" s="14">
        <f>A2937+1</f>
        <v>2</v>
      </c>
      <c r="B2938" s="14" t="s">
        <v>2480</v>
      </c>
      <c r="C2938" s="14" t="s">
        <v>18</v>
      </c>
      <c r="D2938" s="14" t="s">
        <v>2479</v>
      </c>
      <c r="E2938" s="14"/>
      <c r="F2938" s="72" t="s">
        <v>19</v>
      </c>
      <c r="G2938" s="32">
        <v>43799</v>
      </c>
      <c r="H2938" s="17">
        <v>33201328.221387301</v>
      </c>
      <c r="I2938" s="17">
        <v>0</v>
      </c>
      <c r="J2938" s="17">
        <v>0</v>
      </c>
      <c r="K2938" s="17">
        <f t="shared" si="555"/>
        <v>33201328.221387301</v>
      </c>
      <c r="L2938" s="23">
        <f t="shared" ref="L2938:L3001" si="562">K2938*0.05</f>
        <v>1660066.4110693652</v>
      </c>
      <c r="M2938" s="17">
        <v>30</v>
      </c>
      <c r="N2938" s="17">
        <f t="shared" si="556"/>
        <v>0.33972602739726027</v>
      </c>
      <c r="O2938" s="23">
        <f t="shared" si="557"/>
        <v>357179.58579720766</v>
      </c>
      <c r="P2938" s="18">
        <f t="shared" si="558"/>
        <v>1.3397260273972602</v>
      </c>
      <c r="Q2938" s="18">
        <f t="shared" si="559"/>
        <v>1051375.3936772645</v>
      </c>
      <c r="R2938" s="18">
        <f t="shared" si="560"/>
        <v>1408554.9794744721</v>
      </c>
      <c r="S2938" s="18">
        <f t="shared" si="561"/>
        <v>31792773.241912827</v>
      </c>
      <c r="T2938" s="7"/>
    </row>
    <row r="2939" spans="1:20" ht="15" customHeight="1" x14ac:dyDescent="0.2">
      <c r="A2939" s="14">
        <f t="shared" ref="A2939:A3002" si="563">A2938+1</f>
        <v>3</v>
      </c>
      <c r="B2939" s="14" t="s">
        <v>2481</v>
      </c>
      <c r="C2939" s="14" t="s">
        <v>18</v>
      </c>
      <c r="D2939" s="14" t="s">
        <v>2479</v>
      </c>
      <c r="E2939" s="14"/>
      <c r="F2939" s="72" t="s">
        <v>19</v>
      </c>
      <c r="G2939" s="32">
        <v>43799</v>
      </c>
      <c r="H2939" s="17">
        <v>19406631.896486063</v>
      </c>
      <c r="I2939" s="17">
        <v>0</v>
      </c>
      <c r="J2939" s="17">
        <v>0</v>
      </c>
      <c r="K2939" s="17">
        <f t="shared" si="555"/>
        <v>19406631.896486063</v>
      </c>
      <c r="L2939" s="23">
        <f t="shared" si="562"/>
        <v>970331.59482430317</v>
      </c>
      <c r="M2939" s="17">
        <v>30</v>
      </c>
      <c r="N2939" s="17">
        <f t="shared" si="556"/>
        <v>0.33972602739726027</v>
      </c>
      <c r="O2939" s="23">
        <f t="shared" si="557"/>
        <v>208776.36871288202</v>
      </c>
      <c r="P2939" s="18">
        <f t="shared" si="558"/>
        <v>1.3397260273972602</v>
      </c>
      <c r="Q2939" s="18">
        <f t="shared" si="559"/>
        <v>614543.3433887253</v>
      </c>
      <c r="R2939" s="18">
        <f t="shared" si="560"/>
        <v>823319.71210160735</v>
      </c>
      <c r="S2939" s="18">
        <f t="shared" si="561"/>
        <v>18583312.184384454</v>
      </c>
      <c r="T2939" s="7"/>
    </row>
    <row r="2940" spans="1:20" ht="15" customHeight="1" x14ac:dyDescent="0.2">
      <c r="A2940" s="14">
        <f t="shared" si="563"/>
        <v>4</v>
      </c>
      <c r="B2940" s="14" t="s">
        <v>2482</v>
      </c>
      <c r="C2940" s="14" t="s">
        <v>18</v>
      </c>
      <c r="D2940" s="14" t="s">
        <v>2479</v>
      </c>
      <c r="E2940" s="14"/>
      <c r="F2940" s="72" t="s">
        <v>19</v>
      </c>
      <c r="G2940" s="32">
        <v>43799</v>
      </c>
      <c r="H2940" s="17">
        <v>474015.44888966077</v>
      </c>
      <c r="I2940" s="17">
        <v>0</v>
      </c>
      <c r="J2940" s="17">
        <v>0</v>
      </c>
      <c r="K2940" s="17">
        <f t="shared" si="555"/>
        <v>474015.44888966077</v>
      </c>
      <c r="L2940" s="23">
        <f t="shared" si="562"/>
        <v>23700.772444483038</v>
      </c>
      <c r="M2940" s="17">
        <v>30</v>
      </c>
      <c r="N2940" s="17">
        <f t="shared" si="556"/>
        <v>0.33972602739726027</v>
      </c>
      <c r="O2940" s="23">
        <f t="shared" si="557"/>
        <v>5099.4538702467617</v>
      </c>
      <c r="P2940" s="18">
        <f t="shared" si="558"/>
        <v>1.3397260273972602</v>
      </c>
      <c r="Q2940" s="18">
        <f t="shared" si="559"/>
        <v>15010.489214839259</v>
      </c>
      <c r="R2940" s="18">
        <f t="shared" si="560"/>
        <v>20109.943085086023</v>
      </c>
      <c r="S2940" s="18">
        <f t="shared" si="561"/>
        <v>453905.50580457476</v>
      </c>
      <c r="T2940" s="7"/>
    </row>
    <row r="2941" spans="1:20" ht="15" customHeight="1" x14ac:dyDescent="0.2">
      <c r="A2941" s="14">
        <f t="shared" si="563"/>
        <v>5</v>
      </c>
      <c r="B2941" s="14" t="s">
        <v>2483</v>
      </c>
      <c r="C2941" s="14" t="s">
        <v>18</v>
      </c>
      <c r="D2941" s="14" t="s">
        <v>2479</v>
      </c>
      <c r="E2941" s="14"/>
      <c r="F2941" s="72" t="s">
        <v>19</v>
      </c>
      <c r="G2941" s="32">
        <v>43799</v>
      </c>
      <c r="H2941" s="17">
        <v>666.10960612477356</v>
      </c>
      <c r="I2941" s="17">
        <v>0</v>
      </c>
      <c r="J2941" s="17">
        <v>0</v>
      </c>
      <c r="K2941" s="17">
        <f t="shared" si="555"/>
        <v>666.10960612477356</v>
      </c>
      <c r="L2941" s="23">
        <f t="shared" si="562"/>
        <v>33.305480306238678</v>
      </c>
      <c r="M2941" s="17">
        <v>30</v>
      </c>
      <c r="N2941" s="17">
        <f t="shared" si="556"/>
        <v>0.33972602739726027</v>
      </c>
      <c r="O2941" s="23">
        <f t="shared" si="557"/>
        <v>7.1660010594975647</v>
      </c>
      <c r="P2941" s="18">
        <f t="shared" si="558"/>
        <v>1.3397260273972602</v>
      </c>
      <c r="Q2941" s="18">
        <f t="shared" si="559"/>
        <v>21.093470860617828</v>
      </c>
      <c r="R2941" s="18">
        <f t="shared" si="560"/>
        <v>28.259471920115391</v>
      </c>
      <c r="S2941" s="18">
        <f t="shared" si="561"/>
        <v>637.85013420465816</v>
      </c>
      <c r="T2941" s="7"/>
    </row>
    <row r="2942" spans="1:20" ht="15" customHeight="1" x14ac:dyDescent="0.2">
      <c r="A2942" s="14">
        <f t="shared" si="563"/>
        <v>6</v>
      </c>
      <c r="B2942" s="14" t="s">
        <v>2484</v>
      </c>
      <c r="C2942" s="14" t="s">
        <v>18</v>
      </c>
      <c r="D2942" s="14" t="s">
        <v>2479</v>
      </c>
      <c r="E2942" s="14"/>
      <c r="F2942" s="72" t="s">
        <v>19</v>
      </c>
      <c r="G2942" s="32">
        <v>43799</v>
      </c>
      <c r="H2942" s="17">
        <v>20082044.719565459</v>
      </c>
      <c r="I2942" s="17">
        <v>0</v>
      </c>
      <c r="J2942" s="17">
        <v>0</v>
      </c>
      <c r="K2942" s="17">
        <f t="shared" si="555"/>
        <v>20082044.719565459</v>
      </c>
      <c r="L2942" s="23">
        <f t="shared" si="562"/>
        <v>1004102.235978273</v>
      </c>
      <c r="M2942" s="17">
        <v>30</v>
      </c>
      <c r="N2942" s="17">
        <f t="shared" si="556"/>
        <v>0.33972602739726027</v>
      </c>
      <c r="O2942" s="23">
        <f t="shared" si="557"/>
        <v>216042.45369541657</v>
      </c>
      <c r="P2942" s="18">
        <f t="shared" si="558"/>
        <v>1.3397260273972602</v>
      </c>
      <c r="Q2942" s="18">
        <f t="shared" si="559"/>
        <v>635931.41611957294</v>
      </c>
      <c r="R2942" s="18">
        <f t="shared" si="560"/>
        <v>851973.86981498951</v>
      </c>
      <c r="S2942" s="18">
        <f t="shared" si="561"/>
        <v>19230070.84975047</v>
      </c>
      <c r="T2942" s="7"/>
    </row>
    <row r="2943" spans="1:20" ht="15" customHeight="1" x14ac:dyDescent="0.2">
      <c r="A2943" s="14">
        <f t="shared" si="563"/>
        <v>7</v>
      </c>
      <c r="B2943" s="14" t="s">
        <v>2485</v>
      </c>
      <c r="C2943" s="14" t="s">
        <v>18</v>
      </c>
      <c r="D2943" s="14" t="s">
        <v>2486</v>
      </c>
      <c r="E2943" s="14"/>
      <c r="F2943" s="72" t="s">
        <v>19</v>
      </c>
      <c r="G2943" s="32">
        <v>43799</v>
      </c>
      <c r="H2943" s="17">
        <v>415752.21040099039</v>
      </c>
      <c r="I2943" s="17">
        <v>0</v>
      </c>
      <c r="J2943" s="17">
        <v>0</v>
      </c>
      <c r="K2943" s="17">
        <f t="shared" si="555"/>
        <v>415752.21040099039</v>
      </c>
      <c r="L2943" s="23">
        <f t="shared" si="562"/>
        <v>20787.610520049522</v>
      </c>
      <c r="M2943" s="17">
        <v>25</v>
      </c>
      <c r="N2943" s="17">
        <f t="shared" si="556"/>
        <v>0.33972602739726027</v>
      </c>
      <c r="O2943" s="23">
        <f t="shared" si="557"/>
        <v>5367.190179204018</v>
      </c>
      <c r="P2943" s="18">
        <f t="shared" si="558"/>
        <v>1.3397260273972602</v>
      </c>
      <c r="Q2943" s="18">
        <f t="shared" si="559"/>
        <v>15798.583995237635</v>
      </c>
      <c r="R2943" s="18">
        <f t="shared" si="560"/>
        <v>21165.774174441653</v>
      </c>
      <c r="S2943" s="18">
        <f t="shared" si="561"/>
        <v>394586.43622654874</v>
      </c>
      <c r="T2943" s="7"/>
    </row>
    <row r="2944" spans="1:20" ht="15" customHeight="1" x14ac:dyDescent="0.2">
      <c r="A2944" s="14">
        <f t="shared" si="563"/>
        <v>8</v>
      </c>
      <c r="B2944" s="14" t="s">
        <v>2487</v>
      </c>
      <c r="C2944" s="14" t="s">
        <v>18</v>
      </c>
      <c r="D2944" s="14" t="s">
        <v>2486</v>
      </c>
      <c r="E2944" s="14"/>
      <c r="F2944" s="72" t="s">
        <v>19</v>
      </c>
      <c r="G2944" s="32">
        <v>43799</v>
      </c>
      <c r="H2944" s="17">
        <v>256192151.18028909</v>
      </c>
      <c r="I2944" s="17">
        <v>0</v>
      </c>
      <c r="J2944" s="17">
        <v>20200000</v>
      </c>
      <c r="K2944" s="17">
        <f t="shared" si="555"/>
        <v>235992151.18028909</v>
      </c>
      <c r="L2944" s="23">
        <f t="shared" si="562"/>
        <v>11799607.559014454</v>
      </c>
      <c r="M2944" s="17">
        <v>25</v>
      </c>
      <c r="N2944" s="17">
        <f t="shared" si="556"/>
        <v>0.33972602739726027</v>
      </c>
      <c r="O2944" s="23">
        <f>(K2944-L2944)/M2944*N2944+97203.6</f>
        <v>3143765.2886617049</v>
      </c>
      <c r="P2944" s="18">
        <f t="shared" si="558"/>
        <v>1.3397260273972602</v>
      </c>
      <c r="Q2944" s="18">
        <f>(P2944-N2944)/M2944*(K2944-L2944)-2038.08</f>
        <v>8965663.6648509856</v>
      </c>
      <c r="R2944" s="18">
        <f t="shared" si="560"/>
        <v>12109428.953512691</v>
      </c>
      <c r="S2944" s="18">
        <f t="shared" si="561"/>
        <v>223882722.22677639</v>
      </c>
      <c r="T2944" s="7"/>
    </row>
    <row r="2945" spans="1:20" ht="15" customHeight="1" x14ac:dyDescent="0.2">
      <c r="A2945" s="14">
        <f t="shared" si="563"/>
        <v>9</v>
      </c>
      <c r="B2945" s="14" t="s">
        <v>2488</v>
      </c>
      <c r="C2945" s="14" t="s">
        <v>18</v>
      </c>
      <c r="D2945" s="14" t="s">
        <v>2486</v>
      </c>
      <c r="E2945" s="14"/>
      <c r="F2945" s="72" t="s">
        <v>19</v>
      </c>
      <c r="G2945" s="32">
        <v>43799</v>
      </c>
      <c r="H2945" s="17">
        <v>28366000.825409163</v>
      </c>
      <c r="I2945" s="17">
        <v>0</v>
      </c>
      <c r="J2945" s="17">
        <v>0</v>
      </c>
      <c r="K2945" s="17">
        <f t="shared" si="555"/>
        <v>28366000.825409163</v>
      </c>
      <c r="L2945" s="23">
        <f t="shared" si="562"/>
        <v>1418300.0412704581</v>
      </c>
      <c r="M2945" s="17">
        <v>25</v>
      </c>
      <c r="N2945" s="17">
        <f t="shared" si="556"/>
        <v>0.33972602739726027</v>
      </c>
      <c r="O2945" s="23">
        <f t="shared" ref="O2945:O2976" si="564">(K2945-L2945)/M2945*N2945</f>
        <v>366193.41339541913</v>
      </c>
      <c r="P2945" s="18">
        <f t="shared" si="558"/>
        <v>1.3397260273972602</v>
      </c>
      <c r="Q2945" s="18">
        <f t="shared" ref="Q2945:Q2976" si="565">(P2945-N2945)/M2945*(K2945-L2945)</f>
        <v>1077908.0313655483</v>
      </c>
      <c r="R2945" s="18">
        <f t="shared" si="560"/>
        <v>1444101.4447609675</v>
      </c>
      <c r="S2945" s="18">
        <f t="shared" si="561"/>
        <v>26921899.380648196</v>
      </c>
      <c r="T2945" s="7"/>
    </row>
    <row r="2946" spans="1:20" ht="15" customHeight="1" x14ac:dyDescent="0.2">
      <c r="A2946" s="14">
        <f t="shared" si="563"/>
        <v>10</v>
      </c>
      <c r="B2946" s="14" t="s">
        <v>2489</v>
      </c>
      <c r="C2946" s="14" t="s">
        <v>18</v>
      </c>
      <c r="D2946" s="14" t="s">
        <v>2486</v>
      </c>
      <c r="E2946" s="14"/>
      <c r="F2946" s="72" t="s">
        <v>19</v>
      </c>
      <c r="G2946" s="32">
        <v>43799</v>
      </c>
      <c r="H2946" s="17">
        <v>134525976.46798518</v>
      </c>
      <c r="I2946" s="17">
        <v>0</v>
      </c>
      <c r="J2946" s="17">
        <v>0</v>
      </c>
      <c r="K2946" s="17">
        <f t="shared" si="555"/>
        <v>134525976.46798518</v>
      </c>
      <c r="L2946" s="23">
        <f t="shared" si="562"/>
        <v>6726298.8233992597</v>
      </c>
      <c r="M2946" s="17">
        <v>25</v>
      </c>
      <c r="N2946" s="17">
        <f t="shared" si="556"/>
        <v>0.33972602739726027</v>
      </c>
      <c r="O2946" s="23">
        <f t="shared" si="564"/>
        <v>1736675.0715538249</v>
      </c>
      <c r="P2946" s="18">
        <f t="shared" si="558"/>
        <v>1.3397260273972602</v>
      </c>
      <c r="Q2946" s="18">
        <f t="shared" si="565"/>
        <v>5111987.1057834374</v>
      </c>
      <c r="R2946" s="18">
        <f t="shared" si="560"/>
        <v>6848662.1773372628</v>
      </c>
      <c r="S2946" s="18">
        <f t="shared" si="561"/>
        <v>127677314.29064792</v>
      </c>
      <c r="T2946" s="7"/>
    </row>
    <row r="2947" spans="1:20" ht="15" customHeight="1" x14ac:dyDescent="0.2">
      <c r="A2947" s="14">
        <f t="shared" si="563"/>
        <v>11</v>
      </c>
      <c r="B2947" s="14" t="s">
        <v>2490</v>
      </c>
      <c r="C2947" s="14" t="s">
        <v>18</v>
      </c>
      <c r="D2947" s="14" t="s">
        <v>2486</v>
      </c>
      <c r="E2947" s="14"/>
      <c r="F2947" s="72" t="s">
        <v>19</v>
      </c>
      <c r="G2947" s="32">
        <v>43799</v>
      </c>
      <c r="H2947" s="17">
        <v>227473553.10416415</v>
      </c>
      <c r="I2947" s="17">
        <v>0</v>
      </c>
      <c r="J2947" s="17">
        <v>0</v>
      </c>
      <c r="K2947" s="17">
        <f t="shared" si="555"/>
        <v>227473553.10416415</v>
      </c>
      <c r="L2947" s="23">
        <f t="shared" si="562"/>
        <v>11373677.655208208</v>
      </c>
      <c r="M2947" s="17">
        <v>25</v>
      </c>
      <c r="N2947" s="17">
        <f t="shared" si="556"/>
        <v>0.33972602739726027</v>
      </c>
      <c r="O2947" s="23">
        <f t="shared" si="564"/>
        <v>2936590.0882926621</v>
      </c>
      <c r="P2947" s="18">
        <f t="shared" si="558"/>
        <v>1.3397260273972602</v>
      </c>
      <c r="Q2947" s="18">
        <f t="shared" si="565"/>
        <v>8643995.0179582387</v>
      </c>
      <c r="R2947" s="18">
        <f t="shared" si="560"/>
        <v>11580585.106250901</v>
      </c>
      <c r="S2947" s="18">
        <f t="shared" si="561"/>
        <v>215892967.99791324</v>
      </c>
      <c r="T2947" s="7"/>
    </row>
    <row r="2948" spans="1:20" ht="15" customHeight="1" x14ac:dyDescent="0.2">
      <c r="A2948" s="14">
        <f t="shared" si="563"/>
        <v>12</v>
      </c>
      <c r="B2948" s="14" t="s">
        <v>2491</v>
      </c>
      <c r="C2948" s="14" t="s">
        <v>18</v>
      </c>
      <c r="D2948" s="14" t="s">
        <v>2486</v>
      </c>
      <c r="E2948" s="14"/>
      <c r="F2948" s="72" t="s">
        <v>19</v>
      </c>
      <c r="G2948" s="32">
        <v>43799</v>
      </c>
      <c r="H2948" s="17">
        <v>15640782.401791504</v>
      </c>
      <c r="I2948" s="17">
        <v>0</v>
      </c>
      <c r="J2948" s="17">
        <v>0</v>
      </c>
      <c r="K2948" s="17">
        <f t="shared" si="555"/>
        <v>15640782.401791504</v>
      </c>
      <c r="L2948" s="23">
        <f t="shared" si="562"/>
        <v>782039.12008957518</v>
      </c>
      <c r="M2948" s="17">
        <v>25</v>
      </c>
      <c r="N2948" s="17">
        <f t="shared" si="556"/>
        <v>0.33972602739726027</v>
      </c>
      <c r="O2948" s="23">
        <f t="shared" si="564"/>
        <v>201916.07308833307</v>
      </c>
      <c r="P2948" s="18">
        <f t="shared" si="558"/>
        <v>1.3397260273972602</v>
      </c>
      <c r="Q2948" s="18">
        <f t="shared" si="565"/>
        <v>594349.73126807716</v>
      </c>
      <c r="R2948" s="18">
        <f t="shared" si="560"/>
        <v>796265.80435641017</v>
      </c>
      <c r="S2948" s="18">
        <f t="shared" si="561"/>
        <v>14844516.597435094</v>
      </c>
      <c r="T2948" s="7"/>
    </row>
    <row r="2949" spans="1:20" ht="15" customHeight="1" x14ac:dyDescent="0.2">
      <c r="A2949" s="14">
        <f t="shared" si="563"/>
        <v>13</v>
      </c>
      <c r="B2949" s="14" t="s">
        <v>2492</v>
      </c>
      <c r="C2949" s="14" t="s">
        <v>18</v>
      </c>
      <c r="D2949" s="14" t="s">
        <v>2486</v>
      </c>
      <c r="E2949" s="14"/>
      <c r="F2949" s="72" t="s">
        <v>19</v>
      </c>
      <c r="G2949" s="32">
        <v>43799</v>
      </c>
      <c r="H2949" s="17">
        <v>51791890.489254378</v>
      </c>
      <c r="I2949" s="17">
        <v>0</v>
      </c>
      <c r="J2949" s="17">
        <v>0</v>
      </c>
      <c r="K2949" s="17">
        <f t="shared" si="555"/>
        <v>51791890.489254378</v>
      </c>
      <c r="L2949" s="23">
        <f t="shared" si="562"/>
        <v>2589594.524462719</v>
      </c>
      <c r="M2949" s="17">
        <v>25</v>
      </c>
      <c r="N2949" s="17">
        <f t="shared" si="556"/>
        <v>0.33972602739726027</v>
      </c>
      <c r="O2949" s="23">
        <f t="shared" si="564"/>
        <v>668612.02187771676</v>
      </c>
      <c r="P2949" s="18">
        <f t="shared" si="558"/>
        <v>1.3397260273972602</v>
      </c>
      <c r="Q2949" s="18">
        <f t="shared" si="565"/>
        <v>1968091.8385916662</v>
      </c>
      <c r="R2949" s="18">
        <f t="shared" si="560"/>
        <v>2636703.8604693832</v>
      </c>
      <c r="S2949" s="18">
        <f t="shared" si="561"/>
        <v>49155186.628784992</v>
      </c>
      <c r="T2949" s="7"/>
    </row>
    <row r="2950" spans="1:20" ht="15" customHeight="1" x14ac:dyDescent="0.2">
      <c r="A2950" s="14">
        <f t="shared" si="563"/>
        <v>14</v>
      </c>
      <c r="B2950" s="14" t="s">
        <v>2493</v>
      </c>
      <c r="C2950" s="14" t="s">
        <v>18</v>
      </c>
      <c r="D2950" s="14" t="s">
        <v>2486</v>
      </c>
      <c r="E2950" s="14"/>
      <c r="F2950" s="72" t="s">
        <v>19</v>
      </c>
      <c r="G2950" s="32">
        <v>43799</v>
      </c>
      <c r="H2950" s="17">
        <v>16143509.823970884</v>
      </c>
      <c r="I2950" s="17">
        <v>0</v>
      </c>
      <c r="J2950" s="17">
        <v>0</v>
      </c>
      <c r="K2950" s="17">
        <f t="shared" si="555"/>
        <v>16143509.823970884</v>
      </c>
      <c r="L2950" s="23">
        <f t="shared" si="562"/>
        <v>807175.49119854427</v>
      </c>
      <c r="M2950" s="17">
        <v>25</v>
      </c>
      <c r="N2950" s="17">
        <f t="shared" si="556"/>
        <v>0.33972602739726027</v>
      </c>
      <c r="O2950" s="23">
        <f t="shared" si="564"/>
        <v>208406.0775083584</v>
      </c>
      <c r="P2950" s="18">
        <f t="shared" si="558"/>
        <v>1.3397260273972602</v>
      </c>
      <c r="Q2950" s="18">
        <f t="shared" si="565"/>
        <v>613453.37331089366</v>
      </c>
      <c r="R2950" s="18">
        <f t="shared" si="560"/>
        <v>821859.45081925206</v>
      </c>
      <c r="S2950" s="18">
        <f t="shared" si="561"/>
        <v>15321650.373151632</v>
      </c>
      <c r="T2950" s="7"/>
    </row>
    <row r="2951" spans="1:20" ht="15" customHeight="1" x14ac:dyDescent="0.2">
      <c r="A2951" s="14">
        <f t="shared" si="563"/>
        <v>15</v>
      </c>
      <c r="B2951" s="14" t="s">
        <v>2494</v>
      </c>
      <c r="C2951" s="14" t="s">
        <v>18</v>
      </c>
      <c r="D2951" s="14" t="s">
        <v>2486</v>
      </c>
      <c r="E2951" s="14"/>
      <c r="F2951" s="72" t="s">
        <v>19</v>
      </c>
      <c r="G2951" s="32">
        <v>43799</v>
      </c>
      <c r="H2951" s="17">
        <v>6044812.0246994216</v>
      </c>
      <c r="I2951" s="17">
        <v>0</v>
      </c>
      <c r="J2951" s="17">
        <v>0</v>
      </c>
      <c r="K2951" s="17">
        <f t="shared" si="555"/>
        <v>6044812.0246994216</v>
      </c>
      <c r="L2951" s="23">
        <f t="shared" si="562"/>
        <v>302240.60123497108</v>
      </c>
      <c r="M2951" s="17">
        <v>25</v>
      </c>
      <c r="N2951" s="17">
        <f t="shared" si="556"/>
        <v>0.33972602739726027</v>
      </c>
      <c r="O2951" s="23">
        <f t="shared" si="564"/>
        <v>78036.03906954432</v>
      </c>
      <c r="P2951" s="18">
        <f t="shared" si="558"/>
        <v>1.3397260273972602</v>
      </c>
      <c r="Q2951" s="18">
        <f t="shared" si="565"/>
        <v>229702.85693857804</v>
      </c>
      <c r="R2951" s="18">
        <f t="shared" si="560"/>
        <v>307738.89600812236</v>
      </c>
      <c r="S2951" s="18">
        <f t="shared" si="561"/>
        <v>5737073.1286912989</v>
      </c>
      <c r="T2951" s="7"/>
    </row>
    <row r="2952" spans="1:20" ht="15" customHeight="1" x14ac:dyDescent="0.2">
      <c r="A2952" s="14">
        <f t="shared" si="563"/>
        <v>16</v>
      </c>
      <c r="B2952" s="14" t="s">
        <v>2495</v>
      </c>
      <c r="C2952" s="14" t="s">
        <v>18</v>
      </c>
      <c r="D2952" s="14" t="s">
        <v>2486</v>
      </c>
      <c r="E2952" s="14"/>
      <c r="F2952" s="72" t="s">
        <v>19</v>
      </c>
      <c r="G2952" s="32">
        <v>43799</v>
      </c>
      <c r="H2952" s="17">
        <v>18820082.287704371</v>
      </c>
      <c r="I2952" s="17">
        <v>0</v>
      </c>
      <c r="J2952" s="17">
        <v>0</v>
      </c>
      <c r="K2952" s="17">
        <f t="shared" si="555"/>
        <v>18820082.287704371</v>
      </c>
      <c r="L2952" s="23">
        <f t="shared" si="562"/>
        <v>941004.11438521859</v>
      </c>
      <c r="M2952" s="17">
        <v>25</v>
      </c>
      <c r="N2952" s="17">
        <f t="shared" si="556"/>
        <v>0.33972602739726027</v>
      </c>
      <c r="O2952" s="23">
        <f t="shared" si="564"/>
        <v>242959.52805387124</v>
      </c>
      <c r="P2952" s="18">
        <f t="shared" si="558"/>
        <v>1.3397260273972602</v>
      </c>
      <c r="Q2952" s="18">
        <f t="shared" si="565"/>
        <v>715163.12693276617</v>
      </c>
      <c r="R2952" s="18">
        <f t="shared" si="560"/>
        <v>958122.65498663741</v>
      </c>
      <c r="S2952" s="18">
        <f t="shared" si="561"/>
        <v>17861959.632717732</v>
      </c>
      <c r="T2952" s="7"/>
    </row>
    <row r="2953" spans="1:20" ht="15" customHeight="1" x14ac:dyDescent="0.2">
      <c r="A2953" s="14">
        <f t="shared" si="563"/>
        <v>17</v>
      </c>
      <c r="B2953" s="14" t="s">
        <v>2496</v>
      </c>
      <c r="C2953" s="14" t="s">
        <v>18</v>
      </c>
      <c r="D2953" s="14" t="s">
        <v>2486</v>
      </c>
      <c r="E2953" s="14"/>
      <c r="F2953" s="72" t="s">
        <v>19</v>
      </c>
      <c r="G2953" s="32">
        <v>43799</v>
      </c>
      <c r="H2953" s="17">
        <v>35974392.139361061</v>
      </c>
      <c r="I2953" s="17">
        <v>0</v>
      </c>
      <c r="J2953" s="17">
        <v>0</v>
      </c>
      <c r="K2953" s="17">
        <f t="shared" si="555"/>
        <v>35974392.139361061</v>
      </c>
      <c r="L2953" s="23">
        <f t="shared" si="562"/>
        <v>1798719.6069680532</v>
      </c>
      <c r="M2953" s="17">
        <v>25</v>
      </c>
      <c r="N2953" s="17">
        <f t="shared" si="556"/>
        <v>0.33972602739726027</v>
      </c>
      <c r="O2953" s="23">
        <f t="shared" si="564"/>
        <v>464414.6185223817</v>
      </c>
      <c r="P2953" s="18">
        <f t="shared" si="558"/>
        <v>1.3397260273972602</v>
      </c>
      <c r="Q2953" s="18">
        <f t="shared" si="565"/>
        <v>1367026.9012957204</v>
      </c>
      <c r="R2953" s="18">
        <f t="shared" si="560"/>
        <v>1831441.519818102</v>
      </c>
      <c r="S2953" s="18">
        <f t="shared" si="561"/>
        <v>34142950.619542956</v>
      </c>
      <c r="T2953" s="7"/>
    </row>
    <row r="2954" spans="1:20" ht="15" customHeight="1" x14ac:dyDescent="0.2">
      <c r="A2954" s="14">
        <f t="shared" si="563"/>
        <v>18</v>
      </c>
      <c r="B2954" s="14" t="s">
        <v>2497</v>
      </c>
      <c r="C2954" s="14" t="s">
        <v>18</v>
      </c>
      <c r="D2954" s="14" t="s">
        <v>2486</v>
      </c>
      <c r="E2954" s="14"/>
      <c r="F2954" s="72" t="s">
        <v>19</v>
      </c>
      <c r="G2954" s="32">
        <v>43799</v>
      </c>
      <c r="H2954" s="17">
        <v>15275150.625518959</v>
      </c>
      <c r="I2954" s="17">
        <v>0</v>
      </c>
      <c r="J2954" s="17">
        <v>0</v>
      </c>
      <c r="K2954" s="17">
        <f t="shared" si="555"/>
        <v>15275150.625518959</v>
      </c>
      <c r="L2954" s="23">
        <f t="shared" si="562"/>
        <v>763757.53127594804</v>
      </c>
      <c r="M2954" s="17">
        <v>25</v>
      </c>
      <c r="N2954" s="17">
        <f t="shared" si="556"/>
        <v>0.33972602739726027</v>
      </c>
      <c r="O2954" s="23">
        <f t="shared" si="564"/>
        <v>197195.91711628856</v>
      </c>
      <c r="P2954" s="18">
        <f t="shared" si="558"/>
        <v>1.3397260273972602</v>
      </c>
      <c r="Q2954" s="18">
        <f t="shared" si="565"/>
        <v>580455.72376972041</v>
      </c>
      <c r="R2954" s="18">
        <f t="shared" si="560"/>
        <v>777651.64088600897</v>
      </c>
      <c r="S2954" s="18">
        <f t="shared" si="561"/>
        <v>14497498.98463295</v>
      </c>
      <c r="T2954" s="7"/>
    </row>
    <row r="2955" spans="1:20" ht="15" customHeight="1" x14ac:dyDescent="0.2">
      <c r="A2955" s="14">
        <f t="shared" si="563"/>
        <v>19</v>
      </c>
      <c r="B2955" s="14" t="s">
        <v>2498</v>
      </c>
      <c r="C2955" s="14" t="s">
        <v>18</v>
      </c>
      <c r="D2955" s="14" t="s">
        <v>2486</v>
      </c>
      <c r="E2955" s="14"/>
      <c r="F2955" s="72" t="s">
        <v>19</v>
      </c>
      <c r="G2955" s="32">
        <v>43799</v>
      </c>
      <c r="H2955" s="17">
        <v>1510115.8053150179</v>
      </c>
      <c r="I2955" s="17">
        <v>0</v>
      </c>
      <c r="J2955" s="17">
        <v>0</v>
      </c>
      <c r="K2955" s="17">
        <f t="shared" si="555"/>
        <v>1510115.8053150179</v>
      </c>
      <c r="L2955" s="23">
        <f t="shared" si="562"/>
        <v>75505.790265750897</v>
      </c>
      <c r="M2955" s="17">
        <v>25</v>
      </c>
      <c r="N2955" s="17">
        <f t="shared" si="556"/>
        <v>0.33972602739726027</v>
      </c>
      <c r="O2955" s="23">
        <f t="shared" si="564"/>
        <v>19494.974451080452</v>
      </c>
      <c r="P2955" s="18">
        <f t="shared" si="558"/>
        <v>1.3397260273972602</v>
      </c>
      <c r="Q2955" s="18">
        <f t="shared" si="565"/>
        <v>57384.400601970687</v>
      </c>
      <c r="R2955" s="18">
        <f t="shared" si="560"/>
        <v>76879.375053051132</v>
      </c>
      <c r="S2955" s="18">
        <f t="shared" si="561"/>
        <v>1433236.4302619668</v>
      </c>
      <c r="T2955" s="7"/>
    </row>
    <row r="2956" spans="1:20" ht="15" customHeight="1" x14ac:dyDescent="0.2">
      <c r="A2956" s="14">
        <f t="shared" si="563"/>
        <v>20</v>
      </c>
      <c r="B2956" s="14" t="s">
        <v>2499</v>
      </c>
      <c r="C2956" s="14" t="s">
        <v>18</v>
      </c>
      <c r="D2956" s="14" t="s">
        <v>2486</v>
      </c>
      <c r="E2956" s="14"/>
      <c r="F2956" s="72" t="s">
        <v>19</v>
      </c>
      <c r="G2956" s="32">
        <v>43799</v>
      </c>
      <c r="H2956" s="17">
        <v>26130569.788360763</v>
      </c>
      <c r="I2956" s="17">
        <v>0</v>
      </c>
      <c r="J2956" s="17">
        <v>0</v>
      </c>
      <c r="K2956" s="17">
        <f t="shared" si="555"/>
        <v>26130569.788360763</v>
      </c>
      <c r="L2956" s="23">
        <f t="shared" si="562"/>
        <v>1306528.4894180382</v>
      </c>
      <c r="M2956" s="17">
        <v>25</v>
      </c>
      <c r="N2956" s="17">
        <f t="shared" si="556"/>
        <v>0.33972602739726027</v>
      </c>
      <c r="O2956" s="23">
        <f t="shared" si="564"/>
        <v>337334.91737741348</v>
      </c>
      <c r="P2956" s="18">
        <f t="shared" si="558"/>
        <v>1.3397260273972602</v>
      </c>
      <c r="Q2956" s="18">
        <f t="shared" si="565"/>
        <v>992961.65195770911</v>
      </c>
      <c r="R2956" s="18">
        <f t="shared" si="560"/>
        <v>1330296.5693351226</v>
      </c>
      <c r="S2956" s="18">
        <f t="shared" si="561"/>
        <v>24800273.219025642</v>
      </c>
      <c r="T2956" s="7"/>
    </row>
    <row r="2957" spans="1:20" ht="15" customHeight="1" x14ac:dyDescent="0.2">
      <c r="A2957" s="14">
        <f t="shared" si="563"/>
        <v>21</v>
      </c>
      <c r="B2957" s="14" t="s">
        <v>2500</v>
      </c>
      <c r="C2957" s="14" t="s">
        <v>18</v>
      </c>
      <c r="D2957" s="14" t="s">
        <v>2486</v>
      </c>
      <c r="E2957" s="14"/>
      <c r="F2957" s="72" t="s">
        <v>19</v>
      </c>
      <c r="G2957" s="32">
        <v>43799</v>
      </c>
      <c r="H2957" s="17">
        <v>36339770.794932619</v>
      </c>
      <c r="I2957" s="17">
        <v>0</v>
      </c>
      <c r="J2957" s="17">
        <v>0</v>
      </c>
      <c r="K2957" s="17">
        <f t="shared" si="555"/>
        <v>36339770.794932619</v>
      </c>
      <c r="L2957" s="23">
        <f t="shared" si="562"/>
        <v>1816988.5397466309</v>
      </c>
      <c r="M2957" s="17">
        <v>25</v>
      </c>
      <c r="N2957" s="17">
        <f t="shared" si="556"/>
        <v>0.33972602739726027</v>
      </c>
      <c r="O2957" s="23">
        <f t="shared" si="564"/>
        <v>469131.50681019865</v>
      </c>
      <c r="P2957" s="18">
        <f t="shared" si="558"/>
        <v>1.3397260273972602</v>
      </c>
      <c r="Q2957" s="18">
        <f t="shared" si="565"/>
        <v>1380911.2902074398</v>
      </c>
      <c r="R2957" s="18">
        <f t="shared" si="560"/>
        <v>1850042.7970176386</v>
      </c>
      <c r="S2957" s="18">
        <f t="shared" si="561"/>
        <v>34489727.997914977</v>
      </c>
      <c r="T2957" s="7"/>
    </row>
    <row r="2958" spans="1:20" ht="15" customHeight="1" x14ac:dyDescent="0.2">
      <c r="A2958" s="14">
        <f t="shared" si="563"/>
        <v>22</v>
      </c>
      <c r="B2958" s="14" t="s">
        <v>2501</v>
      </c>
      <c r="C2958" s="14" t="s">
        <v>18</v>
      </c>
      <c r="D2958" s="14" t="s">
        <v>2486</v>
      </c>
      <c r="E2958" s="14"/>
      <c r="F2958" s="72" t="s">
        <v>19</v>
      </c>
      <c r="G2958" s="32">
        <v>43799</v>
      </c>
      <c r="H2958" s="17">
        <v>28287121.461779766</v>
      </c>
      <c r="I2958" s="17">
        <v>0</v>
      </c>
      <c r="J2958" s="17">
        <v>0</v>
      </c>
      <c r="K2958" s="17">
        <f t="shared" si="555"/>
        <v>28287121.461779766</v>
      </c>
      <c r="L2958" s="23">
        <f t="shared" si="562"/>
        <v>1414356.0730889884</v>
      </c>
      <c r="M2958" s="17">
        <v>25</v>
      </c>
      <c r="N2958" s="17">
        <f t="shared" si="556"/>
        <v>0.33972602739726027</v>
      </c>
      <c r="O2958" s="23">
        <f t="shared" si="564"/>
        <v>365175.11322714045</v>
      </c>
      <c r="P2958" s="18">
        <f t="shared" si="558"/>
        <v>1.3397260273972602</v>
      </c>
      <c r="Q2958" s="18">
        <f t="shared" si="565"/>
        <v>1074910.6155476312</v>
      </c>
      <c r="R2958" s="18">
        <f t="shared" si="560"/>
        <v>1440085.7287747716</v>
      </c>
      <c r="S2958" s="18">
        <f t="shared" si="561"/>
        <v>26847035.733004995</v>
      </c>
      <c r="T2958" s="7"/>
    </row>
    <row r="2959" spans="1:20" ht="15" customHeight="1" x14ac:dyDescent="0.2">
      <c r="A2959" s="14">
        <f t="shared" si="563"/>
        <v>23</v>
      </c>
      <c r="B2959" s="14" t="s">
        <v>2502</v>
      </c>
      <c r="C2959" s="14" t="s">
        <v>18</v>
      </c>
      <c r="D2959" s="14" t="s">
        <v>2486</v>
      </c>
      <c r="E2959" s="14"/>
      <c r="F2959" s="72" t="s">
        <v>19</v>
      </c>
      <c r="G2959" s="32">
        <v>43799</v>
      </c>
      <c r="H2959" s="17">
        <v>28521934.331336126</v>
      </c>
      <c r="I2959" s="17">
        <v>0</v>
      </c>
      <c r="J2959" s="17">
        <v>0</v>
      </c>
      <c r="K2959" s="17">
        <f t="shared" si="555"/>
        <v>28521934.331336126</v>
      </c>
      <c r="L2959" s="23">
        <f t="shared" si="562"/>
        <v>1426096.7165668064</v>
      </c>
      <c r="M2959" s="17">
        <v>25</v>
      </c>
      <c r="N2959" s="17">
        <f t="shared" si="556"/>
        <v>0.33972602739726027</v>
      </c>
      <c r="O2959" s="23">
        <f t="shared" si="564"/>
        <v>368206.45087467349</v>
      </c>
      <c r="P2959" s="18">
        <f t="shared" si="558"/>
        <v>1.3397260273972602</v>
      </c>
      <c r="Q2959" s="18">
        <f t="shared" si="565"/>
        <v>1083833.5045907728</v>
      </c>
      <c r="R2959" s="18">
        <f t="shared" si="560"/>
        <v>1452039.9554654462</v>
      </c>
      <c r="S2959" s="18">
        <f t="shared" si="561"/>
        <v>27069894.375870679</v>
      </c>
      <c r="T2959" s="7"/>
    </row>
    <row r="2960" spans="1:20" ht="15" customHeight="1" x14ac:dyDescent="0.2">
      <c r="A2960" s="14">
        <f t="shared" si="563"/>
        <v>24</v>
      </c>
      <c r="B2960" s="14" t="s">
        <v>599</v>
      </c>
      <c r="C2960" s="14" t="s">
        <v>18</v>
      </c>
      <c r="D2960" s="14" t="s">
        <v>2486</v>
      </c>
      <c r="E2960" s="14"/>
      <c r="F2960" s="72" t="s">
        <v>17</v>
      </c>
      <c r="G2960" s="32">
        <v>43799</v>
      </c>
      <c r="H2960" s="17">
        <v>11679067.297528051</v>
      </c>
      <c r="I2960" s="17">
        <v>0</v>
      </c>
      <c r="J2960" s="17">
        <v>0</v>
      </c>
      <c r="K2960" s="17">
        <f t="shared" si="555"/>
        <v>11679067.297528051</v>
      </c>
      <c r="L2960" s="23">
        <f t="shared" si="562"/>
        <v>583953.36487640254</v>
      </c>
      <c r="M2960" s="17">
        <v>25</v>
      </c>
      <c r="N2960" s="17">
        <f t="shared" si="556"/>
        <v>0.33972602739726027</v>
      </c>
      <c r="O2960" s="23">
        <f t="shared" si="564"/>
        <v>150771.95919438952</v>
      </c>
      <c r="P2960" s="18">
        <f t="shared" si="558"/>
        <v>1.3397260273972602</v>
      </c>
      <c r="Q2960" s="18">
        <f t="shared" si="565"/>
        <v>443804.55730606592</v>
      </c>
      <c r="R2960" s="18">
        <f t="shared" si="560"/>
        <v>594576.51650045544</v>
      </c>
      <c r="S2960" s="18">
        <f t="shared" si="561"/>
        <v>11084490.781027595</v>
      </c>
      <c r="T2960" s="7"/>
    </row>
    <row r="2961" spans="1:20" ht="15" customHeight="1" x14ac:dyDescent="0.2">
      <c r="A2961" s="14">
        <f t="shared" si="563"/>
        <v>25</v>
      </c>
      <c r="B2961" s="14" t="s">
        <v>2503</v>
      </c>
      <c r="C2961" s="14" t="s">
        <v>18</v>
      </c>
      <c r="D2961" s="14" t="s">
        <v>2486</v>
      </c>
      <c r="E2961" s="14"/>
      <c r="F2961" s="72" t="s">
        <v>19</v>
      </c>
      <c r="G2961" s="32">
        <v>43799</v>
      </c>
      <c r="H2961" s="17">
        <v>8266584.3442672808</v>
      </c>
      <c r="I2961" s="17">
        <v>0</v>
      </c>
      <c r="J2961" s="17">
        <v>0</v>
      </c>
      <c r="K2961" s="17">
        <f t="shared" si="555"/>
        <v>8266584.3442672808</v>
      </c>
      <c r="L2961" s="23">
        <f t="shared" si="562"/>
        <v>413329.21721336409</v>
      </c>
      <c r="M2961" s="17">
        <v>25</v>
      </c>
      <c r="N2961" s="17">
        <f t="shared" si="556"/>
        <v>0.33972602739726027</v>
      </c>
      <c r="O2961" s="23">
        <f t="shared" si="564"/>
        <v>106718.20665804773</v>
      </c>
      <c r="P2961" s="18">
        <f t="shared" si="558"/>
        <v>1.3397260273972602</v>
      </c>
      <c r="Q2961" s="18">
        <f t="shared" si="565"/>
        <v>314130.20508215664</v>
      </c>
      <c r="R2961" s="18">
        <f t="shared" si="560"/>
        <v>420848.41174020438</v>
      </c>
      <c r="S2961" s="18">
        <f t="shared" si="561"/>
        <v>7845735.9325270765</v>
      </c>
      <c r="T2961" s="7"/>
    </row>
    <row r="2962" spans="1:20" ht="15" customHeight="1" x14ac:dyDescent="0.2">
      <c r="A2962" s="14">
        <f t="shared" si="563"/>
        <v>26</v>
      </c>
      <c r="B2962" s="14" t="s">
        <v>2504</v>
      </c>
      <c r="C2962" s="14" t="s">
        <v>18</v>
      </c>
      <c r="D2962" s="14" t="s">
        <v>2486</v>
      </c>
      <c r="E2962" s="14"/>
      <c r="F2962" s="72" t="s">
        <v>19</v>
      </c>
      <c r="G2962" s="32">
        <v>43799</v>
      </c>
      <c r="H2962" s="17">
        <v>5378860.4443542752</v>
      </c>
      <c r="I2962" s="17">
        <v>0</v>
      </c>
      <c r="J2962" s="17">
        <v>0</v>
      </c>
      <c r="K2962" s="17">
        <f t="shared" si="555"/>
        <v>5378860.4443542752</v>
      </c>
      <c r="L2962" s="23">
        <f t="shared" si="562"/>
        <v>268943.02221771376</v>
      </c>
      <c r="M2962" s="17">
        <v>25</v>
      </c>
      <c r="N2962" s="17">
        <f t="shared" si="556"/>
        <v>0.33972602739726027</v>
      </c>
      <c r="O2962" s="23">
        <f t="shared" si="564"/>
        <v>69438.877846020128</v>
      </c>
      <c r="P2962" s="18">
        <f t="shared" si="558"/>
        <v>1.3397260273972602</v>
      </c>
      <c r="Q2962" s="18">
        <f t="shared" si="565"/>
        <v>204396.69688546247</v>
      </c>
      <c r="R2962" s="18">
        <f t="shared" si="560"/>
        <v>273835.5747314826</v>
      </c>
      <c r="S2962" s="18">
        <f t="shared" si="561"/>
        <v>5105024.869622793</v>
      </c>
      <c r="T2962" s="7"/>
    </row>
    <row r="2963" spans="1:20" ht="15" customHeight="1" x14ac:dyDescent="0.2">
      <c r="A2963" s="14">
        <f t="shared" si="563"/>
        <v>27</v>
      </c>
      <c r="B2963" s="14" t="s">
        <v>2505</v>
      </c>
      <c r="C2963" s="14" t="s">
        <v>18</v>
      </c>
      <c r="D2963" s="14" t="s">
        <v>2479</v>
      </c>
      <c r="E2963" s="14"/>
      <c r="F2963" s="72" t="s">
        <v>19</v>
      </c>
      <c r="G2963" s="32">
        <v>43799</v>
      </c>
      <c r="H2963" s="17">
        <v>24911693.080519285</v>
      </c>
      <c r="I2963" s="17">
        <v>0</v>
      </c>
      <c r="J2963" s="17">
        <v>0</v>
      </c>
      <c r="K2963" s="17">
        <f t="shared" si="555"/>
        <v>24911693.080519285</v>
      </c>
      <c r="L2963" s="23">
        <f t="shared" si="562"/>
        <v>1245584.6540259642</v>
      </c>
      <c r="M2963" s="17">
        <v>30</v>
      </c>
      <c r="N2963" s="17">
        <f t="shared" si="556"/>
        <v>0.33972602739726027</v>
      </c>
      <c r="O2963" s="23">
        <f t="shared" si="564"/>
        <v>267999.76665618009</v>
      </c>
      <c r="P2963" s="18">
        <f t="shared" si="558"/>
        <v>1.3397260273972602</v>
      </c>
      <c r="Q2963" s="18">
        <f t="shared" si="565"/>
        <v>788870.28088311071</v>
      </c>
      <c r="R2963" s="18">
        <f t="shared" si="560"/>
        <v>1056870.0475392907</v>
      </c>
      <c r="S2963" s="18">
        <f t="shared" si="561"/>
        <v>23854823.032979995</v>
      </c>
      <c r="T2963" s="7"/>
    </row>
    <row r="2964" spans="1:20" ht="15" customHeight="1" x14ac:dyDescent="0.2">
      <c r="A2964" s="14">
        <f t="shared" si="563"/>
        <v>28</v>
      </c>
      <c r="B2964" s="14" t="s">
        <v>2506</v>
      </c>
      <c r="C2964" s="14" t="s">
        <v>18</v>
      </c>
      <c r="D2964" s="14" t="s">
        <v>2479</v>
      </c>
      <c r="E2964" s="14"/>
      <c r="F2964" s="72" t="s">
        <v>19</v>
      </c>
      <c r="G2964" s="32">
        <v>43799</v>
      </c>
      <c r="H2964" s="17">
        <v>31240541.338515796</v>
      </c>
      <c r="I2964" s="17">
        <v>0</v>
      </c>
      <c r="J2964" s="17">
        <v>0</v>
      </c>
      <c r="K2964" s="17">
        <f t="shared" si="555"/>
        <v>31240541.338515796</v>
      </c>
      <c r="L2964" s="23">
        <f t="shared" si="562"/>
        <v>1562027.0669257899</v>
      </c>
      <c r="M2964" s="17">
        <v>30</v>
      </c>
      <c r="N2964" s="17">
        <f t="shared" si="556"/>
        <v>0.33972602739726027</v>
      </c>
      <c r="O2964" s="23">
        <f t="shared" si="564"/>
        <v>336085.45841800555</v>
      </c>
      <c r="P2964" s="18">
        <f t="shared" si="558"/>
        <v>1.3397260273972602</v>
      </c>
      <c r="Q2964" s="18">
        <f t="shared" si="565"/>
        <v>989283.80905300018</v>
      </c>
      <c r="R2964" s="18">
        <f t="shared" si="560"/>
        <v>1325369.2674710057</v>
      </c>
      <c r="S2964" s="18">
        <f t="shared" si="561"/>
        <v>29915172.071044791</v>
      </c>
      <c r="T2964" s="7"/>
    </row>
    <row r="2965" spans="1:20" ht="15" customHeight="1" x14ac:dyDescent="0.2">
      <c r="A2965" s="14">
        <f t="shared" si="563"/>
        <v>29</v>
      </c>
      <c r="B2965" s="14" t="s">
        <v>2507</v>
      </c>
      <c r="C2965" s="14" t="s">
        <v>18</v>
      </c>
      <c r="D2965" s="14" t="s">
        <v>2479</v>
      </c>
      <c r="E2965" s="14"/>
      <c r="F2965" s="72" t="s">
        <v>19</v>
      </c>
      <c r="G2965" s="32">
        <v>43799</v>
      </c>
      <c r="H2965" s="17">
        <v>249787593.29924366</v>
      </c>
      <c r="I2965" s="17">
        <v>0</v>
      </c>
      <c r="J2965" s="17">
        <v>0</v>
      </c>
      <c r="K2965" s="17">
        <f t="shared" si="555"/>
        <v>249787593.29924366</v>
      </c>
      <c r="L2965" s="23">
        <f t="shared" si="562"/>
        <v>12489379.664962184</v>
      </c>
      <c r="M2965" s="17">
        <v>30</v>
      </c>
      <c r="N2965" s="17">
        <f t="shared" si="556"/>
        <v>0.33972602739726027</v>
      </c>
      <c r="O2965" s="23">
        <f t="shared" si="564"/>
        <v>2687212.6475480278</v>
      </c>
      <c r="P2965" s="18">
        <f t="shared" si="558"/>
        <v>1.3397260273972602</v>
      </c>
      <c r="Q2965" s="18">
        <f t="shared" si="565"/>
        <v>7909940.4544760492</v>
      </c>
      <c r="R2965" s="18">
        <f t="shared" si="560"/>
        <v>10597153.102024077</v>
      </c>
      <c r="S2965" s="18">
        <f t="shared" si="561"/>
        <v>239190440.19721958</v>
      </c>
      <c r="T2965" s="7"/>
    </row>
    <row r="2966" spans="1:20" ht="15" customHeight="1" x14ac:dyDescent="0.2">
      <c r="A2966" s="14">
        <f t="shared" si="563"/>
        <v>30</v>
      </c>
      <c r="B2966" s="14" t="s">
        <v>2508</v>
      </c>
      <c r="C2966" s="14" t="s">
        <v>18</v>
      </c>
      <c r="D2966" s="14" t="s">
        <v>2479</v>
      </c>
      <c r="E2966" s="14"/>
      <c r="F2966" s="72" t="s">
        <v>19</v>
      </c>
      <c r="G2966" s="32">
        <v>43799</v>
      </c>
      <c r="H2966" s="17">
        <v>42150932.264140278</v>
      </c>
      <c r="I2966" s="17">
        <v>0</v>
      </c>
      <c r="J2966" s="17">
        <v>0</v>
      </c>
      <c r="K2966" s="17">
        <f t="shared" si="555"/>
        <v>42150932.264140278</v>
      </c>
      <c r="L2966" s="23">
        <f t="shared" si="562"/>
        <v>2107546.6132070138</v>
      </c>
      <c r="M2966" s="17">
        <v>30</v>
      </c>
      <c r="N2966" s="17">
        <f t="shared" si="556"/>
        <v>0.33972602739726027</v>
      </c>
      <c r="O2966" s="23">
        <f t="shared" si="564"/>
        <v>453459.34435760044</v>
      </c>
      <c r="P2966" s="18">
        <f t="shared" si="558"/>
        <v>1.3397260273972602</v>
      </c>
      <c r="Q2966" s="18">
        <f t="shared" si="565"/>
        <v>1334779.5216977755</v>
      </c>
      <c r="R2966" s="18">
        <f t="shared" si="560"/>
        <v>1788238.8660553759</v>
      </c>
      <c r="S2966" s="18">
        <f t="shared" si="561"/>
        <v>40362693.398084901</v>
      </c>
      <c r="T2966" s="7"/>
    </row>
    <row r="2967" spans="1:20" ht="15" customHeight="1" x14ac:dyDescent="0.2">
      <c r="A2967" s="14">
        <f t="shared" si="563"/>
        <v>31</v>
      </c>
      <c r="B2967" s="14" t="s">
        <v>2480</v>
      </c>
      <c r="C2967" s="14" t="s">
        <v>18</v>
      </c>
      <c r="D2967" s="14" t="s">
        <v>2479</v>
      </c>
      <c r="E2967" s="14"/>
      <c r="F2967" s="72" t="s">
        <v>19</v>
      </c>
      <c r="G2967" s="32">
        <v>43878</v>
      </c>
      <c r="H2967" s="17">
        <v>1065789.583226257</v>
      </c>
      <c r="I2967" s="17">
        <v>0</v>
      </c>
      <c r="J2967" s="17">
        <v>0</v>
      </c>
      <c r="K2967" s="17">
        <f t="shared" si="555"/>
        <v>1065789.583226257</v>
      </c>
      <c r="L2967" s="23">
        <f t="shared" si="562"/>
        <v>53289.479161312855</v>
      </c>
      <c r="M2967" s="17">
        <v>30</v>
      </c>
      <c r="N2967" s="17">
        <f t="shared" si="556"/>
        <v>0.12328767123287671</v>
      </c>
      <c r="O2967" s="23">
        <f t="shared" si="564"/>
        <v>4160.9593317737426</v>
      </c>
      <c r="P2967" s="18">
        <f t="shared" si="558"/>
        <v>1.1232876712328768</v>
      </c>
      <c r="Q2967" s="18">
        <f t="shared" si="565"/>
        <v>33750.00346883147</v>
      </c>
      <c r="R2967" s="18">
        <f t="shared" si="560"/>
        <v>37910.962800605215</v>
      </c>
      <c r="S2967" s="18">
        <f t="shared" si="561"/>
        <v>1027878.6204256518</v>
      </c>
      <c r="T2967" s="7"/>
    </row>
    <row r="2968" spans="1:20" ht="15" customHeight="1" x14ac:dyDescent="0.2">
      <c r="A2968" s="14">
        <f t="shared" si="563"/>
        <v>32</v>
      </c>
      <c r="B2968" s="14" t="s">
        <v>2478</v>
      </c>
      <c r="C2968" s="14" t="s">
        <v>18</v>
      </c>
      <c r="D2968" s="14" t="s">
        <v>2479</v>
      </c>
      <c r="E2968" s="14"/>
      <c r="F2968" s="72" t="s">
        <v>19</v>
      </c>
      <c r="G2968" s="32">
        <v>43881</v>
      </c>
      <c r="H2968" s="17">
        <v>475062</v>
      </c>
      <c r="I2968" s="17">
        <v>0</v>
      </c>
      <c r="J2968" s="17">
        <v>0</v>
      </c>
      <c r="K2968" s="17">
        <f t="shared" si="555"/>
        <v>475062</v>
      </c>
      <c r="L2968" s="23">
        <f t="shared" si="562"/>
        <v>23753.100000000002</v>
      </c>
      <c r="M2968" s="17">
        <v>30</v>
      </c>
      <c r="N2968" s="17">
        <f t="shared" si="556"/>
        <v>0.11506849315068493</v>
      </c>
      <c r="O2968" s="23">
        <f t="shared" si="564"/>
        <v>1731.0478356164385</v>
      </c>
      <c r="P2968" s="18">
        <f t="shared" si="558"/>
        <v>1.1150684931506849</v>
      </c>
      <c r="Q2968" s="18">
        <f t="shared" si="565"/>
        <v>15043.630000000001</v>
      </c>
      <c r="R2968" s="18">
        <f t="shared" si="560"/>
        <v>16774.67783561644</v>
      </c>
      <c r="S2968" s="18">
        <f t="shared" si="561"/>
        <v>458287.32216438354</v>
      </c>
      <c r="T2968" s="7"/>
    </row>
    <row r="2969" spans="1:20" ht="15" customHeight="1" x14ac:dyDescent="0.2">
      <c r="A2969" s="14">
        <f t="shared" si="563"/>
        <v>33</v>
      </c>
      <c r="B2969" s="14" t="s">
        <v>2509</v>
      </c>
      <c r="C2969" s="14" t="s">
        <v>18</v>
      </c>
      <c r="D2969" s="14" t="s">
        <v>2479</v>
      </c>
      <c r="E2969" s="14"/>
      <c r="F2969" s="72" t="s">
        <v>19</v>
      </c>
      <c r="G2969" s="32">
        <v>43882</v>
      </c>
      <c r="H2969" s="17">
        <v>1905000</v>
      </c>
      <c r="I2969" s="17">
        <v>0</v>
      </c>
      <c r="J2969" s="17">
        <v>0</v>
      </c>
      <c r="K2969" s="17">
        <f t="shared" ref="K2969:K3000" si="566">H2969+I2969-J2969</f>
        <v>1905000</v>
      </c>
      <c r="L2969" s="23">
        <f t="shared" si="562"/>
        <v>95250</v>
      </c>
      <c r="M2969" s="17">
        <v>30</v>
      </c>
      <c r="N2969" s="17">
        <f t="shared" ref="N2969:N3000" si="567">IF(($N$35-G2969+1)/365&gt;0,($N$35-G2969+1)/365,0)</f>
        <v>0.11232876712328767</v>
      </c>
      <c r="O2969" s="23">
        <f t="shared" si="564"/>
        <v>6776.2328767123281</v>
      </c>
      <c r="P2969" s="18">
        <f t="shared" ref="P2969:P3000" si="568">($P$35-G2969+1)/365</f>
        <v>1.1123287671232878</v>
      </c>
      <c r="Q2969" s="18">
        <f t="shared" si="565"/>
        <v>60325</v>
      </c>
      <c r="R2969" s="18">
        <f t="shared" ref="R2969:R3000" si="569">O2969+Q2969</f>
        <v>67101.232876712325</v>
      </c>
      <c r="S2969" s="18">
        <f t="shared" ref="S2969:S3000" si="570">K2969-R2969</f>
        <v>1837898.7671232878</v>
      </c>
      <c r="T2969" s="7"/>
    </row>
    <row r="2970" spans="1:20" ht="15" customHeight="1" x14ac:dyDescent="0.2">
      <c r="A2970" s="14">
        <f t="shared" si="563"/>
        <v>34</v>
      </c>
      <c r="B2970" s="14" t="s">
        <v>2480</v>
      </c>
      <c r="C2970" s="14" t="s">
        <v>18</v>
      </c>
      <c r="D2970" s="14" t="s">
        <v>2479</v>
      </c>
      <c r="E2970" s="14"/>
      <c r="F2970" s="72" t="s">
        <v>19</v>
      </c>
      <c r="G2970" s="32">
        <v>43908</v>
      </c>
      <c r="H2970" s="17">
        <v>55400</v>
      </c>
      <c r="I2970" s="17">
        <v>0</v>
      </c>
      <c r="J2970" s="17">
        <v>0</v>
      </c>
      <c r="K2970" s="17">
        <f t="shared" si="566"/>
        <v>55400</v>
      </c>
      <c r="L2970" s="23">
        <f t="shared" si="562"/>
        <v>2770</v>
      </c>
      <c r="M2970" s="17">
        <v>30</v>
      </c>
      <c r="N2970" s="17">
        <f t="shared" si="567"/>
        <v>4.1095890410958902E-2</v>
      </c>
      <c r="O2970" s="23">
        <f t="shared" si="564"/>
        <v>72.095890410958901</v>
      </c>
      <c r="P2970" s="18">
        <f t="shared" si="568"/>
        <v>1.0410958904109588</v>
      </c>
      <c r="Q2970" s="18">
        <f t="shared" si="565"/>
        <v>1754.3333333333333</v>
      </c>
      <c r="R2970" s="18">
        <f t="shared" si="569"/>
        <v>1826.4292237442921</v>
      </c>
      <c r="S2970" s="18">
        <f t="shared" si="570"/>
        <v>53573.570776255707</v>
      </c>
      <c r="T2970" s="7"/>
    </row>
    <row r="2971" spans="1:20" ht="15" customHeight="1" x14ac:dyDescent="0.2">
      <c r="A2971" s="14">
        <f t="shared" si="563"/>
        <v>35</v>
      </c>
      <c r="B2971" s="14" t="s">
        <v>2480</v>
      </c>
      <c r="C2971" s="14" t="s">
        <v>18</v>
      </c>
      <c r="D2971" s="14" t="s">
        <v>2479</v>
      </c>
      <c r="E2971" s="14"/>
      <c r="F2971" s="72" t="s">
        <v>19</v>
      </c>
      <c r="G2971" s="32">
        <v>43910</v>
      </c>
      <c r="H2971" s="17">
        <v>611496.06000000006</v>
      </c>
      <c r="I2971" s="17">
        <v>0</v>
      </c>
      <c r="J2971" s="17">
        <v>0</v>
      </c>
      <c r="K2971" s="17">
        <f t="shared" si="566"/>
        <v>611496.06000000006</v>
      </c>
      <c r="L2971" s="23">
        <f t="shared" si="562"/>
        <v>30574.803000000004</v>
      </c>
      <c r="M2971" s="17">
        <v>30</v>
      </c>
      <c r="N2971" s="17">
        <f t="shared" si="567"/>
        <v>3.5616438356164383E-2</v>
      </c>
      <c r="O2971" s="23">
        <f t="shared" si="564"/>
        <v>689.67820465753437</v>
      </c>
      <c r="P2971" s="18">
        <f t="shared" si="568"/>
        <v>1.0356164383561643</v>
      </c>
      <c r="Q2971" s="18">
        <f t="shared" si="565"/>
        <v>19364.041900000004</v>
      </c>
      <c r="R2971" s="18">
        <f t="shared" si="569"/>
        <v>20053.720104657539</v>
      </c>
      <c r="S2971" s="18">
        <f t="shared" si="570"/>
        <v>591442.33989534248</v>
      </c>
      <c r="T2971" s="7"/>
    </row>
    <row r="2972" spans="1:20" ht="15" customHeight="1" x14ac:dyDescent="0.2">
      <c r="A2972" s="14">
        <f t="shared" si="563"/>
        <v>36</v>
      </c>
      <c r="B2972" s="14" t="s">
        <v>2480</v>
      </c>
      <c r="C2972" s="14" t="s">
        <v>18</v>
      </c>
      <c r="D2972" s="14" t="s">
        <v>2479</v>
      </c>
      <c r="E2972" s="14"/>
      <c r="F2972" s="72" t="s">
        <v>19</v>
      </c>
      <c r="G2972" s="32">
        <v>43913</v>
      </c>
      <c r="H2972" s="17">
        <v>350977.85023207666</v>
      </c>
      <c r="I2972" s="17">
        <v>0</v>
      </c>
      <c r="J2972" s="17">
        <v>0</v>
      </c>
      <c r="K2972" s="17">
        <f t="shared" si="566"/>
        <v>350977.85023207666</v>
      </c>
      <c r="L2972" s="23">
        <f t="shared" si="562"/>
        <v>17548.892511603834</v>
      </c>
      <c r="M2972" s="17">
        <v>30</v>
      </c>
      <c r="N2972" s="17">
        <f t="shared" si="567"/>
        <v>2.7397260273972601E-2</v>
      </c>
      <c r="O2972" s="23">
        <f t="shared" si="564"/>
        <v>304.50133125157333</v>
      </c>
      <c r="P2972" s="18">
        <f t="shared" si="568"/>
        <v>1.0273972602739727</v>
      </c>
      <c r="Q2972" s="18">
        <f t="shared" si="565"/>
        <v>11114.298590682427</v>
      </c>
      <c r="R2972" s="18">
        <f t="shared" si="569"/>
        <v>11418.799921934</v>
      </c>
      <c r="S2972" s="18">
        <f t="shared" si="570"/>
        <v>339559.05031014263</v>
      </c>
      <c r="T2972" s="7"/>
    </row>
    <row r="2973" spans="1:20" ht="15" customHeight="1" x14ac:dyDescent="0.2">
      <c r="A2973" s="14">
        <f t="shared" si="563"/>
        <v>37</v>
      </c>
      <c r="B2973" s="14" t="s">
        <v>2487</v>
      </c>
      <c r="C2973" s="14" t="s">
        <v>18</v>
      </c>
      <c r="D2973" s="14" t="s">
        <v>2486</v>
      </c>
      <c r="E2973" s="14"/>
      <c r="F2973" s="72" t="s">
        <v>19</v>
      </c>
      <c r="G2973" s="32">
        <v>43885</v>
      </c>
      <c r="H2973" s="17">
        <v>6602959.7401455501</v>
      </c>
      <c r="I2973" s="17">
        <v>0</v>
      </c>
      <c r="J2973" s="17">
        <v>0</v>
      </c>
      <c r="K2973" s="17">
        <f t="shared" si="566"/>
        <v>6602959.7401455501</v>
      </c>
      <c r="L2973" s="23">
        <f t="shared" si="562"/>
        <v>330147.98700727755</v>
      </c>
      <c r="M2973" s="17">
        <v>25</v>
      </c>
      <c r="N2973" s="17">
        <f t="shared" si="567"/>
        <v>0.10410958904109589</v>
      </c>
      <c r="O2973" s="23">
        <f t="shared" si="564"/>
        <v>26122.394150055268</v>
      </c>
      <c r="P2973" s="18">
        <f t="shared" si="568"/>
        <v>1.1041095890410959</v>
      </c>
      <c r="Q2973" s="18">
        <f t="shared" si="565"/>
        <v>250912.47012553088</v>
      </c>
      <c r="R2973" s="18">
        <f t="shared" si="569"/>
        <v>277034.86427558615</v>
      </c>
      <c r="S2973" s="18">
        <f t="shared" si="570"/>
        <v>6325924.8758699642</v>
      </c>
      <c r="T2973" s="7"/>
    </row>
    <row r="2974" spans="1:20" ht="15" customHeight="1" x14ac:dyDescent="0.2">
      <c r="A2974" s="14">
        <f t="shared" si="563"/>
        <v>38</v>
      </c>
      <c r="B2974" s="14" t="s">
        <v>2487</v>
      </c>
      <c r="C2974" s="14" t="s">
        <v>18</v>
      </c>
      <c r="D2974" s="14" t="s">
        <v>2486</v>
      </c>
      <c r="E2974" s="14"/>
      <c r="F2974" s="72" t="s">
        <v>19</v>
      </c>
      <c r="G2974" s="32">
        <v>43887</v>
      </c>
      <c r="H2974" s="17">
        <v>2225748.6</v>
      </c>
      <c r="I2974" s="17">
        <v>0</v>
      </c>
      <c r="J2974" s="17">
        <v>0</v>
      </c>
      <c r="K2974" s="17">
        <f t="shared" si="566"/>
        <v>2225748.6</v>
      </c>
      <c r="L2974" s="23">
        <f t="shared" si="562"/>
        <v>111287.43000000001</v>
      </c>
      <c r="M2974" s="17">
        <v>25</v>
      </c>
      <c r="N2974" s="17">
        <f t="shared" si="567"/>
        <v>9.8630136986301367E-2</v>
      </c>
      <c r="O2974" s="23">
        <f t="shared" si="564"/>
        <v>8341.9837939726021</v>
      </c>
      <c r="P2974" s="18">
        <f t="shared" si="568"/>
        <v>1.0986301369863014</v>
      </c>
      <c r="Q2974" s="18">
        <f t="shared" si="565"/>
        <v>84578.446800000005</v>
      </c>
      <c r="R2974" s="18">
        <f t="shared" si="569"/>
        <v>92920.430593972604</v>
      </c>
      <c r="S2974" s="18">
        <f t="shared" si="570"/>
        <v>2132828.1694060275</v>
      </c>
      <c r="T2974" s="7"/>
    </row>
    <row r="2975" spans="1:20" ht="15" customHeight="1" x14ac:dyDescent="0.2">
      <c r="A2975" s="14">
        <f t="shared" si="563"/>
        <v>39</v>
      </c>
      <c r="B2975" s="14" t="s">
        <v>2487</v>
      </c>
      <c r="C2975" s="14" t="s">
        <v>18</v>
      </c>
      <c r="D2975" s="14" t="s">
        <v>2486</v>
      </c>
      <c r="E2975" s="14"/>
      <c r="F2975" s="72" t="s">
        <v>19</v>
      </c>
      <c r="G2975" s="32">
        <v>43911</v>
      </c>
      <c r="H2975" s="17">
        <v>594000</v>
      </c>
      <c r="I2975" s="17">
        <v>0</v>
      </c>
      <c r="J2975" s="17">
        <v>0</v>
      </c>
      <c r="K2975" s="17">
        <f t="shared" si="566"/>
        <v>594000</v>
      </c>
      <c r="L2975" s="23">
        <f t="shared" si="562"/>
        <v>29700</v>
      </c>
      <c r="M2975" s="17">
        <v>25</v>
      </c>
      <c r="N2975" s="17">
        <f t="shared" si="567"/>
        <v>3.287671232876712E-2</v>
      </c>
      <c r="O2975" s="23">
        <f t="shared" si="564"/>
        <v>742.0931506849314</v>
      </c>
      <c r="P2975" s="18">
        <f t="shared" si="568"/>
        <v>1.0328767123287672</v>
      </c>
      <c r="Q2975" s="18">
        <f t="shared" si="565"/>
        <v>22572</v>
      </c>
      <c r="R2975" s="18">
        <f t="shared" si="569"/>
        <v>23314.09315068493</v>
      </c>
      <c r="S2975" s="18">
        <f t="shared" si="570"/>
        <v>570685.90684931504</v>
      </c>
      <c r="T2975" s="7"/>
    </row>
    <row r="2976" spans="1:20" ht="15" customHeight="1" x14ac:dyDescent="0.2">
      <c r="A2976" s="14">
        <f t="shared" si="563"/>
        <v>40</v>
      </c>
      <c r="B2976" s="14" t="s">
        <v>2488</v>
      </c>
      <c r="C2976" s="14" t="s">
        <v>18</v>
      </c>
      <c r="D2976" s="14" t="s">
        <v>2486</v>
      </c>
      <c r="E2976" s="14"/>
      <c r="F2976" s="72" t="s">
        <v>19</v>
      </c>
      <c r="G2976" s="32">
        <v>43861</v>
      </c>
      <c r="H2976" s="17">
        <v>136675.33333333334</v>
      </c>
      <c r="I2976" s="17">
        <v>0</v>
      </c>
      <c r="J2976" s="17">
        <v>0</v>
      </c>
      <c r="K2976" s="17">
        <f t="shared" si="566"/>
        <v>136675.33333333334</v>
      </c>
      <c r="L2976" s="23">
        <f t="shared" si="562"/>
        <v>6833.7666666666673</v>
      </c>
      <c r="M2976" s="17">
        <v>25</v>
      </c>
      <c r="N2976" s="17">
        <f t="shared" si="567"/>
        <v>0.16986301369863013</v>
      </c>
      <c r="O2976" s="23">
        <f t="shared" si="564"/>
        <v>882.21119269406393</v>
      </c>
      <c r="P2976" s="18">
        <f t="shared" si="568"/>
        <v>1.1698630136986301</v>
      </c>
      <c r="Q2976" s="18">
        <f t="shared" si="565"/>
        <v>5193.6626666666671</v>
      </c>
      <c r="R2976" s="18">
        <f t="shared" si="569"/>
        <v>6075.8738593607313</v>
      </c>
      <c r="S2976" s="18">
        <f t="shared" si="570"/>
        <v>130599.45947397262</v>
      </c>
      <c r="T2976" s="7"/>
    </row>
    <row r="2977" spans="1:20" ht="15" customHeight="1" x14ac:dyDescent="0.2">
      <c r="A2977" s="14">
        <f t="shared" si="563"/>
        <v>41</v>
      </c>
      <c r="B2977" s="14" t="s">
        <v>2488</v>
      </c>
      <c r="C2977" s="14" t="s">
        <v>18</v>
      </c>
      <c r="D2977" s="14" t="s">
        <v>2486</v>
      </c>
      <c r="E2977" s="14"/>
      <c r="F2977" s="72" t="s">
        <v>19</v>
      </c>
      <c r="G2977" s="32">
        <v>43921</v>
      </c>
      <c r="H2977" s="17">
        <v>1344000</v>
      </c>
      <c r="I2977" s="17">
        <v>0</v>
      </c>
      <c r="J2977" s="17">
        <v>0</v>
      </c>
      <c r="K2977" s="17">
        <f t="shared" si="566"/>
        <v>1344000</v>
      </c>
      <c r="L2977" s="23">
        <f t="shared" si="562"/>
        <v>67200</v>
      </c>
      <c r="M2977" s="17">
        <v>25</v>
      </c>
      <c r="N2977" s="17">
        <f t="shared" si="567"/>
        <v>5.4794520547945206E-3</v>
      </c>
      <c r="O2977" s="23">
        <f t="shared" ref="O2977:O3008" si="571">(K2977-L2977)/M2977*N2977</f>
        <v>279.84657534246577</v>
      </c>
      <c r="P2977" s="18">
        <f t="shared" si="568"/>
        <v>1.0054794520547945</v>
      </c>
      <c r="Q2977" s="18">
        <f t="shared" ref="Q2977:Q3008" si="572">(P2977-N2977)/M2977*(K2977-L2977)</f>
        <v>51072</v>
      </c>
      <c r="R2977" s="18">
        <f t="shared" si="569"/>
        <v>51351.846575342468</v>
      </c>
      <c r="S2977" s="18">
        <f t="shared" si="570"/>
        <v>1292648.1534246574</v>
      </c>
      <c r="T2977" s="7"/>
    </row>
    <row r="2978" spans="1:20" ht="15" customHeight="1" x14ac:dyDescent="0.2">
      <c r="A2978" s="14">
        <f t="shared" si="563"/>
        <v>42</v>
      </c>
      <c r="B2978" s="14" t="s">
        <v>2489</v>
      </c>
      <c r="C2978" s="14" t="s">
        <v>18</v>
      </c>
      <c r="D2978" s="14" t="s">
        <v>2486</v>
      </c>
      <c r="E2978" s="14"/>
      <c r="F2978" s="72" t="s">
        <v>19</v>
      </c>
      <c r="G2978" s="32">
        <v>43861</v>
      </c>
      <c r="H2978" s="17">
        <v>728992.25</v>
      </c>
      <c r="I2978" s="17">
        <v>0</v>
      </c>
      <c r="J2978" s="17">
        <v>0</v>
      </c>
      <c r="K2978" s="17">
        <f t="shared" si="566"/>
        <v>728992.25</v>
      </c>
      <c r="L2978" s="23">
        <f t="shared" si="562"/>
        <v>36449.612500000003</v>
      </c>
      <c r="M2978" s="17">
        <v>25</v>
      </c>
      <c r="N2978" s="17">
        <f t="shared" si="567"/>
        <v>0.16986301369863013</v>
      </c>
      <c r="O2978" s="23">
        <f t="shared" si="571"/>
        <v>4705.4951808219175</v>
      </c>
      <c r="P2978" s="18">
        <f t="shared" si="568"/>
        <v>1.1698630136986301</v>
      </c>
      <c r="Q2978" s="18">
        <f t="shared" si="572"/>
        <v>27701.7055</v>
      </c>
      <c r="R2978" s="18">
        <f t="shared" si="569"/>
        <v>32407.200680821916</v>
      </c>
      <c r="S2978" s="18">
        <f t="shared" si="570"/>
        <v>696585.0493191781</v>
      </c>
      <c r="T2978" s="7"/>
    </row>
    <row r="2979" spans="1:20" ht="15" customHeight="1" x14ac:dyDescent="0.2">
      <c r="A2979" s="14">
        <f t="shared" si="563"/>
        <v>43</v>
      </c>
      <c r="B2979" s="14" t="s">
        <v>2490</v>
      </c>
      <c r="C2979" s="14" t="s">
        <v>18</v>
      </c>
      <c r="D2979" s="14" t="s">
        <v>2486</v>
      </c>
      <c r="E2979" s="14"/>
      <c r="F2979" s="72" t="s">
        <v>19</v>
      </c>
      <c r="G2979" s="32">
        <v>43811</v>
      </c>
      <c r="H2979" s="17">
        <v>1534.26</v>
      </c>
      <c r="I2979" s="17">
        <v>0</v>
      </c>
      <c r="J2979" s="17">
        <v>0</v>
      </c>
      <c r="K2979" s="17">
        <f t="shared" si="566"/>
        <v>1534.26</v>
      </c>
      <c r="L2979" s="23">
        <f t="shared" si="562"/>
        <v>76.713000000000008</v>
      </c>
      <c r="M2979" s="17">
        <v>25</v>
      </c>
      <c r="N2979" s="17">
        <f t="shared" si="567"/>
        <v>0.30684931506849317</v>
      </c>
      <c r="O2979" s="23">
        <f t="shared" si="571"/>
        <v>17.889891945205481</v>
      </c>
      <c r="P2979" s="18">
        <f t="shared" si="568"/>
        <v>1.3068493150684932</v>
      </c>
      <c r="Q2979" s="18">
        <f t="shared" si="572"/>
        <v>58.301880000000004</v>
      </c>
      <c r="R2979" s="18">
        <f t="shared" si="569"/>
        <v>76.191771945205488</v>
      </c>
      <c r="S2979" s="18">
        <f t="shared" si="570"/>
        <v>1458.0682280547944</v>
      </c>
      <c r="T2979" s="7"/>
    </row>
    <row r="2980" spans="1:20" ht="15" customHeight="1" x14ac:dyDescent="0.2">
      <c r="A2980" s="14">
        <f t="shared" si="563"/>
        <v>44</v>
      </c>
      <c r="B2980" s="14" t="s">
        <v>2490</v>
      </c>
      <c r="C2980" s="14" t="s">
        <v>18</v>
      </c>
      <c r="D2980" s="14" t="s">
        <v>2486</v>
      </c>
      <c r="E2980" s="14"/>
      <c r="F2980" s="72" t="s">
        <v>19</v>
      </c>
      <c r="G2980" s="32">
        <v>43861</v>
      </c>
      <c r="H2980" s="17">
        <v>13166863.438333334</v>
      </c>
      <c r="I2980" s="17">
        <v>0</v>
      </c>
      <c r="J2980" s="17">
        <v>0</v>
      </c>
      <c r="K2980" s="17">
        <f t="shared" si="566"/>
        <v>13166863.438333334</v>
      </c>
      <c r="L2980" s="23">
        <f t="shared" si="562"/>
        <v>658343.17191666679</v>
      </c>
      <c r="M2980" s="17">
        <v>25</v>
      </c>
      <c r="N2980" s="17">
        <f t="shared" si="567"/>
        <v>0.16986301369863013</v>
      </c>
      <c r="O2980" s="23">
        <f t="shared" si="571"/>
        <v>84989.397974557083</v>
      </c>
      <c r="P2980" s="18">
        <f t="shared" si="568"/>
        <v>1.1698630136986301</v>
      </c>
      <c r="Q2980" s="18">
        <f t="shared" si="572"/>
        <v>500340.8106566667</v>
      </c>
      <c r="R2980" s="18">
        <f t="shared" si="569"/>
        <v>585330.20863122377</v>
      </c>
      <c r="S2980" s="18">
        <f t="shared" si="570"/>
        <v>12581533.229702111</v>
      </c>
      <c r="T2980" s="7"/>
    </row>
    <row r="2981" spans="1:20" ht="15" customHeight="1" x14ac:dyDescent="0.2">
      <c r="A2981" s="14">
        <f t="shared" si="563"/>
        <v>45</v>
      </c>
      <c r="B2981" s="14" t="s">
        <v>2492</v>
      </c>
      <c r="C2981" s="14" t="s">
        <v>18</v>
      </c>
      <c r="D2981" s="14" t="s">
        <v>2486</v>
      </c>
      <c r="E2981" s="14"/>
      <c r="F2981" s="72" t="s">
        <v>19</v>
      </c>
      <c r="G2981" s="32">
        <v>43806</v>
      </c>
      <c r="H2981" s="17">
        <v>16926903.201308426</v>
      </c>
      <c r="I2981" s="17">
        <v>0</v>
      </c>
      <c r="J2981" s="17">
        <v>0</v>
      </c>
      <c r="K2981" s="17">
        <f t="shared" si="566"/>
        <v>16926903.201308426</v>
      </c>
      <c r="L2981" s="23">
        <f t="shared" si="562"/>
        <v>846345.16006542137</v>
      </c>
      <c r="M2981" s="17">
        <v>25</v>
      </c>
      <c r="N2981" s="17">
        <f t="shared" si="567"/>
        <v>0.32054794520547947</v>
      </c>
      <c r="O2981" s="23">
        <f t="shared" si="571"/>
        <v>206183.59351511579</v>
      </c>
      <c r="P2981" s="18">
        <f t="shared" si="568"/>
        <v>1.3205479452054794</v>
      </c>
      <c r="Q2981" s="18">
        <f t="shared" si="572"/>
        <v>643222.32164972008</v>
      </c>
      <c r="R2981" s="18">
        <f t="shared" si="569"/>
        <v>849405.91516483587</v>
      </c>
      <c r="S2981" s="18">
        <f t="shared" si="570"/>
        <v>16077497.28614359</v>
      </c>
      <c r="T2981" s="7"/>
    </row>
    <row r="2982" spans="1:20" ht="15" customHeight="1" x14ac:dyDescent="0.2">
      <c r="A2982" s="14">
        <f t="shared" si="563"/>
        <v>46</v>
      </c>
      <c r="B2982" s="14" t="s">
        <v>2492</v>
      </c>
      <c r="C2982" s="14" t="s">
        <v>18</v>
      </c>
      <c r="D2982" s="14" t="s">
        <v>2486</v>
      </c>
      <c r="E2982" s="14"/>
      <c r="F2982" s="72" t="s">
        <v>19</v>
      </c>
      <c r="G2982" s="32">
        <v>43819</v>
      </c>
      <c r="H2982" s="17">
        <v>6612630.1741204532</v>
      </c>
      <c r="I2982" s="17">
        <v>0</v>
      </c>
      <c r="J2982" s="17">
        <v>0</v>
      </c>
      <c r="K2982" s="17">
        <f t="shared" si="566"/>
        <v>6612630.1741204532</v>
      </c>
      <c r="L2982" s="23">
        <f t="shared" si="562"/>
        <v>330631.50870602269</v>
      </c>
      <c r="M2982" s="17">
        <v>25</v>
      </c>
      <c r="N2982" s="17">
        <f t="shared" si="567"/>
        <v>0.28493150684931506</v>
      </c>
      <c r="O2982" s="23">
        <f t="shared" si="571"/>
        <v>71597.573830476802</v>
      </c>
      <c r="P2982" s="18">
        <f t="shared" si="568"/>
        <v>1.284931506849315</v>
      </c>
      <c r="Q2982" s="18">
        <f t="shared" si="572"/>
        <v>251279.94661657722</v>
      </c>
      <c r="R2982" s="18">
        <f t="shared" si="569"/>
        <v>322877.520447054</v>
      </c>
      <c r="S2982" s="18">
        <f t="shared" si="570"/>
        <v>6289752.6536733992</v>
      </c>
      <c r="T2982" s="7"/>
    </row>
    <row r="2983" spans="1:20" ht="15" customHeight="1" x14ac:dyDescent="0.2">
      <c r="A2983" s="14">
        <f t="shared" si="563"/>
        <v>47</v>
      </c>
      <c r="B2983" s="14" t="s">
        <v>2492</v>
      </c>
      <c r="C2983" s="14" t="s">
        <v>18</v>
      </c>
      <c r="D2983" s="14" t="s">
        <v>2486</v>
      </c>
      <c r="E2983" s="14"/>
      <c r="F2983" s="72" t="s">
        <v>19</v>
      </c>
      <c r="G2983" s="32">
        <v>43882</v>
      </c>
      <c r="H2983" s="17">
        <v>4308994</v>
      </c>
      <c r="I2983" s="17">
        <v>0</v>
      </c>
      <c r="J2983" s="17">
        <v>0</v>
      </c>
      <c r="K2983" s="17">
        <f t="shared" si="566"/>
        <v>4308994</v>
      </c>
      <c r="L2983" s="23">
        <f t="shared" si="562"/>
        <v>215449.7</v>
      </c>
      <c r="M2983" s="17">
        <v>25</v>
      </c>
      <c r="N2983" s="17">
        <f t="shared" si="567"/>
        <v>0.11232876712328767</v>
      </c>
      <c r="O2983" s="23">
        <f t="shared" si="571"/>
        <v>18392.911375342464</v>
      </c>
      <c r="P2983" s="18">
        <f t="shared" si="568"/>
        <v>1.1123287671232878</v>
      </c>
      <c r="Q2983" s="18">
        <f t="shared" si="572"/>
        <v>163741.772</v>
      </c>
      <c r="R2983" s="18">
        <f t="shared" si="569"/>
        <v>182134.68337534246</v>
      </c>
      <c r="S2983" s="18">
        <f t="shared" si="570"/>
        <v>4126859.3166246577</v>
      </c>
      <c r="T2983" s="7"/>
    </row>
    <row r="2984" spans="1:20" ht="15" customHeight="1" x14ac:dyDescent="0.2">
      <c r="A2984" s="14">
        <f t="shared" si="563"/>
        <v>48</v>
      </c>
      <c r="B2984" s="14" t="s">
        <v>2492</v>
      </c>
      <c r="C2984" s="14" t="s">
        <v>18</v>
      </c>
      <c r="D2984" s="14" t="s">
        <v>2486</v>
      </c>
      <c r="E2984" s="14"/>
      <c r="F2984" s="72" t="s">
        <v>19</v>
      </c>
      <c r="G2984" s="32">
        <v>43911</v>
      </c>
      <c r="H2984" s="17">
        <v>1124055</v>
      </c>
      <c r="I2984" s="17">
        <v>0</v>
      </c>
      <c r="J2984" s="17">
        <v>0</v>
      </c>
      <c r="K2984" s="17">
        <f t="shared" si="566"/>
        <v>1124055</v>
      </c>
      <c r="L2984" s="23">
        <f t="shared" si="562"/>
        <v>56202.75</v>
      </c>
      <c r="M2984" s="17">
        <v>25</v>
      </c>
      <c r="N2984" s="17">
        <f t="shared" si="567"/>
        <v>3.287671232876712E-2</v>
      </c>
      <c r="O2984" s="23">
        <f t="shared" si="571"/>
        <v>1404.2988493150683</v>
      </c>
      <c r="P2984" s="18">
        <f t="shared" si="568"/>
        <v>1.0328767123287672</v>
      </c>
      <c r="Q2984" s="18">
        <f t="shared" si="572"/>
        <v>42714.090000000004</v>
      </c>
      <c r="R2984" s="18">
        <f t="shared" si="569"/>
        <v>44118.388849315073</v>
      </c>
      <c r="S2984" s="18">
        <f t="shared" si="570"/>
        <v>1079936.611150685</v>
      </c>
      <c r="T2984" s="7"/>
    </row>
    <row r="2985" spans="1:20" ht="15" customHeight="1" x14ac:dyDescent="0.2">
      <c r="A2985" s="14">
        <f t="shared" si="563"/>
        <v>49</v>
      </c>
      <c r="B2985" s="14" t="s">
        <v>2492</v>
      </c>
      <c r="C2985" s="14" t="s">
        <v>18</v>
      </c>
      <c r="D2985" s="14" t="s">
        <v>2486</v>
      </c>
      <c r="E2985" s="14"/>
      <c r="F2985" s="72" t="s">
        <v>19</v>
      </c>
      <c r="G2985" s="32">
        <v>43921</v>
      </c>
      <c r="H2985" s="17">
        <v>2908744</v>
      </c>
      <c r="I2985" s="17">
        <v>0</v>
      </c>
      <c r="J2985" s="17">
        <v>0</v>
      </c>
      <c r="K2985" s="17">
        <f t="shared" si="566"/>
        <v>2908744</v>
      </c>
      <c r="L2985" s="23">
        <f t="shared" si="562"/>
        <v>145437.20000000001</v>
      </c>
      <c r="M2985" s="17">
        <v>25</v>
      </c>
      <c r="N2985" s="17">
        <f t="shared" si="567"/>
        <v>5.4794520547945206E-3</v>
      </c>
      <c r="O2985" s="23">
        <f t="shared" si="571"/>
        <v>605.65628493150689</v>
      </c>
      <c r="P2985" s="18">
        <f t="shared" si="568"/>
        <v>1.0054794520547945</v>
      </c>
      <c r="Q2985" s="18">
        <f t="shared" si="572"/>
        <v>110532.272</v>
      </c>
      <c r="R2985" s="18">
        <f t="shared" si="569"/>
        <v>111137.92828493151</v>
      </c>
      <c r="S2985" s="18">
        <f t="shared" si="570"/>
        <v>2797606.0717150685</v>
      </c>
      <c r="T2985" s="7"/>
    </row>
    <row r="2986" spans="1:20" ht="15" customHeight="1" x14ac:dyDescent="0.2">
      <c r="A2986" s="14">
        <f t="shared" si="563"/>
        <v>50</v>
      </c>
      <c r="B2986" s="14" t="s">
        <v>2493</v>
      </c>
      <c r="C2986" s="14" t="s">
        <v>18</v>
      </c>
      <c r="D2986" s="14" t="s">
        <v>2486</v>
      </c>
      <c r="E2986" s="14"/>
      <c r="F2986" s="72" t="s">
        <v>19</v>
      </c>
      <c r="G2986" s="32">
        <v>43806</v>
      </c>
      <c r="H2986" s="17">
        <v>10122374.813445378</v>
      </c>
      <c r="I2986" s="17">
        <v>0</v>
      </c>
      <c r="J2986" s="17">
        <v>0</v>
      </c>
      <c r="K2986" s="17">
        <f t="shared" si="566"/>
        <v>10122374.813445378</v>
      </c>
      <c r="L2986" s="23">
        <f t="shared" si="562"/>
        <v>506118.7406722689</v>
      </c>
      <c r="M2986" s="17">
        <v>25</v>
      </c>
      <c r="N2986" s="17">
        <f t="shared" si="567"/>
        <v>0.32054794520547947</v>
      </c>
      <c r="O2986" s="23">
        <f t="shared" si="571"/>
        <v>123298.84498788537</v>
      </c>
      <c r="P2986" s="18">
        <f t="shared" si="568"/>
        <v>1.3205479452054794</v>
      </c>
      <c r="Q2986" s="18">
        <f t="shared" si="572"/>
        <v>384650.24291092437</v>
      </c>
      <c r="R2986" s="18">
        <f t="shared" si="569"/>
        <v>507949.08789880975</v>
      </c>
      <c r="S2986" s="18">
        <f t="shared" si="570"/>
        <v>9614425.7255465686</v>
      </c>
      <c r="T2986" s="7"/>
    </row>
    <row r="2987" spans="1:20" ht="15" customHeight="1" x14ac:dyDescent="0.2">
      <c r="A2987" s="14">
        <f t="shared" si="563"/>
        <v>51</v>
      </c>
      <c r="B2987" s="14" t="s">
        <v>2493</v>
      </c>
      <c r="C2987" s="14" t="s">
        <v>18</v>
      </c>
      <c r="D2987" s="14" t="s">
        <v>2486</v>
      </c>
      <c r="E2987" s="14"/>
      <c r="F2987" s="72" t="s">
        <v>19</v>
      </c>
      <c r="G2987" s="32">
        <v>43860</v>
      </c>
      <c r="H2987" s="17">
        <v>1373683.2</v>
      </c>
      <c r="I2987" s="17">
        <v>0</v>
      </c>
      <c r="J2987" s="17">
        <v>0</v>
      </c>
      <c r="K2987" s="17">
        <f t="shared" si="566"/>
        <v>1373683.2</v>
      </c>
      <c r="L2987" s="23">
        <f t="shared" si="562"/>
        <v>68684.160000000003</v>
      </c>
      <c r="M2987" s="17">
        <v>25</v>
      </c>
      <c r="N2987" s="17">
        <f t="shared" si="567"/>
        <v>0.17260273972602741</v>
      </c>
      <c r="O2987" s="23">
        <f t="shared" si="571"/>
        <v>9009.8563857534264</v>
      </c>
      <c r="P2987" s="18">
        <f t="shared" si="568"/>
        <v>1.1726027397260275</v>
      </c>
      <c r="Q2987" s="18">
        <f t="shared" si="572"/>
        <v>52199.961600000002</v>
      </c>
      <c r="R2987" s="18">
        <f t="shared" si="569"/>
        <v>61209.817985753427</v>
      </c>
      <c r="S2987" s="18">
        <f t="shared" si="570"/>
        <v>1312473.3820142464</v>
      </c>
      <c r="T2987" s="7"/>
    </row>
    <row r="2988" spans="1:20" ht="15" customHeight="1" x14ac:dyDescent="0.2">
      <c r="A2988" s="14">
        <f t="shared" si="563"/>
        <v>52</v>
      </c>
      <c r="B2988" s="14" t="s">
        <v>2493</v>
      </c>
      <c r="C2988" s="14" t="s">
        <v>18</v>
      </c>
      <c r="D2988" s="14" t="s">
        <v>2486</v>
      </c>
      <c r="E2988" s="14"/>
      <c r="F2988" s="72" t="s">
        <v>19</v>
      </c>
      <c r="G2988" s="32">
        <v>43885</v>
      </c>
      <c r="H2988" s="17">
        <v>409521.27192982467</v>
      </c>
      <c r="I2988" s="17">
        <v>0</v>
      </c>
      <c r="J2988" s="17">
        <v>0</v>
      </c>
      <c r="K2988" s="17">
        <f t="shared" si="566"/>
        <v>409521.27192982467</v>
      </c>
      <c r="L2988" s="23">
        <f t="shared" si="562"/>
        <v>20476.063596491236</v>
      </c>
      <c r="M2988" s="17">
        <v>25</v>
      </c>
      <c r="N2988" s="17">
        <f t="shared" si="567"/>
        <v>0.10410958904109589</v>
      </c>
      <c r="O2988" s="23">
        <f t="shared" si="571"/>
        <v>1620.1334703196353</v>
      </c>
      <c r="P2988" s="18">
        <f t="shared" si="568"/>
        <v>1.1041095890410959</v>
      </c>
      <c r="Q2988" s="18">
        <f t="shared" si="572"/>
        <v>15561.808333333338</v>
      </c>
      <c r="R2988" s="18">
        <f t="shared" si="569"/>
        <v>17181.941803652975</v>
      </c>
      <c r="S2988" s="18">
        <f t="shared" si="570"/>
        <v>392339.3301261717</v>
      </c>
      <c r="T2988" s="7"/>
    </row>
    <row r="2989" spans="1:20" ht="15" customHeight="1" x14ac:dyDescent="0.2">
      <c r="A2989" s="14">
        <f t="shared" si="563"/>
        <v>53</v>
      </c>
      <c r="B2989" s="14" t="s">
        <v>2493</v>
      </c>
      <c r="C2989" s="14" t="s">
        <v>18</v>
      </c>
      <c r="D2989" s="14" t="s">
        <v>2486</v>
      </c>
      <c r="E2989" s="14"/>
      <c r="F2989" s="72" t="s">
        <v>19</v>
      </c>
      <c r="G2989" s="32">
        <v>43911</v>
      </c>
      <c r="H2989" s="17">
        <v>687261.29032258061</v>
      </c>
      <c r="I2989" s="17">
        <v>0</v>
      </c>
      <c r="J2989" s="17">
        <v>0</v>
      </c>
      <c r="K2989" s="17">
        <f t="shared" si="566"/>
        <v>687261.29032258061</v>
      </c>
      <c r="L2989" s="23">
        <f t="shared" si="562"/>
        <v>34363.06451612903</v>
      </c>
      <c r="M2989" s="17">
        <v>25</v>
      </c>
      <c r="N2989" s="17">
        <f t="shared" si="567"/>
        <v>3.287671232876712E-2</v>
      </c>
      <c r="O2989" s="23">
        <f t="shared" si="571"/>
        <v>858.60588599204584</v>
      </c>
      <c r="P2989" s="18">
        <f t="shared" si="568"/>
        <v>1.0328767123287672</v>
      </c>
      <c r="Q2989" s="18">
        <f t="shared" si="572"/>
        <v>26115.929032258067</v>
      </c>
      <c r="R2989" s="18">
        <f t="shared" si="569"/>
        <v>26974.534918250112</v>
      </c>
      <c r="S2989" s="18">
        <f t="shared" si="570"/>
        <v>660286.75540433044</v>
      </c>
      <c r="T2989" s="7"/>
    </row>
    <row r="2990" spans="1:20" ht="15" customHeight="1" x14ac:dyDescent="0.2">
      <c r="A2990" s="14">
        <f t="shared" si="563"/>
        <v>54</v>
      </c>
      <c r="B2990" s="14" t="s">
        <v>2494</v>
      </c>
      <c r="C2990" s="14" t="s">
        <v>18</v>
      </c>
      <c r="D2990" s="14" t="s">
        <v>2486</v>
      </c>
      <c r="E2990" s="14"/>
      <c r="F2990" s="72" t="s">
        <v>19</v>
      </c>
      <c r="G2990" s="32">
        <v>43827</v>
      </c>
      <c r="H2990" s="17">
        <v>2290056</v>
      </c>
      <c r="I2990" s="17">
        <v>0</v>
      </c>
      <c r="J2990" s="17">
        <v>0</v>
      </c>
      <c r="K2990" s="17">
        <f t="shared" si="566"/>
        <v>2290056</v>
      </c>
      <c r="L2990" s="23">
        <f t="shared" si="562"/>
        <v>114502.8</v>
      </c>
      <c r="M2990" s="17">
        <v>25</v>
      </c>
      <c r="N2990" s="17">
        <f t="shared" si="567"/>
        <v>0.26301369863013696</v>
      </c>
      <c r="O2990" s="23">
        <f t="shared" si="571"/>
        <v>22888.011747945206</v>
      </c>
      <c r="P2990" s="18">
        <f t="shared" si="568"/>
        <v>1.263013698630137</v>
      </c>
      <c r="Q2990" s="18">
        <f t="shared" si="572"/>
        <v>87022.128000000012</v>
      </c>
      <c r="R2990" s="18">
        <f t="shared" si="569"/>
        <v>109910.13974794521</v>
      </c>
      <c r="S2990" s="18">
        <f t="shared" si="570"/>
        <v>2180145.8602520549</v>
      </c>
      <c r="T2990" s="7"/>
    </row>
    <row r="2991" spans="1:20" ht="15" customHeight="1" x14ac:dyDescent="0.2">
      <c r="A2991" s="14">
        <f t="shared" si="563"/>
        <v>55</v>
      </c>
      <c r="B2991" s="14" t="s">
        <v>2494</v>
      </c>
      <c r="C2991" s="14" t="s">
        <v>18</v>
      </c>
      <c r="D2991" s="14" t="s">
        <v>2486</v>
      </c>
      <c r="E2991" s="14"/>
      <c r="F2991" s="72" t="s">
        <v>19</v>
      </c>
      <c r="G2991" s="32">
        <v>43850</v>
      </c>
      <c r="H2991" s="17">
        <v>2896858.6666666665</v>
      </c>
      <c r="I2991" s="17">
        <v>0</v>
      </c>
      <c r="J2991" s="17">
        <v>0</v>
      </c>
      <c r="K2991" s="17">
        <f t="shared" si="566"/>
        <v>2896858.6666666665</v>
      </c>
      <c r="L2991" s="23">
        <f t="shared" si="562"/>
        <v>144842.93333333332</v>
      </c>
      <c r="M2991" s="17">
        <v>25</v>
      </c>
      <c r="N2991" s="17">
        <f t="shared" si="567"/>
        <v>0.2</v>
      </c>
      <c r="O2991" s="23">
        <f t="shared" si="571"/>
        <v>22016.125866666669</v>
      </c>
      <c r="P2991" s="18">
        <f t="shared" si="568"/>
        <v>1.2</v>
      </c>
      <c r="Q2991" s="18">
        <f t="shared" si="572"/>
        <v>110080.62933333335</v>
      </c>
      <c r="R2991" s="18">
        <f t="shared" si="569"/>
        <v>132096.75520000001</v>
      </c>
      <c r="S2991" s="18">
        <f t="shared" si="570"/>
        <v>2764761.9114666665</v>
      </c>
      <c r="T2991" s="7"/>
    </row>
    <row r="2992" spans="1:20" ht="15" customHeight="1" x14ac:dyDescent="0.2">
      <c r="A2992" s="14">
        <f t="shared" si="563"/>
        <v>56</v>
      </c>
      <c r="B2992" s="14" t="s">
        <v>2495</v>
      </c>
      <c r="C2992" s="14" t="s">
        <v>18</v>
      </c>
      <c r="D2992" s="14" t="s">
        <v>2486</v>
      </c>
      <c r="E2992" s="14"/>
      <c r="F2992" s="72" t="s">
        <v>19</v>
      </c>
      <c r="G2992" s="32">
        <v>43850</v>
      </c>
      <c r="H2992" s="17">
        <v>5397231.666666667</v>
      </c>
      <c r="I2992" s="17">
        <v>0</v>
      </c>
      <c r="J2992" s="17">
        <v>0</v>
      </c>
      <c r="K2992" s="17">
        <f t="shared" si="566"/>
        <v>5397231.666666667</v>
      </c>
      <c r="L2992" s="23">
        <f t="shared" si="562"/>
        <v>269861.58333333337</v>
      </c>
      <c r="M2992" s="17">
        <v>25</v>
      </c>
      <c r="N2992" s="17">
        <f t="shared" si="567"/>
        <v>0.2</v>
      </c>
      <c r="O2992" s="23">
        <f t="shared" si="571"/>
        <v>41018.960666666673</v>
      </c>
      <c r="P2992" s="18">
        <f t="shared" si="568"/>
        <v>1.2</v>
      </c>
      <c r="Q2992" s="18">
        <f t="shared" si="572"/>
        <v>205094.80333333337</v>
      </c>
      <c r="R2992" s="18">
        <f t="shared" si="569"/>
        <v>246113.76400000005</v>
      </c>
      <c r="S2992" s="18">
        <f t="shared" si="570"/>
        <v>5151117.9026666665</v>
      </c>
      <c r="T2992" s="7"/>
    </row>
    <row r="2993" spans="1:20" ht="15" customHeight="1" x14ac:dyDescent="0.2">
      <c r="A2993" s="14">
        <f t="shared" si="563"/>
        <v>57</v>
      </c>
      <c r="B2993" s="14" t="s">
        <v>2496</v>
      </c>
      <c r="C2993" s="14" t="s">
        <v>18</v>
      </c>
      <c r="D2993" s="14" t="s">
        <v>2486</v>
      </c>
      <c r="E2993" s="14"/>
      <c r="F2993" s="72" t="s">
        <v>19</v>
      </c>
      <c r="G2993" s="32">
        <v>43806</v>
      </c>
      <c r="H2993" s="17">
        <v>362600</v>
      </c>
      <c r="I2993" s="17">
        <v>0</v>
      </c>
      <c r="J2993" s="17">
        <v>0</v>
      </c>
      <c r="K2993" s="17">
        <f t="shared" si="566"/>
        <v>362600</v>
      </c>
      <c r="L2993" s="23">
        <f t="shared" si="562"/>
        <v>18130</v>
      </c>
      <c r="M2993" s="17">
        <v>25</v>
      </c>
      <c r="N2993" s="17">
        <f t="shared" si="567"/>
        <v>0.32054794520547947</v>
      </c>
      <c r="O2993" s="23">
        <f t="shared" si="571"/>
        <v>4416.7660273972606</v>
      </c>
      <c r="P2993" s="18">
        <f t="shared" si="568"/>
        <v>1.3205479452054794</v>
      </c>
      <c r="Q2993" s="18">
        <f t="shared" si="572"/>
        <v>13778.799999999997</v>
      </c>
      <c r="R2993" s="18">
        <f t="shared" si="569"/>
        <v>18195.566027397257</v>
      </c>
      <c r="S2993" s="18">
        <f t="shared" si="570"/>
        <v>344404.43397260277</v>
      </c>
      <c r="T2993" s="7"/>
    </row>
    <row r="2994" spans="1:20" ht="15" customHeight="1" x14ac:dyDescent="0.2">
      <c r="A2994" s="14">
        <f t="shared" si="563"/>
        <v>58</v>
      </c>
      <c r="B2994" s="14" t="s">
        <v>2496</v>
      </c>
      <c r="C2994" s="14" t="s">
        <v>18</v>
      </c>
      <c r="D2994" s="14" t="s">
        <v>2486</v>
      </c>
      <c r="E2994" s="14"/>
      <c r="F2994" s="72" t="s">
        <v>19</v>
      </c>
      <c r="G2994" s="32">
        <v>43915</v>
      </c>
      <c r="H2994" s="17">
        <v>225000</v>
      </c>
      <c r="I2994" s="17">
        <v>0</v>
      </c>
      <c r="J2994" s="17">
        <v>0</v>
      </c>
      <c r="K2994" s="17">
        <f t="shared" si="566"/>
        <v>225000</v>
      </c>
      <c r="L2994" s="23">
        <f t="shared" si="562"/>
        <v>11250</v>
      </c>
      <c r="M2994" s="17">
        <v>25</v>
      </c>
      <c r="N2994" s="17">
        <f t="shared" si="567"/>
        <v>2.1917808219178082E-2</v>
      </c>
      <c r="O2994" s="23">
        <f t="shared" si="571"/>
        <v>187.39726027397259</v>
      </c>
      <c r="P2994" s="18">
        <f t="shared" si="568"/>
        <v>1.021917808219178</v>
      </c>
      <c r="Q2994" s="18">
        <f t="shared" si="572"/>
        <v>8549.9999999999982</v>
      </c>
      <c r="R2994" s="18">
        <f t="shared" si="569"/>
        <v>8737.3972602739705</v>
      </c>
      <c r="S2994" s="18">
        <f t="shared" si="570"/>
        <v>216262.60273972602</v>
      </c>
      <c r="T2994" s="7"/>
    </row>
    <row r="2995" spans="1:20" ht="15" customHeight="1" x14ac:dyDescent="0.2">
      <c r="A2995" s="14">
        <f t="shared" si="563"/>
        <v>59</v>
      </c>
      <c r="B2995" s="14" t="s">
        <v>2497</v>
      </c>
      <c r="C2995" s="14" t="s">
        <v>18</v>
      </c>
      <c r="D2995" s="14" t="s">
        <v>2486</v>
      </c>
      <c r="E2995" s="14"/>
      <c r="F2995" s="72" t="s">
        <v>19</v>
      </c>
      <c r="G2995" s="32">
        <v>43806</v>
      </c>
      <c r="H2995" s="17">
        <v>2663830</v>
      </c>
      <c r="I2995" s="17">
        <v>0</v>
      </c>
      <c r="J2995" s="17">
        <v>0</v>
      </c>
      <c r="K2995" s="17">
        <f t="shared" si="566"/>
        <v>2663830</v>
      </c>
      <c r="L2995" s="23">
        <f t="shared" si="562"/>
        <v>133191.5</v>
      </c>
      <c r="M2995" s="17">
        <v>25</v>
      </c>
      <c r="N2995" s="17">
        <f t="shared" si="567"/>
        <v>0.32054794520547947</v>
      </c>
      <c r="O2995" s="23">
        <f t="shared" si="571"/>
        <v>32447.63884931507</v>
      </c>
      <c r="P2995" s="18">
        <f t="shared" si="568"/>
        <v>1.3205479452054794</v>
      </c>
      <c r="Q2995" s="18">
        <f t="shared" si="572"/>
        <v>101225.53999999998</v>
      </c>
      <c r="R2995" s="18">
        <f t="shared" si="569"/>
        <v>133673.17884931504</v>
      </c>
      <c r="S2995" s="18">
        <f t="shared" si="570"/>
        <v>2530156.8211506847</v>
      </c>
      <c r="T2995" s="7"/>
    </row>
    <row r="2996" spans="1:20" ht="15" customHeight="1" x14ac:dyDescent="0.2">
      <c r="A2996" s="14">
        <f t="shared" si="563"/>
        <v>60</v>
      </c>
      <c r="B2996" s="14" t="s">
        <v>2497</v>
      </c>
      <c r="C2996" s="14" t="s">
        <v>18</v>
      </c>
      <c r="D2996" s="14" t="s">
        <v>2486</v>
      </c>
      <c r="E2996" s="14"/>
      <c r="F2996" s="72" t="s">
        <v>19</v>
      </c>
      <c r="G2996" s="32">
        <v>43915</v>
      </c>
      <c r="H2996" s="17">
        <v>85500</v>
      </c>
      <c r="I2996" s="17">
        <v>0</v>
      </c>
      <c r="J2996" s="17">
        <v>0</v>
      </c>
      <c r="K2996" s="17">
        <f t="shared" si="566"/>
        <v>85500</v>
      </c>
      <c r="L2996" s="23">
        <f t="shared" si="562"/>
        <v>4275</v>
      </c>
      <c r="M2996" s="17">
        <v>25</v>
      </c>
      <c r="N2996" s="17">
        <f t="shared" si="567"/>
        <v>2.1917808219178082E-2</v>
      </c>
      <c r="O2996" s="23">
        <f t="shared" si="571"/>
        <v>71.210958904109589</v>
      </c>
      <c r="P2996" s="18">
        <f t="shared" si="568"/>
        <v>1.021917808219178</v>
      </c>
      <c r="Q2996" s="18">
        <f t="shared" si="572"/>
        <v>3248.9999999999995</v>
      </c>
      <c r="R2996" s="18">
        <f t="shared" si="569"/>
        <v>3320.2109589041092</v>
      </c>
      <c r="S2996" s="18">
        <f t="shared" si="570"/>
        <v>82179.789041095893</v>
      </c>
      <c r="T2996" s="7"/>
    </row>
    <row r="2997" spans="1:20" ht="15" customHeight="1" x14ac:dyDescent="0.2">
      <c r="A2997" s="14">
        <f t="shared" si="563"/>
        <v>61</v>
      </c>
      <c r="B2997" s="14" t="s">
        <v>2499</v>
      </c>
      <c r="C2997" s="14" t="s">
        <v>18</v>
      </c>
      <c r="D2997" s="14" t="s">
        <v>2486</v>
      </c>
      <c r="E2997" s="14"/>
      <c r="F2997" s="72" t="s">
        <v>19</v>
      </c>
      <c r="G2997" s="32">
        <v>43882</v>
      </c>
      <c r="H2997" s="17">
        <v>1970042.6666666667</v>
      </c>
      <c r="I2997" s="17">
        <v>0</v>
      </c>
      <c r="J2997" s="17">
        <v>0</v>
      </c>
      <c r="K2997" s="17">
        <f t="shared" si="566"/>
        <v>1970042.6666666667</v>
      </c>
      <c r="L2997" s="23">
        <f t="shared" si="562"/>
        <v>98502.133333333346</v>
      </c>
      <c r="M2997" s="17">
        <v>25</v>
      </c>
      <c r="N2997" s="17">
        <f t="shared" si="567"/>
        <v>0.11232876712328767</v>
      </c>
      <c r="O2997" s="23">
        <f t="shared" si="571"/>
        <v>8409.1136292237443</v>
      </c>
      <c r="P2997" s="18">
        <f t="shared" si="568"/>
        <v>1.1123287671232878</v>
      </c>
      <c r="Q2997" s="18">
        <f t="shared" si="572"/>
        <v>74861.621333333344</v>
      </c>
      <c r="R2997" s="18">
        <f t="shared" si="569"/>
        <v>83270.734962557093</v>
      </c>
      <c r="S2997" s="18">
        <f t="shared" si="570"/>
        <v>1886771.9317041095</v>
      </c>
      <c r="T2997" s="7"/>
    </row>
    <row r="2998" spans="1:20" ht="15" customHeight="1" x14ac:dyDescent="0.2">
      <c r="A2998" s="14">
        <f t="shared" si="563"/>
        <v>62</v>
      </c>
      <c r="B2998" s="14" t="s">
        <v>2499</v>
      </c>
      <c r="C2998" s="14" t="s">
        <v>18</v>
      </c>
      <c r="D2998" s="14" t="s">
        <v>2486</v>
      </c>
      <c r="E2998" s="14"/>
      <c r="F2998" s="72" t="s">
        <v>19</v>
      </c>
      <c r="G2998" s="32">
        <v>43890</v>
      </c>
      <c r="H2998" s="17">
        <v>969246</v>
      </c>
      <c r="I2998" s="17">
        <v>0</v>
      </c>
      <c r="J2998" s="17">
        <v>0</v>
      </c>
      <c r="K2998" s="17">
        <f t="shared" si="566"/>
        <v>969246</v>
      </c>
      <c r="L2998" s="23">
        <f t="shared" si="562"/>
        <v>48462.3</v>
      </c>
      <c r="M2998" s="17">
        <v>25</v>
      </c>
      <c r="N2998" s="17">
        <f t="shared" si="567"/>
        <v>9.0410958904109592E-2</v>
      </c>
      <c r="O2998" s="23">
        <f t="shared" si="571"/>
        <v>3329.9574904109591</v>
      </c>
      <c r="P2998" s="18">
        <f t="shared" si="568"/>
        <v>1.0904109589041096</v>
      </c>
      <c r="Q2998" s="18">
        <f t="shared" si="572"/>
        <v>36831.347999999998</v>
      </c>
      <c r="R2998" s="18">
        <f t="shared" si="569"/>
        <v>40161.305490410959</v>
      </c>
      <c r="S2998" s="18">
        <f t="shared" si="570"/>
        <v>929084.694509589</v>
      </c>
      <c r="T2998" s="7"/>
    </row>
    <row r="2999" spans="1:20" ht="15" customHeight="1" x14ac:dyDescent="0.2">
      <c r="A2999" s="14">
        <f t="shared" si="563"/>
        <v>63</v>
      </c>
      <c r="B2999" s="14" t="s">
        <v>2499</v>
      </c>
      <c r="C2999" s="14" t="s">
        <v>18</v>
      </c>
      <c r="D2999" s="14" t="s">
        <v>2486</v>
      </c>
      <c r="E2999" s="14"/>
      <c r="F2999" s="72" t="s">
        <v>19</v>
      </c>
      <c r="G2999" s="32">
        <v>43915</v>
      </c>
      <c r="H2999" s="17">
        <v>4284430.3571428573</v>
      </c>
      <c r="I2999" s="17">
        <v>0</v>
      </c>
      <c r="J2999" s="17">
        <v>0</v>
      </c>
      <c r="K2999" s="17">
        <f t="shared" si="566"/>
        <v>4284430.3571428573</v>
      </c>
      <c r="L2999" s="23">
        <f t="shared" si="562"/>
        <v>214221.51785714287</v>
      </c>
      <c r="M2999" s="17">
        <v>25</v>
      </c>
      <c r="N2999" s="17">
        <f t="shared" si="567"/>
        <v>2.1917808219178082E-2</v>
      </c>
      <c r="O2999" s="23">
        <f t="shared" si="571"/>
        <v>3568.4022700587084</v>
      </c>
      <c r="P2999" s="18">
        <f t="shared" si="568"/>
        <v>1.021917808219178</v>
      </c>
      <c r="Q2999" s="18">
        <f t="shared" si="572"/>
        <v>162808.35357142857</v>
      </c>
      <c r="R2999" s="18">
        <f t="shared" si="569"/>
        <v>166376.75584148726</v>
      </c>
      <c r="S2999" s="18">
        <f t="shared" si="570"/>
        <v>4118053.6013013702</v>
      </c>
      <c r="T2999" s="7"/>
    </row>
    <row r="3000" spans="1:20" ht="15" customHeight="1" x14ac:dyDescent="0.2">
      <c r="A3000" s="14">
        <f t="shared" si="563"/>
        <v>64</v>
      </c>
      <c r="B3000" s="14" t="s">
        <v>2500</v>
      </c>
      <c r="C3000" s="14" t="s">
        <v>18</v>
      </c>
      <c r="D3000" s="14" t="s">
        <v>2486</v>
      </c>
      <c r="E3000" s="14"/>
      <c r="F3000" s="72" t="s">
        <v>19</v>
      </c>
      <c r="G3000" s="32">
        <v>43806</v>
      </c>
      <c r="H3000" s="17">
        <v>3524649.5905941636</v>
      </c>
      <c r="I3000" s="17">
        <v>0</v>
      </c>
      <c r="J3000" s="17">
        <v>0</v>
      </c>
      <c r="K3000" s="17">
        <f t="shared" si="566"/>
        <v>3524649.5905941636</v>
      </c>
      <c r="L3000" s="23">
        <f t="shared" si="562"/>
        <v>176232.47952970819</v>
      </c>
      <c r="M3000" s="17">
        <v>25</v>
      </c>
      <c r="N3000" s="17">
        <f t="shared" si="567"/>
        <v>0.32054794520547947</v>
      </c>
      <c r="O3000" s="23">
        <f t="shared" si="571"/>
        <v>42933.128985703159</v>
      </c>
      <c r="P3000" s="18">
        <f t="shared" si="568"/>
        <v>1.3205479452054794</v>
      </c>
      <c r="Q3000" s="18">
        <f t="shared" si="572"/>
        <v>133936.6844425782</v>
      </c>
      <c r="R3000" s="18">
        <f t="shared" si="569"/>
        <v>176869.81342828137</v>
      </c>
      <c r="S3000" s="18">
        <f t="shared" si="570"/>
        <v>3347779.7771658823</v>
      </c>
      <c r="T3000" s="7"/>
    </row>
    <row r="3001" spans="1:20" ht="15" customHeight="1" x14ac:dyDescent="0.2">
      <c r="A3001" s="14">
        <f t="shared" si="563"/>
        <v>65</v>
      </c>
      <c r="B3001" s="14" t="s">
        <v>2500</v>
      </c>
      <c r="C3001" s="14" t="s">
        <v>18</v>
      </c>
      <c r="D3001" s="14" t="s">
        <v>2486</v>
      </c>
      <c r="E3001" s="14"/>
      <c r="F3001" s="72" t="s">
        <v>19</v>
      </c>
      <c r="G3001" s="32">
        <v>43820</v>
      </c>
      <c r="H3001" s="17">
        <v>273040</v>
      </c>
      <c r="I3001" s="17">
        <v>0</v>
      </c>
      <c r="J3001" s="17">
        <v>0</v>
      </c>
      <c r="K3001" s="17">
        <f t="shared" ref="K3001:K3032" si="573">H3001+I3001-J3001</f>
        <v>273040</v>
      </c>
      <c r="L3001" s="23">
        <f t="shared" si="562"/>
        <v>13652</v>
      </c>
      <c r="M3001" s="17">
        <v>25</v>
      </c>
      <c r="N3001" s="17">
        <f t="shared" ref="N3001:N3032" si="574">IF(($N$35-G3001+1)/365&gt;0,($N$35-G3001+1)/365,0)</f>
        <v>0.28219178082191781</v>
      </c>
      <c r="O3001" s="23">
        <f t="shared" si="571"/>
        <v>2927.886465753425</v>
      </c>
      <c r="P3001" s="18">
        <f t="shared" ref="P3001:P3032" si="575">($P$35-G3001+1)/365</f>
        <v>1.2821917808219179</v>
      </c>
      <c r="Q3001" s="18">
        <f t="shared" si="572"/>
        <v>10375.52</v>
      </c>
      <c r="R3001" s="18">
        <f t="shared" ref="R3001:R3032" si="576">O3001+Q3001</f>
        <v>13303.406465753425</v>
      </c>
      <c r="S3001" s="18">
        <f t="shared" ref="S3001:S3032" si="577">K3001-R3001</f>
        <v>259736.59353424658</v>
      </c>
      <c r="T3001" s="7"/>
    </row>
    <row r="3002" spans="1:20" ht="15" customHeight="1" x14ac:dyDescent="0.2">
      <c r="A3002" s="14">
        <f t="shared" si="563"/>
        <v>66</v>
      </c>
      <c r="B3002" s="14" t="s">
        <v>2500</v>
      </c>
      <c r="C3002" s="14" t="s">
        <v>18</v>
      </c>
      <c r="D3002" s="14" t="s">
        <v>2486</v>
      </c>
      <c r="E3002" s="14"/>
      <c r="F3002" s="72" t="s">
        <v>19</v>
      </c>
      <c r="G3002" s="32">
        <v>43888</v>
      </c>
      <c r="H3002" s="17">
        <v>3346602.4518388789</v>
      </c>
      <c r="I3002" s="17">
        <v>0</v>
      </c>
      <c r="J3002" s="17">
        <v>0</v>
      </c>
      <c r="K3002" s="17">
        <f t="shared" si="573"/>
        <v>3346602.4518388789</v>
      </c>
      <c r="L3002" s="23">
        <f t="shared" ref="L3002:L3065" si="578">K3002*0.05</f>
        <v>167330.12259194395</v>
      </c>
      <c r="M3002" s="17">
        <v>25</v>
      </c>
      <c r="N3002" s="17">
        <f t="shared" si="574"/>
        <v>9.5890410958904104E-2</v>
      </c>
      <c r="O3002" s="23">
        <f t="shared" si="571"/>
        <v>12194.469208070435</v>
      </c>
      <c r="P3002" s="18">
        <f t="shared" si="575"/>
        <v>1.095890410958904</v>
      </c>
      <c r="Q3002" s="18">
        <f t="shared" si="572"/>
        <v>127170.8931698774</v>
      </c>
      <c r="R3002" s="18">
        <f t="shared" si="576"/>
        <v>139365.36237794784</v>
      </c>
      <c r="S3002" s="18">
        <f t="shared" si="577"/>
        <v>3207237.0894609313</v>
      </c>
      <c r="T3002" s="7"/>
    </row>
    <row r="3003" spans="1:20" ht="15" customHeight="1" x14ac:dyDescent="0.2">
      <c r="A3003" s="14">
        <f t="shared" ref="A3003:A3066" si="579">A3002+1</f>
        <v>67</v>
      </c>
      <c r="B3003" s="14" t="s">
        <v>2501</v>
      </c>
      <c r="C3003" s="14" t="s">
        <v>18</v>
      </c>
      <c r="D3003" s="14" t="s">
        <v>2486</v>
      </c>
      <c r="E3003" s="14"/>
      <c r="F3003" s="72" t="s">
        <v>19</v>
      </c>
      <c r="G3003" s="32">
        <v>43806</v>
      </c>
      <c r="H3003" s="17">
        <v>54217064.142857142</v>
      </c>
      <c r="I3003" s="17">
        <v>0</v>
      </c>
      <c r="J3003" s="17">
        <v>0</v>
      </c>
      <c r="K3003" s="17">
        <f t="shared" si="573"/>
        <v>54217064.142857142</v>
      </c>
      <c r="L3003" s="23">
        <f t="shared" si="578"/>
        <v>2710853.2071428574</v>
      </c>
      <c r="M3003" s="17">
        <v>25</v>
      </c>
      <c r="N3003" s="17">
        <f t="shared" si="574"/>
        <v>0.32054794520547947</v>
      </c>
      <c r="O3003" s="23">
        <f t="shared" si="571"/>
        <v>660408.40323052835</v>
      </c>
      <c r="P3003" s="18">
        <f t="shared" si="575"/>
        <v>1.3205479452054794</v>
      </c>
      <c r="Q3003" s="18">
        <f t="shared" si="572"/>
        <v>2060248.4374285711</v>
      </c>
      <c r="R3003" s="18">
        <f t="shared" si="576"/>
        <v>2720656.8406590996</v>
      </c>
      <c r="S3003" s="18">
        <f t="shared" si="577"/>
        <v>51496407.302198045</v>
      </c>
      <c r="T3003" s="7"/>
    </row>
    <row r="3004" spans="1:20" ht="15" customHeight="1" x14ac:dyDescent="0.2">
      <c r="A3004" s="14">
        <f t="shared" si="579"/>
        <v>68</v>
      </c>
      <c r="B3004" s="14" t="s">
        <v>2501</v>
      </c>
      <c r="C3004" s="14" t="s">
        <v>18</v>
      </c>
      <c r="D3004" s="14" t="s">
        <v>2486</v>
      </c>
      <c r="E3004" s="14"/>
      <c r="F3004" s="72" t="s">
        <v>19</v>
      </c>
      <c r="G3004" s="32">
        <v>43882</v>
      </c>
      <c r="H3004" s="17">
        <v>514407</v>
      </c>
      <c r="I3004" s="17">
        <v>0</v>
      </c>
      <c r="J3004" s="17">
        <v>0</v>
      </c>
      <c r="K3004" s="17">
        <f t="shared" si="573"/>
        <v>514407</v>
      </c>
      <c r="L3004" s="23">
        <f t="shared" si="578"/>
        <v>25720.350000000002</v>
      </c>
      <c r="M3004" s="17">
        <v>25</v>
      </c>
      <c r="N3004" s="17">
        <f t="shared" si="574"/>
        <v>0.11232876712328767</v>
      </c>
      <c r="O3004" s="23">
        <f t="shared" si="571"/>
        <v>2195.7427561643835</v>
      </c>
      <c r="P3004" s="18">
        <f t="shared" si="575"/>
        <v>1.1123287671232878</v>
      </c>
      <c r="Q3004" s="18">
        <f t="shared" si="572"/>
        <v>19547.466</v>
      </c>
      <c r="R3004" s="18">
        <f t="shared" si="576"/>
        <v>21743.208756164386</v>
      </c>
      <c r="S3004" s="18">
        <f t="shared" si="577"/>
        <v>492663.79124383559</v>
      </c>
      <c r="T3004" s="7"/>
    </row>
    <row r="3005" spans="1:20" ht="15" customHeight="1" x14ac:dyDescent="0.2">
      <c r="A3005" s="14">
        <f t="shared" si="579"/>
        <v>69</v>
      </c>
      <c r="B3005" s="14" t="s">
        <v>2502</v>
      </c>
      <c r="C3005" s="14" t="s">
        <v>18</v>
      </c>
      <c r="D3005" s="14" t="s">
        <v>2486</v>
      </c>
      <c r="E3005" s="14"/>
      <c r="F3005" s="72" t="s">
        <v>19</v>
      </c>
      <c r="G3005" s="32">
        <v>43852</v>
      </c>
      <c r="H3005" s="17">
        <v>15557450</v>
      </c>
      <c r="I3005" s="17">
        <v>0</v>
      </c>
      <c r="J3005" s="17">
        <v>0</v>
      </c>
      <c r="K3005" s="17">
        <f t="shared" si="573"/>
        <v>15557450</v>
      </c>
      <c r="L3005" s="23">
        <f t="shared" si="578"/>
        <v>777872.5</v>
      </c>
      <c r="M3005" s="17">
        <v>25</v>
      </c>
      <c r="N3005" s="17">
        <f t="shared" si="574"/>
        <v>0.19452054794520549</v>
      </c>
      <c r="O3005" s="23">
        <f t="shared" si="571"/>
        <v>114997.2605479452</v>
      </c>
      <c r="P3005" s="18">
        <f t="shared" si="575"/>
        <v>1.1945205479452055</v>
      </c>
      <c r="Q3005" s="18">
        <f t="shared" si="572"/>
        <v>591183.1</v>
      </c>
      <c r="R3005" s="18">
        <f t="shared" si="576"/>
        <v>706180.36054794514</v>
      </c>
      <c r="S3005" s="18">
        <f t="shared" si="577"/>
        <v>14851269.639452055</v>
      </c>
      <c r="T3005" s="7"/>
    </row>
    <row r="3006" spans="1:20" ht="15" customHeight="1" x14ac:dyDescent="0.2">
      <c r="A3006" s="14">
        <f t="shared" si="579"/>
        <v>70</v>
      </c>
      <c r="B3006" s="14" t="s">
        <v>2502</v>
      </c>
      <c r="C3006" s="14" t="s">
        <v>18</v>
      </c>
      <c r="D3006" s="14" t="s">
        <v>2486</v>
      </c>
      <c r="E3006" s="14"/>
      <c r="F3006" s="72" t="s">
        <v>19</v>
      </c>
      <c r="G3006" s="32">
        <v>43878</v>
      </c>
      <c r="H3006" s="17">
        <v>6496895.333333334</v>
      </c>
      <c r="I3006" s="17">
        <v>0</v>
      </c>
      <c r="J3006" s="17">
        <v>0</v>
      </c>
      <c r="K3006" s="17">
        <f t="shared" si="573"/>
        <v>6496895.333333334</v>
      </c>
      <c r="L3006" s="23">
        <f t="shared" si="578"/>
        <v>324844.76666666672</v>
      </c>
      <c r="M3006" s="17">
        <v>25</v>
      </c>
      <c r="N3006" s="17">
        <f t="shared" si="574"/>
        <v>0.12328767123287671</v>
      </c>
      <c r="O3006" s="23">
        <f t="shared" si="571"/>
        <v>30437.509643835616</v>
      </c>
      <c r="P3006" s="18">
        <f t="shared" si="575"/>
        <v>1.1232876712328768</v>
      </c>
      <c r="Q3006" s="18">
        <f t="shared" si="572"/>
        <v>246882.02266666669</v>
      </c>
      <c r="R3006" s="18">
        <f t="shared" si="576"/>
        <v>277319.53231050231</v>
      </c>
      <c r="S3006" s="18">
        <f t="shared" si="577"/>
        <v>6219575.8010228314</v>
      </c>
      <c r="T3006" s="7"/>
    </row>
    <row r="3007" spans="1:20" ht="15" customHeight="1" x14ac:dyDescent="0.2">
      <c r="A3007" s="14">
        <f t="shared" si="579"/>
        <v>71</v>
      </c>
      <c r="B3007" s="14" t="s">
        <v>2502</v>
      </c>
      <c r="C3007" s="14" t="s">
        <v>18</v>
      </c>
      <c r="D3007" s="14" t="s">
        <v>2486</v>
      </c>
      <c r="E3007" s="14"/>
      <c r="F3007" s="72" t="s">
        <v>19</v>
      </c>
      <c r="G3007" s="32">
        <v>43915</v>
      </c>
      <c r="H3007" s="17">
        <v>2779210</v>
      </c>
      <c r="I3007" s="17">
        <v>0</v>
      </c>
      <c r="J3007" s="17">
        <v>0</v>
      </c>
      <c r="K3007" s="17">
        <f t="shared" si="573"/>
        <v>2779210</v>
      </c>
      <c r="L3007" s="23">
        <f t="shared" si="578"/>
        <v>138960.5</v>
      </c>
      <c r="M3007" s="17">
        <v>25</v>
      </c>
      <c r="N3007" s="17">
        <f t="shared" si="574"/>
        <v>2.1917808219178082E-2</v>
      </c>
      <c r="O3007" s="23">
        <f t="shared" si="571"/>
        <v>2314.7392876712329</v>
      </c>
      <c r="P3007" s="18">
        <f t="shared" si="575"/>
        <v>1.021917808219178</v>
      </c>
      <c r="Q3007" s="18">
        <f t="shared" si="572"/>
        <v>105609.97999999998</v>
      </c>
      <c r="R3007" s="18">
        <f t="shared" si="576"/>
        <v>107924.71928767121</v>
      </c>
      <c r="S3007" s="18">
        <f t="shared" si="577"/>
        <v>2671285.2807123289</v>
      </c>
      <c r="T3007" s="7"/>
    </row>
    <row r="3008" spans="1:20" ht="15" customHeight="1" x14ac:dyDescent="0.2">
      <c r="A3008" s="14">
        <f t="shared" si="579"/>
        <v>72</v>
      </c>
      <c r="B3008" s="14" t="s">
        <v>599</v>
      </c>
      <c r="C3008" s="14" t="s">
        <v>18</v>
      </c>
      <c r="D3008" s="14" t="s">
        <v>2486</v>
      </c>
      <c r="E3008" s="14"/>
      <c r="F3008" s="72" t="s">
        <v>19</v>
      </c>
      <c r="G3008" s="32">
        <v>43882</v>
      </c>
      <c r="H3008" s="17">
        <v>3931393.333333333</v>
      </c>
      <c r="I3008" s="17">
        <v>0</v>
      </c>
      <c r="J3008" s="17">
        <v>0</v>
      </c>
      <c r="K3008" s="17">
        <f t="shared" si="573"/>
        <v>3931393.333333333</v>
      </c>
      <c r="L3008" s="23">
        <f t="shared" si="578"/>
        <v>196569.66666666666</v>
      </c>
      <c r="M3008" s="17">
        <v>25</v>
      </c>
      <c r="N3008" s="17">
        <f t="shared" si="574"/>
        <v>0.11232876712328767</v>
      </c>
      <c r="O3008" s="23">
        <f t="shared" si="571"/>
        <v>16781.125515981734</v>
      </c>
      <c r="P3008" s="18">
        <f t="shared" si="575"/>
        <v>1.1123287671232878</v>
      </c>
      <c r="Q3008" s="18">
        <f t="shared" si="572"/>
        <v>149392.94666666666</v>
      </c>
      <c r="R3008" s="18">
        <f t="shared" si="576"/>
        <v>166174.07218264838</v>
      </c>
      <c r="S3008" s="18">
        <f t="shared" si="577"/>
        <v>3765219.2611506847</v>
      </c>
      <c r="T3008" s="7"/>
    </row>
    <row r="3009" spans="1:20" ht="15" customHeight="1" x14ac:dyDescent="0.2">
      <c r="A3009" s="14">
        <f t="shared" si="579"/>
        <v>73</v>
      </c>
      <c r="B3009" s="14" t="s">
        <v>599</v>
      </c>
      <c r="C3009" s="14" t="s">
        <v>18</v>
      </c>
      <c r="D3009" s="14" t="s">
        <v>2486</v>
      </c>
      <c r="E3009" s="14"/>
      <c r="F3009" s="72" t="s">
        <v>19</v>
      </c>
      <c r="G3009" s="32">
        <v>43888</v>
      </c>
      <c r="H3009" s="17">
        <v>786278.66666666663</v>
      </c>
      <c r="I3009" s="17">
        <v>0</v>
      </c>
      <c r="J3009" s="17">
        <v>0</v>
      </c>
      <c r="K3009" s="17">
        <f t="shared" si="573"/>
        <v>786278.66666666663</v>
      </c>
      <c r="L3009" s="23">
        <f t="shared" si="578"/>
        <v>39313.933333333334</v>
      </c>
      <c r="M3009" s="17">
        <v>25</v>
      </c>
      <c r="N3009" s="17">
        <f t="shared" si="574"/>
        <v>9.5890410958904104E-2</v>
      </c>
      <c r="O3009" s="23">
        <f t="shared" ref="O3009:O3040" si="580">(K3009-L3009)/M3009*N3009</f>
        <v>2865.0702100456615</v>
      </c>
      <c r="P3009" s="18">
        <f t="shared" si="575"/>
        <v>1.095890410958904</v>
      </c>
      <c r="Q3009" s="18">
        <f t="shared" ref="Q3009:Q3031" si="581">(P3009-N3009)/M3009*(K3009-L3009)</f>
        <v>29878.589333333333</v>
      </c>
      <c r="R3009" s="18">
        <f t="shared" si="576"/>
        <v>32743.659543378995</v>
      </c>
      <c r="S3009" s="18">
        <f t="shared" si="577"/>
        <v>753535.00712328765</v>
      </c>
      <c r="T3009" s="7"/>
    </row>
    <row r="3010" spans="1:20" ht="15" customHeight="1" x14ac:dyDescent="0.2">
      <c r="A3010" s="14">
        <f t="shared" si="579"/>
        <v>74</v>
      </c>
      <c r="B3010" s="14" t="s">
        <v>2504</v>
      </c>
      <c r="C3010" s="14" t="s">
        <v>18</v>
      </c>
      <c r="D3010" s="14" t="s">
        <v>2486</v>
      </c>
      <c r="E3010" s="14"/>
      <c r="F3010" s="72" t="s">
        <v>19</v>
      </c>
      <c r="G3010" s="32">
        <v>43820</v>
      </c>
      <c r="H3010" s="17">
        <v>189999.98</v>
      </c>
      <c r="I3010" s="17">
        <v>0</v>
      </c>
      <c r="J3010" s="17">
        <v>0</v>
      </c>
      <c r="K3010" s="17">
        <f t="shared" si="573"/>
        <v>189999.98</v>
      </c>
      <c r="L3010" s="23">
        <f t="shared" si="578"/>
        <v>9499.9990000000016</v>
      </c>
      <c r="M3010" s="17">
        <v>25</v>
      </c>
      <c r="N3010" s="17">
        <f t="shared" si="574"/>
        <v>0.28219178082191781</v>
      </c>
      <c r="O3010" s="23">
        <f t="shared" si="580"/>
        <v>2037.4244430684932</v>
      </c>
      <c r="P3010" s="18">
        <f t="shared" si="575"/>
        <v>1.2821917808219179</v>
      </c>
      <c r="Q3010" s="18">
        <f t="shared" si="581"/>
        <v>7219.9992400000001</v>
      </c>
      <c r="R3010" s="18">
        <f t="shared" si="576"/>
        <v>9257.4236830684931</v>
      </c>
      <c r="S3010" s="18">
        <f t="shared" si="577"/>
        <v>180742.55631693153</v>
      </c>
      <c r="T3010" s="7"/>
    </row>
    <row r="3011" spans="1:20" ht="15" customHeight="1" x14ac:dyDescent="0.2">
      <c r="A3011" s="14">
        <f t="shared" si="579"/>
        <v>75</v>
      </c>
      <c r="B3011" s="14" t="s">
        <v>2504</v>
      </c>
      <c r="C3011" s="14" t="s">
        <v>18</v>
      </c>
      <c r="D3011" s="14" t="s">
        <v>2486</v>
      </c>
      <c r="E3011" s="14"/>
      <c r="F3011" s="72" t="s">
        <v>19</v>
      </c>
      <c r="G3011" s="32">
        <v>43878</v>
      </c>
      <c r="H3011" s="17">
        <v>712170.24</v>
      </c>
      <c r="I3011" s="17">
        <v>0</v>
      </c>
      <c r="J3011" s="17">
        <v>0</v>
      </c>
      <c r="K3011" s="17">
        <f t="shared" si="573"/>
        <v>712170.24</v>
      </c>
      <c r="L3011" s="23">
        <f t="shared" si="578"/>
        <v>35608.512000000002</v>
      </c>
      <c r="M3011" s="17">
        <v>25</v>
      </c>
      <c r="N3011" s="17">
        <f t="shared" si="574"/>
        <v>0.12328767123287671</v>
      </c>
      <c r="O3011" s="23">
        <f t="shared" si="580"/>
        <v>3336.4687956164385</v>
      </c>
      <c r="P3011" s="18">
        <f t="shared" si="575"/>
        <v>1.1232876712328768</v>
      </c>
      <c r="Q3011" s="18">
        <f t="shared" si="581"/>
        <v>27062.469120000002</v>
      </c>
      <c r="R3011" s="18">
        <f t="shared" si="576"/>
        <v>30398.93791561644</v>
      </c>
      <c r="S3011" s="18">
        <f t="shared" si="577"/>
        <v>681771.30208438355</v>
      </c>
      <c r="T3011" s="7"/>
    </row>
    <row r="3012" spans="1:20" ht="15" customHeight="1" x14ac:dyDescent="0.2">
      <c r="A3012" s="14">
        <f t="shared" si="579"/>
        <v>76</v>
      </c>
      <c r="B3012" s="14" t="s">
        <v>2510</v>
      </c>
      <c r="C3012" s="14" t="s">
        <v>18</v>
      </c>
      <c r="D3012" s="14" t="s">
        <v>2486</v>
      </c>
      <c r="E3012" s="14"/>
      <c r="F3012" s="72" t="s">
        <v>19</v>
      </c>
      <c r="G3012" s="32">
        <v>43819</v>
      </c>
      <c r="H3012" s="17">
        <v>5593992</v>
      </c>
      <c r="I3012" s="17">
        <v>0</v>
      </c>
      <c r="J3012" s="17">
        <v>0</v>
      </c>
      <c r="K3012" s="17">
        <f t="shared" si="573"/>
        <v>5593992</v>
      </c>
      <c r="L3012" s="23">
        <f t="shared" si="578"/>
        <v>279699.60000000003</v>
      </c>
      <c r="M3012" s="17">
        <v>25</v>
      </c>
      <c r="N3012" s="17">
        <f t="shared" si="574"/>
        <v>0.28493150684931506</v>
      </c>
      <c r="O3012" s="23">
        <f t="shared" si="580"/>
        <v>60568.37365479453</v>
      </c>
      <c r="P3012" s="18">
        <f t="shared" si="575"/>
        <v>1.284931506849315</v>
      </c>
      <c r="Q3012" s="18">
        <f t="shared" si="581"/>
        <v>212571.69600000003</v>
      </c>
      <c r="R3012" s="18">
        <f t="shared" si="576"/>
        <v>273140.06965479453</v>
      </c>
      <c r="S3012" s="18">
        <f t="shared" si="577"/>
        <v>5320851.9303452056</v>
      </c>
      <c r="T3012" s="7"/>
    </row>
    <row r="3013" spans="1:20" ht="15" customHeight="1" x14ac:dyDescent="0.2">
      <c r="A3013" s="14">
        <f t="shared" si="579"/>
        <v>77</v>
      </c>
      <c r="B3013" s="14" t="s">
        <v>2511</v>
      </c>
      <c r="C3013" s="14" t="s">
        <v>18</v>
      </c>
      <c r="D3013" s="14" t="s">
        <v>2486</v>
      </c>
      <c r="E3013" s="14"/>
      <c r="F3013" s="72" t="s">
        <v>19</v>
      </c>
      <c r="G3013" s="32">
        <v>43844</v>
      </c>
      <c r="H3013" s="17">
        <v>3005966</v>
      </c>
      <c r="I3013" s="17">
        <v>0</v>
      </c>
      <c r="J3013" s="17">
        <v>0</v>
      </c>
      <c r="K3013" s="17">
        <f t="shared" si="573"/>
        <v>3005966</v>
      </c>
      <c r="L3013" s="23">
        <f t="shared" si="578"/>
        <v>150298.30000000002</v>
      </c>
      <c r="M3013" s="17">
        <v>25</v>
      </c>
      <c r="N3013" s="17">
        <f t="shared" si="574"/>
        <v>0.21643835616438356</v>
      </c>
      <c r="O3013" s="23">
        <f t="shared" si="580"/>
        <v>24723.040909589043</v>
      </c>
      <c r="P3013" s="18">
        <f t="shared" si="575"/>
        <v>1.2164383561643837</v>
      </c>
      <c r="Q3013" s="18">
        <f t="shared" si="581"/>
        <v>114226.70800000001</v>
      </c>
      <c r="R3013" s="18">
        <f t="shared" si="576"/>
        <v>138949.74890958905</v>
      </c>
      <c r="S3013" s="18">
        <f t="shared" si="577"/>
        <v>2867016.2510904111</v>
      </c>
      <c r="T3013" s="7"/>
    </row>
    <row r="3014" spans="1:20" ht="15" customHeight="1" x14ac:dyDescent="0.2">
      <c r="A3014" s="14">
        <f t="shared" si="579"/>
        <v>78</v>
      </c>
      <c r="B3014" s="14" t="s">
        <v>2512</v>
      </c>
      <c r="C3014" s="14" t="s">
        <v>18</v>
      </c>
      <c r="D3014" s="14" t="s">
        <v>2486</v>
      </c>
      <c r="E3014" s="14"/>
      <c r="F3014" s="72" t="s">
        <v>19</v>
      </c>
      <c r="G3014" s="32">
        <v>43852</v>
      </c>
      <c r="H3014" s="17">
        <v>6601566</v>
      </c>
      <c r="I3014" s="17">
        <v>0</v>
      </c>
      <c r="J3014" s="17">
        <v>0</v>
      </c>
      <c r="K3014" s="17">
        <f t="shared" si="573"/>
        <v>6601566</v>
      </c>
      <c r="L3014" s="23">
        <f t="shared" si="578"/>
        <v>330078.30000000005</v>
      </c>
      <c r="M3014" s="17">
        <v>25</v>
      </c>
      <c r="N3014" s="17">
        <f t="shared" si="574"/>
        <v>0.19452054794520549</v>
      </c>
      <c r="O3014" s="23">
        <f t="shared" si="580"/>
        <v>48797.328953424658</v>
      </c>
      <c r="P3014" s="18">
        <f t="shared" si="575"/>
        <v>1.1945205479452055</v>
      </c>
      <c r="Q3014" s="18">
        <f t="shared" si="581"/>
        <v>250859.508</v>
      </c>
      <c r="R3014" s="18">
        <f t="shared" si="576"/>
        <v>299656.83695342467</v>
      </c>
      <c r="S3014" s="18">
        <f t="shared" si="577"/>
        <v>6301909.1630465752</v>
      </c>
      <c r="T3014" s="7"/>
    </row>
    <row r="3015" spans="1:20" ht="15" customHeight="1" x14ac:dyDescent="0.2">
      <c r="A3015" s="14">
        <f t="shared" si="579"/>
        <v>79</v>
      </c>
      <c r="B3015" s="14" t="s">
        <v>2505</v>
      </c>
      <c r="C3015" s="14" t="s">
        <v>18</v>
      </c>
      <c r="D3015" s="14" t="s">
        <v>2479</v>
      </c>
      <c r="E3015" s="14"/>
      <c r="F3015" s="72" t="s">
        <v>19</v>
      </c>
      <c r="G3015" s="32">
        <v>43830</v>
      </c>
      <c r="H3015" s="17">
        <v>101711</v>
      </c>
      <c r="I3015" s="17">
        <v>0</v>
      </c>
      <c r="J3015" s="17">
        <v>0</v>
      </c>
      <c r="K3015" s="17">
        <f t="shared" si="573"/>
        <v>101711</v>
      </c>
      <c r="L3015" s="23">
        <f t="shared" si="578"/>
        <v>5085.55</v>
      </c>
      <c r="M3015" s="17">
        <v>30</v>
      </c>
      <c r="N3015" s="17">
        <f t="shared" si="574"/>
        <v>0.25479452054794521</v>
      </c>
      <c r="O3015" s="23">
        <f t="shared" si="580"/>
        <v>820.65450684931511</v>
      </c>
      <c r="P3015" s="18">
        <f t="shared" si="575"/>
        <v>1.2547945205479452</v>
      </c>
      <c r="Q3015" s="18">
        <f t="shared" si="581"/>
        <v>3220.8483333333334</v>
      </c>
      <c r="R3015" s="18">
        <f t="shared" si="576"/>
        <v>4041.5028401826485</v>
      </c>
      <c r="S3015" s="18">
        <f t="shared" si="577"/>
        <v>97669.497159817358</v>
      </c>
      <c r="T3015" s="7"/>
    </row>
    <row r="3016" spans="1:20" ht="15" customHeight="1" x14ac:dyDescent="0.2">
      <c r="A3016" s="14">
        <f t="shared" si="579"/>
        <v>80</v>
      </c>
      <c r="B3016" s="14" t="s">
        <v>2505</v>
      </c>
      <c r="C3016" s="14" t="s">
        <v>18</v>
      </c>
      <c r="D3016" s="14" t="s">
        <v>2479</v>
      </c>
      <c r="E3016" s="14"/>
      <c r="F3016" s="72" t="s">
        <v>19</v>
      </c>
      <c r="G3016" s="32">
        <v>43844</v>
      </c>
      <c r="H3016" s="17">
        <v>39016.085911580056</v>
      </c>
      <c r="I3016" s="17">
        <v>0</v>
      </c>
      <c r="J3016" s="17">
        <v>0</v>
      </c>
      <c r="K3016" s="17">
        <f t="shared" si="573"/>
        <v>39016.085911580056</v>
      </c>
      <c r="L3016" s="23">
        <f t="shared" si="578"/>
        <v>1950.8042955790029</v>
      </c>
      <c r="M3016" s="17">
        <v>30</v>
      </c>
      <c r="N3016" s="17">
        <f t="shared" si="574"/>
        <v>0.21643835616438356</v>
      </c>
      <c r="O3016" s="23">
        <f t="shared" si="580"/>
        <v>267.41162079124052</v>
      </c>
      <c r="P3016" s="18">
        <f t="shared" si="575"/>
        <v>1.2164383561643837</v>
      </c>
      <c r="Q3016" s="18">
        <f t="shared" si="581"/>
        <v>1235.5093872000352</v>
      </c>
      <c r="R3016" s="18">
        <f t="shared" si="576"/>
        <v>1502.9210079912757</v>
      </c>
      <c r="S3016" s="18">
        <f t="shared" si="577"/>
        <v>37513.164903588782</v>
      </c>
      <c r="T3016" s="7"/>
    </row>
    <row r="3017" spans="1:20" ht="15" customHeight="1" x14ac:dyDescent="0.2">
      <c r="A3017" s="14">
        <f t="shared" si="579"/>
        <v>81</v>
      </c>
      <c r="B3017" s="14" t="s">
        <v>2505</v>
      </c>
      <c r="C3017" s="14" t="s">
        <v>18</v>
      </c>
      <c r="D3017" s="14" t="s">
        <v>2479</v>
      </c>
      <c r="E3017" s="14"/>
      <c r="F3017" s="72" t="s">
        <v>19</v>
      </c>
      <c r="G3017" s="32">
        <v>43908</v>
      </c>
      <c r="H3017" s="17">
        <v>425694.67177235772</v>
      </c>
      <c r="I3017" s="17">
        <v>0</v>
      </c>
      <c r="J3017" s="17">
        <v>0</v>
      </c>
      <c r="K3017" s="17">
        <f t="shared" si="573"/>
        <v>425694.67177235772</v>
      </c>
      <c r="L3017" s="23">
        <f t="shared" si="578"/>
        <v>21284.733588617888</v>
      </c>
      <c r="M3017" s="17">
        <v>30</v>
      </c>
      <c r="N3017" s="17">
        <f t="shared" si="574"/>
        <v>4.1095890410958902E-2</v>
      </c>
      <c r="O3017" s="23">
        <f t="shared" si="580"/>
        <v>553.98621669005456</v>
      </c>
      <c r="P3017" s="18">
        <f t="shared" si="575"/>
        <v>1.0410958904109588</v>
      </c>
      <c r="Q3017" s="18">
        <f t="shared" si="581"/>
        <v>13480.331272791327</v>
      </c>
      <c r="R3017" s="18">
        <f t="shared" si="576"/>
        <v>14034.317489481382</v>
      </c>
      <c r="S3017" s="18">
        <f t="shared" si="577"/>
        <v>411660.35428287636</v>
      </c>
      <c r="T3017" s="7"/>
    </row>
    <row r="3018" spans="1:20" ht="15" customHeight="1" x14ac:dyDescent="0.2">
      <c r="A3018" s="14">
        <f t="shared" si="579"/>
        <v>82</v>
      </c>
      <c r="B3018" s="14" t="s">
        <v>2506</v>
      </c>
      <c r="C3018" s="14" t="s">
        <v>18</v>
      </c>
      <c r="D3018" s="14" t="s">
        <v>2479</v>
      </c>
      <c r="E3018" s="14"/>
      <c r="F3018" s="72" t="s">
        <v>19</v>
      </c>
      <c r="G3018" s="32">
        <v>43809</v>
      </c>
      <c r="H3018" s="17">
        <v>184730.47</v>
      </c>
      <c r="I3018" s="17">
        <v>0</v>
      </c>
      <c r="J3018" s="17">
        <v>0</v>
      </c>
      <c r="K3018" s="17">
        <f t="shared" si="573"/>
        <v>184730.47</v>
      </c>
      <c r="L3018" s="23">
        <f t="shared" si="578"/>
        <v>9236.5235000000011</v>
      </c>
      <c r="M3018" s="17">
        <v>30</v>
      </c>
      <c r="N3018" s="17">
        <f t="shared" si="574"/>
        <v>0.31232876712328766</v>
      </c>
      <c r="O3018" s="23">
        <f t="shared" si="580"/>
        <v>1827.0602649315067</v>
      </c>
      <c r="P3018" s="18">
        <f t="shared" si="575"/>
        <v>1.3123287671232877</v>
      </c>
      <c r="Q3018" s="18">
        <f t="shared" si="581"/>
        <v>5849.7982166666661</v>
      </c>
      <c r="R3018" s="18">
        <f t="shared" si="576"/>
        <v>7676.8584815981731</v>
      </c>
      <c r="S3018" s="18">
        <f t="shared" si="577"/>
        <v>177053.61151840183</v>
      </c>
      <c r="T3018" s="7"/>
    </row>
    <row r="3019" spans="1:20" ht="15" customHeight="1" x14ac:dyDescent="0.2">
      <c r="A3019" s="14">
        <f t="shared" si="579"/>
        <v>83</v>
      </c>
      <c r="B3019" s="14" t="s">
        <v>2506</v>
      </c>
      <c r="C3019" s="14" t="s">
        <v>18</v>
      </c>
      <c r="D3019" s="14" t="s">
        <v>2479</v>
      </c>
      <c r="E3019" s="14"/>
      <c r="F3019" s="72" t="s">
        <v>19</v>
      </c>
      <c r="G3019" s="32">
        <v>43844</v>
      </c>
      <c r="H3019" s="17">
        <v>419324.68581895245</v>
      </c>
      <c r="I3019" s="17">
        <v>0</v>
      </c>
      <c r="J3019" s="17">
        <v>0</v>
      </c>
      <c r="K3019" s="17">
        <f t="shared" si="573"/>
        <v>419324.68581895245</v>
      </c>
      <c r="L3019" s="23">
        <f t="shared" si="578"/>
        <v>20966.234290947625</v>
      </c>
      <c r="M3019" s="17">
        <v>30</v>
      </c>
      <c r="N3019" s="17">
        <f t="shared" si="574"/>
        <v>0.21643835616438356</v>
      </c>
      <c r="O3019" s="23">
        <f t="shared" si="580"/>
        <v>2874.0016137636881</v>
      </c>
      <c r="P3019" s="18">
        <f t="shared" si="575"/>
        <v>1.2164383561643837</v>
      </c>
      <c r="Q3019" s="18">
        <f t="shared" si="581"/>
        <v>13278.615050933495</v>
      </c>
      <c r="R3019" s="18">
        <f t="shared" si="576"/>
        <v>16152.616664697183</v>
      </c>
      <c r="S3019" s="18">
        <f t="shared" si="577"/>
        <v>403172.06915425527</v>
      </c>
      <c r="T3019" s="7"/>
    </row>
    <row r="3020" spans="1:20" ht="15" customHeight="1" x14ac:dyDescent="0.2">
      <c r="A3020" s="14">
        <f t="shared" si="579"/>
        <v>84</v>
      </c>
      <c r="B3020" s="14" t="s">
        <v>2506</v>
      </c>
      <c r="C3020" s="14" t="s">
        <v>18</v>
      </c>
      <c r="D3020" s="14" t="s">
        <v>2479</v>
      </c>
      <c r="E3020" s="14"/>
      <c r="F3020" s="72" t="s">
        <v>19</v>
      </c>
      <c r="G3020" s="32">
        <v>43830</v>
      </c>
      <c r="H3020" s="17">
        <v>3644770</v>
      </c>
      <c r="I3020" s="17">
        <v>0</v>
      </c>
      <c r="J3020" s="17">
        <v>0</v>
      </c>
      <c r="K3020" s="17">
        <f t="shared" si="573"/>
        <v>3644770</v>
      </c>
      <c r="L3020" s="23">
        <f t="shared" si="578"/>
        <v>182238.5</v>
      </c>
      <c r="M3020" s="17">
        <v>30</v>
      </c>
      <c r="N3020" s="17">
        <f t="shared" si="574"/>
        <v>0.25479452054794521</v>
      </c>
      <c r="O3020" s="23">
        <f t="shared" si="580"/>
        <v>29407.801780821916</v>
      </c>
      <c r="P3020" s="18">
        <f t="shared" si="575"/>
        <v>1.2547945205479452</v>
      </c>
      <c r="Q3020" s="18">
        <f t="shared" si="581"/>
        <v>115417.71666666666</v>
      </c>
      <c r="R3020" s="18">
        <f t="shared" si="576"/>
        <v>144825.51844748858</v>
      </c>
      <c r="S3020" s="18">
        <f t="shared" si="577"/>
        <v>3499944.4815525115</v>
      </c>
      <c r="T3020" s="7"/>
    </row>
    <row r="3021" spans="1:20" ht="15" customHeight="1" x14ac:dyDescent="0.2">
      <c r="A3021" s="14">
        <f t="shared" si="579"/>
        <v>85</v>
      </c>
      <c r="B3021" s="14" t="s">
        <v>2506</v>
      </c>
      <c r="C3021" s="14" t="s">
        <v>18</v>
      </c>
      <c r="D3021" s="14" t="s">
        <v>2479</v>
      </c>
      <c r="E3021" s="14"/>
      <c r="F3021" s="72" t="s">
        <v>19</v>
      </c>
      <c r="G3021" s="32">
        <v>43908</v>
      </c>
      <c r="H3021" s="17">
        <v>1401602</v>
      </c>
      <c r="I3021" s="17">
        <v>0</v>
      </c>
      <c r="J3021" s="17">
        <v>0</v>
      </c>
      <c r="K3021" s="17">
        <f t="shared" si="573"/>
        <v>1401602</v>
      </c>
      <c r="L3021" s="23">
        <f t="shared" si="578"/>
        <v>70080.100000000006</v>
      </c>
      <c r="M3021" s="17">
        <v>30</v>
      </c>
      <c r="N3021" s="17">
        <f t="shared" si="574"/>
        <v>4.1095890410958902E-2</v>
      </c>
      <c r="O3021" s="23">
        <f t="shared" si="580"/>
        <v>1824.0026027397259</v>
      </c>
      <c r="P3021" s="18">
        <f t="shared" si="575"/>
        <v>1.0410958904109588</v>
      </c>
      <c r="Q3021" s="18">
        <f t="shared" si="581"/>
        <v>44384.063333333332</v>
      </c>
      <c r="R3021" s="18">
        <f t="shared" si="576"/>
        <v>46208.065936073057</v>
      </c>
      <c r="S3021" s="18">
        <f t="shared" si="577"/>
        <v>1355393.934063927</v>
      </c>
      <c r="T3021" s="7"/>
    </row>
    <row r="3022" spans="1:20" ht="15" customHeight="1" x14ac:dyDescent="0.2">
      <c r="A3022" s="14">
        <f t="shared" si="579"/>
        <v>86</v>
      </c>
      <c r="B3022" s="14" t="s">
        <v>2506</v>
      </c>
      <c r="C3022" s="14" t="s">
        <v>18</v>
      </c>
      <c r="D3022" s="14" t="s">
        <v>2479</v>
      </c>
      <c r="E3022" s="14"/>
      <c r="F3022" s="72" t="s">
        <v>19</v>
      </c>
      <c r="G3022" s="32">
        <v>43921</v>
      </c>
      <c r="H3022" s="17">
        <v>-397747</v>
      </c>
      <c r="I3022" s="17">
        <v>0</v>
      </c>
      <c r="J3022" s="17">
        <v>0</v>
      </c>
      <c r="K3022" s="17">
        <f t="shared" si="573"/>
        <v>-397747</v>
      </c>
      <c r="L3022" s="23">
        <f t="shared" si="578"/>
        <v>-19887.350000000002</v>
      </c>
      <c r="M3022" s="17">
        <v>30</v>
      </c>
      <c r="N3022" s="17">
        <f t="shared" si="574"/>
        <v>5.4794520547945206E-3</v>
      </c>
      <c r="O3022" s="23">
        <f t="shared" si="580"/>
        <v>-69.015461187214612</v>
      </c>
      <c r="P3022" s="18">
        <f t="shared" si="575"/>
        <v>1.0054794520547945</v>
      </c>
      <c r="Q3022" s="18">
        <f t="shared" si="581"/>
        <v>-12595.321666666667</v>
      </c>
      <c r="R3022" s="18">
        <f t="shared" si="576"/>
        <v>-12664.337127853882</v>
      </c>
      <c r="S3022" s="18">
        <f t="shared" si="577"/>
        <v>-385082.66287214612</v>
      </c>
      <c r="T3022" s="7"/>
    </row>
    <row r="3023" spans="1:20" ht="15" customHeight="1" x14ac:dyDescent="0.2">
      <c r="A3023" s="14">
        <f t="shared" si="579"/>
        <v>87</v>
      </c>
      <c r="B3023" s="14" t="s">
        <v>2507</v>
      </c>
      <c r="C3023" s="14" t="s">
        <v>18</v>
      </c>
      <c r="D3023" s="14" t="s">
        <v>2479</v>
      </c>
      <c r="E3023" s="14"/>
      <c r="F3023" s="72" t="s">
        <v>19</v>
      </c>
      <c r="G3023" s="32">
        <v>43809</v>
      </c>
      <c r="H3023" s="17">
        <v>351733.86166218214</v>
      </c>
      <c r="I3023" s="17">
        <v>0</v>
      </c>
      <c r="J3023" s="17">
        <v>0</v>
      </c>
      <c r="K3023" s="17">
        <f t="shared" si="573"/>
        <v>351733.86166218214</v>
      </c>
      <c r="L3023" s="23">
        <f t="shared" si="578"/>
        <v>17586.693083109109</v>
      </c>
      <c r="M3023" s="17">
        <v>30</v>
      </c>
      <c r="N3023" s="17">
        <f t="shared" si="574"/>
        <v>0.31232876712328766</v>
      </c>
      <c r="O3023" s="23">
        <f t="shared" si="580"/>
        <v>3478.792440001308</v>
      </c>
      <c r="P3023" s="18">
        <f t="shared" si="575"/>
        <v>1.3123287671232877</v>
      </c>
      <c r="Q3023" s="18">
        <f t="shared" si="581"/>
        <v>11138.238952635767</v>
      </c>
      <c r="R3023" s="18">
        <f t="shared" si="576"/>
        <v>14617.031392637076</v>
      </c>
      <c r="S3023" s="18">
        <f t="shared" si="577"/>
        <v>337116.83026954508</v>
      </c>
      <c r="T3023" s="7"/>
    </row>
    <row r="3024" spans="1:20" ht="15" customHeight="1" x14ac:dyDescent="0.2">
      <c r="A3024" s="14">
        <f t="shared" si="579"/>
        <v>88</v>
      </c>
      <c r="B3024" s="14" t="s">
        <v>2507</v>
      </c>
      <c r="C3024" s="14" t="s">
        <v>18</v>
      </c>
      <c r="D3024" s="14" t="s">
        <v>2479</v>
      </c>
      <c r="E3024" s="14"/>
      <c r="F3024" s="72" t="s">
        <v>19</v>
      </c>
      <c r="G3024" s="32">
        <v>43844</v>
      </c>
      <c r="H3024" s="17">
        <v>1451694.5342721124</v>
      </c>
      <c r="I3024" s="17">
        <v>0</v>
      </c>
      <c r="J3024" s="17">
        <v>0</v>
      </c>
      <c r="K3024" s="17">
        <f t="shared" si="573"/>
        <v>1451694.5342721124</v>
      </c>
      <c r="L3024" s="23">
        <f t="shared" si="578"/>
        <v>72584.726713605618</v>
      </c>
      <c r="M3024" s="17">
        <v>30</v>
      </c>
      <c r="N3024" s="17">
        <f t="shared" si="574"/>
        <v>0.21643835616438356</v>
      </c>
      <c r="O3024" s="23">
        <f t="shared" si="580"/>
        <v>9949.7419906047526</v>
      </c>
      <c r="P3024" s="18">
        <f t="shared" si="575"/>
        <v>1.2164383561643837</v>
      </c>
      <c r="Q3024" s="18">
        <f t="shared" si="581"/>
        <v>45970.326918616891</v>
      </c>
      <c r="R3024" s="18">
        <f t="shared" si="576"/>
        <v>55920.068909221642</v>
      </c>
      <c r="S3024" s="18">
        <f t="shared" si="577"/>
        <v>1395774.4653628909</v>
      </c>
      <c r="T3024" s="7"/>
    </row>
    <row r="3025" spans="1:20" ht="15" customHeight="1" x14ac:dyDescent="0.2">
      <c r="A3025" s="14">
        <f t="shared" si="579"/>
        <v>89</v>
      </c>
      <c r="B3025" s="14" t="s">
        <v>2507</v>
      </c>
      <c r="C3025" s="14" t="s">
        <v>18</v>
      </c>
      <c r="D3025" s="14" t="s">
        <v>2479</v>
      </c>
      <c r="E3025" s="14"/>
      <c r="F3025" s="72" t="s">
        <v>19</v>
      </c>
      <c r="G3025" s="32">
        <v>43811</v>
      </c>
      <c r="H3025" s="17">
        <v>462801.05785959458</v>
      </c>
      <c r="I3025" s="17">
        <v>0</v>
      </c>
      <c r="J3025" s="17">
        <v>0</v>
      </c>
      <c r="K3025" s="17">
        <f t="shared" si="573"/>
        <v>462801.05785959458</v>
      </c>
      <c r="L3025" s="23">
        <f t="shared" si="578"/>
        <v>23140.052892979729</v>
      </c>
      <c r="M3025" s="17">
        <v>30</v>
      </c>
      <c r="N3025" s="17">
        <f t="shared" si="574"/>
        <v>0.30684931506849317</v>
      </c>
      <c r="O3025" s="23">
        <f t="shared" si="580"/>
        <v>4496.9892745443713</v>
      </c>
      <c r="P3025" s="18">
        <f t="shared" si="575"/>
        <v>1.3068493150684932</v>
      </c>
      <c r="Q3025" s="18">
        <f t="shared" si="581"/>
        <v>14655.366832220496</v>
      </c>
      <c r="R3025" s="18">
        <f t="shared" si="576"/>
        <v>19152.356106764866</v>
      </c>
      <c r="S3025" s="18">
        <f t="shared" si="577"/>
        <v>443648.70175282971</v>
      </c>
      <c r="T3025" s="7"/>
    </row>
    <row r="3026" spans="1:20" ht="15" customHeight="1" x14ac:dyDescent="0.2">
      <c r="A3026" s="14">
        <f t="shared" si="579"/>
        <v>90</v>
      </c>
      <c r="B3026" s="14" t="s">
        <v>2507</v>
      </c>
      <c r="C3026" s="14" t="s">
        <v>18</v>
      </c>
      <c r="D3026" s="14" t="s">
        <v>2479</v>
      </c>
      <c r="E3026" s="14"/>
      <c r="F3026" s="72" t="s">
        <v>19</v>
      </c>
      <c r="G3026" s="32">
        <v>43830</v>
      </c>
      <c r="H3026" s="17">
        <v>13798737</v>
      </c>
      <c r="I3026" s="17">
        <v>0</v>
      </c>
      <c r="J3026" s="17">
        <v>0</v>
      </c>
      <c r="K3026" s="17">
        <f t="shared" si="573"/>
        <v>13798737</v>
      </c>
      <c r="L3026" s="23">
        <f t="shared" si="578"/>
        <v>689936.85000000009</v>
      </c>
      <c r="M3026" s="17">
        <v>30</v>
      </c>
      <c r="N3026" s="17">
        <f t="shared" si="574"/>
        <v>0.25479452054794521</v>
      </c>
      <c r="O3026" s="23">
        <f t="shared" si="580"/>
        <v>111335.01497260274</v>
      </c>
      <c r="P3026" s="18">
        <f t="shared" si="575"/>
        <v>1.2547945205479452</v>
      </c>
      <c r="Q3026" s="18">
        <f t="shared" si="581"/>
        <v>436960.005</v>
      </c>
      <c r="R3026" s="18">
        <f t="shared" si="576"/>
        <v>548295.01997260272</v>
      </c>
      <c r="S3026" s="18">
        <f t="shared" si="577"/>
        <v>13250441.980027398</v>
      </c>
      <c r="T3026" s="7"/>
    </row>
    <row r="3027" spans="1:20" ht="15" customHeight="1" x14ac:dyDescent="0.2">
      <c r="A3027" s="14">
        <f t="shared" si="579"/>
        <v>91</v>
      </c>
      <c r="B3027" s="14" t="s">
        <v>2507</v>
      </c>
      <c r="C3027" s="14" t="s">
        <v>18</v>
      </c>
      <c r="D3027" s="14" t="s">
        <v>2479</v>
      </c>
      <c r="E3027" s="14"/>
      <c r="F3027" s="72" t="s">
        <v>19</v>
      </c>
      <c r="G3027" s="32">
        <v>43908</v>
      </c>
      <c r="H3027" s="17">
        <v>18653300</v>
      </c>
      <c r="I3027" s="17">
        <v>0</v>
      </c>
      <c r="J3027" s="17">
        <v>0</v>
      </c>
      <c r="K3027" s="17">
        <f t="shared" si="573"/>
        <v>18653300</v>
      </c>
      <c r="L3027" s="23">
        <f t="shared" si="578"/>
        <v>932665</v>
      </c>
      <c r="M3027" s="17">
        <v>30</v>
      </c>
      <c r="N3027" s="17">
        <f t="shared" si="574"/>
        <v>4.1095890410958902E-2</v>
      </c>
      <c r="O3027" s="23">
        <f t="shared" si="580"/>
        <v>24274.842465753423</v>
      </c>
      <c r="P3027" s="18">
        <f t="shared" si="575"/>
        <v>1.0410958904109588</v>
      </c>
      <c r="Q3027" s="18">
        <f t="shared" si="581"/>
        <v>590687.83333333337</v>
      </c>
      <c r="R3027" s="18">
        <f t="shared" si="576"/>
        <v>614962.67579908681</v>
      </c>
      <c r="S3027" s="18">
        <f t="shared" si="577"/>
        <v>18038337.324200913</v>
      </c>
      <c r="T3027" s="7"/>
    </row>
    <row r="3028" spans="1:20" ht="15" customHeight="1" x14ac:dyDescent="0.2">
      <c r="A3028" s="14">
        <f t="shared" si="579"/>
        <v>92</v>
      </c>
      <c r="B3028" s="14" t="s">
        <v>2507</v>
      </c>
      <c r="C3028" s="14" t="s">
        <v>18</v>
      </c>
      <c r="D3028" s="14" t="s">
        <v>2479</v>
      </c>
      <c r="E3028" s="14"/>
      <c r="F3028" s="72" t="s">
        <v>19</v>
      </c>
      <c r="G3028" s="32">
        <v>43909</v>
      </c>
      <c r="H3028" s="17">
        <v>107286.79290412599</v>
      </c>
      <c r="I3028" s="17">
        <v>0</v>
      </c>
      <c r="J3028" s="17">
        <v>0</v>
      </c>
      <c r="K3028" s="17">
        <f t="shared" si="573"/>
        <v>107286.79290412599</v>
      </c>
      <c r="L3028" s="23">
        <f t="shared" si="578"/>
        <v>5364.3396452062998</v>
      </c>
      <c r="M3028" s="17">
        <v>30</v>
      </c>
      <c r="N3028" s="17">
        <f t="shared" si="574"/>
        <v>3.8356164383561646E-2</v>
      </c>
      <c r="O3028" s="23">
        <f t="shared" si="580"/>
        <v>130.31181238583341</v>
      </c>
      <c r="P3028" s="18">
        <f t="shared" si="575"/>
        <v>1.0383561643835617</v>
      </c>
      <c r="Q3028" s="18">
        <f t="shared" si="581"/>
        <v>3397.4151086306561</v>
      </c>
      <c r="R3028" s="18">
        <f t="shared" si="576"/>
        <v>3527.7269210164895</v>
      </c>
      <c r="S3028" s="18">
        <f t="shared" si="577"/>
        <v>103759.0659831095</v>
      </c>
      <c r="T3028" s="7"/>
    </row>
    <row r="3029" spans="1:20" ht="15" customHeight="1" x14ac:dyDescent="0.2">
      <c r="A3029" s="14">
        <f t="shared" si="579"/>
        <v>93</v>
      </c>
      <c r="B3029" s="14" t="s">
        <v>2508</v>
      </c>
      <c r="C3029" s="14" t="s">
        <v>18</v>
      </c>
      <c r="D3029" s="14" t="s">
        <v>2479</v>
      </c>
      <c r="E3029" s="14"/>
      <c r="F3029" s="72" t="s">
        <v>19</v>
      </c>
      <c r="G3029" s="32">
        <v>43844</v>
      </c>
      <c r="H3029" s="17">
        <v>47259.184306220093</v>
      </c>
      <c r="I3029" s="17">
        <v>0</v>
      </c>
      <c r="J3029" s="17">
        <v>0</v>
      </c>
      <c r="K3029" s="17">
        <f t="shared" si="573"/>
        <v>47259.184306220093</v>
      </c>
      <c r="L3029" s="23">
        <f t="shared" si="578"/>
        <v>2362.9592153110048</v>
      </c>
      <c r="M3029" s="17">
        <v>30</v>
      </c>
      <c r="N3029" s="17">
        <f t="shared" si="574"/>
        <v>0.21643835616438356</v>
      </c>
      <c r="O3029" s="23">
        <f t="shared" si="580"/>
        <v>323.90883855541716</v>
      </c>
      <c r="P3029" s="18">
        <f t="shared" si="575"/>
        <v>1.2164383561643837</v>
      </c>
      <c r="Q3029" s="18">
        <f t="shared" si="581"/>
        <v>1496.5408363636361</v>
      </c>
      <c r="R3029" s="18">
        <f t="shared" si="576"/>
        <v>1820.4496749190532</v>
      </c>
      <c r="S3029" s="18">
        <f t="shared" si="577"/>
        <v>45438.734631301042</v>
      </c>
      <c r="T3029" s="7"/>
    </row>
    <row r="3030" spans="1:20" ht="15" customHeight="1" x14ac:dyDescent="0.2">
      <c r="A3030" s="14">
        <f t="shared" si="579"/>
        <v>94</v>
      </c>
      <c r="B3030" s="14" t="s">
        <v>2508</v>
      </c>
      <c r="C3030" s="14" t="s">
        <v>18</v>
      </c>
      <c r="D3030" s="14" t="s">
        <v>2479</v>
      </c>
      <c r="E3030" s="14"/>
      <c r="F3030" s="72" t="s">
        <v>19</v>
      </c>
      <c r="G3030" s="32">
        <v>43881</v>
      </c>
      <c r="H3030" s="17">
        <v>990000</v>
      </c>
      <c r="I3030" s="17">
        <v>0</v>
      </c>
      <c r="J3030" s="17">
        <v>0</v>
      </c>
      <c r="K3030" s="17">
        <f t="shared" si="573"/>
        <v>990000</v>
      </c>
      <c r="L3030" s="23">
        <f t="shared" si="578"/>
        <v>49500</v>
      </c>
      <c r="M3030" s="17">
        <v>30</v>
      </c>
      <c r="N3030" s="17">
        <f t="shared" si="574"/>
        <v>0.11506849315068493</v>
      </c>
      <c r="O3030" s="23">
        <f t="shared" si="580"/>
        <v>3607.3972602739727</v>
      </c>
      <c r="P3030" s="18">
        <f t="shared" si="575"/>
        <v>1.1150684931506849</v>
      </c>
      <c r="Q3030" s="18">
        <f t="shared" si="581"/>
        <v>31350</v>
      </c>
      <c r="R3030" s="18">
        <f t="shared" si="576"/>
        <v>34957.397260273974</v>
      </c>
      <c r="S3030" s="18">
        <f t="shared" si="577"/>
        <v>955042.60273972608</v>
      </c>
      <c r="T3030" s="7"/>
    </row>
    <row r="3031" spans="1:20" ht="15" customHeight="1" x14ac:dyDescent="0.2">
      <c r="A3031" s="14">
        <f t="shared" si="579"/>
        <v>95</v>
      </c>
      <c r="B3031" s="14" t="s">
        <v>2508</v>
      </c>
      <c r="C3031" s="14" t="s">
        <v>18</v>
      </c>
      <c r="D3031" s="14" t="s">
        <v>2479</v>
      </c>
      <c r="E3031" s="14"/>
      <c r="F3031" s="72" t="s">
        <v>19</v>
      </c>
      <c r="G3031" s="32">
        <v>43908</v>
      </c>
      <c r="H3031" s="17">
        <v>644772.69814792334</v>
      </c>
      <c r="I3031" s="17">
        <v>0</v>
      </c>
      <c r="J3031" s="17">
        <v>0</v>
      </c>
      <c r="K3031" s="17">
        <f t="shared" si="573"/>
        <v>644772.69814792334</v>
      </c>
      <c r="L3031" s="23">
        <f t="shared" si="578"/>
        <v>32238.634907396168</v>
      </c>
      <c r="M3031" s="17">
        <v>30</v>
      </c>
      <c r="N3031" s="17">
        <f t="shared" si="574"/>
        <v>4.1095890410958902E-2</v>
      </c>
      <c r="O3031" s="23">
        <f t="shared" si="580"/>
        <v>839.08775786373576</v>
      </c>
      <c r="P3031" s="18">
        <f t="shared" si="575"/>
        <v>1.0410958904109588</v>
      </c>
      <c r="Q3031" s="18">
        <f t="shared" si="581"/>
        <v>20417.802108017571</v>
      </c>
      <c r="R3031" s="18">
        <f t="shared" si="576"/>
        <v>21256.889865881309</v>
      </c>
      <c r="S3031" s="18">
        <f t="shared" si="577"/>
        <v>623515.80828204204</v>
      </c>
      <c r="T3031" s="7"/>
    </row>
    <row r="3032" spans="1:20" ht="15" customHeight="1" x14ac:dyDescent="0.2">
      <c r="A3032" s="14">
        <f t="shared" si="579"/>
        <v>96</v>
      </c>
      <c r="B3032" s="14" t="s">
        <v>1200</v>
      </c>
      <c r="C3032" s="14" t="s">
        <v>18</v>
      </c>
      <c r="D3032" s="14" t="s">
        <v>1200</v>
      </c>
      <c r="E3032" s="14"/>
      <c r="F3032" s="72" t="s">
        <v>19</v>
      </c>
      <c r="G3032" s="32">
        <v>43872</v>
      </c>
      <c r="H3032" s="17">
        <v>1815026</v>
      </c>
      <c r="I3032" s="17">
        <v>0</v>
      </c>
      <c r="J3032" s="17">
        <v>0</v>
      </c>
      <c r="K3032" s="17">
        <f t="shared" si="573"/>
        <v>1815026</v>
      </c>
      <c r="L3032" s="23">
        <f t="shared" si="578"/>
        <v>90751.3</v>
      </c>
      <c r="M3032" s="17">
        <v>5</v>
      </c>
      <c r="N3032" s="17">
        <f t="shared" si="574"/>
        <v>0.13972602739726028</v>
      </c>
      <c r="O3032" s="23">
        <f t="shared" si="580"/>
        <v>48185.21079452055</v>
      </c>
      <c r="P3032" s="18">
        <f t="shared" si="575"/>
        <v>1.1397260273972603</v>
      </c>
      <c r="Q3032" s="18">
        <f>(P3032-N3032)/M3032*(K3032-L3032)-104.56</f>
        <v>344750.38</v>
      </c>
      <c r="R3032" s="18">
        <f t="shared" si="576"/>
        <v>392935.59079452057</v>
      </c>
      <c r="S3032" s="18">
        <f t="shared" si="577"/>
        <v>1422090.4092054795</v>
      </c>
      <c r="T3032" s="7"/>
    </row>
    <row r="3033" spans="1:20" ht="15" customHeight="1" x14ac:dyDescent="0.2">
      <c r="A3033" s="14">
        <f t="shared" si="579"/>
        <v>97</v>
      </c>
      <c r="B3033" s="14" t="s">
        <v>1293</v>
      </c>
      <c r="C3033" s="14" t="s">
        <v>18</v>
      </c>
      <c r="D3033" s="14" t="s">
        <v>1200</v>
      </c>
      <c r="E3033" s="14"/>
      <c r="F3033" s="72" t="s">
        <v>19</v>
      </c>
      <c r="G3033" s="32">
        <v>44043</v>
      </c>
      <c r="H3033" s="17">
        <v>0</v>
      </c>
      <c r="I3033" s="17">
        <v>1101.68</v>
      </c>
      <c r="J3033" s="17">
        <v>0</v>
      </c>
      <c r="K3033" s="17">
        <f t="shared" ref="K3033:K3064" si="582">H3033+I3033-J3033</f>
        <v>1101.68</v>
      </c>
      <c r="L3033" s="23">
        <f t="shared" si="578"/>
        <v>55.084000000000003</v>
      </c>
      <c r="M3033" s="17">
        <v>5</v>
      </c>
      <c r="N3033" s="17">
        <f t="shared" ref="N3033:N3064" si="583">IF(($N$35-G3033+1)/365&gt;0,($N$35-G3033+1)/365,0)</f>
        <v>0</v>
      </c>
      <c r="O3033" s="23">
        <f t="shared" si="580"/>
        <v>0</v>
      </c>
      <c r="P3033" s="18">
        <f t="shared" ref="P3033:P3064" si="584">($P$35-G3033+1)/365</f>
        <v>0.67123287671232879</v>
      </c>
      <c r="Q3033" s="18">
        <f t="shared" ref="Q3033:Q3064" si="585">(P3033-N3033)/M3033*(K3033-L3033)</f>
        <v>140.5019287671233</v>
      </c>
      <c r="R3033" s="18">
        <f t="shared" ref="R3033:R3064" si="586">O3033+Q3033</f>
        <v>140.5019287671233</v>
      </c>
      <c r="S3033" s="18">
        <f t="shared" ref="S3033:S3064" si="587">K3033-R3033</f>
        <v>961.17807123287673</v>
      </c>
      <c r="T3033" s="7"/>
    </row>
    <row r="3034" spans="1:20" ht="15" customHeight="1" x14ac:dyDescent="0.2">
      <c r="A3034" s="14">
        <f t="shared" si="579"/>
        <v>98</v>
      </c>
      <c r="B3034" s="14" t="s">
        <v>2513</v>
      </c>
      <c r="C3034" s="14" t="s">
        <v>18</v>
      </c>
      <c r="D3034" s="14" t="s">
        <v>1200</v>
      </c>
      <c r="E3034" s="14"/>
      <c r="F3034" s="72" t="s">
        <v>19</v>
      </c>
      <c r="G3034" s="32">
        <v>44043</v>
      </c>
      <c r="H3034" s="17">
        <v>0</v>
      </c>
      <c r="I3034" s="17">
        <v>149700</v>
      </c>
      <c r="J3034" s="17">
        <v>0</v>
      </c>
      <c r="K3034" s="17">
        <f t="shared" si="582"/>
        <v>149700</v>
      </c>
      <c r="L3034" s="23">
        <f t="shared" si="578"/>
        <v>7485</v>
      </c>
      <c r="M3034" s="17">
        <v>5</v>
      </c>
      <c r="N3034" s="17">
        <f t="shared" si="583"/>
        <v>0</v>
      </c>
      <c r="O3034" s="23">
        <f t="shared" si="580"/>
        <v>0</v>
      </c>
      <c r="P3034" s="18">
        <f t="shared" si="584"/>
        <v>0.67123287671232879</v>
      </c>
      <c r="Q3034" s="18">
        <f t="shared" si="585"/>
        <v>19091.876712328769</v>
      </c>
      <c r="R3034" s="18">
        <f t="shared" si="586"/>
        <v>19091.876712328769</v>
      </c>
      <c r="S3034" s="18">
        <f t="shared" si="587"/>
        <v>130608.12328767123</v>
      </c>
      <c r="T3034" s="7"/>
    </row>
    <row r="3035" spans="1:20" ht="15" customHeight="1" x14ac:dyDescent="0.2">
      <c r="A3035" s="14">
        <f t="shared" si="579"/>
        <v>99</v>
      </c>
      <c r="B3035" s="14" t="s">
        <v>2514</v>
      </c>
      <c r="C3035" s="14" t="s">
        <v>18</v>
      </c>
      <c r="D3035" s="14" t="s">
        <v>1200</v>
      </c>
      <c r="E3035" s="14"/>
      <c r="F3035" s="72" t="s">
        <v>19</v>
      </c>
      <c r="G3035" s="32">
        <v>44043</v>
      </c>
      <c r="H3035" s="17">
        <v>0</v>
      </c>
      <c r="I3035" s="17">
        <v>39420</v>
      </c>
      <c r="J3035" s="17">
        <v>0</v>
      </c>
      <c r="K3035" s="17">
        <f t="shared" si="582"/>
        <v>39420</v>
      </c>
      <c r="L3035" s="23">
        <f t="shared" si="578"/>
        <v>1971</v>
      </c>
      <c r="M3035" s="17">
        <v>5</v>
      </c>
      <c r="N3035" s="17">
        <f t="shared" si="583"/>
        <v>0</v>
      </c>
      <c r="O3035" s="23">
        <f t="shared" si="580"/>
        <v>0</v>
      </c>
      <c r="P3035" s="18">
        <f t="shared" si="584"/>
        <v>0.67123287671232879</v>
      </c>
      <c r="Q3035" s="18">
        <f t="shared" si="585"/>
        <v>5027.4000000000005</v>
      </c>
      <c r="R3035" s="18">
        <f t="shared" si="586"/>
        <v>5027.4000000000005</v>
      </c>
      <c r="S3035" s="18">
        <f t="shared" si="587"/>
        <v>34392.6</v>
      </c>
      <c r="T3035" s="7"/>
    </row>
    <row r="3036" spans="1:20" ht="15" customHeight="1" x14ac:dyDescent="0.2">
      <c r="A3036" s="14">
        <f t="shared" si="579"/>
        <v>100</v>
      </c>
      <c r="B3036" s="14" t="s">
        <v>2515</v>
      </c>
      <c r="C3036" s="14" t="s">
        <v>18</v>
      </c>
      <c r="D3036" s="14" t="s">
        <v>1200</v>
      </c>
      <c r="E3036" s="14"/>
      <c r="F3036" s="72" t="s">
        <v>19</v>
      </c>
      <c r="G3036" s="32">
        <v>44074</v>
      </c>
      <c r="H3036" s="17">
        <v>0</v>
      </c>
      <c r="I3036" s="17">
        <v>5757.03</v>
      </c>
      <c r="J3036" s="17">
        <v>0</v>
      </c>
      <c r="K3036" s="17">
        <f t="shared" si="582"/>
        <v>5757.03</v>
      </c>
      <c r="L3036" s="23">
        <f t="shared" si="578"/>
        <v>287.85149999999999</v>
      </c>
      <c r="M3036" s="17">
        <v>5</v>
      </c>
      <c r="N3036" s="17">
        <f t="shared" si="583"/>
        <v>0</v>
      </c>
      <c r="O3036" s="23">
        <f t="shared" si="580"/>
        <v>0</v>
      </c>
      <c r="P3036" s="18">
        <f t="shared" si="584"/>
        <v>0.58630136986301373</v>
      </c>
      <c r="Q3036" s="18">
        <f t="shared" si="585"/>
        <v>641.3173693150685</v>
      </c>
      <c r="R3036" s="18">
        <f t="shared" si="586"/>
        <v>641.3173693150685</v>
      </c>
      <c r="S3036" s="18">
        <f t="shared" si="587"/>
        <v>5115.7126306849314</v>
      </c>
      <c r="T3036" s="7"/>
    </row>
    <row r="3037" spans="1:20" ht="15" customHeight="1" x14ac:dyDescent="0.2">
      <c r="A3037" s="14">
        <f t="shared" si="579"/>
        <v>101</v>
      </c>
      <c r="B3037" s="14" t="s">
        <v>2516</v>
      </c>
      <c r="C3037" s="14" t="s">
        <v>18</v>
      </c>
      <c r="D3037" s="14" t="s">
        <v>1200</v>
      </c>
      <c r="E3037" s="14"/>
      <c r="F3037" s="72" t="s">
        <v>19</v>
      </c>
      <c r="G3037" s="32">
        <v>44074</v>
      </c>
      <c r="H3037" s="17">
        <v>0</v>
      </c>
      <c r="I3037" s="17">
        <v>4888.42</v>
      </c>
      <c r="J3037" s="17">
        <v>0</v>
      </c>
      <c r="K3037" s="17">
        <f t="shared" si="582"/>
        <v>4888.42</v>
      </c>
      <c r="L3037" s="23">
        <f t="shared" si="578"/>
        <v>244.42100000000002</v>
      </c>
      <c r="M3037" s="17">
        <v>5</v>
      </c>
      <c r="N3037" s="17">
        <f t="shared" si="583"/>
        <v>0</v>
      </c>
      <c r="O3037" s="23">
        <f t="shared" si="580"/>
        <v>0</v>
      </c>
      <c r="P3037" s="18">
        <f t="shared" si="584"/>
        <v>0.58630136986301373</v>
      </c>
      <c r="Q3037" s="18">
        <f t="shared" si="585"/>
        <v>544.55659506849315</v>
      </c>
      <c r="R3037" s="18">
        <f t="shared" si="586"/>
        <v>544.55659506849315</v>
      </c>
      <c r="S3037" s="18">
        <f t="shared" si="587"/>
        <v>4343.8634049315069</v>
      </c>
      <c r="T3037" s="7"/>
    </row>
    <row r="3038" spans="1:20" ht="15" customHeight="1" x14ac:dyDescent="0.2">
      <c r="A3038" s="14">
        <f t="shared" si="579"/>
        <v>102</v>
      </c>
      <c r="B3038" s="14" t="s">
        <v>2517</v>
      </c>
      <c r="C3038" s="14" t="s">
        <v>18</v>
      </c>
      <c r="D3038" s="14" t="s">
        <v>2486</v>
      </c>
      <c r="E3038" s="14"/>
      <c r="F3038" s="72" t="s">
        <v>19</v>
      </c>
      <c r="G3038" s="32">
        <v>44043</v>
      </c>
      <c r="H3038" s="17">
        <v>0</v>
      </c>
      <c r="I3038" s="17">
        <v>578430</v>
      </c>
      <c r="J3038" s="17">
        <v>0</v>
      </c>
      <c r="K3038" s="17">
        <f t="shared" si="582"/>
        <v>578430</v>
      </c>
      <c r="L3038" s="23">
        <f t="shared" si="578"/>
        <v>28921.5</v>
      </c>
      <c r="M3038" s="17">
        <v>25</v>
      </c>
      <c r="N3038" s="17">
        <f t="shared" si="583"/>
        <v>0</v>
      </c>
      <c r="O3038" s="23">
        <f t="shared" si="580"/>
        <v>0</v>
      </c>
      <c r="P3038" s="18">
        <f t="shared" si="584"/>
        <v>0.67123287671232879</v>
      </c>
      <c r="Q3038" s="18">
        <f t="shared" si="585"/>
        <v>14753.926849315068</v>
      </c>
      <c r="R3038" s="18">
        <f t="shared" si="586"/>
        <v>14753.926849315068</v>
      </c>
      <c r="S3038" s="18">
        <f t="shared" si="587"/>
        <v>563676.07315068494</v>
      </c>
      <c r="T3038" s="7"/>
    </row>
    <row r="3039" spans="1:20" ht="15" customHeight="1" x14ac:dyDescent="0.2">
      <c r="A3039" s="14">
        <f t="shared" si="579"/>
        <v>103</v>
      </c>
      <c r="B3039" s="14" t="s">
        <v>2518</v>
      </c>
      <c r="C3039" s="14" t="s">
        <v>18</v>
      </c>
      <c r="D3039" s="14" t="s">
        <v>2486</v>
      </c>
      <c r="E3039" s="14"/>
      <c r="F3039" s="72" t="s">
        <v>19</v>
      </c>
      <c r="G3039" s="32">
        <v>44043</v>
      </c>
      <c r="H3039" s="17">
        <v>0</v>
      </c>
      <c r="I3039" s="17">
        <v>1377415</v>
      </c>
      <c r="J3039" s="17">
        <v>0</v>
      </c>
      <c r="K3039" s="17">
        <f t="shared" si="582"/>
        <v>1377415</v>
      </c>
      <c r="L3039" s="23">
        <f t="shared" si="578"/>
        <v>68870.75</v>
      </c>
      <c r="M3039" s="17">
        <v>25</v>
      </c>
      <c r="N3039" s="17">
        <f t="shared" si="583"/>
        <v>0</v>
      </c>
      <c r="O3039" s="23">
        <f t="shared" si="580"/>
        <v>0</v>
      </c>
      <c r="P3039" s="18">
        <f t="shared" si="584"/>
        <v>0.67123287671232879</v>
      </c>
      <c r="Q3039" s="18">
        <f t="shared" si="585"/>
        <v>35133.51684931507</v>
      </c>
      <c r="R3039" s="18">
        <f t="shared" si="586"/>
        <v>35133.51684931507</v>
      </c>
      <c r="S3039" s="18">
        <f t="shared" si="587"/>
        <v>1342281.483150685</v>
      </c>
      <c r="T3039" s="7"/>
    </row>
    <row r="3040" spans="1:20" ht="15" customHeight="1" x14ac:dyDescent="0.2">
      <c r="A3040" s="14">
        <f t="shared" si="579"/>
        <v>104</v>
      </c>
      <c r="B3040" s="14" t="s">
        <v>554</v>
      </c>
      <c r="C3040" s="14" t="s">
        <v>18</v>
      </c>
      <c r="D3040" s="14" t="s">
        <v>2486</v>
      </c>
      <c r="E3040" s="14"/>
      <c r="F3040" s="72" t="s">
        <v>19</v>
      </c>
      <c r="G3040" s="32">
        <v>44163</v>
      </c>
      <c r="H3040" s="17">
        <v>0</v>
      </c>
      <c r="I3040" s="17">
        <v>25088</v>
      </c>
      <c r="J3040" s="17">
        <v>0</v>
      </c>
      <c r="K3040" s="17">
        <f t="shared" si="582"/>
        <v>25088</v>
      </c>
      <c r="L3040" s="23">
        <f t="shared" si="578"/>
        <v>1254.4000000000001</v>
      </c>
      <c r="M3040" s="17">
        <v>25</v>
      </c>
      <c r="N3040" s="17">
        <f t="shared" si="583"/>
        <v>0</v>
      </c>
      <c r="O3040" s="23">
        <f t="shared" si="580"/>
        <v>0</v>
      </c>
      <c r="P3040" s="18">
        <f t="shared" si="584"/>
        <v>0.34246575342465752</v>
      </c>
      <c r="Q3040" s="18">
        <f t="shared" si="585"/>
        <v>326.48767123287666</v>
      </c>
      <c r="R3040" s="18">
        <f t="shared" si="586"/>
        <v>326.48767123287666</v>
      </c>
      <c r="S3040" s="18">
        <f t="shared" si="587"/>
        <v>24761.512328767123</v>
      </c>
      <c r="T3040" s="7"/>
    </row>
    <row r="3041" spans="1:20" ht="15" customHeight="1" x14ac:dyDescent="0.2">
      <c r="A3041" s="14">
        <f t="shared" si="579"/>
        <v>105</v>
      </c>
      <c r="B3041" s="14" t="s">
        <v>2519</v>
      </c>
      <c r="C3041" s="14" t="s">
        <v>18</v>
      </c>
      <c r="D3041" s="14" t="s">
        <v>2486</v>
      </c>
      <c r="E3041" s="14"/>
      <c r="F3041" s="72" t="s">
        <v>19</v>
      </c>
      <c r="G3041" s="32">
        <v>44119</v>
      </c>
      <c r="H3041" s="17">
        <v>0</v>
      </c>
      <c r="I3041" s="17">
        <v>295717</v>
      </c>
      <c r="J3041" s="17">
        <v>0</v>
      </c>
      <c r="K3041" s="17">
        <f t="shared" si="582"/>
        <v>295717</v>
      </c>
      <c r="L3041" s="23">
        <f t="shared" si="578"/>
        <v>14785.85</v>
      </c>
      <c r="M3041" s="17">
        <v>25</v>
      </c>
      <c r="N3041" s="17">
        <f t="shared" si="583"/>
        <v>0</v>
      </c>
      <c r="O3041" s="23">
        <f t="shared" ref="O3041:O3072" si="588">(K3041-L3041)/M3041*N3041</f>
        <v>0</v>
      </c>
      <c r="P3041" s="18">
        <f t="shared" si="584"/>
        <v>0.46301369863013697</v>
      </c>
      <c r="Q3041" s="18">
        <f t="shared" si="585"/>
        <v>5202.9988328767122</v>
      </c>
      <c r="R3041" s="18">
        <f t="shared" si="586"/>
        <v>5202.9988328767122</v>
      </c>
      <c r="S3041" s="18">
        <f t="shared" si="587"/>
        <v>290514.00116712326</v>
      </c>
      <c r="T3041" s="7"/>
    </row>
    <row r="3042" spans="1:20" ht="15" customHeight="1" x14ac:dyDescent="0.2">
      <c r="A3042" s="14">
        <f t="shared" si="579"/>
        <v>106</v>
      </c>
      <c r="B3042" s="14" t="s">
        <v>2520</v>
      </c>
      <c r="C3042" s="14" t="s">
        <v>18</v>
      </c>
      <c r="D3042" s="14" t="s">
        <v>2486</v>
      </c>
      <c r="E3042" s="14"/>
      <c r="F3042" s="72" t="s">
        <v>19</v>
      </c>
      <c r="G3042" s="32">
        <v>44150</v>
      </c>
      <c r="H3042" s="17">
        <v>0</v>
      </c>
      <c r="I3042" s="17">
        <v>1897169.9199999999</v>
      </c>
      <c r="J3042" s="17">
        <v>0</v>
      </c>
      <c r="K3042" s="17">
        <f t="shared" si="582"/>
        <v>1897169.9199999999</v>
      </c>
      <c r="L3042" s="23">
        <f t="shared" si="578"/>
        <v>94858.495999999999</v>
      </c>
      <c r="M3042" s="17">
        <v>25</v>
      </c>
      <c r="N3042" s="17">
        <f t="shared" si="583"/>
        <v>0</v>
      </c>
      <c r="O3042" s="23">
        <f t="shared" si="588"/>
        <v>0</v>
      </c>
      <c r="P3042" s="18">
        <f t="shared" si="584"/>
        <v>0.37808219178082192</v>
      </c>
      <c r="Q3042" s="18">
        <f t="shared" si="585"/>
        <v>27256.874138301369</v>
      </c>
      <c r="R3042" s="18">
        <f t="shared" si="586"/>
        <v>27256.874138301369</v>
      </c>
      <c r="S3042" s="18">
        <f t="shared" si="587"/>
        <v>1869913.0458616985</v>
      </c>
      <c r="T3042" s="7"/>
    </row>
    <row r="3043" spans="1:20" ht="15" customHeight="1" x14ac:dyDescent="0.2">
      <c r="A3043" s="14">
        <f t="shared" si="579"/>
        <v>107</v>
      </c>
      <c r="B3043" s="14" t="s">
        <v>2521</v>
      </c>
      <c r="C3043" s="14" t="s">
        <v>18</v>
      </c>
      <c r="D3043" s="14" t="s">
        <v>2486</v>
      </c>
      <c r="E3043" s="14"/>
      <c r="F3043" s="72" t="s">
        <v>19</v>
      </c>
      <c r="G3043" s="32">
        <v>44242</v>
      </c>
      <c r="H3043" s="17">
        <v>0</v>
      </c>
      <c r="I3043" s="17">
        <v>924428.29</v>
      </c>
      <c r="J3043" s="17">
        <v>0</v>
      </c>
      <c r="K3043" s="17">
        <f t="shared" si="582"/>
        <v>924428.29</v>
      </c>
      <c r="L3043" s="23">
        <f t="shared" si="578"/>
        <v>46221.414500000006</v>
      </c>
      <c r="M3043" s="17">
        <v>25</v>
      </c>
      <c r="N3043" s="17">
        <f t="shared" si="583"/>
        <v>0</v>
      </c>
      <c r="O3043" s="23">
        <f t="shared" si="588"/>
        <v>0</v>
      </c>
      <c r="P3043" s="18">
        <f t="shared" si="584"/>
        <v>0.12602739726027398</v>
      </c>
      <c r="Q3043" s="18">
        <f t="shared" si="585"/>
        <v>4427.1250710136992</v>
      </c>
      <c r="R3043" s="18">
        <f t="shared" si="586"/>
        <v>4427.1250710136992</v>
      </c>
      <c r="S3043" s="18">
        <f t="shared" si="587"/>
        <v>920001.16492898634</v>
      </c>
      <c r="T3043" s="7"/>
    </row>
    <row r="3044" spans="1:20" ht="15" customHeight="1" x14ac:dyDescent="0.2">
      <c r="A3044" s="14">
        <f t="shared" si="579"/>
        <v>108</v>
      </c>
      <c r="B3044" s="14" t="s">
        <v>2522</v>
      </c>
      <c r="C3044" s="14" t="s">
        <v>18</v>
      </c>
      <c r="D3044" s="14" t="s">
        <v>2486</v>
      </c>
      <c r="E3044" s="14"/>
      <c r="F3044" s="72" t="s">
        <v>19</v>
      </c>
      <c r="G3044" s="32">
        <v>44242</v>
      </c>
      <c r="H3044" s="17">
        <v>0</v>
      </c>
      <c r="I3044" s="17">
        <v>1396219.87</v>
      </c>
      <c r="J3044" s="17">
        <v>0</v>
      </c>
      <c r="K3044" s="17">
        <f t="shared" si="582"/>
        <v>1396219.87</v>
      </c>
      <c r="L3044" s="23">
        <f t="shared" si="578"/>
        <v>69810.993500000011</v>
      </c>
      <c r="M3044" s="17">
        <v>25</v>
      </c>
      <c r="N3044" s="17">
        <f t="shared" si="583"/>
        <v>0</v>
      </c>
      <c r="O3044" s="23">
        <f t="shared" si="588"/>
        <v>0</v>
      </c>
      <c r="P3044" s="18">
        <f t="shared" si="584"/>
        <v>0.12602739726027398</v>
      </c>
      <c r="Q3044" s="18">
        <f t="shared" si="585"/>
        <v>6686.5543363287679</v>
      </c>
      <c r="R3044" s="18">
        <f t="shared" si="586"/>
        <v>6686.5543363287679</v>
      </c>
      <c r="S3044" s="18">
        <f t="shared" si="587"/>
        <v>1389533.3156636714</v>
      </c>
      <c r="T3044" s="7"/>
    </row>
    <row r="3045" spans="1:20" ht="15" customHeight="1" x14ac:dyDescent="0.2">
      <c r="A3045" s="14">
        <f t="shared" si="579"/>
        <v>109</v>
      </c>
      <c r="B3045" s="14" t="s">
        <v>2523</v>
      </c>
      <c r="C3045" s="14" t="s">
        <v>18</v>
      </c>
      <c r="D3045" s="14" t="s">
        <v>2486</v>
      </c>
      <c r="E3045" s="14"/>
      <c r="F3045" s="72" t="s">
        <v>19</v>
      </c>
      <c r="G3045" s="32">
        <v>44242</v>
      </c>
      <c r="H3045" s="17">
        <v>0</v>
      </c>
      <c r="I3045" s="17">
        <v>704612.54</v>
      </c>
      <c r="J3045" s="17">
        <v>0</v>
      </c>
      <c r="K3045" s="17">
        <f t="shared" si="582"/>
        <v>704612.54</v>
      </c>
      <c r="L3045" s="23">
        <f t="shared" si="578"/>
        <v>35230.627</v>
      </c>
      <c r="M3045" s="17">
        <v>25</v>
      </c>
      <c r="N3045" s="17">
        <f t="shared" si="583"/>
        <v>0</v>
      </c>
      <c r="O3045" s="23">
        <f t="shared" si="588"/>
        <v>0</v>
      </c>
      <c r="P3045" s="18">
        <f t="shared" si="584"/>
        <v>0.12602739726027398</v>
      </c>
      <c r="Q3045" s="18">
        <f t="shared" si="585"/>
        <v>3374.4184107397264</v>
      </c>
      <c r="R3045" s="18">
        <f t="shared" si="586"/>
        <v>3374.4184107397264</v>
      </c>
      <c r="S3045" s="18">
        <f t="shared" si="587"/>
        <v>701238.12158926029</v>
      </c>
      <c r="T3045" s="7"/>
    </row>
    <row r="3046" spans="1:20" ht="15" customHeight="1" x14ac:dyDescent="0.2">
      <c r="A3046" s="14">
        <f t="shared" si="579"/>
        <v>110</v>
      </c>
      <c r="B3046" s="14" t="s">
        <v>2524</v>
      </c>
      <c r="C3046" s="14" t="s">
        <v>18</v>
      </c>
      <c r="D3046" s="14" t="s">
        <v>2486</v>
      </c>
      <c r="E3046" s="14"/>
      <c r="F3046" s="72" t="s">
        <v>19</v>
      </c>
      <c r="G3046" s="32">
        <v>44242</v>
      </c>
      <c r="H3046" s="17">
        <v>0</v>
      </c>
      <c r="I3046" s="17">
        <v>612526.54</v>
      </c>
      <c r="J3046" s="17">
        <v>0</v>
      </c>
      <c r="K3046" s="17">
        <f t="shared" si="582"/>
        <v>612526.54</v>
      </c>
      <c r="L3046" s="23">
        <f t="shared" si="578"/>
        <v>30626.327000000005</v>
      </c>
      <c r="M3046" s="17">
        <v>25</v>
      </c>
      <c r="N3046" s="17">
        <f t="shared" si="583"/>
        <v>0</v>
      </c>
      <c r="O3046" s="23">
        <f t="shared" si="588"/>
        <v>0</v>
      </c>
      <c r="P3046" s="18">
        <f t="shared" si="584"/>
        <v>0.12602739726027398</v>
      </c>
      <c r="Q3046" s="18">
        <f t="shared" si="585"/>
        <v>2933.4147723835617</v>
      </c>
      <c r="R3046" s="18">
        <f t="shared" si="586"/>
        <v>2933.4147723835617</v>
      </c>
      <c r="S3046" s="18">
        <f t="shared" si="587"/>
        <v>609593.12522761652</v>
      </c>
      <c r="T3046" s="7"/>
    </row>
    <row r="3047" spans="1:20" ht="15" customHeight="1" x14ac:dyDescent="0.2">
      <c r="A3047" s="14">
        <f t="shared" si="579"/>
        <v>111</v>
      </c>
      <c r="B3047" s="14" t="s">
        <v>2525</v>
      </c>
      <c r="C3047" s="14" t="s">
        <v>18</v>
      </c>
      <c r="D3047" s="14" t="s">
        <v>2486</v>
      </c>
      <c r="E3047" s="14"/>
      <c r="F3047" s="72" t="s">
        <v>19</v>
      </c>
      <c r="G3047" s="32">
        <v>44242</v>
      </c>
      <c r="H3047" s="17">
        <v>0</v>
      </c>
      <c r="I3047" s="17">
        <v>91000</v>
      </c>
      <c r="J3047" s="17">
        <v>0</v>
      </c>
      <c r="K3047" s="17">
        <f t="shared" si="582"/>
        <v>91000</v>
      </c>
      <c r="L3047" s="23">
        <f t="shared" si="578"/>
        <v>4550</v>
      </c>
      <c r="M3047" s="17">
        <v>25</v>
      </c>
      <c r="N3047" s="17">
        <f t="shared" si="583"/>
        <v>0</v>
      </c>
      <c r="O3047" s="23">
        <f t="shared" si="588"/>
        <v>0</v>
      </c>
      <c r="P3047" s="18">
        <f t="shared" si="584"/>
        <v>0.12602739726027398</v>
      </c>
      <c r="Q3047" s="18">
        <f t="shared" si="585"/>
        <v>435.80273972602743</v>
      </c>
      <c r="R3047" s="18">
        <f t="shared" si="586"/>
        <v>435.80273972602743</v>
      </c>
      <c r="S3047" s="18">
        <f t="shared" si="587"/>
        <v>90564.19726027397</v>
      </c>
      <c r="T3047" s="7"/>
    </row>
    <row r="3048" spans="1:20" ht="15" customHeight="1" x14ac:dyDescent="0.2">
      <c r="A3048" s="14">
        <f t="shared" si="579"/>
        <v>112</v>
      </c>
      <c r="B3048" s="14" t="s">
        <v>2526</v>
      </c>
      <c r="C3048" s="14" t="s">
        <v>18</v>
      </c>
      <c r="D3048" s="14" t="s">
        <v>2486</v>
      </c>
      <c r="E3048" s="14"/>
      <c r="F3048" s="72" t="s">
        <v>19</v>
      </c>
      <c r="G3048" s="32">
        <v>44242</v>
      </c>
      <c r="H3048" s="17">
        <v>0</v>
      </c>
      <c r="I3048" s="17">
        <v>250652.76</v>
      </c>
      <c r="J3048" s="17">
        <v>0</v>
      </c>
      <c r="K3048" s="17">
        <f t="shared" si="582"/>
        <v>250652.76</v>
      </c>
      <c r="L3048" s="23">
        <f t="shared" si="578"/>
        <v>12532.638000000001</v>
      </c>
      <c r="M3048" s="17">
        <v>25</v>
      </c>
      <c r="N3048" s="17">
        <f t="shared" si="583"/>
        <v>0</v>
      </c>
      <c r="O3048" s="23">
        <f t="shared" si="588"/>
        <v>0</v>
      </c>
      <c r="P3048" s="18">
        <f t="shared" si="584"/>
        <v>0.12602739726027398</v>
      </c>
      <c r="Q3048" s="18">
        <f t="shared" si="585"/>
        <v>1200.3863684383562</v>
      </c>
      <c r="R3048" s="18">
        <f t="shared" si="586"/>
        <v>1200.3863684383562</v>
      </c>
      <c r="S3048" s="18">
        <f t="shared" si="587"/>
        <v>249452.37363156164</v>
      </c>
      <c r="T3048" s="7"/>
    </row>
    <row r="3049" spans="1:20" ht="15" customHeight="1" x14ac:dyDescent="0.2">
      <c r="A3049" s="14">
        <f t="shared" si="579"/>
        <v>113</v>
      </c>
      <c r="B3049" s="14" t="s">
        <v>2527</v>
      </c>
      <c r="C3049" s="14" t="s">
        <v>18</v>
      </c>
      <c r="D3049" s="14" t="s">
        <v>2486</v>
      </c>
      <c r="E3049" s="14"/>
      <c r="F3049" s="72" t="s">
        <v>19</v>
      </c>
      <c r="G3049" s="32">
        <v>44242</v>
      </c>
      <c r="H3049" s="17">
        <v>0</v>
      </c>
      <c r="I3049" s="17">
        <v>307.98</v>
      </c>
      <c r="J3049" s="17">
        <v>0</v>
      </c>
      <c r="K3049" s="17">
        <f t="shared" si="582"/>
        <v>307.98</v>
      </c>
      <c r="L3049" s="23">
        <f t="shared" si="578"/>
        <v>15.399000000000001</v>
      </c>
      <c r="M3049" s="17">
        <v>25</v>
      </c>
      <c r="N3049" s="17">
        <f t="shared" si="583"/>
        <v>0</v>
      </c>
      <c r="O3049" s="23">
        <f t="shared" si="588"/>
        <v>0</v>
      </c>
      <c r="P3049" s="18">
        <f t="shared" si="584"/>
        <v>0.12602739726027398</v>
      </c>
      <c r="Q3049" s="18">
        <f t="shared" si="585"/>
        <v>1.474928876712329</v>
      </c>
      <c r="R3049" s="18">
        <f t="shared" si="586"/>
        <v>1.474928876712329</v>
      </c>
      <c r="S3049" s="18">
        <f t="shared" si="587"/>
        <v>306.50507112328768</v>
      </c>
      <c r="T3049" s="7"/>
    </row>
    <row r="3050" spans="1:20" ht="15" customHeight="1" x14ac:dyDescent="0.2">
      <c r="A3050" s="14">
        <f t="shared" si="579"/>
        <v>114</v>
      </c>
      <c r="B3050" s="14" t="s">
        <v>2528</v>
      </c>
      <c r="C3050" s="14" t="s">
        <v>18</v>
      </c>
      <c r="D3050" s="14" t="s">
        <v>2486</v>
      </c>
      <c r="E3050" s="14"/>
      <c r="F3050" s="72" t="s">
        <v>19</v>
      </c>
      <c r="G3050" s="32">
        <v>44242</v>
      </c>
      <c r="H3050" s="17">
        <v>0</v>
      </c>
      <c r="I3050" s="17">
        <v>158000</v>
      </c>
      <c r="J3050" s="17">
        <v>0</v>
      </c>
      <c r="K3050" s="17">
        <f t="shared" si="582"/>
        <v>158000</v>
      </c>
      <c r="L3050" s="23">
        <f t="shared" si="578"/>
        <v>7900</v>
      </c>
      <c r="M3050" s="17">
        <v>25</v>
      </c>
      <c r="N3050" s="17">
        <f t="shared" si="583"/>
        <v>0</v>
      </c>
      <c r="O3050" s="23">
        <f t="shared" si="588"/>
        <v>0</v>
      </c>
      <c r="P3050" s="18">
        <f t="shared" si="584"/>
        <v>0.12602739726027398</v>
      </c>
      <c r="Q3050" s="18">
        <f t="shared" si="585"/>
        <v>756.66849315068498</v>
      </c>
      <c r="R3050" s="18">
        <f t="shared" si="586"/>
        <v>756.66849315068498</v>
      </c>
      <c r="S3050" s="18">
        <f t="shared" si="587"/>
        <v>157243.33150684932</v>
      </c>
      <c r="T3050" s="7"/>
    </row>
    <row r="3051" spans="1:20" ht="15" customHeight="1" x14ac:dyDescent="0.2">
      <c r="A3051" s="14">
        <f t="shared" si="579"/>
        <v>115</v>
      </c>
      <c r="B3051" s="14" t="s">
        <v>2529</v>
      </c>
      <c r="C3051" s="14" t="s">
        <v>18</v>
      </c>
      <c r="D3051" s="14" t="s">
        <v>2486</v>
      </c>
      <c r="E3051" s="14"/>
      <c r="F3051" s="72" t="s">
        <v>19</v>
      </c>
      <c r="G3051" s="32">
        <v>44242</v>
      </c>
      <c r="H3051" s="17">
        <v>0</v>
      </c>
      <c r="I3051" s="17">
        <v>36939.480000000003</v>
      </c>
      <c r="J3051" s="17">
        <v>0</v>
      </c>
      <c r="K3051" s="17">
        <f t="shared" si="582"/>
        <v>36939.480000000003</v>
      </c>
      <c r="L3051" s="23">
        <f t="shared" si="578"/>
        <v>1846.9740000000002</v>
      </c>
      <c r="M3051" s="17">
        <v>25</v>
      </c>
      <c r="N3051" s="17">
        <f t="shared" si="583"/>
        <v>0</v>
      </c>
      <c r="O3051" s="23">
        <f t="shared" si="588"/>
        <v>0</v>
      </c>
      <c r="P3051" s="18">
        <f t="shared" si="584"/>
        <v>0.12602739726027398</v>
      </c>
      <c r="Q3051" s="18">
        <f t="shared" si="585"/>
        <v>176.90468778082194</v>
      </c>
      <c r="R3051" s="18">
        <f t="shared" si="586"/>
        <v>176.90468778082194</v>
      </c>
      <c r="S3051" s="18">
        <f t="shared" si="587"/>
        <v>36762.575312219182</v>
      </c>
      <c r="T3051" s="7"/>
    </row>
    <row r="3052" spans="1:20" ht="15" customHeight="1" x14ac:dyDescent="0.2">
      <c r="A3052" s="14">
        <f t="shared" si="579"/>
        <v>116</v>
      </c>
      <c r="B3052" s="14" t="s">
        <v>2530</v>
      </c>
      <c r="C3052" s="14" t="s">
        <v>18</v>
      </c>
      <c r="D3052" s="14" t="s">
        <v>2486</v>
      </c>
      <c r="E3052" s="14"/>
      <c r="F3052" s="72" t="s">
        <v>19</v>
      </c>
      <c r="G3052" s="32">
        <v>44242</v>
      </c>
      <c r="H3052" s="17">
        <v>0</v>
      </c>
      <c r="I3052" s="17">
        <v>12600</v>
      </c>
      <c r="J3052" s="17">
        <v>0</v>
      </c>
      <c r="K3052" s="17">
        <f t="shared" si="582"/>
        <v>12600</v>
      </c>
      <c r="L3052" s="23">
        <f t="shared" si="578"/>
        <v>630</v>
      </c>
      <c r="M3052" s="17">
        <v>25</v>
      </c>
      <c r="N3052" s="17">
        <f t="shared" si="583"/>
        <v>0</v>
      </c>
      <c r="O3052" s="23">
        <f t="shared" si="588"/>
        <v>0</v>
      </c>
      <c r="P3052" s="18">
        <f t="shared" si="584"/>
        <v>0.12602739726027398</v>
      </c>
      <c r="Q3052" s="18">
        <f t="shared" si="585"/>
        <v>60.341917808219179</v>
      </c>
      <c r="R3052" s="18">
        <f t="shared" si="586"/>
        <v>60.341917808219179</v>
      </c>
      <c r="S3052" s="18">
        <f t="shared" si="587"/>
        <v>12539.658082191781</v>
      </c>
      <c r="T3052" s="7"/>
    </row>
    <row r="3053" spans="1:20" ht="15" customHeight="1" x14ac:dyDescent="0.2">
      <c r="A3053" s="14">
        <f t="shared" si="579"/>
        <v>117</v>
      </c>
      <c r="B3053" s="14" t="s">
        <v>2531</v>
      </c>
      <c r="C3053" s="14" t="s">
        <v>18</v>
      </c>
      <c r="D3053" s="14" t="s">
        <v>2486</v>
      </c>
      <c r="E3053" s="14"/>
      <c r="F3053" s="72" t="s">
        <v>19</v>
      </c>
      <c r="G3053" s="32">
        <v>44242</v>
      </c>
      <c r="H3053" s="17">
        <v>0</v>
      </c>
      <c r="I3053" s="17">
        <v>22500</v>
      </c>
      <c r="J3053" s="17">
        <v>0</v>
      </c>
      <c r="K3053" s="17">
        <f t="shared" si="582"/>
        <v>22500</v>
      </c>
      <c r="L3053" s="23">
        <f t="shared" si="578"/>
        <v>1125</v>
      </c>
      <c r="M3053" s="17">
        <v>25</v>
      </c>
      <c r="N3053" s="17">
        <f t="shared" si="583"/>
        <v>0</v>
      </c>
      <c r="O3053" s="23">
        <f t="shared" si="588"/>
        <v>0</v>
      </c>
      <c r="P3053" s="18">
        <f t="shared" si="584"/>
        <v>0.12602739726027398</v>
      </c>
      <c r="Q3053" s="18">
        <f t="shared" si="585"/>
        <v>107.75342465753425</v>
      </c>
      <c r="R3053" s="18">
        <f t="shared" si="586"/>
        <v>107.75342465753425</v>
      </c>
      <c r="S3053" s="18">
        <f t="shared" si="587"/>
        <v>22392.246575342466</v>
      </c>
      <c r="T3053" s="7"/>
    </row>
    <row r="3054" spans="1:20" ht="15" customHeight="1" x14ac:dyDescent="0.2">
      <c r="A3054" s="14">
        <f t="shared" si="579"/>
        <v>118</v>
      </c>
      <c r="B3054" s="14" t="s">
        <v>2531</v>
      </c>
      <c r="C3054" s="14" t="s">
        <v>18</v>
      </c>
      <c r="D3054" s="14" t="s">
        <v>2486</v>
      </c>
      <c r="E3054" s="14"/>
      <c r="F3054" s="72" t="s">
        <v>19</v>
      </c>
      <c r="G3054" s="32">
        <v>44242</v>
      </c>
      <c r="H3054" s="17">
        <v>0</v>
      </c>
      <c r="I3054" s="17">
        <v>9500</v>
      </c>
      <c r="J3054" s="17">
        <v>0</v>
      </c>
      <c r="K3054" s="17">
        <f t="shared" si="582"/>
        <v>9500</v>
      </c>
      <c r="L3054" s="23">
        <f t="shared" si="578"/>
        <v>475</v>
      </c>
      <c r="M3054" s="17">
        <v>25</v>
      </c>
      <c r="N3054" s="17">
        <f t="shared" si="583"/>
        <v>0</v>
      </c>
      <c r="O3054" s="23">
        <f t="shared" si="588"/>
        <v>0</v>
      </c>
      <c r="P3054" s="18">
        <f t="shared" si="584"/>
        <v>0.12602739726027398</v>
      </c>
      <c r="Q3054" s="18">
        <f t="shared" si="585"/>
        <v>45.495890410958907</v>
      </c>
      <c r="R3054" s="18">
        <f t="shared" si="586"/>
        <v>45.495890410958907</v>
      </c>
      <c r="S3054" s="18">
        <f t="shared" si="587"/>
        <v>9454.504109589041</v>
      </c>
      <c r="T3054" s="7"/>
    </row>
    <row r="3055" spans="1:20" ht="15" customHeight="1" x14ac:dyDescent="0.2">
      <c r="A3055" s="14">
        <f t="shared" si="579"/>
        <v>119</v>
      </c>
      <c r="B3055" s="14" t="s">
        <v>2531</v>
      </c>
      <c r="C3055" s="14" t="s">
        <v>18</v>
      </c>
      <c r="D3055" s="14" t="s">
        <v>2486</v>
      </c>
      <c r="E3055" s="14"/>
      <c r="F3055" s="72" t="s">
        <v>19</v>
      </c>
      <c r="G3055" s="32">
        <v>44242</v>
      </c>
      <c r="H3055" s="17">
        <v>0</v>
      </c>
      <c r="I3055" s="17">
        <v>495122</v>
      </c>
      <c r="J3055" s="17">
        <v>0</v>
      </c>
      <c r="K3055" s="17">
        <f t="shared" si="582"/>
        <v>495122</v>
      </c>
      <c r="L3055" s="23">
        <f t="shared" si="578"/>
        <v>24756.100000000002</v>
      </c>
      <c r="M3055" s="17">
        <v>25</v>
      </c>
      <c r="N3055" s="17">
        <f t="shared" si="583"/>
        <v>0</v>
      </c>
      <c r="O3055" s="23">
        <f t="shared" si="588"/>
        <v>0</v>
      </c>
      <c r="P3055" s="18">
        <f t="shared" si="584"/>
        <v>0.12602739726027398</v>
      </c>
      <c r="Q3055" s="18">
        <f t="shared" si="585"/>
        <v>2371.1596054794522</v>
      </c>
      <c r="R3055" s="18">
        <f t="shared" si="586"/>
        <v>2371.1596054794522</v>
      </c>
      <c r="S3055" s="18">
        <f t="shared" si="587"/>
        <v>492750.84039452055</v>
      </c>
      <c r="T3055" s="7"/>
    </row>
    <row r="3056" spans="1:20" ht="15" customHeight="1" x14ac:dyDescent="0.2">
      <c r="A3056" s="14">
        <f t="shared" si="579"/>
        <v>120</v>
      </c>
      <c r="B3056" s="14" t="s">
        <v>2531</v>
      </c>
      <c r="C3056" s="14" t="s">
        <v>18</v>
      </c>
      <c r="D3056" s="14" t="s">
        <v>2486</v>
      </c>
      <c r="E3056" s="14"/>
      <c r="F3056" s="72" t="s">
        <v>19</v>
      </c>
      <c r="G3056" s="32">
        <v>44242</v>
      </c>
      <c r="H3056" s="17">
        <v>0</v>
      </c>
      <c r="I3056" s="17">
        <v>56984</v>
      </c>
      <c r="J3056" s="17">
        <v>0</v>
      </c>
      <c r="K3056" s="17">
        <f t="shared" si="582"/>
        <v>56984</v>
      </c>
      <c r="L3056" s="23">
        <f t="shared" si="578"/>
        <v>2849.2000000000003</v>
      </c>
      <c r="M3056" s="17">
        <v>25</v>
      </c>
      <c r="N3056" s="17">
        <f t="shared" si="583"/>
        <v>0</v>
      </c>
      <c r="O3056" s="23">
        <f t="shared" si="588"/>
        <v>0</v>
      </c>
      <c r="P3056" s="18">
        <f t="shared" si="584"/>
        <v>0.12602739726027398</v>
      </c>
      <c r="Q3056" s="18">
        <f t="shared" si="585"/>
        <v>272.8987178082192</v>
      </c>
      <c r="R3056" s="18">
        <f t="shared" si="586"/>
        <v>272.8987178082192</v>
      </c>
      <c r="S3056" s="18">
        <f t="shared" si="587"/>
        <v>56711.101282191783</v>
      </c>
      <c r="T3056" s="7"/>
    </row>
    <row r="3057" spans="1:20" ht="15" customHeight="1" x14ac:dyDescent="0.2">
      <c r="A3057" s="14">
        <f t="shared" si="579"/>
        <v>121</v>
      </c>
      <c r="B3057" s="14" t="s">
        <v>2531</v>
      </c>
      <c r="C3057" s="14" t="s">
        <v>18</v>
      </c>
      <c r="D3057" s="14" t="s">
        <v>2486</v>
      </c>
      <c r="E3057" s="14"/>
      <c r="F3057" s="72" t="s">
        <v>19</v>
      </c>
      <c r="G3057" s="32">
        <v>44242</v>
      </c>
      <c r="H3057" s="17">
        <v>0</v>
      </c>
      <c r="I3057" s="17">
        <v>128161</v>
      </c>
      <c r="J3057" s="17">
        <v>0</v>
      </c>
      <c r="K3057" s="17">
        <f t="shared" si="582"/>
        <v>128161</v>
      </c>
      <c r="L3057" s="23">
        <f t="shared" si="578"/>
        <v>6408.05</v>
      </c>
      <c r="M3057" s="17">
        <v>25</v>
      </c>
      <c r="N3057" s="17">
        <f t="shared" si="583"/>
        <v>0</v>
      </c>
      <c r="O3057" s="23">
        <f t="shared" si="588"/>
        <v>0</v>
      </c>
      <c r="P3057" s="18">
        <f t="shared" si="584"/>
        <v>0.12602739726027398</v>
      </c>
      <c r="Q3057" s="18">
        <f t="shared" si="585"/>
        <v>613.76829589041097</v>
      </c>
      <c r="R3057" s="18">
        <f t="shared" si="586"/>
        <v>613.76829589041097</v>
      </c>
      <c r="S3057" s="18">
        <f t="shared" si="587"/>
        <v>127547.2317041096</v>
      </c>
      <c r="T3057" s="7"/>
    </row>
    <row r="3058" spans="1:20" ht="15" customHeight="1" x14ac:dyDescent="0.2">
      <c r="A3058" s="14">
        <f t="shared" si="579"/>
        <v>122</v>
      </c>
      <c r="B3058" s="14" t="s">
        <v>2531</v>
      </c>
      <c r="C3058" s="14" t="s">
        <v>18</v>
      </c>
      <c r="D3058" s="14" t="s">
        <v>2486</v>
      </c>
      <c r="E3058" s="14"/>
      <c r="F3058" s="72" t="s">
        <v>19</v>
      </c>
      <c r="G3058" s="32">
        <v>44242</v>
      </c>
      <c r="H3058" s="17">
        <v>0</v>
      </c>
      <c r="I3058" s="17">
        <v>2782081</v>
      </c>
      <c r="J3058" s="17">
        <v>0</v>
      </c>
      <c r="K3058" s="17">
        <f t="shared" si="582"/>
        <v>2782081</v>
      </c>
      <c r="L3058" s="23">
        <f t="shared" si="578"/>
        <v>139104.05000000002</v>
      </c>
      <c r="M3058" s="17">
        <v>25</v>
      </c>
      <c r="N3058" s="17">
        <f t="shared" si="583"/>
        <v>0</v>
      </c>
      <c r="O3058" s="23">
        <f t="shared" si="588"/>
        <v>0</v>
      </c>
      <c r="P3058" s="18">
        <f t="shared" si="584"/>
        <v>0.12602739726027398</v>
      </c>
      <c r="Q3058" s="18">
        <f t="shared" si="585"/>
        <v>13323.500241095891</v>
      </c>
      <c r="R3058" s="18">
        <f t="shared" si="586"/>
        <v>13323.500241095891</v>
      </c>
      <c r="S3058" s="18">
        <f t="shared" si="587"/>
        <v>2768757.4997589043</v>
      </c>
      <c r="T3058" s="7"/>
    </row>
    <row r="3059" spans="1:20" ht="15" customHeight="1" x14ac:dyDescent="0.2">
      <c r="A3059" s="14">
        <f t="shared" si="579"/>
        <v>123</v>
      </c>
      <c r="B3059" s="14" t="s">
        <v>2531</v>
      </c>
      <c r="C3059" s="14" t="s">
        <v>18</v>
      </c>
      <c r="D3059" s="14" t="s">
        <v>2486</v>
      </c>
      <c r="E3059" s="14"/>
      <c r="F3059" s="72" t="s">
        <v>19</v>
      </c>
      <c r="G3059" s="32">
        <v>44242</v>
      </c>
      <c r="H3059" s="17">
        <v>0</v>
      </c>
      <c r="I3059" s="17">
        <v>100000</v>
      </c>
      <c r="J3059" s="17">
        <v>0</v>
      </c>
      <c r="K3059" s="17">
        <f t="shared" si="582"/>
        <v>100000</v>
      </c>
      <c r="L3059" s="23">
        <f t="shared" si="578"/>
        <v>5000</v>
      </c>
      <c r="M3059" s="17">
        <v>25</v>
      </c>
      <c r="N3059" s="17">
        <f t="shared" si="583"/>
        <v>0</v>
      </c>
      <c r="O3059" s="23">
        <f t="shared" si="588"/>
        <v>0</v>
      </c>
      <c r="P3059" s="18">
        <f t="shared" si="584"/>
        <v>0.12602739726027398</v>
      </c>
      <c r="Q3059" s="18">
        <f t="shared" si="585"/>
        <v>478.90410958904113</v>
      </c>
      <c r="R3059" s="18">
        <f t="shared" si="586"/>
        <v>478.90410958904113</v>
      </c>
      <c r="S3059" s="18">
        <f t="shared" si="587"/>
        <v>99521.095890410958</v>
      </c>
      <c r="T3059" s="7"/>
    </row>
    <row r="3060" spans="1:20" ht="15" customHeight="1" x14ac:dyDescent="0.2">
      <c r="A3060" s="14">
        <f t="shared" si="579"/>
        <v>124</v>
      </c>
      <c r="B3060" s="14" t="s">
        <v>2531</v>
      </c>
      <c r="C3060" s="14" t="s">
        <v>18</v>
      </c>
      <c r="D3060" s="14" t="s">
        <v>2486</v>
      </c>
      <c r="E3060" s="14"/>
      <c r="F3060" s="72" t="s">
        <v>19</v>
      </c>
      <c r="G3060" s="32">
        <v>44242</v>
      </c>
      <c r="H3060" s="17">
        <v>0</v>
      </c>
      <c r="I3060" s="17">
        <v>1660000</v>
      </c>
      <c r="J3060" s="17">
        <v>0</v>
      </c>
      <c r="K3060" s="17">
        <f t="shared" si="582"/>
        <v>1660000</v>
      </c>
      <c r="L3060" s="23">
        <f t="shared" si="578"/>
        <v>83000</v>
      </c>
      <c r="M3060" s="17">
        <v>25</v>
      </c>
      <c r="N3060" s="17">
        <f t="shared" si="583"/>
        <v>0</v>
      </c>
      <c r="O3060" s="23">
        <f t="shared" si="588"/>
        <v>0</v>
      </c>
      <c r="P3060" s="18">
        <f t="shared" si="584"/>
        <v>0.12602739726027398</v>
      </c>
      <c r="Q3060" s="18">
        <f t="shared" si="585"/>
        <v>7949.8082191780823</v>
      </c>
      <c r="R3060" s="18">
        <f t="shared" si="586"/>
        <v>7949.8082191780823</v>
      </c>
      <c r="S3060" s="18">
        <f t="shared" si="587"/>
        <v>1652050.1917808219</v>
      </c>
      <c r="T3060" s="7"/>
    </row>
    <row r="3061" spans="1:20" ht="15" customHeight="1" x14ac:dyDescent="0.2">
      <c r="A3061" s="14">
        <f t="shared" si="579"/>
        <v>125</v>
      </c>
      <c r="B3061" s="14" t="s">
        <v>2531</v>
      </c>
      <c r="C3061" s="14" t="s">
        <v>18</v>
      </c>
      <c r="D3061" s="14" t="s">
        <v>2486</v>
      </c>
      <c r="E3061" s="14"/>
      <c r="F3061" s="72" t="s">
        <v>19</v>
      </c>
      <c r="G3061" s="32">
        <v>44242</v>
      </c>
      <c r="H3061" s="17">
        <v>0</v>
      </c>
      <c r="I3061" s="17">
        <v>284618</v>
      </c>
      <c r="J3061" s="17">
        <v>0</v>
      </c>
      <c r="K3061" s="17">
        <f t="shared" si="582"/>
        <v>284618</v>
      </c>
      <c r="L3061" s="23">
        <f t="shared" si="578"/>
        <v>14230.900000000001</v>
      </c>
      <c r="M3061" s="17">
        <v>25</v>
      </c>
      <c r="N3061" s="17">
        <f t="shared" si="583"/>
        <v>0</v>
      </c>
      <c r="O3061" s="23">
        <f t="shared" si="588"/>
        <v>0</v>
      </c>
      <c r="P3061" s="18">
        <f t="shared" si="584"/>
        <v>0.12602739726027398</v>
      </c>
      <c r="Q3061" s="18">
        <f t="shared" si="585"/>
        <v>1363.047298630137</v>
      </c>
      <c r="R3061" s="18">
        <f t="shared" si="586"/>
        <v>1363.047298630137</v>
      </c>
      <c r="S3061" s="18">
        <f t="shared" si="587"/>
        <v>283254.95270136988</v>
      </c>
      <c r="T3061" s="7"/>
    </row>
    <row r="3062" spans="1:20" ht="15" customHeight="1" x14ac:dyDescent="0.2">
      <c r="A3062" s="14">
        <f t="shared" si="579"/>
        <v>126</v>
      </c>
      <c r="B3062" s="14" t="s">
        <v>2531</v>
      </c>
      <c r="C3062" s="14" t="s">
        <v>18</v>
      </c>
      <c r="D3062" s="14" t="s">
        <v>2486</v>
      </c>
      <c r="E3062" s="14"/>
      <c r="F3062" s="72" t="s">
        <v>19</v>
      </c>
      <c r="G3062" s="32">
        <v>44242</v>
      </c>
      <c r="H3062" s="17">
        <v>0</v>
      </c>
      <c r="I3062" s="17">
        <v>415000</v>
      </c>
      <c r="J3062" s="17">
        <v>0</v>
      </c>
      <c r="K3062" s="17">
        <f t="shared" si="582"/>
        <v>415000</v>
      </c>
      <c r="L3062" s="23">
        <f t="shared" si="578"/>
        <v>20750</v>
      </c>
      <c r="M3062" s="17">
        <v>25</v>
      </c>
      <c r="N3062" s="17">
        <f t="shared" si="583"/>
        <v>0</v>
      </c>
      <c r="O3062" s="23">
        <f t="shared" si="588"/>
        <v>0</v>
      </c>
      <c r="P3062" s="18">
        <f t="shared" si="584"/>
        <v>0.12602739726027398</v>
      </c>
      <c r="Q3062" s="18">
        <f t="shared" si="585"/>
        <v>1987.4520547945206</v>
      </c>
      <c r="R3062" s="18">
        <f t="shared" si="586"/>
        <v>1987.4520547945206</v>
      </c>
      <c r="S3062" s="18">
        <f t="shared" si="587"/>
        <v>413012.54794520547</v>
      </c>
      <c r="T3062" s="7"/>
    </row>
    <row r="3063" spans="1:20" ht="15" customHeight="1" x14ac:dyDescent="0.2">
      <c r="A3063" s="14">
        <f t="shared" si="579"/>
        <v>127</v>
      </c>
      <c r="B3063" s="14" t="s">
        <v>2531</v>
      </c>
      <c r="C3063" s="14" t="s">
        <v>18</v>
      </c>
      <c r="D3063" s="14" t="s">
        <v>2486</v>
      </c>
      <c r="E3063" s="14"/>
      <c r="F3063" s="72" t="s">
        <v>19</v>
      </c>
      <c r="G3063" s="32">
        <v>44242</v>
      </c>
      <c r="H3063" s="17">
        <v>0</v>
      </c>
      <c r="I3063" s="17">
        <v>220000</v>
      </c>
      <c r="J3063" s="17">
        <v>0</v>
      </c>
      <c r="K3063" s="17">
        <f t="shared" si="582"/>
        <v>220000</v>
      </c>
      <c r="L3063" s="23">
        <f t="shared" si="578"/>
        <v>11000</v>
      </c>
      <c r="M3063" s="17">
        <v>25</v>
      </c>
      <c r="N3063" s="17">
        <f t="shared" si="583"/>
        <v>0</v>
      </c>
      <c r="O3063" s="23">
        <f t="shared" si="588"/>
        <v>0</v>
      </c>
      <c r="P3063" s="18">
        <f t="shared" si="584"/>
        <v>0.12602739726027398</v>
      </c>
      <c r="Q3063" s="18">
        <f t="shared" si="585"/>
        <v>1053.5890410958905</v>
      </c>
      <c r="R3063" s="18">
        <f t="shared" si="586"/>
        <v>1053.5890410958905</v>
      </c>
      <c r="S3063" s="18">
        <f t="shared" si="587"/>
        <v>218946.4109589041</v>
      </c>
      <c r="T3063" s="7"/>
    </row>
    <row r="3064" spans="1:20" ht="15" customHeight="1" x14ac:dyDescent="0.2">
      <c r="A3064" s="14">
        <f t="shared" si="579"/>
        <v>128</v>
      </c>
      <c r="B3064" s="14" t="s">
        <v>2531</v>
      </c>
      <c r="C3064" s="14" t="s">
        <v>18</v>
      </c>
      <c r="D3064" s="14" t="s">
        <v>2486</v>
      </c>
      <c r="E3064" s="14"/>
      <c r="F3064" s="72" t="s">
        <v>19</v>
      </c>
      <c r="G3064" s="32">
        <v>44242</v>
      </c>
      <c r="H3064" s="17">
        <v>0</v>
      </c>
      <c r="I3064" s="17">
        <v>303448</v>
      </c>
      <c r="J3064" s="17">
        <v>0</v>
      </c>
      <c r="K3064" s="17">
        <f t="shared" si="582"/>
        <v>303448</v>
      </c>
      <c r="L3064" s="23">
        <f t="shared" si="578"/>
        <v>15172.400000000001</v>
      </c>
      <c r="M3064" s="17">
        <v>25</v>
      </c>
      <c r="N3064" s="17">
        <f t="shared" si="583"/>
        <v>0</v>
      </c>
      <c r="O3064" s="23">
        <f t="shared" si="588"/>
        <v>0</v>
      </c>
      <c r="P3064" s="18">
        <f t="shared" si="584"/>
        <v>0.12602739726027398</v>
      </c>
      <c r="Q3064" s="18">
        <f t="shared" si="585"/>
        <v>1453.2249424657534</v>
      </c>
      <c r="R3064" s="18">
        <f t="shared" si="586"/>
        <v>1453.2249424657534</v>
      </c>
      <c r="S3064" s="18">
        <f t="shared" si="587"/>
        <v>301994.77505753422</v>
      </c>
      <c r="T3064" s="7"/>
    </row>
    <row r="3065" spans="1:20" ht="15" customHeight="1" x14ac:dyDescent="0.2">
      <c r="A3065" s="14">
        <f t="shared" si="579"/>
        <v>129</v>
      </c>
      <c r="B3065" s="14" t="s">
        <v>2531</v>
      </c>
      <c r="C3065" s="14" t="s">
        <v>18</v>
      </c>
      <c r="D3065" s="14" t="s">
        <v>2486</v>
      </c>
      <c r="E3065" s="14"/>
      <c r="F3065" s="72" t="s">
        <v>19</v>
      </c>
      <c r="G3065" s="32">
        <v>44242</v>
      </c>
      <c r="H3065" s="17">
        <v>0</v>
      </c>
      <c r="I3065" s="17">
        <v>900000</v>
      </c>
      <c r="J3065" s="17">
        <v>0</v>
      </c>
      <c r="K3065" s="17">
        <f t="shared" ref="K3065:K3085" si="589">H3065+I3065-J3065</f>
        <v>900000</v>
      </c>
      <c r="L3065" s="23">
        <f t="shared" si="578"/>
        <v>45000</v>
      </c>
      <c r="M3065" s="17">
        <v>25</v>
      </c>
      <c r="N3065" s="17">
        <f t="shared" ref="N3065:N3085" si="590">IF(($N$35-G3065+1)/365&gt;0,($N$35-G3065+1)/365,0)</f>
        <v>0</v>
      </c>
      <c r="O3065" s="23">
        <f t="shared" si="588"/>
        <v>0</v>
      </c>
      <c r="P3065" s="18">
        <f t="shared" ref="P3065:P3085" si="591">($P$35-G3065+1)/365</f>
        <v>0.12602739726027398</v>
      </c>
      <c r="Q3065" s="18">
        <f t="shared" ref="Q3065:Q3081" si="592">(P3065-N3065)/M3065*(K3065-L3065)</f>
        <v>4310.1369863013697</v>
      </c>
      <c r="R3065" s="18">
        <f t="shared" ref="R3065:R3085" si="593">O3065+Q3065</f>
        <v>4310.1369863013697</v>
      </c>
      <c r="S3065" s="18">
        <f t="shared" ref="S3065:S3085" si="594">K3065-R3065</f>
        <v>895689.8630136986</v>
      </c>
      <c r="T3065" s="7"/>
    </row>
    <row r="3066" spans="1:20" ht="15" customHeight="1" x14ac:dyDescent="0.2">
      <c r="A3066" s="14">
        <f t="shared" si="579"/>
        <v>130</v>
      </c>
      <c r="B3066" s="14" t="s">
        <v>2531</v>
      </c>
      <c r="C3066" s="14" t="s">
        <v>18</v>
      </c>
      <c r="D3066" s="14" t="s">
        <v>2486</v>
      </c>
      <c r="E3066" s="14"/>
      <c r="F3066" s="72" t="s">
        <v>19</v>
      </c>
      <c r="G3066" s="32">
        <v>44242</v>
      </c>
      <c r="H3066" s="17">
        <v>0</v>
      </c>
      <c r="I3066" s="17">
        <v>330000</v>
      </c>
      <c r="J3066" s="17">
        <v>0</v>
      </c>
      <c r="K3066" s="17">
        <f t="shared" si="589"/>
        <v>330000</v>
      </c>
      <c r="L3066" s="23">
        <f t="shared" ref="L3066:L3085" si="595">K3066*0.05</f>
        <v>16500</v>
      </c>
      <c r="M3066" s="17">
        <v>25</v>
      </c>
      <c r="N3066" s="17">
        <f t="shared" si="590"/>
        <v>0</v>
      </c>
      <c r="O3066" s="23">
        <f t="shared" si="588"/>
        <v>0</v>
      </c>
      <c r="P3066" s="18">
        <f t="shared" si="591"/>
        <v>0.12602739726027398</v>
      </c>
      <c r="Q3066" s="18">
        <f t="shared" si="592"/>
        <v>1580.3835616438357</v>
      </c>
      <c r="R3066" s="18">
        <f t="shared" si="593"/>
        <v>1580.3835616438357</v>
      </c>
      <c r="S3066" s="18">
        <f t="shared" si="594"/>
        <v>328419.61643835617</v>
      </c>
      <c r="T3066" s="7"/>
    </row>
    <row r="3067" spans="1:20" ht="15" customHeight="1" x14ac:dyDescent="0.2">
      <c r="A3067" s="14">
        <f t="shared" ref="A3067:A3085" si="596">A3066+1</f>
        <v>131</v>
      </c>
      <c r="B3067" s="14" t="s">
        <v>2531</v>
      </c>
      <c r="C3067" s="14" t="s">
        <v>18</v>
      </c>
      <c r="D3067" s="14" t="s">
        <v>2486</v>
      </c>
      <c r="E3067" s="14"/>
      <c r="F3067" s="72" t="s">
        <v>19</v>
      </c>
      <c r="G3067" s="32">
        <v>44242</v>
      </c>
      <c r="H3067" s="17">
        <v>0</v>
      </c>
      <c r="I3067" s="17">
        <v>199521.3</v>
      </c>
      <c r="J3067" s="17">
        <v>0</v>
      </c>
      <c r="K3067" s="17">
        <f t="shared" si="589"/>
        <v>199521.3</v>
      </c>
      <c r="L3067" s="23">
        <f t="shared" si="595"/>
        <v>9976.0650000000005</v>
      </c>
      <c r="M3067" s="17">
        <v>25</v>
      </c>
      <c r="N3067" s="17">
        <f t="shared" si="590"/>
        <v>0</v>
      </c>
      <c r="O3067" s="23">
        <f t="shared" si="588"/>
        <v>0</v>
      </c>
      <c r="P3067" s="18">
        <f t="shared" si="591"/>
        <v>0.12602739726027398</v>
      </c>
      <c r="Q3067" s="18">
        <f t="shared" si="592"/>
        <v>955.51570520547943</v>
      </c>
      <c r="R3067" s="18">
        <f t="shared" si="593"/>
        <v>955.51570520547943</v>
      </c>
      <c r="S3067" s="18">
        <f t="shared" si="594"/>
        <v>198565.78429479452</v>
      </c>
      <c r="T3067" s="7"/>
    </row>
    <row r="3068" spans="1:20" ht="15" customHeight="1" x14ac:dyDescent="0.2">
      <c r="A3068" s="14">
        <f t="shared" si="596"/>
        <v>132</v>
      </c>
      <c r="B3068" s="14" t="s">
        <v>2531</v>
      </c>
      <c r="C3068" s="14" t="s">
        <v>18</v>
      </c>
      <c r="D3068" s="14" t="s">
        <v>2486</v>
      </c>
      <c r="E3068" s="14"/>
      <c r="F3068" s="72" t="s">
        <v>19</v>
      </c>
      <c r="G3068" s="32">
        <v>44242</v>
      </c>
      <c r="H3068" s="17">
        <v>0</v>
      </c>
      <c r="I3068" s="17">
        <v>218400</v>
      </c>
      <c r="J3068" s="17">
        <v>0</v>
      </c>
      <c r="K3068" s="17">
        <f t="shared" si="589"/>
        <v>218400</v>
      </c>
      <c r="L3068" s="23">
        <f t="shared" si="595"/>
        <v>10920</v>
      </c>
      <c r="M3068" s="17">
        <v>25</v>
      </c>
      <c r="N3068" s="17">
        <f t="shared" si="590"/>
        <v>0</v>
      </c>
      <c r="O3068" s="23">
        <f t="shared" si="588"/>
        <v>0</v>
      </c>
      <c r="P3068" s="18">
        <f t="shared" si="591"/>
        <v>0.12602739726027398</v>
      </c>
      <c r="Q3068" s="18">
        <f t="shared" si="592"/>
        <v>1045.9265753424659</v>
      </c>
      <c r="R3068" s="18">
        <f t="shared" si="593"/>
        <v>1045.9265753424659</v>
      </c>
      <c r="S3068" s="18">
        <f t="shared" si="594"/>
        <v>217354.07342465754</v>
      </c>
      <c r="T3068" s="7"/>
    </row>
    <row r="3069" spans="1:20" ht="15" customHeight="1" x14ac:dyDescent="0.2">
      <c r="A3069" s="14">
        <f t="shared" si="596"/>
        <v>133</v>
      </c>
      <c r="B3069" s="14" t="s">
        <v>2531</v>
      </c>
      <c r="C3069" s="14" t="s">
        <v>18</v>
      </c>
      <c r="D3069" s="14" t="s">
        <v>2486</v>
      </c>
      <c r="E3069" s="14"/>
      <c r="F3069" s="72" t="s">
        <v>19</v>
      </c>
      <c r="G3069" s="32">
        <v>44242</v>
      </c>
      <c r="H3069" s="17">
        <v>0</v>
      </c>
      <c r="I3069" s="17">
        <v>242640</v>
      </c>
      <c r="J3069" s="17">
        <v>0</v>
      </c>
      <c r="K3069" s="17">
        <f t="shared" si="589"/>
        <v>242640</v>
      </c>
      <c r="L3069" s="23">
        <f t="shared" si="595"/>
        <v>12132</v>
      </c>
      <c r="M3069" s="17">
        <v>25</v>
      </c>
      <c r="N3069" s="17">
        <f t="shared" si="590"/>
        <v>0</v>
      </c>
      <c r="O3069" s="23">
        <f t="shared" si="588"/>
        <v>0</v>
      </c>
      <c r="P3069" s="18">
        <f t="shared" si="591"/>
        <v>0.12602739726027398</v>
      </c>
      <c r="Q3069" s="18">
        <f t="shared" si="592"/>
        <v>1162.0129315068493</v>
      </c>
      <c r="R3069" s="18">
        <f t="shared" si="593"/>
        <v>1162.0129315068493</v>
      </c>
      <c r="S3069" s="18">
        <f t="shared" si="594"/>
        <v>241477.98706849315</v>
      </c>
      <c r="T3069" s="7"/>
    </row>
    <row r="3070" spans="1:20" ht="15" customHeight="1" x14ac:dyDescent="0.2">
      <c r="A3070" s="14">
        <f t="shared" si="596"/>
        <v>134</v>
      </c>
      <c r="B3070" s="14" t="s">
        <v>2531</v>
      </c>
      <c r="C3070" s="14" t="s">
        <v>18</v>
      </c>
      <c r="D3070" s="14" t="s">
        <v>2486</v>
      </c>
      <c r="E3070" s="14"/>
      <c r="F3070" s="72" t="s">
        <v>19</v>
      </c>
      <c r="G3070" s="32">
        <v>44242</v>
      </c>
      <c r="H3070" s="17">
        <v>0</v>
      </c>
      <c r="I3070" s="17">
        <v>243847.84</v>
      </c>
      <c r="J3070" s="17">
        <v>0</v>
      </c>
      <c r="K3070" s="17">
        <f t="shared" si="589"/>
        <v>243847.84</v>
      </c>
      <c r="L3070" s="23">
        <f t="shared" si="595"/>
        <v>12192.392</v>
      </c>
      <c r="M3070" s="17">
        <v>25</v>
      </c>
      <c r="N3070" s="17">
        <f t="shared" si="590"/>
        <v>0</v>
      </c>
      <c r="O3070" s="23">
        <f t="shared" si="588"/>
        <v>0</v>
      </c>
      <c r="P3070" s="18">
        <f t="shared" si="591"/>
        <v>0.12602739726027398</v>
      </c>
      <c r="Q3070" s="18">
        <f t="shared" si="592"/>
        <v>1167.7973269041097</v>
      </c>
      <c r="R3070" s="18">
        <f t="shared" si="593"/>
        <v>1167.7973269041097</v>
      </c>
      <c r="S3070" s="18">
        <f t="shared" si="594"/>
        <v>242680.04267309589</v>
      </c>
      <c r="T3070" s="7"/>
    </row>
    <row r="3071" spans="1:20" ht="15" customHeight="1" x14ac:dyDescent="0.2">
      <c r="A3071" s="14">
        <f t="shared" si="596"/>
        <v>135</v>
      </c>
      <c r="B3071" s="14" t="s">
        <v>2531</v>
      </c>
      <c r="C3071" s="14" t="s">
        <v>18</v>
      </c>
      <c r="D3071" s="14" t="s">
        <v>2486</v>
      </c>
      <c r="E3071" s="14"/>
      <c r="F3071" s="72" t="s">
        <v>19</v>
      </c>
      <c r="G3071" s="32">
        <v>44242</v>
      </c>
      <c r="H3071" s="17">
        <v>0</v>
      </c>
      <c r="I3071" s="17">
        <v>850034</v>
      </c>
      <c r="J3071" s="17">
        <v>0</v>
      </c>
      <c r="K3071" s="17">
        <f t="shared" si="589"/>
        <v>850034</v>
      </c>
      <c r="L3071" s="23">
        <f t="shared" si="595"/>
        <v>42501.700000000004</v>
      </c>
      <c r="M3071" s="17">
        <v>25</v>
      </c>
      <c r="N3071" s="17">
        <f t="shared" si="590"/>
        <v>0</v>
      </c>
      <c r="O3071" s="23">
        <f t="shared" si="588"/>
        <v>0</v>
      </c>
      <c r="P3071" s="18">
        <f t="shared" si="591"/>
        <v>0.12602739726027398</v>
      </c>
      <c r="Q3071" s="18">
        <f t="shared" si="592"/>
        <v>4070.8477589041099</v>
      </c>
      <c r="R3071" s="18">
        <f t="shared" si="593"/>
        <v>4070.8477589041099</v>
      </c>
      <c r="S3071" s="18">
        <f t="shared" si="594"/>
        <v>845963.1522410959</v>
      </c>
      <c r="T3071" s="7"/>
    </row>
    <row r="3072" spans="1:20" ht="15" customHeight="1" x14ac:dyDescent="0.2">
      <c r="A3072" s="14">
        <f t="shared" si="596"/>
        <v>136</v>
      </c>
      <c r="B3072" s="14" t="s">
        <v>2531</v>
      </c>
      <c r="C3072" s="14" t="s">
        <v>18</v>
      </c>
      <c r="D3072" s="14" t="s">
        <v>2486</v>
      </c>
      <c r="E3072" s="14"/>
      <c r="F3072" s="72" t="s">
        <v>19</v>
      </c>
      <c r="G3072" s="32">
        <v>44242</v>
      </c>
      <c r="H3072" s="17">
        <v>0</v>
      </c>
      <c r="I3072" s="17">
        <v>243847.84</v>
      </c>
      <c r="J3072" s="17">
        <v>0</v>
      </c>
      <c r="K3072" s="17">
        <f t="shared" si="589"/>
        <v>243847.84</v>
      </c>
      <c r="L3072" s="23">
        <f t="shared" si="595"/>
        <v>12192.392</v>
      </c>
      <c r="M3072" s="17">
        <v>25</v>
      </c>
      <c r="N3072" s="17">
        <f t="shared" si="590"/>
        <v>0</v>
      </c>
      <c r="O3072" s="23">
        <f t="shared" si="588"/>
        <v>0</v>
      </c>
      <c r="P3072" s="18">
        <f t="shared" si="591"/>
        <v>0.12602739726027398</v>
      </c>
      <c r="Q3072" s="18">
        <f t="shared" si="592"/>
        <v>1167.7973269041097</v>
      </c>
      <c r="R3072" s="18">
        <f t="shared" si="593"/>
        <v>1167.7973269041097</v>
      </c>
      <c r="S3072" s="18">
        <f t="shared" si="594"/>
        <v>242680.04267309589</v>
      </c>
      <c r="T3072" s="7"/>
    </row>
    <row r="3073" spans="1:20" ht="15" customHeight="1" x14ac:dyDescent="0.2">
      <c r="A3073" s="14">
        <f t="shared" si="596"/>
        <v>137</v>
      </c>
      <c r="B3073" s="14" t="s">
        <v>2531</v>
      </c>
      <c r="C3073" s="14" t="s">
        <v>18</v>
      </c>
      <c r="D3073" s="14" t="s">
        <v>2486</v>
      </c>
      <c r="E3073" s="14"/>
      <c r="F3073" s="72" t="s">
        <v>19</v>
      </c>
      <c r="G3073" s="32">
        <v>44242</v>
      </c>
      <c r="H3073" s="17">
        <v>0</v>
      </c>
      <c r="I3073" s="17">
        <v>1509440</v>
      </c>
      <c r="J3073" s="17">
        <v>0</v>
      </c>
      <c r="K3073" s="17">
        <f t="shared" si="589"/>
        <v>1509440</v>
      </c>
      <c r="L3073" s="23">
        <f t="shared" si="595"/>
        <v>75472</v>
      </c>
      <c r="M3073" s="17">
        <v>25</v>
      </c>
      <c r="N3073" s="17">
        <f t="shared" si="590"/>
        <v>0</v>
      </c>
      <c r="O3073" s="23">
        <f t="shared" ref="O3073:O3085" si="597">(K3073-L3073)/M3073*N3073</f>
        <v>0</v>
      </c>
      <c r="P3073" s="18">
        <f t="shared" si="591"/>
        <v>0.12602739726027398</v>
      </c>
      <c r="Q3073" s="18">
        <f t="shared" si="592"/>
        <v>7228.7701917808226</v>
      </c>
      <c r="R3073" s="18">
        <f t="shared" si="593"/>
        <v>7228.7701917808226</v>
      </c>
      <c r="S3073" s="18">
        <f t="shared" si="594"/>
        <v>1502211.2298082192</v>
      </c>
      <c r="T3073" s="7"/>
    </row>
    <row r="3074" spans="1:20" ht="15" customHeight="1" x14ac:dyDescent="0.2">
      <c r="A3074" s="14">
        <f t="shared" si="596"/>
        <v>138</v>
      </c>
      <c r="B3074" s="14" t="s">
        <v>2531</v>
      </c>
      <c r="C3074" s="14" t="s">
        <v>18</v>
      </c>
      <c r="D3074" s="14" t="s">
        <v>2532</v>
      </c>
      <c r="E3074" s="14"/>
      <c r="F3074" s="72" t="s">
        <v>19</v>
      </c>
      <c r="G3074" s="32">
        <v>44211</v>
      </c>
      <c r="H3074" s="17">
        <v>0</v>
      </c>
      <c r="I3074" s="17">
        <v>1784919.09</v>
      </c>
      <c r="J3074" s="17">
        <v>0</v>
      </c>
      <c r="K3074" s="17">
        <f t="shared" si="589"/>
        <v>1784919.09</v>
      </c>
      <c r="L3074" s="23">
        <f t="shared" si="595"/>
        <v>89245.954500000007</v>
      </c>
      <c r="M3074" s="17">
        <v>30</v>
      </c>
      <c r="N3074" s="17">
        <f t="shared" si="590"/>
        <v>0</v>
      </c>
      <c r="O3074" s="23">
        <f t="shared" si="597"/>
        <v>0</v>
      </c>
      <c r="P3074" s="18">
        <f t="shared" si="591"/>
        <v>0.21095890410958903</v>
      </c>
      <c r="Q3074" s="18">
        <f t="shared" si="592"/>
        <v>11923.911546438356</v>
      </c>
      <c r="R3074" s="18">
        <f t="shared" si="593"/>
        <v>11923.911546438356</v>
      </c>
      <c r="S3074" s="18">
        <f t="shared" si="594"/>
        <v>1772995.1784535616</v>
      </c>
      <c r="T3074" s="7"/>
    </row>
    <row r="3075" spans="1:20" ht="15" customHeight="1" x14ac:dyDescent="0.2">
      <c r="A3075" s="14">
        <f t="shared" si="596"/>
        <v>139</v>
      </c>
      <c r="B3075" s="14" t="s">
        <v>2531</v>
      </c>
      <c r="C3075" s="14" t="s">
        <v>18</v>
      </c>
      <c r="D3075" s="14" t="s">
        <v>2532</v>
      </c>
      <c r="E3075" s="14"/>
      <c r="F3075" s="72" t="s">
        <v>19</v>
      </c>
      <c r="G3075" s="32">
        <v>44211</v>
      </c>
      <c r="H3075" s="17">
        <v>0</v>
      </c>
      <c r="I3075" s="17">
        <v>2555671.67</v>
      </c>
      <c r="J3075" s="17">
        <v>0</v>
      </c>
      <c r="K3075" s="17">
        <f t="shared" si="589"/>
        <v>2555671.67</v>
      </c>
      <c r="L3075" s="23">
        <f t="shared" si="595"/>
        <v>127783.58350000001</v>
      </c>
      <c r="M3075" s="17">
        <v>30</v>
      </c>
      <c r="N3075" s="17">
        <f t="shared" si="590"/>
        <v>0</v>
      </c>
      <c r="O3075" s="23">
        <f t="shared" si="597"/>
        <v>0</v>
      </c>
      <c r="P3075" s="18">
        <f t="shared" si="591"/>
        <v>0.21095890410958903</v>
      </c>
      <c r="Q3075" s="18">
        <f t="shared" si="592"/>
        <v>17072.820334292235</v>
      </c>
      <c r="R3075" s="18">
        <f t="shared" si="593"/>
        <v>17072.820334292235</v>
      </c>
      <c r="S3075" s="18">
        <f t="shared" si="594"/>
        <v>2538598.8496657079</v>
      </c>
      <c r="T3075" s="7"/>
    </row>
    <row r="3076" spans="1:20" ht="15" customHeight="1" x14ac:dyDescent="0.2">
      <c r="A3076" s="14">
        <f t="shared" si="596"/>
        <v>140</v>
      </c>
      <c r="B3076" s="14" t="s">
        <v>2531</v>
      </c>
      <c r="C3076" s="14" t="s">
        <v>18</v>
      </c>
      <c r="D3076" s="14" t="s">
        <v>2532</v>
      </c>
      <c r="E3076" s="14"/>
      <c r="F3076" s="72" t="s">
        <v>19</v>
      </c>
      <c r="G3076" s="32">
        <v>44211</v>
      </c>
      <c r="H3076" s="17">
        <v>0</v>
      </c>
      <c r="I3076" s="17">
        <v>104745.8</v>
      </c>
      <c r="J3076" s="17">
        <v>0</v>
      </c>
      <c r="K3076" s="17">
        <f t="shared" si="589"/>
        <v>104745.8</v>
      </c>
      <c r="L3076" s="23">
        <f t="shared" si="595"/>
        <v>5237.2900000000009</v>
      </c>
      <c r="M3076" s="17">
        <v>30</v>
      </c>
      <c r="N3076" s="17">
        <f t="shared" si="590"/>
        <v>0</v>
      </c>
      <c r="O3076" s="23">
        <f t="shared" si="597"/>
        <v>0</v>
      </c>
      <c r="P3076" s="18">
        <f t="shared" si="591"/>
        <v>0.21095890410958903</v>
      </c>
      <c r="Q3076" s="18">
        <f t="shared" si="592"/>
        <v>699.74020730593611</v>
      </c>
      <c r="R3076" s="18">
        <f t="shared" si="593"/>
        <v>699.74020730593611</v>
      </c>
      <c r="S3076" s="18">
        <f t="shared" si="594"/>
        <v>104046.05979269407</v>
      </c>
      <c r="T3076" s="7"/>
    </row>
    <row r="3077" spans="1:20" ht="15" customHeight="1" x14ac:dyDescent="0.2">
      <c r="A3077" s="14">
        <f t="shared" si="596"/>
        <v>141</v>
      </c>
      <c r="B3077" s="14" t="s">
        <v>2531</v>
      </c>
      <c r="C3077" s="14" t="s">
        <v>18</v>
      </c>
      <c r="D3077" s="14" t="s">
        <v>2532</v>
      </c>
      <c r="E3077" s="14"/>
      <c r="F3077" s="72" t="s">
        <v>19</v>
      </c>
      <c r="G3077" s="32">
        <v>44211</v>
      </c>
      <c r="H3077" s="17">
        <v>0</v>
      </c>
      <c r="I3077" s="17">
        <v>21443</v>
      </c>
      <c r="J3077" s="17">
        <v>0</v>
      </c>
      <c r="K3077" s="17">
        <f t="shared" si="589"/>
        <v>21443</v>
      </c>
      <c r="L3077" s="23">
        <f t="shared" si="595"/>
        <v>1072.1500000000001</v>
      </c>
      <c r="M3077" s="17">
        <v>30</v>
      </c>
      <c r="N3077" s="17">
        <f t="shared" si="590"/>
        <v>0</v>
      </c>
      <c r="O3077" s="23">
        <f t="shared" si="597"/>
        <v>0</v>
      </c>
      <c r="P3077" s="18">
        <f t="shared" si="591"/>
        <v>0.21095890410958903</v>
      </c>
      <c r="Q3077" s="18">
        <f t="shared" si="592"/>
        <v>143.2470730593607</v>
      </c>
      <c r="R3077" s="18">
        <f t="shared" si="593"/>
        <v>143.2470730593607</v>
      </c>
      <c r="S3077" s="18">
        <f t="shared" si="594"/>
        <v>21299.75292694064</v>
      </c>
      <c r="T3077" s="7"/>
    </row>
    <row r="3078" spans="1:20" ht="15" customHeight="1" x14ac:dyDescent="0.2">
      <c r="A3078" s="14">
        <f t="shared" si="596"/>
        <v>142</v>
      </c>
      <c r="B3078" s="14" t="s">
        <v>2533</v>
      </c>
      <c r="C3078" s="14" t="s">
        <v>18</v>
      </c>
      <c r="D3078" s="14" t="s">
        <v>2532</v>
      </c>
      <c r="E3078" s="14"/>
      <c r="F3078" s="72" t="s">
        <v>19</v>
      </c>
      <c r="G3078" s="32">
        <v>44211</v>
      </c>
      <c r="H3078" s="17">
        <v>0</v>
      </c>
      <c r="I3078" s="17">
        <v>145530</v>
      </c>
      <c r="J3078" s="17">
        <v>0</v>
      </c>
      <c r="K3078" s="17">
        <f t="shared" si="589"/>
        <v>145530</v>
      </c>
      <c r="L3078" s="23">
        <f t="shared" si="595"/>
        <v>7276.5</v>
      </c>
      <c r="M3078" s="17">
        <v>30</v>
      </c>
      <c r="N3078" s="17">
        <f t="shared" si="590"/>
        <v>0</v>
      </c>
      <c r="O3078" s="23">
        <f t="shared" si="597"/>
        <v>0</v>
      </c>
      <c r="P3078" s="18">
        <f t="shared" si="591"/>
        <v>0.21095890410958903</v>
      </c>
      <c r="Q3078" s="18">
        <f t="shared" si="592"/>
        <v>972.19356164383555</v>
      </c>
      <c r="R3078" s="18">
        <f t="shared" si="593"/>
        <v>972.19356164383555</v>
      </c>
      <c r="S3078" s="18">
        <f t="shared" si="594"/>
        <v>144557.80643835617</v>
      </c>
      <c r="T3078" s="7"/>
    </row>
    <row r="3079" spans="1:20" ht="15" customHeight="1" x14ac:dyDescent="0.2">
      <c r="A3079" s="14">
        <f t="shared" si="596"/>
        <v>143</v>
      </c>
      <c r="B3079" s="14" t="s">
        <v>2534</v>
      </c>
      <c r="C3079" s="14" t="s">
        <v>18</v>
      </c>
      <c r="D3079" s="14" t="s">
        <v>2532</v>
      </c>
      <c r="E3079" s="14"/>
      <c r="F3079" s="72" t="s">
        <v>19</v>
      </c>
      <c r="G3079" s="32">
        <v>44211</v>
      </c>
      <c r="H3079" s="17">
        <v>0</v>
      </c>
      <c r="I3079" s="17">
        <v>713268</v>
      </c>
      <c r="J3079" s="17">
        <v>0</v>
      </c>
      <c r="K3079" s="17">
        <f t="shared" si="589"/>
        <v>713268</v>
      </c>
      <c r="L3079" s="23">
        <f t="shared" si="595"/>
        <v>35663.4</v>
      </c>
      <c r="M3079" s="17">
        <v>30</v>
      </c>
      <c r="N3079" s="17">
        <f t="shared" si="590"/>
        <v>0</v>
      </c>
      <c r="O3079" s="23">
        <f t="shared" si="597"/>
        <v>0</v>
      </c>
      <c r="P3079" s="18">
        <f t="shared" si="591"/>
        <v>0.21095890410958903</v>
      </c>
      <c r="Q3079" s="18">
        <f t="shared" si="592"/>
        <v>4764.8907945205474</v>
      </c>
      <c r="R3079" s="18">
        <f t="shared" si="593"/>
        <v>4764.8907945205474</v>
      </c>
      <c r="S3079" s="18">
        <f t="shared" si="594"/>
        <v>708503.1092054795</v>
      </c>
      <c r="T3079" s="7"/>
    </row>
    <row r="3080" spans="1:20" ht="15" customHeight="1" x14ac:dyDescent="0.2">
      <c r="A3080" s="14">
        <f t="shared" si="596"/>
        <v>144</v>
      </c>
      <c r="B3080" s="14" t="s">
        <v>2506</v>
      </c>
      <c r="C3080" s="14" t="s">
        <v>18</v>
      </c>
      <c r="D3080" s="14" t="s">
        <v>2532</v>
      </c>
      <c r="E3080" s="14"/>
      <c r="F3080" s="72" t="s">
        <v>19</v>
      </c>
      <c r="G3080" s="32">
        <v>44211</v>
      </c>
      <c r="H3080" s="17">
        <v>0</v>
      </c>
      <c r="I3080" s="17">
        <v>286359.95</v>
      </c>
      <c r="J3080" s="17">
        <v>0</v>
      </c>
      <c r="K3080" s="17">
        <f t="shared" si="589"/>
        <v>286359.95</v>
      </c>
      <c r="L3080" s="23">
        <f t="shared" si="595"/>
        <v>14317.997500000001</v>
      </c>
      <c r="M3080" s="17">
        <v>30</v>
      </c>
      <c r="N3080" s="17">
        <f t="shared" si="590"/>
        <v>0</v>
      </c>
      <c r="O3080" s="23">
        <f t="shared" si="597"/>
        <v>0</v>
      </c>
      <c r="P3080" s="18">
        <f t="shared" si="591"/>
        <v>0.21095890410958903</v>
      </c>
      <c r="Q3080" s="18">
        <f t="shared" si="592"/>
        <v>1912.9890723744293</v>
      </c>
      <c r="R3080" s="18">
        <f t="shared" si="593"/>
        <v>1912.9890723744293</v>
      </c>
      <c r="S3080" s="18">
        <f t="shared" si="594"/>
        <v>284446.96092762559</v>
      </c>
      <c r="T3080" s="7"/>
    </row>
    <row r="3081" spans="1:20" ht="15" customHeight="1" x14ac:dyDescent="0.2">
      <c r="A3081" s="14">
        <f t="shared" si="596"/>
        <v>145</v>
      </c>
      <c r="B3081" s="14" t="s">
        <v>2535</v>
      </c>
      <c r="C3081" s="14" t="s">
        <v>18</v>
      </c>
      <c r="D3081" s="14" t="s">
        <v>2532</v>
      </c>
      <c r="E3081" s="14"/>
      <c r="F3081" s="72" t="s">
        <v>19</v>
      </c>
      <c r="G3081" s="32">
        <v>44211</v>
      </c>
      <c r="H3081" s="17">
        <v>0</v>
      </c>
      <c r="I3081" s="17">
        <v>197663</v>
      </c>
      <c r="J3081" s="17">
        <v>0</v>
      </c>
      <c r="K3081" s="17">
        <f t="shared" si="589"/>
        <v>197663</v>
      </c>
      <c r="L3081" s="23">
        <f t="shared" si="595"/>
        <v>9883.1500000000015</v>
      </c>
      <c r="M3081" s="17">
        <v>30</v>
      </c>
      <c r="N3081" s="17">
        <f t="shared" si="590"/>
        <v>0</v>
      </c>
      <c r="O3081" s="23">
        <f t="shared" si="597"/>
        <v>0</v>
      </c>
      <c r="P3081" s="18">
        <f t="shared" si="591"/>
        <v>0.21095890410958903</v>
      </c>
      <c r="Q3081" s="18">
        <f t="shared" si="592"/>
        <v>1320.4610456621003</v>
      </c>
      <c r="R3081" s="18">
        <f t="shared" si="593"/>
        <v>1320.4610456621003</v>
      </c>
      <c r="S3081" s="18">
        <f t="shared" si="594"/>
        <v>196342.53895433791</v>
      </c>
      <c r="T3081" s="7"/>
    </row>
    <row r="3082" spans="1:20" ht="15" customHeight="1" x14ac:dyDescent="0.2">
      <c r="A3082" s="14">
        <f t="shared" si="596"/>
        <v>146</v>
      </c>
      <c r="B3082" s="14" t="s">
        <v>2535</v>
      </c>
      <c r="C3082" s="14" t="s">
        <v>18</v>
      </c>
      <c r="D3082" s="14" t="s">
        <v>2532</v>
      </c>
      <c r="E3082" s="14"/>
      <c r="F3082" s="72" t="s">
        <v>19</v>
      </c>
      <c r="G3082" s="32">
        <v>44211</v>
      </c>
      <c r="H3082" s="17">
        <v>0</v>
      </c>
      <c r="I3082" s="17">
        <v>4488116</v>
      </c>
      <c r="J3082" s="17">
        <v>0</v>
      </c>
      <c r="K3082" s="17">
        <f t="shared" si="589"/>
        <v>4488116</v>
      </c>
      <c r="L3082" s="23">
        <f t="shared" si="595"/>
        <v>224405.80000000002</v>
      </c>
      <c r="M3082" s="17">
        <v>30</v>
      </c>
      <c r="N3082" s="17">
        <f t="shared" si="590"/>
        <v>0</v>
      </c>
      <c r="O3082" s="23">
        <f t="shared" si="597"/>
        <v>0</v>
      </c>
      <c r="P3082" s="18">
        <f t="shared" si="591"/>
        <v>0.21095890410958903</v>
      </c>
      <c r="Q3082" s="18">
        <f>(P3082-N3082)/M3082*(K3082-L3082)-948.27</f>
        <v>29033.984374429223</v>
      </c>
      <c r="R3082" s="18">
        <f t="shared" si="593"/>
        <v>29033.984374429223</v>
      </c>
      <c r="S3082" s="18">
        <f t="shared" si="594"/>
        <v>4459082.0156255709</v>
      </c>
      <c r="T3082" s="7"/>
    </row>
    <row r="3083" spans="1:20" ht="15" customHeight="1" x14ac:dyDescent="0.2">
      <c r="A3083" s="14">
        <f t="shared" si="596"/>
        <v>147</v>
      </c>
      <c r="B3083" s="14" t="s">
        <v>2531</v>
      </c>
      <c r="C3083" s="14" t="s">
        <v>18</v>
      </c>
      <c r="D3083" s="14" t="s">
        <v>2532</v>
      </c>
      <c r="E3083" s="14"/>
      <c r="F3083" s="72" t="s">
        <v>19</v>
      </c>
      <c r="G3083" s="32">
        <v>44211</v>
      </c>
      <c r="H3083" s="17">
        <v>0</v>
      </c>
      <c r="I3083" s="17">
        <v>146037</v>
      </c>
      <c r="J3083" s="17">
        <v>0</v>
      </c>
      <c r="K3083" s="17">
        <f t="shared" si="589"/>
        <v>146037</v>
      </c>
      <c r="L3083" s="23">
        <f t="shared" si="595"/>
        <v>7301.85</v>
      </c>
      <c r="M3083" s="17">
        <v>30</v>
      </c>
      <c r="N3083" s="17">
        <f t="shared" si="590"/>
        <v>0</v>
      </c>
      <c r="O3083" s="23">
        <f t="shared" si="597"/>
        <v>0</v>
      </c>
      <c r="P3083" s="18">
        <f t="shared" si="591"/>
        <v>0.21095890410958903</v>
      </c>
      <c r="Q3083" s="18">
        <f>(P3083-N3083)/M3083*(K3083-L3083)</f>
        <v>975.58050684931493</v>
      </c>
      <c r="R3083" s="18">
        <f t="shared" si="593"/>
        <v>975.58050684931493</v>
      </c>
      <c r="S3083" s="18">
        <f t="shared" si="594"/>
        <v>145061.41949315069</v>
      </c>
      <c r="T3083" s="7"/>
    </row>
    <row r="3084" spans="1:20" ht="15" customHeight="1" x14ac:dyDescent="0.2">
      <c r="A3084" s="14">
        <f t="shared" si="596"/>
        <v>148</v>
      </c>
      <c r="B3084" s="14" t="s">
        <v>2531</v>
      </c>
      <c r="C3084" s="14" t="s">
        <v>18</v>
      </c>
      <c r="D3084" s="14" t="s">
        <v>2532</v>
      </c>
      <c r="E3084" s="14"/>
      <c r="F3084" s="72" t="s">
        <v>19</v>
      </c>
      <c r="G3084" s="32">
        <v>44211</v>
      </c>
      <c r="H3084" s="17">
        <v>0</v>
      </c>
      <c r="I3084" s="17">
        <v>136742.10999999999</v>
      </c>
      <c r="J3084" s="17">
        <v>0</v>
      </c>
      <c r="K3084" s="17">
        <f t="shared" si="589"/>
        <v>136742.10999999999</v>
      </c>
      <c r="L3084" s="23">
        <f t="shared" si="595"/>
        <v>6837.1054999999997</v>
      </c>
      <c r="M3084" s="17">
        <v>30</v>
      </c>
      <c r="N3084" s="17">
        <f t="shared" si="590"/>
        <v>0</v>
      </c>
      <c r="O3084" s="23">
        <f t="shared" si="597"/>
        <v>0</v>
      </c>
      <c r="P3084" s="18">
        <f t="shared" si="591"/>
        <v>0.21095890410958903</v>
      </c>
      <c r="Q3084" s="18">
        <f>(P3084-N3084)/M3084*(K3084-L3084)</f>
        <v>913.48724625570753</v>
      </c>
      <c r="R3084" s="18">
        <f t="shared" si="593"/>
        <v>913.48724625570753</v>
      </c>
      <c r="S3084" s="18">
        <f t="shared" si="594"/>
        <v>135828.62275374428</v>
      </c>
      <c r="T3084" s="7"/>
    </row>
    <row r="3085" spans="1:20" ht="15" customHeight="1" x14ac:dyDescent="0.2">
      <c r="A3085" s="14">
        <f t="shared" si="596"/>
        <v>149</v>
      </c>
      <c r="B3085" s="14" t="s">
        <v>2531</v>
      </c>
      <c r="C3085" s="14" t="s">
        <v>18</v>
      </c>
      <c r="D3085" s="14" t="s">
        <v>2532</v>
      </c>
      <c r="E3085" s="14"/>
      <c r="F3085" s="72" t="s">
        <v>19</v>
      </c>
      <c r="G3085" s="32">
        <v>44211</v>
      </c>
      <c r="H3085" s="17">
        <v>0</v>
      </c>
      <c r="I3085" s="17">
        <v>349552</v>
      </c>
      <c r="J3085" s="17">
        <v>0</v>
      </c>
      <c r="K3085" s="17">
        <f t="shared" si="589"/>
        <v>349552</v>
      </c>
      <c r="L3085" s="23">
        <f t="shared" si="595"/>
        <v>17477.600000000002</v>
      </c>
      <c r="M3085" s="17">
        <v>30</v>
      </c>
      <c r="N3085" s="17">
        <f t="shared" si="590"/>
        <v>0</v>
      </c>
      <c r="O3085" s="23">
        <f t="shared" si="597"/>
        <v>0</v>
      </c>
      <c r="P3085" s="18">
        <f t="shared" si="591"/>
        <v>0.21095890410958903</v>
      </c>
      <c r="Q3085" s="18">
        <f>(P3085-N3085)/M3085*(K3085-L3085)</f>
        <v>2335.1350502283108</v>
      </c>
      <c r="R3085" s="18">
        <f t="shared" si="593"/>
        <v>2335.1350502283108</v>
      </c>
      <c r="S3085" s="18">
        <f t="shared" si="594"/>
        <v>347216.86494977167</v>
      </c>
      <c r="T3085" s="7"/>
    </row>
    <row r="3087" spans="1:20" ht="15" customHeight="1" x14ac:dyDescent="0.2">
      <c r="H3087" s="43">
        <f>SUM(H2937:H3086)</f>
        <v>1646139442.3296866</v>
      </c>
      <c r="I3087" s="43">
        <f>SUM(I2937:I3086)</f>
        <v>30707167.109999999</v>
      </c>
      <c r="J3087" s="43">
        <f>SUM(J2937:J3086)</f>
        <v>20200000</v>
      </c>
      <c r="K3087" s="43">
        <f>SUM(K2937:K3086)</f>
        <v>1656646609.4396865</v>
      </c>
      <c r="L3087" s="43">
        <f>SUM(L2937:L3086)</f>
        <v>82832330.471984416</v>
      </c>
      <c r="M3087" s="7"/>
      <c r="O3087" s="43">
        <f>SUM(O2937:O3086)</f>
        <v>18925918.939199898</v>
      </c>
      <c r="Q3087" s="43">
        <f>SUM(Q2937:Q3086)</f>
        <v>59187283.420740016</v>
      </c>
      <c r="R3087" s="43">
        <f>SUM(R2937:R3086)</f>
        <v>78113202.359939829</v>
      </c>
      <c r="S3087" s="43">
        <f>SUM(S2937:S3086)</f>
        <v>1578533407.0797474</v>
      </c>
    </row>
    <row r="3093" spans="1:19" ht="15" customHeight="1" x14ac:dyDescent="0.2">
      <c r="A3093" s="10" t="s">
        <v>24</v>
      </c>
      <c r="B3093" s="10" t="s">
        <v>2471</v>
      </c>
      <c r="C3093" s="10" t="s">
        <v>26</v>
      </c>
      <c r="D3093" s="10" t="s">
        <v>2472</v>
      </c>
      <c r="E3093" s="10" t="s">
        <v>27</v>
      </c>
      <c r="F3093" s="67" t="s">
        <v>0</v>
      </c>
      <c r="G3093" s="10" t="s">
        <v>2473</v>
      </c>
      <c r="H3093" s="12" t="s">
        <v>2474</v>
      </c>
      <c r="I3093" s="12" t="s">
        <v>30</v>
      </c>
      <c r="J3093" s="12" t="s">
        <v>2475</v>
      </c>
      <c r="K3093" s="12" t="s">
        <v>2476</v>
      </c>
      <c r="L3093" s="12" t="s">
        <v>33</v>
      </c>
      <c r="M3093" s="12" t="s">
        <v>2477</v>
      </c>
      <c r="N3093" s="12" t="s">
        <v>35</v>
      </c>
      <c r="O3093" s="12" t="s">
        <v>36</v>
      </c>
      <c r="P3093" s="12" t="s">
        <v>37</v>
      </c>
      <c r="Q3093" s="12" t="s">
        <v>38</v>
      </c>
      <c r="R3093" s="12" t="s">
        <v>39</v>
      </c>
      <c r="S3093" s="12" t="s">
        <v>40</v>
      </c>
    </row>
    <row r="3094" spans="1:19" ht="15" customHeight="1" x14ac:dyDescent="0.2">
      <c r="A3094" s="10">
        <v>1</v>
      </c>
      <c r="B3094" s="14" t="s">
        <v>2536</v>
      </c>
      <c r="C3094" s="14" t="s">
        <v>20</v>
      </c>
      <c r="D3094" s="14" t="s">
        <v>42</v>
      </c>
      <c r="E3094" s="10"/>
      <c r="F3094" s="72" t="s">
        <v>21</v>
      </c>
      <c r="G3094" s="32">
        <v>42353</v>
      </c>
      <c r="H3094" s="17">
        <v>33754942.43</v>
      </c>
      <c r="I3094" s="12"/>
      <c r="J3094" s="12"/>
      <c r="K3094" s="17">
        <f t="shared" ref="K3094:K3125" si="598">H3094+I3094-J3094</f>
        <v>33754942.43</v>
      </c>
      <c r="L3094" s="12">
        <v>0</v>
      </c>
      <c r="M3094" s="12">
        <v>99</v>
      </c>
      <c r="N3094" s="17">
        <f t="shared" ref="N3094:N3125" si="599">IF(($N$35-G3094+1)/365&gt;0,($N$35-G3094+1)/365,0)</f>
        <v>4.3013698630136989</v>
      </c>
      <c r="O3094" s="23">
        <v>0</v>
      </c>
      <c r="P3094" s="18">
        <f t="shared" ref="P3094:P3125" si="600">($P$35-G3094+1)/365</f>
        <v>5.3013698630136989</v>
      </c>
      <c r="Q3094" s="18">
        <v>0</v>
      </c>
      <c r="R3094" s="18">
        <f t="shared" ref="R3094:R3125" si="601">O3094+Q3094</f>
        <v>0</v>
      </c>
      <c r="S3094" s="18">
        <f t="shared" ref="S3094:S3125" si="602">K3094-R3094</f>
        <v>33754942.43</v>
      </c>
    </row>
    <row r="3095" spans="1:19" ht="15" customHeight="1" x14ac:dyDescent="0.2">
      <c r="A3095" s="14">
        <f>A3094+1</f>
        <v>2</v>
      </c>
      <c r="B3095" s="14" t="s">
        <v>2537</v>
      </c>
      <c r="C3095" s="14" t="s">
        <v>20</v>
      </c>
      <c r="D3095" s="14" t="s">
        <v>2288</v>
      </c>
      <c r="E3095" s="17" t="s">
        <v>2289</v>
      </c>
      <c r="F3095" s="72" t="s">
        <v>15</v>
      </c>
      <c r="G3095" s="32">
        <v>42353</v>
      </c>
      <c r="H3095" s="17">
        <v>28352211.196134202</v>
      </c>
      <c r="I3095" s="17">
        <v>0</v>
      </c>
      <c r="J3095" s="17">
        <v>0</v>
      </c>
      <c r="K3095" s="17">
        <f t="shared" si="598"/>
        <v>28352211.196134202</v>
      </c>
      <c r="L3095" s="23">
        <f t="shared" ref="L3095:L3158" si="603">K3095*0.05</f>
        <v>1417610.5598067101</v>
      </c>
      <c r="M3095" s="17">
        <v>25</v>
      </c>
      <c r="N3095" s="17">
        <f t="shared" si="599"/>
        <v>4.3013698630136989</v>
      </c>
      <c r="O3095" s="23">
        <f t="shared" ref="O3095:O3109" si="604">(K3095-L3095)/M3095*N3095</f>
        <v>4634227.1779763466</v>
      </c>
      <c r="P3095" s="18">
        <f t="shared" si="600"/>
        <v>5.3013698630136989</v>
      </c>
      <c r="Q3095" s="18">
        <f t="shared" ref="Q3095:Q3117" si="605">(P3095-N3095)/M3095*(K3095-L3095)</f>
        <v>1077384.0254530995</v>
      </c>
      <c r="R3095" s="18">
        <f t="shared" si="601"/>
        <v>5711611.2034294456</v>
      </c>
      <c r="S3095" s="18">
        <f t="shared" si="602"/>
        <v>22640599.992704757</v>
      </c>
    </row>
    <row r="3096" spans="1:19" ht="15" customHeight="1" x14ac:dyDescent="0.2">
      <c r="A3096" s="14">
        <f t="shared" ref="A3096:A3159" si="606">A3095+1</f>
        <v>3</v>
      </c>
      <c r="B3096" s="14" t="s">
        <v>2537</v>
      </c>
      <c r="C3096" s="14" t="s">
        <v>20</v>
      </c>
      <c r="D3096" s="14" t="s">
        <v>2288</v>
      </c>
      <c r="E3096" s="17" t="s">
        <v>2289</v>
      </c>
      <c r="F3096" s="72" t="s">
        <v>15</v>
      </c>
      <c r="G3096" s="32">
        <v>42444</v>
      </c>
      <c r="H3096" s="17">
        <v>4481337.67</v>
      </c>
      <c r="I3096" s="17">
        <v>0</v>
      </c>
      <c r="J3096" s="17">
        <v>0</v>
      </c>
      <c r="K3096" s="17">
        <f t="shared" si="598"/>
        <v>4481337.67</v>
      </c>
      <c r="L3096" s="23">
        <f t="shared" si="603"/>
        <v>224066.8835</v>
      </c>
      <c r="M3096" s="17">
        <v>25</v>
      </c>
      <c r="N3096" s="17">
        <f t="shared" si="599"/>
        <v>4.0520547945205481</v>
      </c>
      <c r="O3096" s="23">
        <f t="shared" si="604"/>
        <v>690027.78008038353</v>
      </c>
      <c r="P3096" s="18">
        <f t="shared" si="600"/>
        <v>5.0520547945205481</v>
      </c>
      <c r="Q3096" s="18">
        <f t="shared" si="605"/>
        <v>170290.83145999999</v>
      </c>
      <c r="R3096" s="18">
        <f t="shared" si="601"/>
        <v>860318.61154038354</v>
      </c>
      <c r="S3096" s="18">
        <f t="shared" si="602"/>
        <v>3621019.0584596163</v>
      </c>
    </row>
    <row r="3097" spans="1:19" ht="15" customHeight="1" x14ac:dyDescent="0.2">
      <c r="A3097" s="14">
        <f t="shared" si="606"/>
        <v>4</v>
      </c>
      <c r="B3097" s="14" t="s">
        <v>2537</v>
      </c>
      <c r="C3097" s="14" t="s">
        <v>20</v>
      </c>
      <c r="D3097" s="14" t="s">
        <v>2288</v>
      </c>
      <c r="E3097" s="17" t="s">
        <v>2289</v>
      </c>
      <c r="F3097" s="72" t="s">
        <v>15</v>
      </c>
      <c r="G3097" s="32">
        <v>43054</v>
      </c>
      <c r="H3097" s="17">
        <v>4174825.43</v>
      </c>
      <c r="I3097" s="17">
        <v>0</v>
      </c>
      <c r="J3097" s="17">
        <v>0</v>
      </c>
      <c r="K3097" s="17">
        <f t="shared" si="598"/>
        <v>4174825.43</v>
      </c>
      <c r="L3097" s="23">
        <f t="shared" si="603"/>
        <v>208741.27150000003</v>
      </c>
      <c r="M3097" s="17">
        <v>25</v>
      </c>
      <c r="N3097" s="17">
        <f t="shared" si="599"/>
        <v>2.3808219178082193</v>
      </c>
      <c r="O3097" s="23">
        <f t="shared" si="604"/>
        <v>377701.60369715071</v>
      </c>
      <c r="P3097" s="18">
        <f t="shared" si="600"/>
        <v>3.3808219178082193</v>
      </c>
      <c r="Q3097" s="18">
        <f t="shared" si="605"/>
        <v>158643.36634000001</v>
      </c>
      <c r="R3097" s="18">
        <f t="shared" si="601"/>
        <v>536344.97003715066</v>
      </c>
      <c r="S3097" s="18">
        <f t="shared" si="602"/>
        <v>3638480.4599628495</v>
      </c>
    </row>
    <row r="3098" spans="1:19" ht="15" customHeight="1" x14ac:dyDescent="0.2">
      <c r="A3098" s="14">
        <f t="shared" si="606"/>
        <v>5</v>
      </c>
      <c r="B3098" s="14" t="s">
        <v>2538</v>
      </c>
      <c r="C3098" s="14" t="s">
        <v>20</v>
      </c>
      <c r="D3098" s="14" t="s">
        <v>2288</v>
      </c>
      <c r="E3098" s="17" t="s">
        <v>2289</v>
      </c>
      <c r="F3098" s="72" t="s">
        <v>15</v>
      </c>
      <c r="G3098" s="32">
        <v>42353</v>
      </c>
      <c r="H3098" s="17">
        <v>18824660.991227053</v>
      </c>
      <c r="I3098" s="17">
        <v>0</v>
      </c>
      <c r="J3098" s="17">
        <v>0</v>
      </c>
      <c r="K3098" s="17">
        <f t="shared" si="598"/>
        <v>18824660.991227053</v>
      </c>
      <c r="L3098" s="23">
        <f t="shared" si="603"/>
        <v>941233.0495613527</v>
      </c>
      <c r="M3098" s="17">
        <v>25</v>
      </c>
      <c r="N3098" s="17">
        <f t="shared" si="599"/>
        <v>4.3013698630136989</v>
      </c>
      <c r="O3098" s="23">
        <f t="shared" si="604"/>
        <v>3076929.5198263181</v>
      </c>
      <c r="P3098" s="18">
        <f t="shared" si="600"/>
        <v>5.3013698630136989</v>
      </c>
      <c r="Q3098" s="18">
        <f t="shared" si="605"/>
        <v>715337.1176666281</v>
      </c>
      <c r="R3098" s="18">
        <f t="shared" si="601"/>
        <v>3792266.6374929463</v>
      </c>
      <c r="S3098" s="18">
        <f t="shared" si="602"/>
        <v>15032394.353734106</v>
      </c>
    </row>
    <row r="3099" spans="1:19" ht="15" customHeight="1" x14ac:dyDescent="0.2">
      <c r="A3099" s="14">
        <f t="shared" si="606"/>
        <v>6</v>
      </c>
      <c r="B3099" s="14" t="s">
        <v>2538</v>
      </c>
      <c r="C3099" s="14" t="s">
        <v>20</v>
      </c>
      <c r="D3099" s="14" t="s">
        <v>2288</v>
      </c>
      <c r="E3099" s="17" t="s">
        <v>2289</v>
      </c>
      <c r="F3099" s="72" t="s">
        <v>15</v>
      </c>
      <c r="G3099" s="32">
        <v>43054</v>
      </c>
      <c r="H3099" s="17">
        <v>226125</v>
      </c>
      <c r="I3099" s="17">
        <v>0</v>
      </c>
      <c r="J3099" s="17">
        <v>0</v>
      </c>
      <c r="K3099" s="17">
        <f t="shared" si="598"/>
        <v>226125</v>
      </c>
      <c r="L3099" s="23">
        <f t="shared" si="603"/>
        <v>11306.25</v>
      </c>
      <c r="M3099" s="17">
        <v>25</v>
      </c>
      <c r="N3099" s="17">
        <f t="shared" si="599"/>
        <v>2.3808219178082193</v>
      </c>
      <c r="O3099" s="23">
        <f t="shared" si="604"/>
        <v>20457.807534246575</v>
      </c>
      <c r="P3099" s="18">
        <f t="shared" si="600"/>
        <v>3.3808219178082193</v>
      </c>
      <c r="Q3099" s="18">
        <f t="shared" si="605"/>
        <v>8592.75</v>
      </c>
      <c r="R3099" s="18">
        <f t="shared" si="601"/>
        <v>29050.557534246575</v>
      </c>
      <c r="S3099" s="18">
        <f t="shared" si="602"/>
        <v>197074.44246575341</v>
      </c>
    </row>
    <row r="3100" spans="1:19" ht="15" customHeight="1" x14ac:dyDescent="0.2">
      <c r="A3100" s="14">
        <f t="shared" si="606"/>
        <v>7</v>
      </c>
      <c r="B3100" s="14" t="s">
        <v>2538</v>
      </c>
      <c r="C3100" s="14" t="s">
        <v>20</v>
      </c>
      <c r="D3100" s="14" t="s">
        <v>2288</v>
      </c>
      <c r="E3100" s="17" t="s">
        <v>2289</v>
      </c>
      <c r="F3100" s="72" t="s">
        <v>15</v>
      </c>
      <c r="G3100" s="32">
        <v>43190</v>
      </c>
      <c r="H3100" s="17">
        <v>2187034.08</v>
      </c>
      <c r="I3100" s="17">
        <v>0</v>
      </c>
      <c r="J3100" s="17">
        <v>0</v>
      </c>
      <c r="K3100" s="17">
        <f t="shared" si="598"/>
        <v>2187034.08</v>
      </c>
      <c r="L3100" s="23">
        <f t="shared" si="603"/>
        <v>109351.70400000001</v>
      </c>
      <c r="M3100" s="17">
        <v>25</v>
      </c>
      <c r="N3100" s="17">
        <f t="shared" si="599"/>
        <v>2.0082191780821916</v>
      </c>
      <c r="O3100" s="23">
        <f t="shared" si="604"/>
        <v>166897.66373786301</v>
      </c>
      <c r="P3100" s="18">
        <f t="shared" si="600"/>
        <v>3.0082191780821916</v>
      </c>
      <c r="Q3100" s="18">
        <f t="shared" si="605"/>
        <v>83107.295040000012</v>
      </c>
      <c r="R3100" s="18">
        <f t="shared" si="601"/>
        <v>250004.95877786301</v>
      </c>
      <c r="S3100" s="18">
        <f t="shared" si="602"/>
        <v>1937029.121222137</v>
      </c>
    </row>
    <row r="3101" spans="1:19" ht="15" customHeight="1" x14ac:dyDescent="0.2">
      <c r="A3101" s="14">
        <f t="shared" si="606"/>
        <v>8</v>
      </c>
      <c r="B3101" s="14" t="s">
        <v>2539</v>
      </c>
      <c r="C3101" s="14" t="s">
        <v>20</v>
      </c>
      <c r="D3101" s="14" t="s">
        <v>2288</v>
      </c>
      <c r="E3101" s="17" t="s">
        <v>2289</v>
      </c>
      <c r="F3101" s="72" t="s">
        <v>15</v>
      </c>
      <c r="G3101" s="32">
        <v>42353</v>
      </c>
      <c r="H3101" s="17">
        <v>90911896.830891356</v>
      </c>
      <c r="I3101" s="17">
        <v>0</v>
      </c>
      <c r="J3101" s="17">
        <v>0</v>
      </c>
      <c r="K3101" s="17">
        <f t="shared" si="598"/>
        <v>90911896.830891356</v>
      </c>
      <c r="L3101" s="23">
        <f t="shared" si="603"/>
        <v>4545594.8415445676</v>
      </c>
      <c r="M3101" s="17">
        <v>25</v>
      </c>
      <c r="N3101" s="17">
        <f t="shared" si="599"/>
        <v>4.3013698630136989</v>
      </c>
      <c r="O3101" s="23">
        <f t="shared" si="604"/>
        <v>14859736.342276653</v>
      </c>
      <c r="P3101" s="18">
        <f t="shared" si="600"/>
        <v>5.3013698630136989</v>
      </c>
      <c r="Q3101" s="18">
        <f t="shared" si="605"/>
        <v>3454652.0795738716</v>
      </c>
      <c r="R3101" s="18">
        <f t="shared" si="601"/>
        <v>18314388.421850525</v>
      </c>
      <c r="S3101" s="18">
        <f t="shared" si="602"/>
        <v>72597508.409040838</v>
      </c>
    </row>
    <row r="3102" spans="1:19" ht="15" customHeight="1" x14ac:dyDescent="0.2">
      <c r="A3102" s="14">
        <f t="shared" si="606"/>
        <v>9</v>
      </c>
      <c r="B3102" s="14" t="s">
        <v>2539</v>
      </c>
      <c r="C3102" s="14" t="s">
        <v>20</v>
      </c>
      <c r="D3102" s="14" t="s">
        <v>2288</v>
      </c>
      <c r="E3102" s="17" t="s">
        <v>2289</v>
      </c>
      <c r="F3102" s="72" t="s">
        <v>15</v>
      </c>
      <c r="G3102" s="32">
        <v>42444</v>
      </c>
      <c r="H3102" s="17">
        <v>649192.55000000005</v>
      </c>
      <c r="I3102" s="17">
        <v>0</v>
      </c>
      <c r="J3102" s="17">
        <v>0</v>
      </c>
      <c r="K3102" s="17">
        <f t="shared" si="598"/>
        <v>649192.55000000005</v>
      </c>
      <c r="L3102" s="23">
        <f t="shared" si="603"/>
        <v>32459.627500000002</v>
      </c>
      <c r="M3102" s="17">
        <v>25</v>
      </c>
      <c r="N3102" s="17">
        <f t="shared" si="599"/>
        <v>4.0520547945205481</v>
      </c>
      <c r="O3102" s="23">
        <f t="shared" si="604"/>
        <v>99961.423822191806</v>
      </c>
      <c r="P3102" s="18">
        <f t="shared" si="600"/>
        <v>5.0520547945205481</v>
      </c>
      <c r="Q3102" s="18">
        <f t="shared" si="605"/>
        <v>24669.316900000005</v>
      </c>
      <c r="R3102" s="18">
        <f t="shared" si="601"/>
        <v>124630.74072219181</v>
      </c>
      <c r="S3102" s="18">
        <f t="shared" si="602"/>
        <v>524561.80927780829</v>
      </c>
    </row>
    <row r="3103" spans="1:19" ht="15" customHeight="1" x14ac:dyDescent="0.2">
      <c r="A3103" s="14">
        <f t="shared" si="606"/>
        <v>10</v>
      </c>
      <c r="B3103" s="14" t="s">
        <v>2539</v>
      </c>
      <c r="C3103" s="14" t="s">
        <v>20</v>
      </c>
      <c r="D3103" s="14" t="s">
        <v>2288</v>
      </c>
      <c r="E3103" s="17" t="s">
        <v>2289</v>
      </c>
      <c r="F3103" s="72" t="s">
        <v>15</v>
      </c>
      <c r="G3103" s="32">
        <v>43054</v>
      </c>
      <c r="H3103" s="17">
        <v>193631.08</v>
      </c>
      <c r="I3103" s="17">
        <v>0</v>
      </c>
      <c r="J3103" s="17">
        <v>0</v>
      </c>
      <c r="K3103" s="17">
        <f t="shared" si="598"/>
        <v>193631.08</v>
      </c>
      <c r="L3103" s="23">
        <f t="shared" si="603"/>
        <v>9681.5540000000001</v>
      </c>
      <c r="M3103" s="17">
        <v>25</v>
      </c>
      <c r="N3103" s="17">
        <f t="shared" si="599"/>
        <v>2.3808219178082193</v>
      </c>
      <c r="O3103" s="23">
        <f t="shared" si="604"/>
        <v>17518.042530849314</v>
      </c>
      <c r="P3103" s="18">
        <f t="shared" si="600"/>
        <v>3.3808219178082193</v>
      </c>
      <c r="Q3103" s="18">
        <f t="shared" si="605"/>
        <v>7357.9810399999997</v>
      </c>
      <c r="R3103" s="18">
        <f t="shared" si="601"/>
        <v>24876.023570849313</v>
      </c>
      <c r="S3103" s="18">
        <f t="shared" si="602"/>
        <v>168755.05642915069</v>
      </c>
    </row>
    <row r="3104" spans="1:19" ht="15" customHeight="1" x14ac:dyDescent="0.2">
      <c r="A3104" s="14">
        <f t="shared" si="606"/>
        <v>11</v>
      </c>
      <c r="B3104" s="14" t="s">
        <v>2540</v>
      </c>
      <c r="C3104" s="14" t="s">
        <v>20</v>
      </c>
      <c r="D3104" s="14" t="s">
        <v>2288</v>
      </c>
      <c r="E3104" s="17" t="s">
        <v>2289</v>
      </c>
      <c r="F3104" s="72" t="s">
        <v>21</v>
      </c>
      <c r="G3104" s="32">
        <v>42353</v>
      </c>
      <c r="H3104" s="17">
        <v>23307685.765457917</v>
      </c>
      <c r="I3104" s="17">
        <v>0</v>
      </c>
      <c r="J3104" s="17">
        <v>0</v>
      </c>
      <c r="K3104" s="17">
        <f t="shared" si="598"/>
        <v>23307685.765457917</v>
      </c>
      <c r="L3104" s="23">
        <f t="shared" si="603"/>
        <v>1165384.2882728959</v>
      </c>
      <c r="M3104" s="17">
        <v>25</v>
      </c>
      <c r="N3104" s="17">
        <f t="shared" si="599"/>
        <v>4.3013698630136989</v>
      </c>
      <c r="O3104" s="23">
        <f t="shared" si="604"/>
        <v>3809689.1308690947</v>
      </c>
      <c r="P3104" s="18">
        <f t="shared" si="600"/>
        <v>5.3013698630136989</v>
      </c>
      <c r="Q3104" s="18">
        <f t="shared" si="605"/>
        <v>885692.05908740091</v>
      </c>
      <c r="R3104" s="18">
        <f t="shared" si="601"/>
        <v>4695381.1899564955</v>
      </c>
      <c r="S3104" s="18">
        <f t="shared" si="602"/>
        <v>18612304.57550142</v>
      </c>
    </row>
    <row r="3105" spans="1:19" ht="15" customHeight="1" x14ac:dyDescent="0.2">
      <c r="A3105" s="14">
        <f t="shared" si="606"/>
        <v>12</v>
      </c>
      <c r="B3105" s="14" t="s">
        <v>2540</v>
      </c>
      <c r="C3105" s="14" t="s">
        <v>20</v>
      </c>
      <c r="D3105" s="14" t="s">
        <v>2288</v>
      </c>
      <c r="E3105" s="17" t="s">
        <v>2289</v>
      </c>
      <c r="F3105" s="72" t="s">
        <v>21</v>
      </c>
      <c r="G3105" s="32">
        <v>42444</v>
      </c>
      <c r="H3105" s="17">
        <v>1232002.6100000001</v>
      </c>
      <c r="I3105" s="17">
        <v>0</v>
      </c>
      <c r="J3105" s="17">
        <v>0</v>
      </c>
      <c r="K3105" s="17">
        <f t="shared" si="598"/>
        <v>1232002.6100000001</v>
      </c>
      <c r="L3105" s="23">
        <f t="shared" si="603"/>
        <v>61600.130500000007</v>
      </c>
      <c r="M3105" s="17">
        <v>25</v>
      </c>
      <c r="N3105" s="17">
        <f t="shared" si="599"/>
        <v>4.0520547945205481</v>
      </c>
      <c r="O3105" s="23">
        <f t="shared" si="604"/>
        <v>189701.39914306853</v>
      </c>
      <c r="P3105" s="18">
        <f t="shared" si="600"/>
        <v>5.0520547945205481</v>
      </c>
      <c r="Q3105" s="18">
        <f t="shared" si="605"/>
        <v>46816.099180000005</v>
      </c>
      <c r="R3105" s="18">
        <f t="shared" si="601"/>
        <v>236517.49832306855</v>
      </c>
      <c r="S3105" s="18">
        <f t="shared" si="602"/>
        <v>995485.11167693161</v>
      </c>
    </row>
    <row r="3106" spans="1:19" ht="15" customHeight="1" x14ac:dyDescent="0.2">
      <c r="A3106" s="14">
        <f t="shared" si="606"/>
        <v>13</v>
      </c>
      <c r="B3106" s="14" t="s">
        <v>2540</v>
      </c>
      <c r="C3106" s="14" t="s">
        <v>20</v>
      </c>
      <c r="D3106" s="14" t="s">
        <v>2288</v>
      </c>
      <c r="E3106" s="17" t="s">
        <v>2289</v>
      </c>
      <c r="F3106" s="72" t="s">
        <v>21</v>
      </c>
      <c r="G3106" s="32">
        <v>43054</v>
      </c>
      <c r="H3106" s="17">
        <v>2039602.83</v>
      </c>
      <c r="I3106" s="17">
        <v>0</v>
      </c>
      <c r="J3106" s="17">
        <v>0</v>
      </c>
      <c r="K3106" s="17">
        <f t="shared" si="598"/>
        <v>2039602.83</v>
      </c>
      <c r="L3106" s="23">
        <f t="shared" si="603"/>
        <v>101980.14150000001</v>
      </c>
      <c r="M3106" s="17">
        <v>25</v>
      </c>
      <c r="N3106" s="17">
        <f t="shared" si="599"/>
        <v>2.3808219178082193</v>
      </c>
      <c r="O3106" s="23">
        <f t="shared" si="604"/>
        <v>184525.38260893151</v>
      </c>
      <c r="P3106" s="18">
        <f t="shared" si="600"/>
        <v>3.3808219178082193</v>
      </c>
      <c r="Q3106" s="18">
        <f t="shared" si="605"/>
        <v>77504.907540000015</v>
      </c>
      <c r="R3106" s="18">
        <f t="shared" si="601"/>
        <v>262030.29014893153</v>
      </c>
      <c r="S3106" s="18">
        <f t="shared" si="602"/>
        <v>1777572.5398510685</v>
      </c>
    </row>
    <row r="3107" spans="1:19" ht="15" customHeight="1" x14ac:dyDescent="0.2">
      <c r="A3107" s="14">
        <f t="shared" si="606"/>
        <v>14</v>
      </c>
      <c r="B3107" s="14" t="s">
        <v>2541</v>
      </c>
      <c r="C3107" s="14" t="s">
        <v>20</v>
      </c>
      <c r="D3107" s="14" t="s">
        <v>2288</v>
      </c>
      <c r="E3107" s="17" t="s">
        <v>2289</v>
      </c>
      <c r="F3107" s="72" t="s">
        <v>15</v>
      </c>
      <c r="G3107" s="32">
        <v>42353</v>
      </c>
      <c r="H3107" s="17">
        <v>32197678.104446284</v>
      </c>
      <c r="I3107" s="17">
        <v>0</v>
      </c>
      <c r="J3107" s="17">
        <v>0</v>
      </c>
      <c r="K3107" s="17">
        <f t="shared" si="598"/>
        <v>32197678.104446284</v>
      </c>
      <c r="L3107" s="23">
        <f t="shared" si="603"/>
        <v>1609883.9052223144</v>
      </c>
      <c r="M3107" s="17">
        <v>25</v>
      </c>
      <c r="N3107" s="17">
        <f t="shared" si="599"/>
        <v>4.3013698630136989</v>
      </c>
      <c r="O3107" s="23">
        <f t="shared" si="604"/>
        <v>5262776.6457842886</v>
      </c>
      <c r="P3107" s="18">
        <f t="shared" si="600"/>
        <v>5.3013698630136989</v>
      </c>
      <c r="Q3107" s="18">
        <f t="shared" si="605"/>
        <v>1223511.7679689587</v>
      </c>
      <c r="R3107" s="18">
        <f t="shared" si="601"/>
        <v>6486288.4137532469</v>
      </c>
      <c r="S3107" s="18">
        <f t="shared" si="602"/>
        <v>25711389.690693036</v>
      </c>
    </row>
    <row r="3108" spans="1:19" ht="15" customHeight="1" x14ac:dyDescent="0.2">
      <c r="A3108" s="14">
        <f t="shared" si="606"/>
        <v>15</v>
      </c>
      <c r="B3108" s="14" t="s">
        <v>2541</v>
      </c>
      <c r="C3108" s="14" t="s">
        <v>20</v>
      </c>
      <c r="D3108" s="14" t="s">
        <v>2288</v>
      </c>
      <c r="E3108" s="17" t="s">
        <v>2289</v>
      </c>
      <c r="F3108" s="72" t="s">
        <v>15</v>
      </c>
      <c r="G3108" s="32">
        <v>42415</v>
      </c>
      <c r="H3108" s="17">
        <v>807646.32</v>
      </c>
      <c r="I3108" s="17">
        <v>0</v>
      </c>
      <c r="J3108" s="17">
        <v>0</v>
      </c>
      <c r="K3108" s="17">
        <f t="shared" si="598"/>
        <v>807646.32</v>
      </c>
      <c r="L3108" s="23">
        <f t="shared" si="603"/>
        <v>40382.315999999999</v>
      </c>
      <c r="M3108" s="17">
        <v>25</v>
      </c>
      <c r="N3108" s="17">
        <f t="shared" si="599"/>
        <v>4.1315068493150688</v>
      </c>
      <c r="O3108" s="23">
        <f t="shared" si="604"/>
        <v>126798.25951035616</v>
      </c>
      <c r="P3108" s="18">
        <f t="shared" si="600"/>
        <v>5.1315068493150688</v>
      </c>
      <c r="Q3108" s="18">
        <f t="shared" si="605"/>
        <v>30690.560159999997</v>
      </c>
      <c r="R3108" s="18">
        <f t="shared" si="601"/>
        <v>157488.81967035617</v>
      </c>
      <c r="S3108" s="18">
        <f t="shared" si="602"/>
        <v>650157.50032964372</v>
      </c>
    </row>
    <row r="3109" spans="1:19" ht="15" customHeight="1" x14ac:dyDescent="0.2">
      <c r="A3109" s="14">
        <f t="shared" si="606"/>
        <v>16</v>
      </c>
      <c r="B3109" s="14" t="s">
        <v>2541</v>
      </c>
      <c r="C3109" s="14" t="s">
        <v>20</v>
      </c>
      <c r="D3109" s="14" t="s">
        <v>2288</v>
      </c>
      <c r="E3109" s="17" t="s">
        <v>2289</v>
      </c>
      <c r="F3109" s="72" t="s">
        <v>15</v>
      </c>
      <c r="G3109" s="32">
        <v>43054</v>
      </c>
      <c r="H3109" s="17">
        <v>127239.51</v>
      </c>
      <c r="I3109" s="17">
        <v>0</v>
      </c>
      <c r="J3109" s="17">
        <v>0</v>
      </c>
      <c r="K3109" s="17">
        <f t="shared" si="598"/>
        <v>127239.51</v>
      </c>
      <c r="L3109" s="23">
        <f t="shared" si="603"/>
        <v>6361.9755000000005</v>
      </c>
      <c r="M3109" s="17">
        <v>25</v>
      </c>
      <c r="N3109" s="17">
        <f t="shared" si="599"/>
        <v>2.3808219178082193</v>
      </c>
      <c r="O3109" s="23">
        <f t="shared" si="604"/>
        <v>11511.515340328768</v>
      </c>
      <c r="P3109" s="18">
        <f t="shared" si="600"/>
        <v>3.3808219178082193</v>
      </c>
      <c r="Q3109" s="18">
        <f t="shared" si="605"/>
        <v>4835.1013800000001</v>
      </c>
      <c r="R3109" s="18">
        <f t="shared" si="601"/>
        <v>16346.616720328768</v>
      </c>
      <c r="S3109" s="18">
        <f t="shared" si="602"/>
        <v>110892.89327967123</v>
      </c>
    </row>
    <row r="3110" spans="1:19" ht="15" customHeight="1" x14ac:dyDescent="0.2">
      <c r="A3110" s="14">
        <f t="shared" si="606"/>
        <v>17</v>
      </c>
      <c r="B3110" s="14" t="s">
        <v>2542</v>
      </c>
      <c r="C3110" s="14" t="s">
        <v>20</v>
      </c>
      <c r="D3110" s="14" t="s">
        <v>2288</v>
      </c>
      <c r="E3110" s="17" t="s">
        <v>2289</v>
      </c>
      <c r="F3110" s="72" t="s">
        <v>12</v>
      </c>
      <c r="G3110" s="32">
        <v>42353</v>
      </c>
      <c r="H3110" s="17">
        <v>97817663.103582382</v>
      </c>
      <c r="I3110" s="17">
        <v>0</v>
      </c>
      <c r="J3110" s="17">
        <v>0</v>
      </c>
      <c r="K3110" s="17">
        <f t="shared" si="598"/>
        <v>97817663.103582382</v>
      </c>
      <c r="L3110" s="23">
        <f t="shared" si="603"/>
        <v>4890883.1551791197</v>
      </c>
      <c r="M3110" s="17">
        <v>25</v>
      </c>
      <c r="N3110" s="17">
        <f t="shared" si="599"/>
        <v>4.3013698630136989</v>
      </c>
      <c r="O3110" s="23">
        <f>(K3110-L3110)/M3110*N3110-36041.47</f>
        <v>15952456.5594787</v>
      </c>
      <c r="P3110" s="18">
        <f t="shared" si="600"/>
        <v>5.3013698630136989</v>
      </c>
      <c r="Q3110" s="18">
        <f t="shared" si="605"/>
        <v>3717071.1979361307</v>
      </c>
      <c r="R3110" s="18">
        <f t="shared" si="601"/>
        <v>19669527.757414833</v>
      </c>
      <c r="S3110" s="18">
        <f t="shared" si="602"/>
        <v>78148135.346167549</v>
      </c>
    </row>
    <row r="3111" spans="1:19" ht="15" customHeight="1" x14ac:dyDescent="0.2">
      <c r="A3111" s="14">
        <f t="shared" si="606"/>
        <v>18</v>
      </c>
      <c r="B3111" s="14" t="s">
        <v>2542</v>
      </c>
      <c r="C3111" s="14" t="s">
        <v>20</v>
      </c>
      <c r="D3111" s="14" t="s">
        <v>2288</v>
      </c>
      <c r="E3111" s="17" t="s">
        <v>2289</v>
      </c>
      <c r="F3111" s="72" t="s">
        <v>12</v>
      </c>
      <c r="G3111" s="32">
        <v>42444</v>
      </c>
      <c r="H3111" s="17">
        <v>4105721.58</v>
      </c>
      <c r="I3111" s="17">
        <v>0</v>
      </c>
      <c r="J3111" s="17">
        <v>0</v>
      </c>
      <c r="K3111" s="17">
        <f t="shared" si="598"/>
        <v>4105721.58</v>
      </c>
      <c r="L3111" s="23">
        <f t="shared" si="603"/>
        <v>205286.07900000003</v>
      </c>
      <c r="M3111" s="17">
        <v>25</v>
      </c>
      <c r="N3111" s="17">
        <f t="shared" si="599"/>
        <v>4.0520547945205481</v>
      </c>
      <c r="O3111" s="23">
        <f t="shared" ref="O3111:O3117" si="607">(K3111-L3111)/M3111*N3111</f>
        <v>632191.13490180823</v>
      </c>
      <c r="P3111" s="18">
        <f t="shared" si="600"/>
        <v>5.0520547945205481</v>
      </c>
      <c r="Q3111" s="18">
        <f t="shared" si="605"/>
        <v>156017.42004</v>
      </c>
      <c r="R3111" s="18">
        <f t="shared" si="601"/>
        <v>788208.55494180822</v>
      </c>
      <c r="S3111" s="18">
        <f t="shared" si="602"/>
        <v>3317513.0250581917</v>
      </c>
    </row>
    <row r="3112" spans="1:19" ht="15" customHeight="1" x14ac:dyDescent="0.2">
      <c r="A3112" s="14">
        <f t="shared" si="606"/>
        <v>19</v>
      </c>
      <c r="B3112" s="14" t="s">
        <v>2542</v>
      </c>
      <c r="C3112" s="14" t="s">
        <v>20</v>
      </c>
      <c r="D3112" s="14" t="s">
        <v>2288</v>
      </c>
      <c r="E3112" s="17" t="s">
        <v>2289</v>
      </c>
      <c r="F3112" s="72" t="s">
        <v>12</v>
      </c>
      <c r="G3112" s="32">
        <v>43054</v>
      </c>
      <c r="H3112" s="17">
        <v>611441.54</v>
      </c>
      <c r="I3112" s="17">
        <v>0</v>
      </c>
      <c r="J3112" s="17">
        <v>0</v>
      </c>
      <c r="K3112" s="17">
        <f t="shared" si="598"/>
        <v>611441.54</v>
      </c>
      <c r="L3112" s="23">
        <f t="shared" si="603"/>
        <v>30572.077000000005</v>
      </c>
      <c r="M3112" s="17">
        <v>25</v>
      </c>
      <c r="N3112" s="17">
        <f t="shared" si="599"/>
        <v>2.3808219178082193</v>
      </c>
      <c r="O3112" s="23">
        <f t="shared" si="607"/>
        <v>55317.869955835617</v>
      </c>
      <c r="P3112" s="18">
        <f t="shared" si="600"/>
        <v>3.3808219178082193</v>
      </c>
      <c r="Q3112" s="18">
        <f t="shared" si="605"/>
        <v>23234.77852</v>
      </c>
      <c r="R3112" s="18">
        <f t="shared" si="601"/>
        <v>78552.648475835624</v>
      </c>
      <c r="S3112" s="18">
        <f t="shared" si="602"/>
        <v>532888.89152416447</v>
      </c>
    </row>
    <row r="3113" spans="1:19" ht="15" customHeight="1" x14ac:dyDescent="0.2">
      <c r="A3113" s="14">
        <f t="shared" si="606"/>
        <v>20</v>
      </c>
      <c r="B3113" s="14" t="s">
        <v>2543</v>
      </c>
      <c r="C3113" s="14" t="s">
        <v>20</v>
      </c>
      <c r="D3113" s="14" t="s">
        <v>2288</v>
      </c>
      <c r="E3113" s="17" t="s">
        <v>2289</v>
      </c>
      <c r="F3113" s="72" t="s">
        <v>22</v>
      </c>
      <c r="G3113" s="32">
        <v>42353</v>
      </c>
      <c r="H3113" s="17">
        <v>27950878.745239761</v>
      </c>
      <c r="I3113" s="17">
        <v>0</v>
      </c>
      <c r="J3113" s="17">
        <v>0</v>
      </c>
      <c r="K3113" s="17">
        <f t="shared" si="598"/>
        <v>27950878.745239761</v>
      </c>
      <c r="L3113" s="23">
        <f t="shared" si="603"/>
        <v>1397543.9372619882</v>
      </c>
      <c r="M3113" s="17">
        <v>25</v>
      </c>
      <c r="N3113" s="17">
        <f t="shared" si="599"/>
        <v>4.3013698630136989</v>
      </c>
      <c r="O3113" s="23">
        <f t="shared" si="607"/>
        <v>4568628.5642219298</v>
      </c>
      <c r="P3113" s="18">
        <f t="shared" si="600"/>
        <v>5.3013698630136989</v>
      </c>
      <c r="Q3113" s="18">
        <f t="shared" si="605"/>
        <v>1062133.3923191109</v>
      </c>
      <c r="R3113" s="18">
        <f t="shared" si="601"/>
        <v>5630761.9565410409</v>
      </c>
      <c r="S3113" s="18">
        <f t="shared" si="602"/>
        <v>22320116.788698718</v>
      </c>
    </row>
    <row r="3114" spans="1:19" ht="15" customHeight="1" x14ac:dyDescent="0.2">
      <c r="A3114" s="14">
        <f t="shared" si="606"/>
        <v>21</v>
      </c>
      <c r="B3114" s="14" t="s">
        <v>2543</v>
      </c>
      <c r="C3114" s="14" t="s">
        <v>20</v>
      </c>
      <c r="D3114" s="14" t="s">
        <v>2288</v>
      </c>
      <c r="E3114" s="17" t="s">
        <v>2289</v>
      </c>
      <c r="F3114" s="72" t="s">
        <v>22</v>
      </c>
      <c r="G3114" s="32">
        <v>42444</v>
      </c>
      <c r="H3114" s="17">
        <v>840573.03</v>
      </c>
      <c r="I3114" s="17">
        <v>0</v>
      </c>
      <c r="J3114" s="17">
        <v>0</v>
      </c>
      <c r="K3114" s="17">
        <f t="shared" si="598"/>
        <v>840573.03</v>
      </c>
      <c r="L3114" s="23">
        <f t="shared" si="603"/>
        <v>42028.651500000007</v>
      </c>
      <c r="M3114" s="17">
        <v>25</v>
      </c>
      <c r="N3114" s="17">
        <f t="shared" si="599"/>
        <v>4.0520547945205481</v>
      </c>
      <c r="O3114" s="23">
        <f t="shared" si="607"/>
        <v>129429.82310153425</v>
      </c>
      <c r="P3114" s="18">
        <f t="shared" si="600"/>
        <v>5.0520547945205481</v>
      </c>
      <c r="Q3114" s="18">
        <f t="shared" si="605"/>
        <v>31941.775140000002</v>
      </c>
      <c r="R3114" s="18">
        <f t="shared" si="601"/>
        <v>161371.59824153426</v>
      </c>
      <c r="S3114" s="18">
        <f t="shared" si="602"/>
        <v>679201.43175846571</v>
      </c>
    </row>
    <row r="3115" spans="1:19" ht="15" customHeight="1" x14ac:dyDescent="0.2">
      <c r="A3115" s="14">
        <f t="shared" si="606"/>
        <v>22</v>
      </c>
      <c r="B3115" s="14" t="s">
        <v>2543</v>
      </c>
      <c r="C3115" s="14" t="s">
        <v>20</v>
      </c>
      <c r="D3115" s="14" t="s">
        <v>2288</v>
      </c>
      <c r="E3115" s="17" t="s">
        <v>2289</v>
      </c>
      <c r="F3115" s="72" t="s">
        <v>22</v>
      </c>
      <c r="G3115" s="32">
        <v>43054</v>
      </c>
      <c r="H3115" s="17">
        <v>546279.56000000006</v>
      </c>
      <c r="I3115" s="17">
        <v>0</v>
      </c>
      <c r="J3115" s="17">
        <v>0</v>
      </c>
      <c r="K3115" s="17">
        <f t="shared" si="598"/>
        <v>546279.56000000006</v>
      </c>
      <c r="L3115" s="23">
        <f t="shared" si="603"/>
        <v>27313.978000000003</v>
      </c>
      <c r="M3115" s="17">
        <v>25</v>
      </c>
      <c r="N3115" s="17">
        <f t="shared" si="599"/>
        <v>2.3808219178082193</v>
      </c>
      <c r="O3115" s="23">
        <f t="shared" si="607"/>
        <v>49422.585288547954</v>
      </c>
      <c r="P3115" s="18">
        <f t="shared" si="600"/>
        <v>3.3808219178082193</v>
      </c>
      <c r="Q3115" s="18">
        <f t="shared" si="605"/>
        <v>20758.623280000003</v>
      </c>
      <c r="R3115" s="18">
        <f t="shared" si="601"/>
        <v>70181.208568547954</v>
      </c>
      <c r="S3115" s="18">
        <f t="shared" si="602"/>
        <v>476098.35143145209</v>
      </c>
    </row>
    <row r="3116" spans="1:19" ht="15" customHeight="1" x14ac:dyDescent="0.2">
      <c r="A3116" s="14">
        <f t="shared" si="606"/>
        <v>23</v>
      </c>
      <c r="B3116" s="14" t="s">
        <v>2544</v>
      </c>
      <c r="C3116" s="14" t="s">
        <v>20</v>
      </c>
      <c r="D3116" s="14" t="s">
        <v>2288</v>
      </c>
      <c r="E3116" s="17" t="s">
        <v>2289</v>
      </c>
      <c r="F3116" s="72" t="s">
        <v>22</v>
      </c>
      <c r="G3116" s="32">
        <v>42353</v>
      </c>
      <c r="H3116" s="17">
        <v>4427534.9721623817</v>
      </c>
      <c r="I3116" s="17">
        <v>0</v>
      </c>
      <c r="J3116" s="17">
        <v>0</v>
      </c>
      <c r="K3116" s="17">
        <f t="shared" si="598"/>
        <v>4427534.9721623817</v>
      </c>
      <c r="L3116" s="23">
        <f t="shared" si="603"/>
        <v>221376.74860811909</v>
      </c>
      <c r="M3116" s="17">
        <v>25</v>
      </c>
      <c r="N3116" s="17">
        <f t="shared" si="599"/>
        <v>4.3013698630136989</v>
      </c>
      <c r="O3116" s="23">
        <f t="shared" si="607"/>
        <v>723689.68887454167</v>
      </c>
      <c r="P3116" s="18">
        <f t="shared" si="600"/>
        <v>5.3013698630136989</v>
      </c>
      <c r="Q3116" s="18">
        <f t="shared" si="605"/>
        <v>168246.32894217051</v>
      </c>
      <c r="R3116" s="18">
        <f t="shared" si="601"/>
        <v>891936.01781671215</v>
      </c>
      <c r="S3116" s="18">
        <f t="shared" si="602"/>
        <v>3535598.9543456696</v>
      </c>
    </row>
    <row r="3117" spans="1:19" ht="15" customHeight="1" x14ac:dyDescent="0.2">
      <c r="A3117" s="14">
        <f t="shared" si="606"/>
        <v>24</v>
      </c>
      <c r="B3117" s="14" t="s">
        <v>2544</v>
      </c>
      <c r="C3117" s="14" t="s">
        <v>20</v>
      </c>
      <c r="D3117" s="14" t="s">
        <v>2288</v>
      </c>
      <c r="E3117" s="17" t="s">
        <v>2289</v>
      </c>
      <c r="F3117" s="72" t="s">
        <v>22</v>
      </c>
      <c r="G3117" s="32">
        <v>42415</v>
      </c>
      <c r="H3117" s="17">
        <v>174908.28</v>
      </c>
      <c r="I3117" s="17">
        <v>0</v>
      </c>
      <c r="J3117" s="17">
        <v>0</v>
      </c>
      <c r="K3117" s="17">
        <f t="shared" si="598"/>
        <v>174908.28</v>
      </c>
      <c r="L3117" s="23">
        <f t="shared" si="603"/>
        <v>8745.4140000000007</v>
      </c>
      <c r="M3117" s="17">
        <v>25</v>
      </c>
      <c r="N3117" s="17">
        <f t="shared" si="599"/>
        <v>4.1315068493150688</v>
      </c>
      <c r="O3117" s="23">
        <f t="shared" si="607"/>
        <v>27460.120759232879</v>
      </c>
      <c r="P3117" s="18">
        <f t="shared" si="600"/>
        <v>5.1315068493150688</v>
      </c>
      <c r="Q3117" s="18">
        <f t="shared" si="605"/>
        <v>6646.5146400000003</v>
      </c>
      <c r="R3117" s="18">
        <f t="shared" si="601"/>
        <v>34106.63539923288</v>
      </c>
      <c r="S3117" s="18">
        <f t="shared" si="602"/>
        <v>140801.64460076712</v>
      </c>
    </row>
    <row r="3118" spans="1:19" ht="15" customHeight="1" x14ac:dyDescent="0.25">
      <c r="A3118" s="14">
        <f t="shared" si="606"/>
        <v>25</v>
      </c>
      <c r="B3118" s="44" t="s">
        <v>2545</v>
      </c>
      <c r="C3118" s="14" t="s">
        <v>20</v>
      </c>
      <c r="D3118" s="45" t="s">
        <v>1200</v>
      </c>
      <c r="E3118" s="45" t="s">
        <v>2447</v>
      </c>
      <c r="F3118" s="72" t="s">
        <v>21</v>
      </c>
      <c r="G3118" s="46">
        <v>42353</v>
      </c>
      <c r="H3118" s="47">
        <v>786995.98475384328</v>
      </c>
      <c r="I3118" s="17"/>
      <c r="J3118" s="17"/>
      <c r="K3118" s="17">
        <f t="shared" si="598"/>
        <v>786995.98475384328</v>
      </c>
      <c r="L3118" s="23">
        <f t="shared" si="603"/>
        <v>39349.799237692168</v>
      </c>
      <c r="M3118" s="48">
        <v>5</v>
      </c>
      <c r="N3118" s="17">
        <f t="shared" si="599"/>
        <v>4.3013698630136989</v>
      </c>
      <c r="O3118" s="23">
        <f>(K3118-L3118)/M3118*N3118+1747.23</f>
        <v>644927.78411526431</v>
      </c>
      <c r="P3118" s="18">
        <f t="shared" si="600"/>
        <v>5.3013698630136989</v>
      </c>
      <c r="Q3118" s="18">
        <f>(P3118-N3118)/M3118*(K3118-L3118)+827</f>
        <v>150356.23710323023</v>
      </c>
      <c r="R3118" s="18">
        <f t="shared" si="601"/>
        <v>795284.02121849451</v>
      </c>
      <c r="S3118" s="18">
        <f t="shared" si="602"/>
        <v>-8288.0364646512317</v>
      </c>
    </row>
    <row r="3119" spans="1:19" ht="15" customHeight="1" x14ac:dyDescent="0.25">
      <c r="A3119" s="14">
        <f t="shared" si="606"/>
        <v>26</v>
      </c>
      <c r="B3119" s="44" t="s">
        <v>2546</v>
      </c>
      <c r="C3119" s="14" t="s">
        <v>20</v>
      </c>
      <c r="D3119" s="45" t="s">
        <v>1200</v>
      </c>
      <c r="E3119" s="45" t="s">
        <v>2447</v>
      </c>
      <c r="F3119" s="72" t="s">
        <v>21</v>
      </c>
      <c r="G3119" s="46">
        <v>42600</v>
      </c>
      <c r="H3119" s="47">
        <v>15669.86</v>
      </c>
      <c r="I3119" s="17"/>
      <c r="J3119" s="17"/>
      <c r="K3119" s="17">
        <f t="shared" si="598"/>
        <v>15669.86</v>
      </c>
      <c r="L3119" s="23">
        <f t="shared" si="603"/>
        <v>783.49300000000005</v>
      </c>
      <c r="M3119" s="48">
        <v>5</v>
      </c>
      <c r="N3119" s="17">
        <f t="shared" si="599"/>
        <v>3.6246575342465754</v>
      </c>
      <c r="O3119" s="23">
        <f t="shared" ref="O3119:O3124" si="608">(K3119-L3119)/M3119*N3119</f>
        <v>10791.596460821918</v>
      </c>
      <c r="P3119" s="18">
        <f t="shared" si="600"/>
        <v>4.624657534246575</v>
      </c>
      <c r="Q3119" s="18">
        <f t="shared" ref="Q3119:Q3150" si="609">(P3119-N3119)/M3119*(K3119-L3119)</f>
        <v>2977.2733999999987</v>
      </c>
      <c r="R3119" s="18">
        <f t="shared" si="601"/>
        <v>13768.869860821917</v>
      </c>
      <c r="S3119" s="18">
        <f t="shared" si="602"/>
        <v>1900.9901391780841</v>
      </c>
    </row>
    <row r="3120" spans="1:19" ht="15" customHeight="1" x14ac:dyDescent="0.25">
      <c r="A3120" s="14">
        <f t="shared" si="606"/>
        <v>27</v>
      </c>
      <c r="B3120" s="44" t="s">
        <v>2547</v>
      </c>
      <c r="C3120" s="14" t="s">
        <v>20</v>
      </c>
      <c r="D3120" s="45" t="s">
        <v>1200</v>
      </c>
      <c r="E3120" s="45" t="s">
        <v>2447</v>
      </c>
      <c r="F3120" s="72" t="s">
        <v>21</v>
      </c>
      <c r="G3120" s="46">
        <v>42600</v>
      </c>
      <c r="H3120" s="47">
        <v>54175.17</v>
      </c>
      <c r="I3120" s="17"/>
      <c r="J3120" s="17"/>
      <c r="K3120" s="17">
        <f t="shared" si="598"/>
        <v>54175.17</v>
      </c>
      <c r="L3120" s="23">
        <f t="shared" si="603"/>
        <v>2708.7584999999999</v>
      </c>
      <c r="M3120" s="48">
        <v>5</v>
      </c>
      <c r="N3120" s="17">
        <f t="shared" si="599"/>
        <v>3.6246575342465754</v>
      </c>
      <c r="O3120" s="23">
        <f t="shared" si="608"/>
        <v>37309.623240821922</v>
      </c>
      <c r="P3120" s="18">
        <f t="shared" si="600"/>
        <v>4.624657534246575</v>
      </c>
      <c r="Q3120" s="18">
        <f t="shared" si="609"/>
        <v>10293.282299999995</v>
      </c>
      <c r="R3120" s="18">
        <f t="shared" si="601"/>
        <v>47602.905540821914</v>
      </c>
      <c r="S3120" s="18">
        <f t="shared" si="602"/>
        <v>6572.2644591780845</v>
      </c>
    </row>
    <row r="3121" spans="1:19" ht="15" customHeight="1" x14ac:dyDescent="0.25">
      <c r="A3121" s="14">
        <f t="shared" si="606"/>
        <v>28</v>
      </c>
      <c r="B3121" s="44" t="s">
        <v>2548</v>
      </c>
      <c r="C3121" s="14" t="s">
        <v>20</v>
      </c>
      <c r="D3121" s="45" t="s">
        <v>1200</v>
      </c>
      <c r="E3121" s="45" t="s">
        <v>2447</v>
      </c>
      <c r="F3121" s="72" t="s">
        <v>21</v>
      </c>
      <c r="G3121" s="46">
        <v>42600</v>
      </c>
      <c r="H3121" s="47">
        <v>5699.97</v>
      </c>
      <c r="I3121" s="17"/>
      <c r="J3121" s="17"/>
      <c r="K3121" s="17">
        <f t="shared" si="598"/>
        <v>5699.97</v>
      </c>
      <c r="L3121" s="23">
        <f t="shared" si="603"/>
        <v>284.99850000000004</v>
      </c>
      <c r="M3121" s="48">
        <v>5</v>
      </c>
      <c r="N3121" s="17">
        <f t="shared" si="599"/>
        <v>3.6246575342465754</v>
      </c>
      <c r="O3121" s="23">
        <f t="shared" si="608"/>
        <v>3925.4834490410963</v>
      </c>
      <c r="P3121" s="18">
        <f t="shared" si="600"/>
        <v>4.624657534246575</v>
      </c>
      <c r="Q3121" s="18">
        <f t="shared" si="609"/>
        <v>1082.9942999999996</v>
      </c>
      <c r="R3121" s="18">
        <f t="shared" si="601"/>
        <v>5008.4777490410961</v>
      </c>
      <c r="S3121" s="18">
        <f t="shared" si="602"/>
        <v>691.49225095890415</v>
      </c>
    </row>
    <row r="3122" spans="1:19" ht="15" customHeight="1" x14ac:dyDescent="0.25">
      <c r="A3122" s="14">
        <f t="shared" si="606"/>
        <v>29</v>
      </c>
      <c r="B3122" s="44" t="s">
        <v>2549</v>
      </c>
      <c r="C3122" s="14" t="s">
        <v>20</v>
      </c>
      <c r="D3122" s="45" t="s">
        <v>1200</v>
      </c>
      <c r="E3122" s="45" t="s">
        <v>2447</v>
      </c>
      <c r="F3122" s="72" t="s">
        <v>21</v>
      </c>
      <c r="G3122" s="46">
        <v>42600</v>
      </c>
      <c r="H3122" s="47">
        <v>11700</v>
      </c>
      <c r="I3122" s="17"/>
      <c r="J3122" s="17"/>
      <c r="K3122" s="17">
        <f t="shared" si="598"/>
        <v>11700</v>
      </c>
      <c r="L3122" s="23">
        <f t="shared" si="603"/>
        <v>585</v>
      </c>
      <c r="M3122" s="48">
        <v>5</v>
      </c>
      <c r="N3122" s="17">
        <f t="shared" si="599"/>
        <v>3.6246575342465754</v>
      </c>
      <c r="O3122" s="23">
        <f t="shared" si="608"/>
        <v>8057.6136986301372</v>
      </c>
      <c r="P3122" s="18">
        <f t="shared" si="600"/>
        <v>4.624657534246575</v>
      </c>
      <c r="Q3122" s="18">
        <f t="shared" si="609"/>
        <v>2222.9999999999991</v>
      </c>
      <c r="R3122" s="18">
        <f t="shared" si="601"/>
        <v>10280.613698630135</v>
      </c>
      <c r="S3122" s="18">
        <f t="shared" si="602"/>
        <v>1419.3863013698647</v>
      </c>
    </row>
    <row r="3123" spans="1:19" ht="15" customHeight="1" x14ac:dyDescent="0.25">
      <c r="A3123" s="14">
        <f t="shared" si="606"/>
        <v>30</v>
      </c>
      <c r="B3123" s="44" t="s">
        <v>2550</v>
      </c>
      <c r="C3123" s="14" t="s">
        <v>20</v>
      </c>
      <c r="D3123" s="45" t="s">
        <v>1200</v>
      </c>
      <c r="E3123" s="44" t="s">
        <v>2551</v>
      </c>
      <c r="F3123" s="72" t="s">
        <v>21</v>
      </c>
      <c r="G3123" s="46">
        <v>42931</v>
      </c>
      <c r="H3123" s="49">
        <v>34000</v>
      </c>
      <c r="I3123" s="17"/>
      <c r="J3123" s="17"/>
      <c r="K3123" s="17">
        <f t="shared" si="598"/>
        <v>34000</v>
      </c>
      <c r="L3123" s="23">
        <f t="shared" si="603"/>
        <v>1700</v>
      </c>
      <c r="M3123" s="48">
        <v>5</v>
      </c>
      <c r="N3123" s="17">
        <f t="shared" si="599"/>
        <v>2.7178082191780821</v>
      </c>
      <c r="O3123" s="23">
        <f t="shared" si="608"/>
        <v>17557.04109589041</v>
      </c>
      <c r="P3123" s="18">
        <f t="shared" si="600"/>
        <v>3.7178082191780821</v>
      </c>
      <c r="Q3123" s="18">
        <f t="shared" si="609"/>
        <v>6460</v>
      </c>
      <c r="R3123" s="18">
        <f t="shared" si="601"/>
        <v>24017.04109589041</v>
      </c>
      <c r="S3123" s="18">
        <f t="shared" si="602"/>
        <v>9982.9589041095896</v>
      </c>
    </row>
    <row r="3124" spans="1:19" ht="15" customHeight="1" x14ac:dyDescent="0.25">
      <c r="A3124" s="14">
        <f t="shared" si="606"/>
        <v>31</v>
      </c>
      <c r="B3124" s="44" t="s">
        <v>2552</v>
      </c>
      <c r="C3124" s="14" t="s">
        <v>20</v>
      </c>
      <c r="D3124" s="45" t="s">
        <v>1200</v>
      </c>
      <c r="E3124" s="44" t="s">
        <v>2553</v>
      </c>
      <c r="F3124" s="72" t="s">
        <v>21</v>
      </c>
      <c r="G3124" s="46">
        <v>42931</v>
      </c>
      <c r="H3124" s="49">
        <v>48700</v>
      </c>
      <c r="I3124" s="17"/>
      <c r="J3124" s="17"/>
      <c r="K3124" s="17">
        <f t="shared" si="598"/>
        <v>48700</v>
      </c>
      <c r="L3124" s="23">
        <f t="shared" si="603"/>
        <v>2435</v>
      </c>
      <c r="M3124" s="48">
        <v>5</v>
      </c>
      <c r="N3124" s="17">
        <f t="shared" si="599"/>
        <v>2.7178082191780821</v>
      </c>
      <c r="O3124" s="23">
        <f t="shared" si="608"/>
        <v>25147.879452054793</v>
      </c>
      <c r="P3124" s="18">
        <f t="shared" si="600"/>
        <v>3.7178082191780821</v>
      </c>
      <c r="Q3124" s="18">
        <f t="shared" si="609"/>
        <v>9253</v>
      </c>
      <c r="R3124" s="18">
        <f t="shared" si="601"/>
        <v>34400.879452054796</v>
      </c>
      <c r="S3124" s="18">
        <f t="shared" si="602"/>
        <v>14299.120547945204</v>
      </c>
    </row>
    <row r="3125" spans="1:19" ht="15" customHeight="1" x14ac:dyDescent="0.25">
      <c r="A3125" s="14">
        <f t="shared" si="606"/>
        <v>32</v>
      </c>
      <c r="B3125" s="50" t="s">
        <v>2554</v>
      </c>
      <c r="C3125" s="14" t="s">
        <v>20</v>
      </c>
      <c r="D3125" s="50" t="s">
        <v>2464</v>
      </c>
      <c r="E3125" s="50" t="s">
        <v>2465</v>
      </c>
      <c r="F3125" s="72" t="s">
        <v>22</v>
      </c>
      <c r="G3125" s="46">
        <v>42353</v>
      </c>
      <c r="H3125" s="47">
        <v>1611167.26</v>
      </c>
      <c r="I3125" s="17"/>
      <c r="J3125" s="17"/>
      <c r="K3125" s="17">
        <f t="shared" si="598"/>
        <v>1611167.26</v>
      </c>
      <c r="L3125" s="23">
        <f t="shared" si="603"/>
        <v>80558.363000000012</v>
      </c>
      <c r="M3125" s="48">
        <v>10</v>
      </c>
      <c r="N3125" s="17">
        <f t="shared" si="599"/>
        <v>4.3013698630136989</v>
      </c>
      <c r="O3125" s="23">
        <f>(K3125-L3125)/M3125*N3125-720.7</f>
        <v>657650.79816164391</v>
      </c>
      <c r="P3125" s="18">
        <f t="shared" si="600"/>
        <v>5.3013698630136989</v>
      </c>
      <c r="Q3125" s="18">
        <f t="shared" si="609"/>
        <v>153060.8897</v>
      </c>
      <c r="R3125" s="18">
        <f t="shared" si="601"/>
        <v>810711.68786164396</v>
      </c>
      <c r="S3125" s="18">
        <f t="shared" si="602"/>
        <v>800455.57213835604</v>
      </c>
    </row>
    <row r="3126" spans="1:19" ht="15" customHeight="1" x14ac:dyDescent="0.25">
      <c r="A3126" s="14">
        <f t="shared" si="606"/>
        <v>33</v>
      </c>
      <c r="B3126" s="50" t="s">
        <v>2554</v>
      </c>
      <c r="C3126" s="14" t="s">
        <v>20</v>
      </c>
      <c r="D3126" s="50" t="s">
        <v>2464</v>
      </c>
      <c r="E3126" s="50" t="s">
        <v>2465</v>
      </c>
      <c r="F3126" s="72" t="s">
        <v>22</v>
      </c>
      <c r="G3126" s="46">
        <v>42444</v>
      </c>
      <c r="H3126" s="47">
        <v>41043.279999999999</v>
      </c>
      <c r="I3126" s="17"/>
      <c r="J3126" s="17"/>
      <c r="K3126" s="17">
        <f t="shared" ref="K3126:K3157" si="610">H3126+I3126-J3126</f>
        <v>41043.279999999999</v>
      </c>
      <c r="L3126" s="23">
        <f t="shared" si="603"/>
        <v>2052.1640000000002</v>
      </c>
      <c r="M3126" s="48">
        <v>10</v>
      </c>
      <c r="N3126" s="17">
        <f t="shared" ref="N3126:N3157" si="611">IF(($N$35-G3126+1)/365&gt;0,($N$35-G3126+1)/365,0)</f>
        <v>4.0520547945205481</v>
      </c>
      <c r="O3126" s="23">
        <f t="shared" ref="O3126:O3157" si="612">(K3126-L3126)/M3126*N3126</f>
        <v>15799.413853150687</v>
      </c>
      <c r="P3126" s="18">
        <f t="shared" ref="P3126:P3157" si="613">($P$35-G3126+1)/365</f>
        <v>5.0520547945205481</v>
      </c>
      <c r="Q3126" s="18">
        <f t="shared" si="609"/>
        <v>3899.1116000000002</v>
      </c>
      <c r="R3126" s="18">
        <f t="shared" ref="R3126:R3157" si="614">O3126+Q3126</f>
        <v>19698.525453150687</v>
      </c>
      <c r="S3126" s="18">
        <f t="shared" ref="S3126:S3157" si="615">K3126-R3126</f>
        <v>21344.754546849312</v>
      </c>
    </row>
    <row r="3127" spans="1:19" ht="15" customHeight="1" x14ac:dyDescent="0.25">
      <c r="A3127" s="14">
        <f t="shared" si="606"/>
        <v>34</v>
      </c>
      <c r="B3127" s="50" t="s">
        <v>2554</v>
      </c>
      <c r="C3127" s="14" t="s">
        <v>20</v>
      </c>
      <c r="D3127" s="50" t="s">
        <v>2464</v>
      </c>
      <c r="E3127" s="50" t="s">
        <v>2465</v>
      </c>
      <c r="F3127" s="72" t="s">
        <v>22</v>
      </c>
      <c r="G3127" s="46">
        <v>43115</v>
      </c>
      <c r="H3127" s="47">
        <v>72805</v>
      </c>
      <c r="I3127" s="17"/>
      <c r="J3127" s="17"/>
      <c r="K3127" s="17">
        <f t="shared" si="610"/>
        <v>72805</v>
      </c>
      <c r="L3127" s="23">
        <f t="shared" si="603"/>
        <v>3640.25</v>
      </c>
      <c r="M3127" s="48">
        <v>10</v>
      </c>
      <c r="N3127" s="17">
        <f t="shared" si="611"/>
        <v>2.2136986301369861</v>
      </c>
      <c r="O3127" s="23">
        <f t="shared" si="612"/>
        <v>15310.991232876711</v>
      </c>
      <c r="P3127" s="18">
        <f t="shared" si="613"/>
        <v>3.2136986301369861</v>
      </c>
      <c r="Q3127" s="18">
        <f t="shared" si="609"/>
        <v>6916.4750000000004</v>
      </c>
      <c r="R3127" s="18">
        <f t="shared" si="614"/>
        <v>22227.466232876712</v>
      </c>
      <c r="S3127" s="18">
        <f t="shared" si="615"/>
        <v>50577.533767123285</v>
      </c>
    </row>
    <row r="3128" spans="1:19" ht="15" customHeight="1" x14ac:dyDescent="0.25">
      <c r="A3128" s="14">
        <f t="shared" si="606"/>
        <v>35</v>
      </c>
      <c r="B3128" s="50" t="s">
        <v>2554</v>
      </c>
      <c r="C3128" s="14" t="s">
        <v>20</v>
      </c>
      <c r="D3128" s="50" t="s">
        <v>2464</v>
      </c>
      <c r="E3128" s="50" t="s">
        <v>2465</v>
      </c>
      <c r="F3128" s="72" t="s">
        <v>22</v>
      </c>
      <c r="G3128" s="46">
        <v>43251</v>
      </c>
      <c r="H3128" s="47">
        <v>15970</v>
      </c>
      <c r="I3128" s="17"/>
      <c r="J3128" s="17"/>
      <c r="K3128" s="17">
        <f t="shared" si="610"/>
        <v>15970</v>
      </c>
      <c r="L3128" s="23">
        <f t="shared" si="603"/>
        <v>798.5</v>
      </c>
      <c r="M3128" s="48">
        <v>10</v>
      </c>
      <c r="N3128" s="17">
        <f t="shared" si="611"/>
        <v>1.8410958904109589</v>
      </c>
      <c r="O3128" s="23">
        <f t="shared" si="612"/>
        <v>2793.2186301369866</v>
      </c>
      <c r="P3128" s="18">
        <f t="shared" si="613"/>
        <v>2.8410958904109589</v>
      </c>
      <c r="Q3128" s="18">
        <f t="shared" si="609"/>
        <v>1517.15</v>
      </c>
      <c r="R3128" s="18">
        <f t="shared" si="614"/>
        <v>4310.3686301369871</v>
      </c>
      <c r="S3128" s="18">
        <f t="shared" si="615"/>
        <v>11659.631369863013</v>
      </c>
    </row>
    <row r="3129" spans="1:19" ht="15" customHeight="1" x14ac:dyDescent="0.25">
      <c r="A3129" s="14">
        <f t="shared" si="606"/>
        <v>36</v>
      </c>
      <c r="B3129" s="50" t="s">
        <v>2554</v>
      </c>
      <c r="C3129" s="14" t="s">
        <v>20</v>
      </c>
      <c r="D3129" s="50" t="s">
        <v>2464</v>
      </c>
      <c r="E3129" s="50" t="s">
        <v>2465</v>
      </c>
      <c r="F3129" s="72" t="s">
        <v>22</v>
      </c>
      <c r="G3129" s="46">
        <v>43343</v>
      </c>
      <c r="H3129" s="47">
        <v>18578.36</v>
      </c>
      <c r="I3129" s="17"/>
      <c r="J3129" s="17"/>
      <c r="K3129" s="17">
        <f t="shared" si="610"/>
        <v>18578.36</v>
      </c>
      <c r="L3129" s="23">
        <f t="shared" si="603"/>
        <v>928.91800000000012</v>
      </c>
      <c r="M3129" s="48">
        <v>10</v>
      </c>
      <c r="N3129" s="17">
        <f t="shared" si="611"/>
        <v>1.5890410958904109</v>
      </c>
      <c r="O3129" s="23">
        <f t="shared" si="612"/>
        <v>2804.5688657534242</v>
      </c>
      <c r="P3129" s="18">
        <f t="shared" si="613"/>
        <v>2.5890410958904111</v>
      </c>
      <c r="Q3129" s="18">
        <f t="shared" si="609"/>
        <v>1764.9442000000004</v>
      </c>
      <c r="R3129" s="18">
        <f t="shared" si="614"/>
        <v>4569.5130657534246</v>
      </c>
      <c r="S3129" s="18">
        <f t="shared" si="615"/>
        <v>14008.846934246576</v>
      </c>
    </row>
    <row r="3130" spans="1:19" ht="15" customHeight="1" x14ac:dyDescent="0.25">
      <c r="A3130" s="14">
        <f t="shared" si="606"/>
        <v>37</v>
      </c>
      <c r="B3130" s="50" t="s">
        <v>2554</v>
      </c>
      <c r="C3130" s="14" t="s">
        <v>20</v>
      </c>
      <c r="D3130" s="50" t="s">
        <v>2464</v>
      </c>
      <c r="E3130" s="50" t="s">
        <v>2465</v>
      </c>
      <c r="F3130" s="72" t="s">
        <v>22</v>
      </c>
      <c r="G3130" s="46">
        <v>43496</v>
      </c>
      <c r="H3130" s="47">
        <v>27680</v>
      </c>
      <c r="I3130" s="17"/>
      <c r="J3130" s="17"/>
      <c r="K3130" s="17">
        <f t="shared" si="610"/>
        <v>27680</v>
      </c>
      <c r="L3130" s="23">
        <f t="shared" si="603"/>
        <v>1384</v>
      </c>
      <c r="M3130" s="48">
        <v>10</v>
      </c>
      <c r="N3130" s="17">
        <f t="shared" si="611"/>
        <v>1.1698630136986301</v>
      </c>
      <c r="O3130" s="23">
        <f t="shared" si="612"/>
        <v>3076.2717808219177</v>
      </c>
      <c r="P3130" s="18">
        <f t="shared" si="613"/>
        <v>2.1698630136986301</v>
      </c>
      <c r="Q3130" s="18">
        <f t="shared" si="609"/>
        <v>2629.6000000000004</v>
      </c>
      <c r="R3130" s="18">
        <f t="shared" si="614"/>
        <v>5705.871780821918</v>
      </c>
      <c r="S3130" s="18">
        <f t="shared" si="615"/>
        <v>21974.128219178081</v>
      </c>
    </row>
    <row r="3131" spans="1:19" ht="15" customHeight="1" x14ac:dyDescent="0.25">
      <c r="A3131" s="14">
        <f t="shared" si="606"/>
        <v>38</v>
      </c>
      <c r="B3131" s="51" t="s">
        <v>2555</v>
      </c>
      <c r="C3131" s="14" t="s">
        <v>20</v>
      </c>
      <c r="D3131" s="50" t="s">
        <v>2464</v>
      </c>
      <c r="E3131" s="51" t="s">
        <v>2556</v>
      </c>
      <c r="F3131" s="72" t="s">
        <v>15</v>
      </c>
      <c r="G3131" s="46">
        <v>42353</v>
      </c>
      <c r="H3131" s="47">
        <v>269610.63743628602</v>
      </c>
      <c r="I3131" s="17"/>
      <c r="J3131" s="17"/>
      <c r="K3131" s="17">
        <f t="shared" si="610"/>
        <v>269610.63743628602</v>
      </c>
      <c r="L3131" s="23">
        <f t="shared" si="603"/>
        <v>13480.531871814303</v>
      </c>
      <c r="M3131" s="48">
        <v>10</v>
      </c>
      <c r="N3131" s="17">
        <f t="shared" si="611"/>
        <v>4.3013698630136989</v>
      </c>
      <c r="O3131" s="23">
        <f t="shared" si="612"/>
        <v>110171.03170855359</v>
      </c>
      <c r="P3131" s="18">
        <f t="shared" si="613"/>
        <v>5.3013698630136989</v>
      </c>
      <c r="Q3131" s="18">
        <f t="shared" si="609"/>
        <v>25613.010556447174</v>
      </c>
      <c r="R3131" s="18">
        <f t="shared" si="614"/>
        <v>135784.04226500075</v>
      </c>
      <c r="S3131" s="18">
        <f t="shared" si="615"/>
        <v>133826.59517128527</v>
      </c>
    </row>
    <row r="3132" spans="1:19" ht="15" customHeight="1" x14ac:dyDescent="0.25">
      <c r="A3132" s="14">
        <f t="shared" si="606"/>
        <v>39</v>
      </c>
      <c r="B3132" s="51" t="s">
        <v>2555</v>
      </c>
      <c r="C3132" s="14" t="s">
        <v>20</v>
      </c>
      <c r="D3132" s="50" t="s">
        <v>2464</v>
      </c>
      <c r="E3132" s="51" t="s">
        <v>2556</v>
      </c>
      <c r="F3132" s="72" t="s">
        <v>15</v>
      </c>
      <c r="G3132" s="46">
        <v>42444</v>
      </c>
      <c r="H3132" s="47">
        <v>53247.68</v>
      </c>
      <c r="I3132" s="17"/>
      <c r="J3132" s="17"/>
      <c r="K3132" s="17">
        <f t="shared" si="610"/>
        <v>53247.68</v>
      </c>
      <c r="L3132" s="23">
        <f t="shared" si="603"/>
        <v>2662.384</v>
      </c>
      <c r="M3132" s="48">
        <v>10</v>
      </c>
      <c r="N3132" s="17">
        <f t="shared" si="611"/>
        <v>4.0520547945205481</v>
      </c>
      <c r="O3132" s="23">
        <f t="shared" si="612"/>
        <v>20497.439118904109</v>
      </c>
      <c r="P3132" s="18">
        <f t="shared" si="613"/>
        <v>5.0520547945205481</v>
      </c>
      <c r="Q3132" s="18">
        <f t="shared" si="609"/>
        <v>5058.5296000000008</v>
      </c>
      <c r="R3132" s="18">
        <f t="shared" si="614"/>
        <v>25555.968718904111</v>
      </c>
      <c r="S3132" s="18">
        <f t="shared" si="615"/>
        <v>27691.71128109589</v>
      </c>
    </row>
    <row r="3133" spans="1:19" ht="15" customHeight="1" x14ac:dyDescent="0.25">
      <c r="A3133" s="14">
        <f t="shared" si="606"/>
        <v>40</v>
      </c>
      <c r="B3133" s="51" t="s">
        <v>2555</v>
      </c>
      <c r="C3133" s="14" t="s">
        <v>20</v>
      </c>
      <c r="D3133" s="50" t="s">
        <v>2464</v>
      </c>
      <c r="E3133" s="51" t="s">
        <v>2556</v>
      </c>
      <c r="F3133" s="72" t="s">
        <v>15</v>
      </c>
      <c r="G3133" s="46">
        <v>43054</v>
      </c>
      <c r="H3133" s="47">
        <v>658904.35</v>
      </c>
      <c r="I3133" s="17"/>
      <c r="J3133" s="17"/>
      <c r="K3133" s="17">
        <f t="shared" si="610"/>
        <v>658904.35</v>
      </c>
      <c r="L3133" s="23">
        <f t="shared" si="603"/>
        <v>32945.217499999999</v>
      </c>
      <c r="M3133" s="48">
        <v>10</v>
      </c>
      <c r="N3133" s="17">
        <f t="shared" si="611"/>
        <v>2.3808219178082193</v>
      </c>
      <c r="O3133" s="23">
        <f t="shared" si="612"/>
        <v>149029.72223082191</v>
      </c>
      <c r="P3133" s="18">
        <f t="shared" si="613"/>
        <v>3.3808219178082193</v>
      </c>
      <c r="Q3133" s="18">
        <f t="shared" si="609"/>
        <v>62595.913249999998</v>
      </c>
      <c r="R3133" s="18">
        <f t="shared" si="614"/>
        <v>211625.63548082189</v>
      </c>
      <c r="S3133" s="18">
        <f t="shared" si="615"/>
        <v>447278.71451917809</v>
      </c>
    </row>
    <row r="3134" spans="1:19" ht="15" customHeight="1" x14ac:dyDescent="0.2">
      <c r="A3134" s="14">
        <f t="shared" si="606"/>
        <v>41</v>
      </c>
      <c r="B3134" s="14" t="s">
        <v>2557</v>
      </c>
      <c r="C3134" s="14" t="s">
        <v>20</v>
      </c>
      <c r="D3134" s="14" t="s">
        <v>2558</v>
      </c>
      <c r="E3134" s="14"/>
      <c r="F3134" s="72" t="s">
        <v>12</v>
      </c>
      <c r="G3134" s="52">
        <v>42726</v>
      </c>
      <c r="H3134" s="17">
        <v>4220.8999999999996</v>
      </c>
      <c r="I3134" s="17"/>
      <c r="J3134" s="17"/>
      <c r="K3134" s="17">
        <f t="shared" si="610"/>
        <v>4220.8999999999996</v>
      </c>
      <c r="L3134" s="23">
        <f t="shared" si="603"/>
        <v>211.04499999999999</v>
      </c>
      <c r="M3134" s="42">
        <v>25</v>
      </c>
      <c r="N3134" s="17">
        <f t="shared" si="611"/>
        <v>3.2794520547945205</v>
      </c>
      <c r="O3134" s="23">
        <f t="shared" si="612"/>
        <v>526.0050887671232</v>
      </c>
      <c r="P3134" s="18">
        <f t="shared" si="613"/>
        <v>4.279452054794521</v>
      </c>
      <c r="Q3134" s="18">
        <f t="shared" si="609"/>
        <v>160.39420000000004</v>
      </c>
      <c r="R3134" s="18">
        <f t="shared" si="614"/>
        <v>686.39928876712327</v>
      </c>
      <c r="S3134" s="18">
        <f t="shared" si="615"/>
        <v>3534.5007112328763</v>
      </c>
    </row>
    <row r="3135" spans="1:19" ht="15" customHeight="1" x14ac:dyDescent="0.2">
      <c r="A3135" s="14">
        <f t="shared" si="606"/>
        <v>42</v>
      </c>
      <c r="B3135" s="14" t="s">
        <v>2559</v>
      </c>
      <c r="C3135" s="14" t="s">
        <v>20</v>
      </c>
      <c r="D3135" s="14" t="s">
        <v>2558</v>
      </c>
      <c r="E3135" s="14"/>
      <c r="F3135" s="72" t="s">
        <v>12</v>
      </c>
      <c r="G3135" s="52">
        <v>42726</v>
      </c>
      <c r="H3135" s="17">
        <v>27479.59</v>
      </c>
      <c r="I3135" s="17"/>
      <c r="J3135" s="17"/>
      <c r="K3135" s="17">
        <f t="shared" si="610"/>
        <v>27479.59</v>
      </c>
      <c r="L3135" s="23">
        <f t="shared" si="603"/>
        <v>1373.9795000000001</v>
      </c>
      <c r="M3135" s="42">
        <v>25</v>
      </c>
      <c r="N3135" s="17">
        <f t="shared" si="611"/>
        <v>3.2794520547945205</v>
      </c>
      <c r="O3135" s="23">
        <f t="shared" si="612"/>
        <v>3424.4839198356162</v>
      </c>
      <c r="P3135" s="18">
        <f t="shared" si="613"/>
        <v>4.279452054794521</v>
      </c>
      <c r="Q3135" s="18">
        <f t="shared" si="609"/>
        <v>1044.2244200000002</v>
      </c>
      <c r="R3135" s="18">
        <f t="shared" si="614"/>
        <v>4468.7083398356162</v>
      </c>
      <c r="S3135" s="18">
        <f t="shared" si="615"/>
        <v>23010.881660164385</v>
      </c>
    </row>
    <row r="3136" spans="1:19" ht="15" customHeight="1" x14ac:dyDescent="0.2">
      <c r="A3136" s="14">
        <f t="shared" si="606"/>
        <v>43</v>
      </c>
      <c r="B3136" s="14" t="s">
        <v>2560</v>
      </c>
      <c r="C3136" s="14" t="s">
        <v>20</v>
      </c>
      <c r="D3136" s="14" t="s">
        <v>2558</v>
      </c>
      <c r="E3136" s="14"/>
      <c r="F3136" s="72" t="s">
        <v>12</v>
      </c>
      <c r="G3136" s="52">
        <v>42726</v>
      </c>
      <c r="H3136" s="17">
        <v>272728.26</v>
      </c>
      <c r="I3136" s="17"/>
      <c r="J3136" s="17"/>
      <c r="K3136" s="17">
        <f t="shared" si="610"/>
        <v>272728.26</v>
      </c>
      <c r="L3136" s="23">
        <f t="shared" si="603"/>
        <v>13636.413</v>
      </c>
      <c r="M3136" s="42">
        <v>25</v>
      </c>
      <c r="N3136" s="17">
        <f t="shared" si="611"/>
        <v>3.2794520547945205</v>
      </c>
      <c r="O3136" s="23">
        <f t="shared" si="612"/>
        <v>33987.171600986301</v>
      </c>
      <c r="P3136" s="18">
        <f t="shared" si="613"/>
        <v>4.279452054794521</v>
      </c>
      <c r="Q3136" s="18">
        <f t="shared" si="609"/>
        <v>10363.673880000004</v>
      </c>
      <c r="R3136" s="18">
        <f t="shared" si="614"/>
        <v>44350.845480986303</v>
      </c>
      <c r="S3136" s="18">
        <f t="shared" si="615"/>
        <v>228377.41451901372</v>
      </c>
    </row>
    <row r="3137" spans="1:19" ht="15" customHeight="1" x14ac:dyDescent="0.2">
      <c r="A3137" s="14">
        <f t="shared" si="606"/>
        <v>44</v>
      </c>
      <c r="B3137" s="14" t="s">
        <v>2561</v>
      </c>
      <c r="C3137" s="14" t="s">
        <v>20</v>
      </c>
      <c r="D3137" s="14" t="s">
        <v>2558</v>
      </c>
      <c r="E3137" s="14"/>
      <c r="F3137" s="72" t="s">
        <v>12</v>
      </c>
      <c r="G3137" s="52">
        <v>42726</v>
      </c>
      <c r="H3137" s="17">
        <v>171957.58</v>
      </c>
      <c r="I3137" s="17"/>
      <c r="J3137" s="17"/>
      <c r="K3137" s="17">
        <f t="shared" si="610"/>
        <v>171957.58</v>
      </c>
      <c r="L3137" s="23">
        <f t="shared" si="603"/>
        <v>8597.878999999999</v>
      </c>
      <c r="M3137" s="42">
        <v>25</v>
      </c>
      <c r="N3137" s="17">
        <f t="shared" si="611"/>
        <v>3.2794520547945205</v>
      </c>
      <c r="O3137" s="23">
        <f t="shared" si="612"/>
        <v>21429.212284602738</v>
      </c>
      <c r="P3137" s="18">
        <f t="shared" si="613"/>
        <v>4.279452054794521</v>
      </c>
      <c r="Q3137" s="18">
        <f t="shared" si="609"/>
        <v>6534.3880400000025</v>
      </c>
      <c r="R3137" s="18">
        <f t="shared" si="614"/>
        <v>27963.600324602739</v>
      </c>
      <c r="S3137" s="18">
        <f t="shared" si="615"/>
        <v>143993.97967539725</v>
      </c>
    </row>
    <row r="3138" spans="1:19" ht="15" customHeight="1" x14ac:dyDescent="0.2">
      <c r="A3138" s="14">
        <f t="shared" si="606"/>
        <v>45</v>
      </c>
      <c r="B3138" s="14" t="s">
        <v>2562</v>
      </c>
      <c r="C3138" s="14" t="s">
        <v>20</v>
      </c>
      <c r="D3138" s="14" t="s">
        <v>2558</v>
      </c>
      <c r="E3138" s="14"/>
      <c r="F3138" s="72" t="s">
        <v>12</v>
      </c>
      <c r="G3138" s="52">
        <v>42726</v>
      </c>
      <c r="H3138" s="17">
        <v>492069.99</v>
      </c>
      <c r="I3138" s="17"/>
      <c r="J3138" s="17"/>
      <c r="K3138" s="17">
        <f t="shared" si="610"/>
        <v>492069.99</v>
      </c>
      <c r="L3138" s="23">
        <f t="shared" si="603"/>
        <v>24603.499500000002</v>
      </c>
      <c r="M3138" s="42">
        <v>25</v>
      </c>
      <c r="N3138" s="17">
        <f t="shared" si="611"/>
        <v>3.2794520547945205</v>
      </c>
      <c r="O3138" s="23">
        <f t="shared" si="612"/>
        <v>61321.357712712335</v>
      </c>
      <c r="P3138" s="18">
        <f t="shared" si="613"/>
        <v>4.279452054794521</v>
      </c>
      <c r="Q3138" s="18">
        <f t="shared" si="609"/>
        <v>18698.659620000006</v>
      </c>
      <c r="R3138" s="18">
        <f t="shared" si="614"/>
        <v>80020.017332712334</v>
      </c>
      <c r="S3138" s="18">
        <f t="shared" si="615"/>
        <v>412049.97266728769</v>
      </c>
    </row>
    <row r="3139" spans="1:19" ht="15" customHeight="1" x14ac:dyDescent="0.2">
      <c r="A3139" s="14">
        <f t="shared" si="606"/>
        <v>46</v>
      </c>
      <c r="B3139" s="14" t="s">
        <v>2563</v>
      </c>
      <c r="C3139" s="14" t="s">
        <v>20</v>
      </c>
      <c r="D3139" s="14" t="s">
        <v>2558</v>
      </c>
      <c r="E3139" s="14"/>
      <c r="F3139" s="72" t="s">
        <v>12</v>
      </c>
      <c r="G3139" s="52">
        <v>42635</v>
      </c>
      <c r="H3139" s="17">
        <v>566057.73</v>
      </c>
      <c r="I3139" s="17"/>
      <c r="J3139" s="17"/>
      <c r="K3139" s="17">
        <f t="shared" si="610"/>
        <v>566057.73</v>
      </c>
      <c r="L3139" s="23">
        <f t="shared" si="603"/>
        <v>28302.886500000001</v>
      </c>
      <c r="M3139" s="42">
        <v>25</v>
      </c>
      <c r="N3139" s="17">
        <f t="shared" si="611"/>
        <v>3.5287671232876714</v>
      </c>
      <c r="O3139" s="23">
        <f t="shared" si="612"/>
        <v>75904.46448526028</v>
      </c>
      <c r="P3139" s="18">
        <f t="shared" si="613"/>
        <v>4.5287671232876709</v>
      </c>
      <c r="Q3139" s="18">
        <f t="shared" si="609"/>
        <v>21510.193739999988</v>
      </c>
      <c r="R3139" s="18">
        <f t="shared" si="614"/>
        <v>97414.658225260267</v>
      </c>
      <c r="S3139" s="18">
        <f t="shared" si="615"/>
        <v>468643.07177473971</v>
      </c>
    </row>
    <row r="3140" spans="1:19" ht="15" customHeight="1" x14ac:dyDescent="0.2">
      <c r="A3140" s="14">
        <f t="shared" si="606"/>
        <v>47</v>
      </c>
      <c r="B3140" s="14" t="s">
        <v>2564</v>
      </c>
      <c r="C3140" s="14" t="s">
        <v>20</v>
      </c>
      <c r="D3140" s="14" t="s">
        <v>2558</v>
      </c>
      <c r="E3140" s="14"/>
      <c r="F3140" s="72" t="s">
        <v>12</v>
      </c>
      <c r="G3140" s="52">
        <v>42635</v>
      </c>
      <c r="H3140" s="17">
        <v>3331.53</v>
      </c>
      <c r="I3140" s="17"/>
      <c r="J3140" s="17"/>
      <c r="K3140" s="17">
        <f t="shared" si="610"/>
        <v>3331.53</v>
      </c>
      <c r="L3140" s="23">
        <f t="shared" si="603"/>
        <v>166.57650000000001</v>
      </c>
      <c r="M3140" s="42">
        <v>25</v>
      </c>
      <c r="N3140" s="17">
        <f t="shared" si="611"/>
        <v>3.5287671232876714</v>
      </c>
      <c r="O3140" s="23">
        <f t="shared" si="612"/>
        <v>446.73535430136991</v>
      </c>
      <c r="P3140" s="18">
        <f t="shared" si="613"/>
        <v>4.5287671232876709</v>
      </c>
      <c r="Q3140" s="18">
        <f t="shared" si="609"/>
        <v>126.59813999999994</v>
      </c>
      <c r="R3140" s="18">
        <f t="shared" si="614"/>
        <v>573.33349430136991</v>
      </c>
      <c r="S3140" s="18">
        <f t="shared" si="615"/>
        <v>2758.1965056986301</v>
      </c>
    </row>
    <row r="3141" spans="1:19" ht="15" customHeight="1" x14ac:dyDescent="0.2">
      <c r="A3141" s="14">
        <f t="shared" si="606"/>
        <v>48</v>
      </c>
      <c r="B3141" s="14" t="s">
        <v>2565</v>
      </c>
      <c r="C3141" s="14" t="s">
        <v>20</v>
      </c>
      <c r="D3141" s="14" t="s">
        <v>2558</v>
      </c>
      <c r="E3141" s="14"/>
      <c r="F3141" s="72" t="s">
        <v>12</v>
      </c>
      <c r="G3141" s="52">
        <v>42635</v>
      </c>
      <c r="H3141" s="17">
        <v>39618.75</v>
      </c>
      <c r="I3141" s="17"/>
      <c r="J3141" s="17"/>
      <c r="K3141" s="17">
        <f t="shared" si="610"/>
        <v>39618.75</v>
      </c>
      <c r="L3141" s="23">
        <f t="shared" si="603"/>
        <v>1980.9375</v>
      </c>
      <c r="M3141" s="42">
        <v>25</v>
      </c>
      <c r="N3141" s="17">
        <f t="shared" si="611"/>
        <v>3.5287671232876714</v>
      </c>
      <c r="O3141" s="23">
        <f t="shared" si="612"/>
        <v>5312.6030136986301</v>
      </c>
      <c r="P3141" s="18">
        <f t="shared" si="613"/>
        <v>4.5287671232876709</v>
      </c>
      <c r="Q3141" s="18">
        <f t="shared" si="609"/>
        <v>1505.5124999999991</v>
      </c>
      <c r="R3141" s="18">
        <f t="shared" si="614"/>
        <v>6818.115513698629</v>
      </c>
      <c r="S3141" s="18">
        <f t="shared" si="615"/>
        <v>32800.634486301373</v>
      </c>
    </row>
    <row r="3142" spans="1:19" ht="15" customHeight="1" x14ac:dyDescent="0.2">
      <c r="A3142" s="14">
        <f t="shared" si="606"/>
        <v>49</v>
      </c>
      <c r="B3142" s="14" t="s">
        <v>2566</v>
      </c>
      <c r="C3142" s="14" t="s">
        <v>20</v>
      </c>
      <c r="D3142" s="14" t="s">
        <v>2558</v>
      </c>
      <c r="E3142" s="14"/>
      <c r="F3142" s="72" t="s">
        <v>12</v>
      </c>
      <c r="G3142" s="52">
        <v>42635</v>
      </c>
      <c r="H3142" s="17">
        <v>60156.88</v>
      </c>
      <c r="I3142" s="17"/>
      <c r="J3142" s="17"/>
      <c r="K3142" s="17">
        <f t="shared" si="610"/>
        <v>60156.88</v>
      </c>
      <c r="L3142" s="23">
        <f t="shared" si="603"/>
        <v>3007.8440000000001</v>
      </c>
      <c r="M3142" s="42">
        <v>25</v>
      </c>
      <c r="N3142" s="17">
        <f t="shared" si="611"/>
        <v>3.5287671232876714</v>
      </c>
      <c r="O3142" s="23">
        <f t="shared" si="612"/>
        <v>8066.6255745753433</v>
      </c>
      <c r="P3142" s="18">
        <f t="shared" si="613"/>
        <v>4.5287671232876709</v>
      </c>
      <c r="Q3142" s="18">
        <f t="shared" si="609"/>
        <v>2285.9614399999987</v>
      </c>
      <c r="R3142" s="18">
        <f t="shared" si="614"/>
        <v>10352.587014575342</v>
      </c>
      <c r="S3142" s="18">
        <f t="shared" si="615"/>
        <v>49804.292985424654</v>
      </c>
    </row>
    <row r="3143" spans="1:19" ht="15" customHeight="1" x14ac:dyDescent="0.2">
      <c r="A3143" s="14">
        <f t="shared" si="606"/>
        <v>50</v>
      </c>
      <c r="B3143" s="14" t="s">
        <v>2567</v>
      </c>
      <c r="C3143" s="14" t="s">
        <v>20</v>
      </c>
      <c r="D3143" s="14" t="s">
        <v>2558</v>
      </c>
      <c r="E3143" s="14"/>
      <c r="F3143" s="72" t="s">
        <v>12</v>
      </c>
      <c r="G3143" s="52">
        <v>42635</v>
      </c>
      <c r="H3143" s="17">
        <v>302.87</v>
      </c>
      <c r="I3143" s="17"/>
      <c r="J3143" s="17"/>
      <c r="K3143" s="17">
        <f t="shared" si="610"/>
        <v>302.87</v>
      </c>
      <c r="L3143" s="23">
        <f t="shared" si="603"/>
        <v>15.143500000000001</v>
      </c>
      <c r="M3143" s="42">
        <v>25</v>
      </c>
      <c r="N3143" s="17">
        <f t="shared" si="611"/>
        <v>3.5287671232876714</v>
      </c>
      <c r="O3143" s="23">
        <f t="shared" si="612"/>
        <v>40.612792547945205</v>
      </c>
      <c r="P3143" s="18">
        <f t="shared" si="613"/>
        <v>4.5287671232876709</v>
      </c>
      <c r="Q3143" s="18">
        <f t="shared" si="609"/>
        <v>11.509059999999995</v>
      </c>
      <c r="R3143" s="18">
        <f t="shared" si="614"/>
        <v>52.121852547945196</v>
      </c>
      <c r="S3143" s="18">
        <f t="shared" si="615"/>
        <v>250.74814745205481</v>
      </c>
    </row>
    <row r="3144" spans="1:19" ht="15" customHeight="1" x14ac:dyDescent="0.2">
      <c r="A3144" s="14">
        <f t="shared" si="606"/>
        <v>51</v>
      </c>
      <c r="B3144" s="14" t="s">
        <v>2568</v>
      </c>
      <c r="C3144" s="14" t="s">
        <v>20</v>
      </c>
      <c r="D3144" s="14" t="s">
        <v>2558</v>
      </c>
      <c r="E3144" s="14"/>
      <c r="F3144" s="72" t="s">
        <v>12</v>
      </c>
      <c r="G3144" s="52">
        <v>42635</v>
      </c>
      <c r="H3144" s="17">
        <v>2981.34</v>
      </c>
      <c r="I3144" s="17"/>
      <c r="J3144" s="17"/>
      <c r="K3144" s="17">
        <f t="shared" si="610"/>
        <v>2981.34</v>
      </c>
      <c r="L3144" s="23">
        <f t="shared" si="603"/>
        <v>149.06700000000001</v>
      </c>
      <c r="M3144" s="42">
        <v>25</v>
      </c>
      <c r="N3144" s="17">
        <f t="shared" si="611"/>
        <v>3.5287671232876714</v>
      </c>
      <c r="O3144" s="23">
        <f t="shared" si="612"/>
        <v>399.7772738630137</v>
      </c>
      <c r="P3144" s="18">
        <f t="shared" si="613"/>
        <v>4.5287671232876709</v>
      </c>
      <c r="Q3144" s="18">
        <f t="shared" si="609"/>
        <v>113.29091999999994</v>
      </c>
      <c r="R3144" s="18">
        <f t="shared" si="614"/>
        <v>513.06819386301368</v>
      </c>
      <c r="S3144" s="18">
        <f t="shared" si="615"/>
        <v>2468.2718061369865</v>
      </c>
    </row>
    <row r="3145" spans="1:19" ht="15" customHeight="1" x14ac:dyDescent="0.2">
      <c r="A3145" s="14">
        <f t="shared" si="606"/>
        <v>52</v>
      </c>
      <c r="B3145" s="14" t="s">
        <v>2569</v>
      </c>
      <c r="C3145" s="14" t="s">
        <v>20</v>
      </c>
      <c r="D3145" s="14" t="s">
        <v>2558</v>
      </c>
      <c r="E3145" s="14"/>
      <c r="F3145" s="72" t="s">
        <v>12</v>
      </c>
      <c r="G3145" s="52">
        <v>42635</v>
      </c>
      <c r="H3145" s="17">
        <v>20140.63</v>
      </c>
      <c r="I3145" s="17"/>
      <c r="J3145" s="17"/>
      <c r="K3145" s="17">
        <f t="shared" si="610"/>
        <v>20140.63</v>
      </c>
      <c r="L3145" s="23">
        <f t="shared" si="603"/>
        <v>1007.0315000000001</v>
      </c>
      <c r="M3145" s="42">
        <v>25</v>
      </c>
      <c r="N3145" s="17">
        <f t="shared" si="611"/>
        <v>3.5287671232876714</v>
      </c>
      <c r="O3145" s="23">
        <f t="shared" si="612"/>
        <v>2700.7205334794521</v>
      </c>
      <c r="P3145" s="18">
        <f t="shared" si="613"/>
        <v>4.5287671232876709</v>
      </c>
      <c r="Q3145" s="18">
        <f t="shared" si="609"/>
        <v>765.34393999999963</v>
      </c>
      <c r="R3145" s="18">
        <f t="shared" si="614"/>
        <v>3466.0644734794519</v>
      </c>
      <c r="S3145" s="18">
        <f t="shared" si="615"/>
        <v>16674.56552652055</v>
      </c>
    </row>
    <row r="3146" spans="1:19" ht="15" customHeight="1" x14ac:dyDescent="0.2">
      <c r="A3146" s="14">
        <f t="shared" si="606"/>
        <v>53</v>
      </c>
      <c r="B3146" s="14" t="s">
        <v>2570</v>
      </c>
      <c r="C3146" s="14" t="s">
        <v>20</v>
      </c>
      <c r="D3146" s="14" t="s">
        <v>2558</v>
      </c>
      <c r="E3146" s="14"/>
      <c r="F3146" s="72" t="s">
        <v>12</v>
      </c>
      <c r="G3146" s="52">
        <v>42635</v>
      </c>
      <c r="H3146" s="17">
        <v>7278.26</v>
      </c>
      <c r="I3146" s="17"/>
      <c r="J3146" s="17"/>
      <c r="K3146" s="17">
        <f t="shared" si="610"/>
        <v>7278.26</v>
      </c>
      <c r="L3146" s="23">
        <f t="shared" si="603"/>
        <v>363.91300000000001</v>
      </c>
      <c r="M3146" s="42">
        <v>25</v>
      </c>
      <c r="N3146" s="17">
        <f t="shared" si="611"/>
        <v>3.5287671232876714</v>
      </c>
      <c r="O3146" s="23">
        <f t="shared" si="612"/>
        <v>975.96481490410952</v>
      </c>
      <c r="P3146" s="18">
        <f t="shared" si="613"/>
        <v>4.5287671232876709</v>
      </c>
      <c r="Q3146" s="18">
        <f t="shared" si="609"/>
        <v>276.57387999999986</v>
      </c>
      <c r="R3146" s="18">
        <f t="shared" si="614"/>
        <v>1252.5386949041094</v>
      </c>
      <c r="S3146" s="18">
        <f t="shared" si="615"/>
        <v>6025.7213050958908</v>
      </c>
    </row>
    <row r="3147" spans="1:19" ht="15" customHeight="1" x14ac:dyDescent="0.2">
      <c r="A3147" s="14">
        <f t="shared" si="606"/>
        <v>54</v>
      </c>
      <c r="B3147" s="14" t="s">
        <v>2571</v>
      </c>
      <c r="C3147" s="14" t="s">
        <v>20</v>
      </c>
      <c r="D3147" s="14" t="s">
        <v>2558</v>
      </c>
      <c r="E3147" s="14"/>
      <c r="F3147" s="72" t="s">
        <v>12</v>
      </c>
      <c r="G3147" s="52">
        <v>42635</v>
      </c>
      <c r="H3147" s="17">
        <v>3814.23</v>
      </c>
      <c r="I3147" s="17"/>
      <c r="J3147" s="17"/>
      <c r="K3147" s="17">
        <f t="shared" si="610"/>
        <v>3814.23</v>
      </c>
      <c r="L3147" s="23">
        <f t="shared" si="603"/>
        <v>190.7115</v>
      </c>
      <c r="M3147" s="42">
        <v>25</v>
      </c>
      <c r="N3147" s="17">
        <f t="shared" si="611"/>
        <v>3.5287671232876714</v>
      </c>
      <c r="O3147" s="23">
        <f t="shared" si="612"/>
        <v>511.46211813698636</v>
      </c>
      <c r="P3147" s="18">
        <f t="shared" si="613"/>
        <v>4.5287671232876709</v>
      </c>
      <c r="Q3147" s="18">
        <f t="shared" si="609"/>
        <v>144.94073999999992</v>
      </c>
      <c r="R3147" s="18">
        <f t="shared" si="614"/>
        <v>656.40285813698631</v>
      </c>
      <c r="S3147" s="18">
        <f t="shared" si="615"/>
        <v>3157.8271418630138</v>
      </c>
    </row>
    <row r="3148" spans="1:19" ht="15" customHeight="1" x14ac:dyDescent="0.2">
      <c r="A3148" s="14">
        <f t="shared" si="606"/>
        <v>55</v>
      </c>
      <c r="B3148" s="14" t="s">
        <v>2572</v>
      </c>
      <c r="C3148" s="14" t="s">
        <v>20</v>
      </c>
      <c r="D3148" s="14" t="s">
        <v>2558</v>
      </c>
      <c r="E3148" s="14"/>
      <c r="F3148" s="72" t="s">
        <v>12</v>
      </c>
      <c r="G3148" s="52">
        <v>42635</v>
      </c>
      <c r="H3148" s="17">
        <v>45780.19</v>
      </c>
      <c r="I3148" s="17"/>
      <c r="J3148" s="17"/>
      <c r="K3148" s="17">
        <f t="shared" si="610"/>
        <v>45780.19</v>
      </c>
      <c r="L3148" s="23">
        <f t="shared" si="603"/>
        <v>2289.0095000000001</v>
      </c>
      <c r="M3148" s="42">
        <v>25</v>
      </c>
      <c r="N3148" s="17">
        <f t="shared" si="611"/>
        <v>3.5287671232876714</v>
      </c>
      <c r="O3148" s="23">
        <f t="shared" si="612"/>
        <v>6138.8099160547954</v>
      </c>
      <c r="P3148" s="18">
        <f t="shared" si="613"/>
        <v>4.5287671232876709</v>
      </c>
      <c r="Q3148" s="18">
        <f t="shared" si="609"/>
        <v>1739.6472199999992</v>
      </c>
      <c r="R3148" s="18">
        <f t="shared" si="614"/>
        <v>7878.4571360547943</v>
      </c>
      <c r="S3148" s="18">
        <f t="shared" si="615"/>
        <v>37901.73286394521</v>
      </c>
    </row>
    <row r="3149" spans="1:19" ht="15" customHeight="1" x14ac:dyDescent="0.2">
      <c r="A3149" s="14">
        <f t="shared" si="606"/>
        <v>56</v>
      </c>
      <c r="B3149" s="14" t="s">
        <v>2573</v>
      </c>
      <c r="C3149" s="14" t="s">
        <v>20</v>
      </c>
      <c r="D3149" s="14" t="s">
        <v>2558</v>
      </c>
      <c r="E3149" s="14"/>
      <c r="F3149" s="72" t="s">
        <v>12</v>
      </c>
      <c r="G3149" s="52">
        <v>42635</v>
      </c>
      <c r="H3149" s="17">
        <v>78527.64</v>
      </c>
      <c r="I3149" s="17"/>
      <c r="J3149" s="17"/>
      <c r="K3149" s="17">
        <f t="shared" si="610"/>
        <v>78527.64</v>
      </c>
      <c r="L3149" s="23">
        <f t="shared" si="603"/>
        <v>3926.3820000000001</v>
      </c>
      <c r="M3149" s="42">
        <v>25</v>
      </c>
      <c r="N3149" s="17">
        <f t="shared" si="611"/>
        <v>3.5287671232876714</v>
      </c>
      <c r="O3149" s="23">
        <f t="shared" si="612"/>
        <v>10530.018663452056</v>
      </c>
      <c r="P3149" s="18">
        <f t="shared" si="613"/>
        <v>4.5287671232876709</v>
      </c>
      <c r="Q3149" s="18">
        <f t="shared" si="609"/>
        <v>2984.0503199999985</v>
      </c>
      <c r="R3149" s="18">
        <f t="shared" si="614"/>
        <v>13514.068983452054</v>
      </c>
      <c r="S3149" s="18">
        <f t="shared" si="615"/>
        <v>65013.571016547947</v>
      </c>
    </row>
    <row r="3150" spans="1:19" ht="15" customHeight="1" x14ac:dyDescent="0.2">
      <c r="A3150" s="14">
        <f t="shared" si="606"/>
        <v>57</v>
      </c>
      <c r="B3150" s="14" t="s">
        <v>2574</v>
      </c>
      <c r="C3150" s="14" t="s">
        <v>20</v>
      </c>
      <c r="D3150" s="14" t="s">
        <v>2558</v>
      </c>
      <c r="E3150" s="14"/>
      <c r="F3150" s="72" t="s">
        <v>12</v>
      </c>
      <c r="G3150" s="52">
        <v>42635</v>
      </c>
      <c r="H3150" s="17">
        <v>113.58</v>
      </c>
      <c r="I3150" s="17"/>
      <c r="J3150" s="17"/>
      <c r="K3150" s="17">
        <f t="shared" si="610"/>
        <v>113.58</v>
      </c>
      <c r="L3150" s="23">
        <f t="shared" si="603"/>
        <v>5.6790000000000003</v>
      </c>
      <c r="M3150" s="42">
        <v>25</v>
      </c>
      <c r="N3150" s="17">
        <f t="shared" si="611"/>
        <v>3.5287671232876714</v>
      </c>
      <c r="O3150" s="23">
        <f t="shared" si="612"/>
        <v>15.230300054794522</v>
      </c>
      <c r="P3150" s="18">
        <f t="shared" si="613"/>
        <v>4.5287671232876709</v>
      </c>
      <c r="Q3150" s="18">
        <f t="shared" si="609"/>
        <v>4.3160399999999974</v>
      </c>
      <c r="R3150" s="18">
        <f t="shared" si="614"/>
        <v>19.54634005479452</v>
      </c>
      <c r="S3150" s="18">
        <f t="shared" si="615"/>
        <v>94.033659945205471</v>
      </c>
    </row>
    <row r="3151" spans="1:19" ht="15" customHeight="1" x14ac:dyDescent="0.2">
      <c r="A3151" s="14">
        <f t="shared" si="606"/>
        <v>58</v>
      </c>
      <c r="B3151" s="14" t="s">
        <v>2575</v>
      </c>
      <c r="C3151" s="14" t="s">
        <v>20</v>
      </c>
      <c r="D3151" s="14" t="s">
        <v>2558</v>
      </c>
      <c r="E3151" s="14"/>
      <c r="F3151" s="72" t="s">
        <v>12</v>
      </c>
      <c r="G3151" s="52">
        <v>43861</v>
      </c>
      <c r="H3151" s="17">
        <v>801.84</v>
      </c>
      <c r="I3151" s="17"/>
      <c r="J3151" s="17"/>
      <c r="K3151" s="17">
        <f t="shared" si="610"/>
        <v>801.84</v>
      </c>
      <c r="L3151" s="23">
        <f t="shared" si="603"/>
        <v>40.092000000000006</v>
      </c>
      <c r="M3151" s="42">
        <v>25</v>
      </c>
      <c r="N3151" s="17">
        <f t="shared" si="611"/>
        <v>0.16986301369863013</v>
      </c>
      <c r="O3151" s="23">
        <f t="shared" si="612"/>
        <v>5.1757124383561646</v>
      </c>
      <c r="P3151" s="18">
        <f t="shared" si="613"/>
        <v>1.1698630136986301</v>
      </c>
      <c r="Q3151" s="18">
        <f t="shared" ref="Q3151:Q3180" si="616">(P3151-N3151)/M3151*(K3151-L3151)</f>
        <v>30.469920000000002</v>
      </c>
      <c r="R3151" s="18">
        <f t="shared" si="614"/>
        <v>35.645632438356166</v>
      </c>
      <c r="S3151" s="18">
        <f t="shared" si="615"/>
        <v>766.19436756164384</v>
      </c>
    </row>
    <row r="3152" spans="1:19" ht="15" customHeight="1" x14ac:dyDescent="0.2">
      <c r="A3152" s="14">
        <f t="shared" si="606"/>
        <v>59</v>
      </c>
      <c r="B3152" s="14" t="s">
        <v>2570</v>
      </c>
      <c r="C3152" s="14" t="s">
        <v>20</v>
      </c>
      <c r="D3152" s="14" t="s">
        <v>2558</v>
      </c>
      <c r="E3152" s="14"/>
      <c r="F3152" s="72" t="s">
        <v>12</v>
      </c>
      <c r="G3152" s="52">
        <v>43861</v>
      </c>
      <c r="H3152" s="17">
        <v>9503.67</v>
      </c>
      <c r="I3152" s="17"/>
      <c r="J3152" s="17"/>
      <c r="K3152" s="17">
        <f t="shared" si="610"/>
        <v>9503.67</v>
      </c>
      <c r="L3152" s="23">
        <f t="shared" si="603"/>
        <v>475.18350000000004</v>
      </c>
      <c r="M3152" s="42">
        <v>25</v>
      </c>
      <c r="N3152" s="17">
        <f t="shared" si="611"/>
        <v>0.16986301369863013</v>
      </c>
      <c r="O3152" s="23">
        <f t="shared" si="612"/>
        <v>61.344237041095894</v>
      </c>
      <c r="P3152" s="18">
        <f t="shared" si="613"/>
        <v>1.1698630136986301</v>
      </c>
      <c r="Q3152" s="18">
        <f t="shared" si="616"/>
        <v>361.13946000000004</v>
      </c>
      <c r="R3152" s="18">
        <f t="shared" si="614"/>
        <v>422.48369704109592</v>
      </c>
      <c r="S3152" s="18">
        <f t="shared" si="615"/>
        <v>9081.186302958904</v>
      </c>
    </row>
    <row r="3153" spans="1:19" ht="15" customHeight="1" x14ac:dyDescent="0.2">
      <c r="A3153" s="14">
        <f t="shared" si="606"/>
        <v>60</v>
      </c>
      <c r="B3153" s="14" t="s">
        <v>2576</v>
      </c>
      <c r="C3153" s="14" t="s">
        <v>20</v>
      </c>
      <c r="D3153" s="14" t="s">
        <v>2558</v>
      </c>
      <c r="E3153" s="14"/>
      <c r="F3153" s="72" t="s">
        <v>12</v>
      </c>
      <c r="G3153" s="52">
        <v>43861</v>
      </c>
      <c r="H3153" s="17">
        <v>69778.600000000006</v>
      </c>
      <c r="I3153" s="17"/>
      <c r="J3153" s="17"/>
      <c r="K3153" s="17">
        <f t="shared" si="610"/>
        <v>69778.600000000006</v>
      </c>
      <c r="L3153" s="23">
        <f t="shared" si="603"/>
        <v>3488.9300000000003</v>
      </c>
      <c r="M3153" s="42">
        <v>25</v>
      </c>
      <c r="N3153" s="17">
        <f t="shared" si="611"/>
        <v>0.16986301369863013</v>
      </c>
      <c r="O3153" s="23">
        <f t="shared" si="612"/>
        <v>450.40652493150691</v>
      </c>
      <c r="P3153" s="18">
        <f t="shared" si="613"/>
        <v>1.1698630136986301</v>
      </c>
      <c r="Q3153" s="18">
        <f t="shared" si="616"/>
        <v>2651.5868000000005</v>
      </c>
      <c r="R3153" s="18">
        <f t="shared" si="614"/>
        <v>3101.9933249315072</v>
      </c>
      <c r="S3153" s="18">
        <f t="shared" si="615"/>
        <v>66676.606675068499</v>
      </c>
    </row>
    <row r="3154" spans="1:19" ht="15" customHeight="1" x14ac:dyDescent="0.2">
      <c r="A3154" s="14">
        <f t="shared" si="606"/>
        <v>61</v>
      </c>
      <c r="B3154" s="14" t="s">
        <v>2577</v>
      </c>
      <c r="C3154" s="14" t="s">
        <v>20</v>
      </c>
      <c r="D3154" s="14" t="s">
        <v>2558</v>
      </c>
      <c r="E3154" s="14"/>
      <c r="F3154" s="72" t="s">
        <v>12</v>
      </c>
      <c r="G3154" s="52">
        <v>43861</v>
      </c>
      <c r="H3154" s="17">
        <v>1403.23</v>
      </c>
      <c r="I3154" s="17"/>
      <c r="J3154" s="17"/>
      <c r="K3154" s="17">
        <f t="shared" si="610"/>
        <v>1403.23</v>
      </c>
      <c r="L3154" s="23">
        <f t="shared" si="603"/>
        <v>70.161500000000004</v>
      </c>
      <c r="M3154" s="42">
        <v>25</v>
      </c>
      <c r="N3154" s="17">
        <f t="shared" si="611"/>
        <v>0.16986301369863013</v>
      </c>
      <c r="O3154" s="23">
        <f t="shared" si="612"/>
        <v>9.0575613150684937</v>
      </c>
      <c r="P3154" s="18">
        <f t="shared" si="613"/>
        <v>1.1698630136986301</v>
      </c>
      <c r="Q3154" s="18">
        <f t="shared" si="616"/>
        <v>53.322740000000003</v>
      </c>
      <c r="R3154" s="18">
        <f t="shared" si="614"/>
        <v>62.380301315068493</v>
      </c>
      <c r="S3154" s="18">
        <f t="shared" si="615"/>
        <v>1340.8496986849316</v>
      </c>
    </row>
    <row r="3155" spans="1:19" ht="15" customHeight="1" x14ac:dyDescent="0.2">
      <c r="A3155" s="14">
        <f t="shared" si="606"/>
        <v>62</v>
      </c>
      <c r="B3155" s="14"/>
      <c r="C3155" s="14" t="s">
        <v>20</v>
      </c>
      <c r="D3155" s="14" t="s">
        <v>2558</v>
      </c>
      <c r="E3155" s="14"/>
      <c r="F3155" s="72" t="s">
        <v>12</v>
      </c>
      <c r="G3155" s="52">
        <v>44043</v>
      </c>
      <c r="H3155" s="17">
        <v>0</v>
      </c>
      <c r="I3155" s="17">
        <v>36504.28</v>
      </c>
      <c r="J3155" s="17"/>
      <c r="K3155" s="17">
        <f t="shared" si="610"/>
        <v>36504.28</v>
      </c>
      <c r="L3155" s="23">
        <f t="shared" si="603"/>
        <v>1825.2139999999999</v>
      </c>
      <c r="M3155" s="42">
        <v>25</v>
      </c>
      <c r="N3155" s="17">
        <f t="shared" si="611"/>
        <v>0</v>
      </c>
      <c r="O3155" s="23">
        <f t="shared" si="612"/>
        <v>0</v>
      </c>
      <c r="P3155" s="18">
        <f t="shared" si="613"/>
        <v>0.67123287671232879</v>
      </c>
      <c r="Q3155" s="18">
        <f t="shared" si="616"/>
        <v>931.10916931506847</v>
      </c>
      <c r="R3155" s="18">
        <f t="shared" si="614"/>
        <v>931.10916931506847</v>
      </c>
      <c r="S3155" s="18">
        <f t="shared" si="615"/>
        <v>35573.170830684932</v>
      </c>
    </row>
    <row r="3156" spans="1:19" ht="15" customHeight="1" x14ac:dyDescent="0.2">
      <c r="A3156" s="14">
        <f t="shared" si="606"/>
        <v>63</v>
      </c>
      <c r="B3156" s="14"/>
      <c r="C3156" s="14" t="s">
        <v>20</v>
      </c>
      <c r="D3156" s="14" t="s">
        <v>2558</v>
      </c>
      <c r="E3156" s="14"/>
      <c r="F3156" s="72" t="s">
        <v>12</v>
      </c>
      <c r="G3156" s="52">
        <v>44104</v>
      </c>
      <c r="H3156" s="17">
        <v>0</v>
      </c>
      <c r="I3156" s="17">
        <v>7266.16</v>
      </c>
      <c r="J3156" s="17"/>
      <c r="K3156" s="17">
        <f t="shared" si="610"/>
        <v>7266.16</v>
      </c>
      <c r="L3156" s="23">
        <f t="shared" si="603"/>
        <v>363.30799999999999</v>
      </c>
      <c r="M3156" s="42">
        <v>25</v>
      </c>
      <c r="N3156" s="17">
        <f t="shared" si="611"/>
        <v>0</v>
      </c>
      <c r="O3156" s="23">
        <f t="shared" si="612"/>
        <v>0</v>
      </c>
      <c r="P3156" s="18">
        <f t="shared" si="613"/>
        <v>0.50410958904109593</v>
      </c>
      <c r="Q3156" s="18">
        <f t="shared" si="616"/>
        <v>139.19175539726027</v>
      </c>
      <c r="R3156" s="18">
        <f t="shared" si="614"/>
        <v>139.19175539726027</v>
      </c>
      <c r="S3156" s="18">
        <f t="shared" si="615"/>
        <v>7126.96824460274</v>
      </c>
    </row>
    <row r="3157" spans="1:19" ht="15" customHeight="1" x14ac:dyDescent="0.2">
      <c r="A3157" s="14">
        <f t="shared" si="606"/>
        <v>64</v>
      </c>
      <c r="B3157" s="14" t="s">
        <v>2578</v>
      </c>
      <c r="C3157" s="14" t="s">
        <v>20</v>
      </c>
      <c r="D3157" s="14" t="s">
        <v>500</v>
      </c>
      <c r="E3157" s="17" t="s">
        <v>2578</v>
      </c>
      <c r="F3157" s="72" t="s">
        <v>12</v>
      </c>
      <c r="G3157" s="52">
        <v>42353</v>
      </c>
      <c r="H3157" s="17">
        <v>13349812.794238051</v>
      </c>
      <c r="I3157" s="17"/>
      <c r="J3157" s="17"/>
      <c r="K3157" s="17">
        <f t="shared" si="610"/>
        <v>13349812.794238051</v>
      </c>
      <c r="L3157" s="23">
        <f t="shared" si="603"/>
        <v>667490.63971190259</v>
      </c>
      <c r="M3157" s="17">
        <v>25</v>
      </c>
      <c r="N3157" s="17">
        <f t="shared" si="611"/>
        <v>4.3013698630136989</v>
      </c>
      <c r="O3157" s="23">
        <f t="shared" si="612"/>
        <v>2182054.3323403895</v>
      </c>
      <c r="P3157" s="18">
        <f t="shared" si="613"/>
        <v>5.3013698630136989</v>
      </c>
      <c r="Q3157" s="18">
        <f t="shared" si="616"/>
        <v>507292.88618104591</v>
      </c>
      <c r="R3157" s="18">
        <f t="shared" si="614"/>
        <v>2689347.2185214353</v>
      </c>
      <c r="S3157" s="18">
        <f t="shared" si="615"/>
        <v>10660465.575716617</v>
      </c>
    </row>
    <row r="3158" spans="1:19" ht="15" customHeight="1" x14ac:dyDescent="0.2">
      <c r="A3158" s="14">
        <f t="shared" si="606"/>
        <v>65</v>
      </c>
      <c r="B3158" s="14" t="s">
        <v>2578</v>
      </c>
      <c r="C3158" s="14" t="s">
        <v>20</v>
      </c>
      <c r="D3158" s="14" t="s">
        <v>500</v>
      </c>
      <c r="E3158" s="17" t="s">
        <v>2578</v>
      </c>
      <c r="F3158" s="72" t="s">
        <v>12</v>
      </c>
      <c r="G3158" s="52">
        <v>42444</v>
      </c>
      <c r="H3158" s="17">
        <v>438866.03</v>
      </c>
      <c r="I3158" s="17"/>
      <c r="J3158" s="17"/>
      <c r="K3158" s="17">
        <f t="shared" ref="K3158:K3189" si="617">H3158+I3158-J3158</f>
        <v>438866.03</v>
      </c>
      <c r="L3158" s="23">
        <f t="shared" si="603"/>
        <v>21943.301500000001</v>
      </c>
      <c r="M3158" s="17">
        <v>25</v>
      </c>
      <c r="N3158" s="17">
        <f t="shared" ref="N3158:N3189" si="618">IF(($N$35-G3158+1)/365&gt;0,($N$35-G3158+1)/365,0)</f>
        <v>4.0520547945205481</v>
      </c>
      <c r="O3158" s="23">
        <f t="shared" ref="O3158:O3180" si="619">(K3158-L3158)/M3158*N3158</f>
        <v>67575.749638520545</v>
      </c>
      <c r="P3158" s="18">
        <f t="shared" ref="P3158:P3189" si="620">($P$35-G3158+1)/365</f>
        <v>5.0520547945205481</v>
      </c>
      <c r="Q3158" s="18">
        <f t="shared" si="616"/>
        <v>16676.90914</v>
      </c>
      <c r="R3158" s="18">
        <f t="shared" ref="R3158:R3189" si="621">O3158+Q3158</f>
        <v>84252.658778520548</v>
      </c>
      <c r="S3158" s="18">
        <f t="shared" ref="S3158:S3189" si="622">K3158-R3158</f>
        <v>354613.37122147949</v>
      </c>
    </row>
    <row r="3159" spans="1:19" ht="15" customHeight="1" x14ac:dyDescent="0.2">
      <c r="A3159" s="14">
        <f t="shared" si="606"/>
        <v>66</v>
      </c>
      <c r="B3159" s="14" t="s">
        <v>2578</v>
      </c>
      <c r="C3159" s="14" t="s">
        <v>20</v>
      </c>
      <c r="D3159" s="14" t="s">
        <v>500</v>
      </c>
      <c r="E3159" s="17" t="s">
        <v>2578</v>
      </c>
      <c r="F3159" s="72" t="s">
        <v>12</v>
      </c>
      <c r="G3159" s="52">
        <v>43054</v>
      </c>
      <c r="H3159" s="17">
        <v>2170135.5299999998</v>
      </c>
      <c r="I3159" s="17"/>
      <c r="J3159" s="17"/>
      <c r="K3159" s="17">
        <f t="shared" si="617"/>
        <v>2170135.5299999998</v>
      </c>
      <c r="L3159" s="23">
        <f t="shared" ref="L3159:L3217" si="623">K3159*0.05</f>
        <v>108506.77649999999</v>
      </c>
      <c r="M3159" s="17">
        <v>25</v>
      </c>
      <c r="N3159" s="17">
        <f t="shared" si="618"/>
        <v>2.3808219178082193</v>
      </c>
      <c r="O3159" s="23">
        <f t="shared" si="619"/>
        <v>196334.83690865754</v>
      </c>
      <c r="P3159" s="18">
        <f t="shared" si="620"/>
        <v>3.3808219178082193</v>
      </c>
      <c r="Q3159" s="18">
        <f t="shared" si="616"/>
        <v>82465.150139999998</v>
      </c>
      <c r="R3159" s="18">
        <f t="shared" si="621"/>
        <v>278799.98704865755</v>
      </c>
      <c r="S3159" s="18">
        <f t="shared" si="622"/>
        <v>1891335.5429513422</v>
      </c>
    </row>
    <row r="3160" spans="1:19" ht="15" customHeight="1" x14ac:dyDescent="0.2">
      <c r="A3160" s="14">
        <f t="shared" ref="A3160:A3216" si="624">A3159+1</f>
        <v>67</v>
      </c>
      <c r="B3160" s="14" t="s">
        <v>2578</v>
      </c>
      <c r="C3160" s="14" t="s">
        <v>20</v>
      </c>
      <c r="D3160" s="14" t="s">
        <v>500</v>
      </c>
      <c r="E3160" s="17" t="s">
        <v>2578</v>
      </c>
      <c r="F3160" s="72" t="s">
        <v>12</v>
      </c>
      <c r="G3160" s="52">
        <v>43190</v>
      </c>
      <c r="H3160" s="17">
        <v>1257059</v>
      </c>
      <c r="I3160" s="17"/>
      <c r="J3160" s="17"/>
      <c r="K3160" s="17">
        <f t="shared" si="617"/>
        <v>1257059</v>
      </c>
      <c r="L3160" s="23">
        <f t="shared" si="623"/>
        <v>62852.950000000004</v>
      </c>
      <c r="M3160" s="17">
        <v>25</v>
      </c>
      <c r="N3160" s="17">
        <f t="shared" si="618"/>
        <v>2.0082191780821916</v>
      </c>
      <c r="O3160" s="23">
        <f t="shared" si="619"/>
        <v>95929.099687671216</v>
      </c>
      <c r="P3160" s="18">
        <f t="shared" si="620"/>
        <v>3.0082191780821916</v>
      </c>
      <c r="Q3160" s="18">
        <f t="shared" si="616"/>
        <v>47768.242000000006</v>
      </c>
      <c r="R3160" s="18">
        <f t="shared" si="621"/>
        <v>143697.34168767123</v>
      </c>
      <c r="S3160" s="18">
        <f t="shared" si="622"/>
        <v>1113361.6583123289</v>
      </c>
    </row>
    <row r="3161" spans="1:19" ht="15" customHeight="1" x14ac:dyDescent="0.2">
      <c r="A3161" s="14">
        <f t="shared" si="624"/>
        <v>68</v>
      </c>
      <c r="B3161" s="14" t="s">
        <v>2579</v>
      </c>
      <c r="C3161" s="14" t="s">
        <v>20</v>
      </c>
      <c r="D3161" s="14" t="s">
        <v>500</v>
      </c>
      <c r="E3161" s="17" t="s">
        <v>2578</v>
      </c>
      <c r="F3161" s="72" t="s">
        <v>12</v>
      </c>
      <c r="G3161" s="52">
        <v>42353</v>
      </c>
      <c r="H3161" s="17">
        <v>23580162.917827323</v>
      </c>
      <c r="I3161" s="17"/>
      <c r="J3161" s="17"/>
      <c r="K3161" s="17">
        <f t="shared" si="617"/>
        <v>23580162.917827323</v>
      </c>
      <c r="L3161" s="23">
        <f t="shared" si="623"/>
        <v>1179008.1458913663</v>
      </c>
      <c r="M3161" s="17">
        <v>25</v>
      </c>
      <c r="N3161" s="17">
        <f t="shared" si="618"/>
        <v>4.3013698630136989</v>
      </c>
      <c r="O3161" s="23">
        <f t="shared" si="619"/>
        <v>3854226.0813084333</v>
      </c>
      <c r="P3161" s="18">
        <f t="shared" si="620"/>
        <v>5.3013698630136989</v>
      </c>
      <c r="Q3161" s="18">
        <f t="shared" si="616"/>
        <v>896046.19087743841</v>
      </c>
      <c r="R3161" s="18">
        <f t="shared" si="621"/>
        <v>4750272.2721858714</v>
      </c>
      <c r="S3161" s="18">
        <f t="shared" si="622"/>
        <v>18829890.645641454</v>
      </c>
    </row>
    <row r="3162" spans="1:19" ht="15" customHeight="1" x14ac:dyDescent="0.2">
      <c r="A3162" s="14">
        <f t="shared" si="624"/>
        <v>69</v>
      </c>
      <c r="B3162" s="14" t="s">
        <v>2580</v>
      </c>
      <c r="C3162" s="14" t="s">
        <v>20</v>
      </c>
      <c r="D3162" s="14" t="s">
        <v>500</v>
      </c>
      <c r="E3162" s="17" t="s">
        <v>2581</v>
      </c>
      <c r="F3162" s="72" t="s">
        <v>12</v>
      </c>
      <c r="G3162" s="52">
        <v>42353</v>
      </c>
      <c r="H3162" s="17">
        <v>18016945.345661405</v>
      </c>
      <c r="I3162" s="17"/>
      <c r="J3162" s="17"/>
      <c r="K3162" s="17">
        <f t="shared" si="617"/>
        <v>18016945.345661405</v>
      </c>
      <c r="L3162" s="23">
        <f t="shared" si="623"/>
        <v>900847.26728307037</v>
      </c>
      <c r="M3162" s="17">
        <v>25</v>
      </c>
      <c r="N3162" s="17">
        <f t="shared" si="618"/>
        <v>4.3013698630136989</v>
      </c>
      <c r="O3162" s="23">
        <f t="shared" si="619"/>
        <v>2944906.7378689297</v>
      </c>
      <c r="P3162" s="18">
        <f t="shared" si="620"/>
        <v>5.3013698630136989</v>
      </c>
      <c r="Q3162" s="18">
        <f t="shared" si="616"/>
        <v>684643.92313513334</v>
      </c>
      <c r="R3162" s="18">
        <f t="shared" si="621"/>
        <v>3629550.6610040632</v>
      </c>
      <c r="S3162" s="18">
        <f t="shared" si="622"/>
        <v>14387394.684657343</v>
      </c>
    </row>
    <row r="3163" spans="1:19" ht="15" customHeight="1" x14ac:dyDescent="0.2">
      <c r="A3163" s="14">
        <f t="shared" si="624"/>
        <v>70</v>
      </c>
      <c r="B3163" s="14" t="s">
        <v>2580</v>
      </c>
      <c r="C3163" s="14" t="s">
        <v>20</v>
      </c>
      <c r="D3163" s="14" t="s">
        <v>500</v>
      </c>
      <c r="E3163" s="17" t="s">
        <v>2581</v>
      </c>
      <c r="F3163" s="72" t="s">
        <v>12</v>
      </c>
      <c r="G3163" s="52">
        <v>42444</v>
      </c>
      <c r="H3163" s="17">
        <v>28232.720000000001</v>
      </c>
      <c r="I3163" s="17"/>
      <c r="J3163" s="17"/>
      <c r="K3163" s="17">
        <f t="shared" si="617"/>
        <v>28232.720000000001</v>
      </c>
      <c r="L3163" s="23">
        <f t="shared" si="623"/>
        <v>1411.6360000000002</v>
      </c>
      <c r="M3163" s="17">
        <v>25</v>
      </c>
      <c r="N3163" s="17">
        <f t="shared" si="618"/>
        <v>4.0520547945205481</v>
      </c>
      <c r="O3163" s="23">
        <f t="shared" si="619"/>
        <v>4347.2200806575347</v>
      </c>
      <c r="P3163" s="18">
        <f t="shared" si="620"/>
        <v>5.0520547945205481</v>
      </c>
      <c r="Q3163" s="18">
        <f t="shared" si="616"/>
        <v>1072.8433600000001</v>
      </c>
      <c r="R3163" s="18">
        <f t="shared" si="621"/>
        <v>5420.0634406575346</v>
      </c>
      <c r="S3163" s="18">
        <f t="shared" si="622"/>
        <v>22812.656559342468</v>
      </c>
    </row>
    <row r="3164" spans="1:19" ht="15" customHeight="1" x14ac:dyDescent="0.2">
      <c r="A3164" s="14">
        <f t="shared" si="624"/>
        <v>71</v>
      </c>
      <c r="B3164" s="14" t="s">
        <v>2582</v>
      </c>
      <c r="C3164" s="14" t="s">
        <v>20</v>
      </c>
      <c r="D3164" s="14" t="s">
        <v>500</v>
      </c>
      <c r="E3164" s="17" t="s">
        <v>2581</v>
      </c>
      <c r="F3164" s="72" t="s">
        <v>12</v>
      </c>
      <c r="G3164" s="52">
        <v>42353</v>
      </c>
      <c r="H3164" s="17">
        <v>6359488.7958694519</v>
      </c>
      <c r="I3164" s="17"/>
      <c r="J3164" s="17"/>
      <c r="K3164" s="17">
        <f t="shared" si="617"/>
        <v>6359488.7958694519</v>
      </c>
      <c r="L3164" s="23">
        <f t="shared" si="623"/>
        <v>317974.43979347264</v>
      </c>
      <c r="M3164" s="17">
        <v>25</v>
      </c>
      <c r="N3164" s="17">
        <f t="shared" si="618"/>
        <v>4.3013698630136989</v>
      </c>
      <c r="O3164" s="23">
        <f t="shared" si="619"/>
        <v>1039471.5111275932</v>
      </c>
      <c r="P3164" s="18">
        <f t="shared" si="620"/>
        <v>5.3013698630136989</v>
      </c>
      <c r="Q3164" s="18">
        <f t="shared" si="616"/>
        <v>241660.57424303918</v>
      </c>
      <c r="R3164" s="18">
        <f t="shared" si="621"/>
        <v>1281132.0853706324</v>
      </c>
      <c r="S3164" s="18">
        <f t="shared" si="622"/>
        <v>5078356.7104988191</v>
      </c>
    </row>
    <row r="3165" spans="1:19" ht="15" customHeight="1" x14ac:dyDescent="0.2">
      <c r="A3165" s="14">
        <f t="shared" si="624"/>
        <v>72</v>
      </c>
      <c r="B3165" s="14" t="s">
        <v>2583</v>
      </c>
      <c r="C3165" s="14" t="s">
        <v>20</v>
      </c>
      <c r="D3165" s="14" t="s">
        <v>500</v>
      </c>
      <c r="E3165" s="17" t="s">
        <v>2581</v>
      </c>
      <c r="F3165" s="72" t="s">
        <v>12</v>
      </c>
      <c r="G3165" s="52">
        <v>42353</v>
      </c>
      <c r="H3165" s="17">
        <v>23471348.609397441</v>
      </c>
      <c r="I3165" s="17"/>
      <c r="J3165" s="17"/>
      <c r="K3165" s="17">
        <f t="shared" si="617"/>
        <v>23471348.609397441</v>
      </c>
      <c r="L3165" s="23">
        <f t="shared" si="623"/>
        <v>1173567.4304698722</v>
      </c>
      <c r="M3165" s="17">
        <v>25</v>
      </c>
      <c r="N3165" s="17">
        <f t="shared" si="618"/>
        <v>4.3013698630136989</v>
      </c>
      <c r="O3165" s="23">
        <f t="shared" si="619"/>
        <v>3836440.1590045248</v>
      </c>
      <c r="P3165" s="18">
        <f t="shared" si="620"/>
        <v>5.3013698630136989</v>
      </c>
      <c r="Q3165" s="18">
        <f t="shared" si="616"/>
        <v>891911.2471571028</v>
      </c>
      <c r="R3165" s="18">
        <f t="shared" si="621"/>
        <v>4728351.4061616277</v>
      </c>
      <c r="S3165" s="18">
        <f t="shared" si="622"/>
        <v>18742997.203235812</v>
      </c>
    </row>
    <row r="3166" spans="1:19" ht="15" customHeight="1" x14ac:dyDescent="0.2">
      <c r="A3166" s="14">
        <f t="shared" si="624"/>
        <v>73</v>
      </c>
      <c r="B3166" s="14" t="s">
        <v>2584</v>
      </c>
      <c r="C3166" s="14" t="s">
        <v>20</v>
      </c>
      <c r="D3166" s="14" t="s">
        <v>500</v>
      </c>
      <c r="E3166" s="17" t="s">
        <v>2585</v>
      </c>
      <c r="F3166" s="72" t="s">
        <v>12</v>
      </c>
      <c r="G3166" s="52">
        <v>42353</v>
      </c>
      <c r="H3166" s="17">
        <v>16285817.652894545</v>
      </c>
      <c r="I3166" s="17"/>
      <c r="J3166" s="17"/>
      <c r="K3166" s="17">
        <f t="shared" si="617"/>
        <v>16285817.652894545</v>
      </c>
      <c r="L3166" s="23">
        <f t="shared" si="623"/>
        <v>814290.88264472736</v>
      </c>
      <c r="M3166" s="17">
        <v>25</v>
      </c>
      <c r="N3166" s="17">
        <f t="shared" si="618"/>
        <v>4.3013698630136989</v>
      </c>
      <c r="O3166" s="23">
        <f t="shared" si="619"/>
        <v>2661950.3593744896</v>
      </c>
      <c r="P3166" s="18">
        <f t="shared" si="620"/>
        <v>5.3013698630136989</v>
      </c>
      <c r="Q3166" s="18">
        <f t="shared" si="616"/>
        <v>618861.07080999273</v>
      </c>
      <c r="R3166" s="18">
        <f t="shared" si="621"/>
        <v>3280811.4301844826</v>
      </c>
      <c r="S3166" s="18">
        <f t="shared" si="622"/>
        <v>13005006.222710062</v>
      </c>
    </row>
    <row r="3167" spans="1:19" ht="15" customHeight="1" x14ac:dyDescent="0.2">
      <c r="A3167" s="14">
        <f t="shared" si="624"/>
        <v>74</v>
      </c>
      <c r="B3167" s="14" t="s">
        <v>2584</v>
      </c>
      <c r="C3167" s="14" t="s">
        <v>20</v>
      </c>
      <c r="D3167" s="14" t="s">
        <v>500</v>
      </c>
      <c r="E3167" s="17" t="s">
        <v>2585</v>
      </c>
      <c r="F3167" s="72" t="s">
        <v>12</v>
      </c>
      <c r="G3167" s="52">
        <v>42444</v>
      </c>
      <c r="H3167" s="17">
        <v>7921.18</v>
      </c>
      <c r="I3167" s="17"/>
      <c r="J3167" s="17"/>
      <c r="K3167" s="17">
        <f t="shared" si="617"/>
        <v>7921.18</v>
      </c>
      <c r="L3167" s="23">
        <f t="shared" si="623"/>
        <v>396.05900000000003</v>
      </c>
      <c r="M3167" s="17">
        <v>25</v>
      </c>
      <c r="N3167" s="17">
        <f t="shared" si="618"/>
        <v>4.0520547945205481</v>
      </c>
      <c r="O3167" s="23">
        <f t="shared" si="619"/>
        <v>1219.6881050958905</v>
      </c>
      <c r="P3167" s="18">
        <f t="shared" si="620"/>
        <v>5.0520547945205481</v>
      </c>
      <c r="Q3167" s="18">
        <f t="shared" si="616"/>
        <v>301.00484</v>
      </c>
      <c r="R3167" s="18">
        <f t="shared" si="621"/>
        <v>1520.6929450958905</v>
      </c>
      <c r="S3167" s="18">
        <f t="shared" si="622"/>
        <v>6400.4870549041098</v>
      </c>
    </row>
    <row r="3168" spans="1:19" ht="15" customHeight="1" x14ac:dyDescent="0.2">
      <c r="A3168" s="14">
        <f t="shared" si="624"/>
        <v>75</v>
      </c>
      <c r="B3168" s="14" t="s">
        <v>2586</v>
      </c>
      <c r="C3168" s="14" t="s">
        <v>20</v>
      </c>
      <c r="D3168" s="14" t="s">
        <v>500</v>
      </c>
      <c r="E3168" s="17" t="s">
        <v>2587</v>
      </c>
      <c r="F3168" s="72" t="s">
        <v>12</v>
      </c>
      <c r="G3168" s="52">
        <v>42353</v>
      </c>
      <c r="H3168" s="17">
        <v>22019718.364748299</v>
      </c>
      <c r="I3168" s="17"/>
      <c r="J3168" s="17"/>
      <c r="K3168" s="17">
        <f t="shared" si="617"/>
        <v>22019718.364748299</v>
      </c>
      <c r="L3168" s="23">
        <f t="shared" si="623"/>
        <v>1100985.9182374149</v>
      </c>
      <c r="M3168" s="17">
        <v>25</v>
      </c>
      <c r="N3168" s="17">
        <f t="shared" si="618"/>
        <v>4.3013698630136989</v>
      </c>
      <c r="O3168" s="23">
        <f t="shared" si="619"/>
        <v>3599168.2127147499</v>
      </c>
      <c r="P3168" s="18">
        <f t="shared" si="620"/>
        <v>5.3013698630136989</v>
      </c>
      <c r="Q3168" s="18">
        <f t="shared" si="616"/>
        <v>836749.29786043544</v>
      </c>
      <c r="R3168" s="18">
        <f t="shared" si="621"/>
        <v>4435917.5105751855</v>
      </c>
      <c r="S3168" s="18">
        <f t="shared" si="622"/>
        <v>17583800.854173113</v>
      </c>
    </row>
    <row r="3169" spans="1:19" ht="15" customHeight="1" x14ac:dyDescent="0.2">
      <c r="A3169" s="14">
        <f t="shared" si="624"/>
        <v>76</v>
      </c>
      <c r="B3169" s="14" t="s">
        <v>2586</v>
      </c>
      <c r="C3169" s="14" t="s">
        <v>20</v>
      </c>
      <c r="D3169" s="14" t="s">
        <v>500</v>
      </c>
      <c r="E3169" s="17" t="s">
        <v>2587</v>
      </c>
      <c r="F3169" s="72" t="s">
        <v>12</v>
      </c>
      <c r="G3169" s="52">
        <v>42444</v>
      </c>
      <c r="H3169" s="17">
        <v>393980.52</v>
      </c>
      <c r="I3169" s="17"/>
      <c r="J3169" s="17"/>
      <c r="K3169" s="17">
        <f t="shared" si="617"/>
        <v>393980.52</v>
      </c>
      <c r="L3169" s="23">
        <f t="shared" si="623"/>
        <v>19699.026000000002</v>
      </c>
      <c r="M3169" s="17">
        <v>25</v>
      </c>
      <c r="N3169" s="17">
        <f t="shared" si="618"/>
        <v>4.0520547945205481</v>
      </c>
      <c r="O3169" s="23">
        <f t="shared" si="619"/>
        <v>60664.364890520555</v>
      </c>
      <c r="P3169" s="18">
        <f t="shared" si="620"/>
        <v>5.0520547945205481</v>
      </c>
      <c r="Q3169" s="18">
        <f t="shared" si="616"/>
        <v>14971.259760000001</v>
      </c>
      <c r="R3169" s="18">
        <f t="shared" si="621"/>
        <v>75635.624650520564</v>
      </c>
      <c r="S3169" s="18">
        <f t="shared" si="622"/>
        <v>318344.89534947946</v>
      </c>
    </row>
    <row r="3170" spans="1:19" ht="15" customHeight="1" x14ac:dyDescent="0.2">
      <c r="A3170" s="14">
        <f t="shared" si="624"/>
        <v>77</v>
      </c>
      <c r="B3170" s="14" t="s">
        <v>2588</v>
      </c>
      <c r="C3170" s="14" t="s">
        <v>20</v>
      </c>
      <c r="D3170" s="14" t="s">
        <v>500</v>
      </c>
      <c r="E3170" s="17" t="s">
        <v>2587</v>
      </c>
      <c r="F3170" s="72" t="s">
        <v>12</v>
      </c>
      <c r="G3170" s="52">
        <v>42353</v>
      </c>
      <c r="H3170" s="17">
        <v>44551346.382107601</v>
      </c>
      <c r="I3170" s="17"/>
      <c r="J3170" s="17"/>
      <c r="K3170" s="17">
        <f t="shared" si="617"/>
        <v>44551346.382107601</v>
      </c>
      <c r="L3170" s="23">
        <f t="shared" si="623"/>
        <v>2227567.3191053802</v>
      </c>
      <c r="M3170" s="17">
        <v>25</v>
      </c>
      <c r="N3170" s="17">
        <f t="shared" si="618"/>
        <v>4.3013698630136989</v>
      </c>
      <c r="O3170" s="23">
        <f t="shared" si="619"/>
        <v>7282009.1100179171</v>
      </c>
      <c r="P3170" s="18">
        <f t="shared" si="620"/>
        <v>5.3013698630136989</v>
      </c>
      <c r="Q3170" s="18">
        <f t="shared" si="616"/>
        <v>1692951.162520089</v>
      </c>
      <c r="R3170" s="18">
        <f t="shared" si="621"/>
        <v>8974960.2725380063</v>
      </c>
      <c r="S3170" s="18">
        <f t="shared" si="622"/>
        <v>35576386.109569594</v>
      </c>
    </row>
    <row r="3171" spans="1:19" ht="15" customHeight="1" x14ac:dyDescent="0.2">
      <c r="A3171" s="14">
        <f t="shared" si="624"/>
        <v>78</v>
      </c>
      <c r="B3171" s="14" t="s">
        <v>2588</v>
      </c>
      <c r="C3171" s="14" t="s">
        <v>20</v>
      </c>
      <c r="D3171" s="14" t="s">
        <v>500</v>
      </c>
      <c r="E3171" s="17" t="s">
        <v>2587</v>
      </c>
      <c r="F3171" s="72" t="s">
        <v>12</v>
      </c>
      <c r="G3171" s="52">
        <v>42353</v>
      </c>
      <c r="H3171" s="17">
        <v>2368075.5</v>
      </c>
      <c r="I3171" s="17"/>
      <c r="J3171" s="17"/>
      <c r="K3171" s="17">
        <f t="shared" si="617"/>
        <v>2368075.5</v>
      </c>
      <c r="L3171" s="23">
        <f t="shared" si="623"/>
        <v>118403.77500000001</v>
      </c>
      <c r="M3171" s="17">
        <v>25</v>
      </c>
      <c r="N3171" s="17">
        <f t="shared" si="618"/>
        <v>4.3013698630136989</v>
      </c>
      <c r="O3171" s="23">
        <f t="shared" si="619"/>
        <v>387066.80638356169</v>
      </c>
      <c r="P3171" s="18">
        <f t="shared" si="620"/>
        <v>5.3013698630136989</v>
      </c>
      <c r="Q3171" s="18">
        <f t="shared" si="616"/>
        <v>89986.869000000006</v>
      </c>
      <c r="R3171" s="18">
        <f t="shared" si="621"/>
        <v>477053.6753835617</v>
      </c>
      <c r="S3171" s="18">
        <f t="shared" si="622"/>
        <v>1891021.8246164382</v>
      </c>
    </row>
    <row r="3172" spans="1:19" ht="15" customHeight="1" x14ac:dyDescent="0.2">
      <c r="A3172" s="14">
        <f t="shared" si="624"/>
        <v>79</v>
      </c>
      <c r="B3172" s="14" t="s">
        <v>2589</v>
      </c>
      <c r="C3172" s="14" t="s">
        <v>20</v>
      </c>
      <c r="D3172" s="14" t="s">
        <v>500</v>
      </c>
      <c r="E3172" s="17" t="s">
        <v>2587</v>
      </c>
      <c r="F3172" s="72" t="s">
        <v>12</v>
      </c>
      <c r="G3172" s="52">
        <v>42353</v>
      </c>
      <c r="H3172" s="17">
        <v>35972912.726142198</v>
      </c>
      <c r="I3172" s="17"/>
      <c r="J3172" s="17"/>
      <c r="K3172" s="17">
        <f t="shared" si="617"/>
        <v>35972912.726142198</v>
      </c>
      <c r="L3172" s="23">
        <f t="shared" si="623"/>
        <v>1798645.6363071101</v>
      </c>
      <c r="M3172" s="17">
        <v>25</v>
      </c>
      <c r="N3172" s="17">
        <f t="shared" si="618"/>
        <v>4.3013698630136989</v>
      </c>
      <c r="O3172" s="23">
        <f t="shared" si="619"/>
        <v>5879846.5020319</v>
      </c>
      <c r="P3172" s="18">
        <f t="shared" si="620"/>
        <v>5.3013698630136989</v>
      </c>
      <c r="Q3172" s="18">
        <f t="shared" si="616"/>
        <v>1366970.6835934033</v>
      </c>
      <c r="R3172" s="18">
        <f t="shared" si="621"/>
        <v>7246817.1856253035</v>
      </c>
      <c r="S3172" s="18">
        <f t="shared" si="622"/>
        <v>28726095.540516894</v>
      </c>
    </row>
    <row r="3173" spans="1:19" ht="15" customHeight="1" x14ac:dyDescent="0.2">
      <c r="A3173" s="14">
        <f t="shared" si="624"/>
        <v>80</v>
      </c>
      <c r="B3173" s="14" t="s">
        <v>2590</v>
      </c>
      <c r="C3173" s="14" t="s">
        <v>20</v>
      </c>
      <c r="D3173" s="14" t="s">
        <v>500</v>
      </c>
      <c r="E3173" s="17" t="s">
        <v>2587</v>
      </c>
      <c r="F3173" s="72" t="s">
        <v>12</v>
      </c>
      <c r="G3173" s="52">
        <v>42353</v>
      </c>
      <c r="H3173" s="17">
        <v>1259550.8457037993</v>
      </c>
      <c r="I3173" s="17"/>
      <c r="J3173" s="17"/>
      <c r="K3173" s="17">
        <f t="shared" si="617"/>
        <v>1259550.8457037993</v>
      </c>
      <c r="L3173" s="23">
        <f t="shared" si="623"/>
        <v>62977.542285189964</v>
      </c>
      <c r="M3173" s="17">
        <v>25</v>
      </c>
      <c r="N3173" s="17">
        <f t="shared" si="618"/>
        <v>4.3013698630136989</v>
      </c>
      <c r="O3173" s="23">
        <f t="shared" si="619"/>
        <v>205876.17384846209</v>
      </c>
      <c r="P3173" s="18">
        <f t="shared" si="620"/>
        <v>5.3013698630136989</v>
      </c>
      <c r="Q3173" s="18">
        <f t="shared" si="616"/>
        <v>47862.93213674437</v>
      </c>
      <c r="R3173" s="18">
        <f t="shared" si="621"/>
        <v>253739.10598520646</v>
      </c>
      <c r="S3173" s="18">
        <f t="shared" si="622"/>
        <v>1005811.7397185928</v>
      </c>
    </row>
    <row r="3174" spans="1:19" ht="15" customHeight="1" x14ac:dyDescent="0.2">
      <c r="A3174" s="14">
        <f t="shared" si="624"/>
        <v>81</v>
      </c>
      <c r="B3174" s="14" t="s">
        <v>2590</v>
      </c>
      <c r="C3174" s="14" t="s">
        <v>20</v>
      </c>
      <c r="D3174" s="14" t="s">
        <v>500</v>
      </c>
      <c r="E3174" s="17" t="s">
        <v>2587</v>
      </c>
      <c r="F3174" s="72" t="s">
        <v>12</v>
      </c>
      <c r="G3174" s="52">
        <v>43054</v>
      </c>
      <c r="H3174" s="17">
        <v>2623735</v>
      </c>
      <c r="I3174" s="17"/>
      <c r="J3174" s="17"/>
      <c r="K3174" s="17">
        <f t="shared" si="617"/>
        <v>2623735</v>
      </c>
      <c r="L3174" s="23">
        <f t="shared" si="623"/>
        <v>131186.75</v>
      </c>
      <c r="M3174" s="17">
        <v>25</v>
      </c>
      <c r="N3174" s="17">
        <f t="shared" si="618"/>
        <v>2.3808219178082193</v>
      </c>
      <c r="O3174" s="23">
        <f t="shared" si="619"/>
        <v>237372.5401917808</v>
      </c>
      <c r="P3174" s="18">
        <f t="shared" si="620"/>
        <v>3.3808219178082193</v>
      </c>
      <c r="Q3174" s="18">
        <f t="shared" si="616"/>
        <v>99701.930000000008</v>
      </c>
      <c r="R3174" s="18">
        <f t="shared" si="621"/>
        <v>337074.47019178083</v>
      </c>
      <c r="S3174" s="18">
        <f t="shared" si="622"/>
        <v>2286660.5298082191</v>
      </c>
    </row>
    <row r="3175" spans="1:19" ht="15" customHeight="1" x14ac:dyDescent="0.2">
      <c r="A3175" s="14">
        <f t="shared" si="624"/>
        <v>82</v>
      </c>
      <c r="B3175" s="14" t="s">
        <v>2591</v>
      </c>
      <c r="C3175" s="14" t="s">
        <v>20</v>
      </c>
      <c r="D3175" s="14" t="s">
        <v>500</v>
      </c>
      <c r="E3175" s="17" t="s">
        <v>2587</v>
      </c>
      <c r="F3175" s="72" t="s">
        <v>12</v>
      </c>
      <c r="G3175" s="52">
        <v>42353</v>
      </c>
      <c r="H3175" s="17">
        <v>24356005.069706734</v>
      </c>
      <c r="I3175" s="17"/>
      <c r="J3175" s="17"/>
      <c r="K3175" s="17">
        <f t="shared" si="617"/>
        <v>24356005.069706734</v>
      </c>
      <c r="L3175" s="23">
        <f t="shared" si="623"/>
        <v>1217800.2534853367</v>
      </c>
      <c r="M3175" s="17">
        <v>25</v>
      </c>
      <c r="N3175" s="17">
        <f t="shared" si="618"/>
        <v>4.3013698630136989</v>
      </c>
      <c r="O3175" s="23">
        <f t="shared" si="619"/>
        <v>3981039.0752293253</v>
      </c>
      <c r="P3175" s="18">
        <f t="shared" si="620"/>
        <v>5.3013698630136989</v>
      </c>
      <c r="Q3175" s="18">
        <f t="shared" si="616"/>
        <v>925528.19264885597</v>
      </c>
      <c r="R3175" s="18">
        <f t="shared" si="621"/>
        <v>4906567.2678781813</v>
      </c>
      <c r="S3175" s="18">
        <f t="shared" si="622"/>
        <v>19449437.801828552</v>
      </c>
    </row>
    <row r="3176" spans="1:19" ht="15" customHeight="1" x14ac:dyDescent="0.2">
      <c r="A3176" s="14">
        <f t="shared" si="624"/>
        <v>83</v>
      </c>
      <c r="B3176" s="14" t="s">
        <v>2591</v>
      </c>
      <c r="C3176" s="14" t="s">
        <v>20</v>
      </c>
      <c r="D3176" s="14" t="s">
        <v>500</v>
      </c>
      <c r="E3176" s="17" t="s">
        <v>2587</v>
      </c>
      <c r="F3176" s="72" t="s">
        <v>12</v>
      </c>
      <c r="G3176" s="52">
        <v>42444</v>
      </c>
      <c r="H3176" s="17">
        <v>338728.97</v>
      </c>
      <c r="I3176" s="17"/>
      <c r="J3176" s="17"/>
      <c r="K3176" s="17">
        <f t="shared" si="617"/>
        <v>338728.97</v>
      </c>
      <c r="L3176" s="23">
        <f t="shared" si="623"/>
        <v>16936.448499999999</v>
      </c>
      <c r="M3176" s="17">
        <v>25</v>
      </c>
      <c r="N3176" s="17">
        <f t="shared" si="618"/>
        <v>4.0520547945205481</v>
      </c>
      <c r="O3176" s="23">
        <f t="shared" si="619"/>
        <v>52156.837183397256</v>
      </c>
      <c r="P3176" s="18">
        <f t="shared" si="620"/>
        <v>5.0520547945205481</v>
      </c>
      <c r="Q3176" s="18">
        <f t="shared" si="616"/>
        <v>12871.700859999999</v>
      </c>
      <c r="R3176" s="18">
        <f t="shared" si="621"/>
        <v>65028.538043397253</v>
      </c>
      <c r="S3176" s="18">
        <f t="shared" si="622"/>
        <v>273700.43195660273</v>
      </c>
    </row>
    <row r="3177" spans="1:19" ht="15" customHeight="1" x14ac:dyDescent="0.2">
      <c r="A3177" s="14">
        <f t="shared" si="624"/>
        <v>84</v>
      </c>
      <c r="B3177" s="14" t="s">
        <v>2592</v>
      </c>
      <c r="C3177" s="14" t="s">
        <v>20</v>
      </c>
      <c r="D3177" s="14" t="s">
        <v>500</v>
      </c>
      <c r="E3177" s="17" t="s">
        <v>2593</v>
      </c>
      <c r="F3177" s="72" t="s">
        <v>15</v>
      </c>
      <c r="G3177" s="52">
        <v>42353</v>
      </c>
      <c r="H3177" s="17">
        <v>4825007.5300585004</v>
      </c>
      <c r="I3177" s="17"/>
      <c r="J3177" s="17"/>
      <c r="K3177" s="17">
        <f t="shared" si="617"/>
        <v>4825007.5300585004</v>
      </c>
      <c r="L3177" s="23">
        <f t="shared" si="623"/>
        <v>241250.37650292504</v>
      </c>
      <c r="M3177" s="17">
        <v>25</v>
      </c>
      <c r="N3177" s="17">
        <f t="shared" si="618"/>
        <v>4.3013698630136989</v>
      </c>
      <c r="O3177" s="23">
        <f t="shared" si="619"/>
        <v>788657.39518709632</v>
      </c>
      <c r="P3177" s="18">
        <f t="shared" si="620"/>
        <v>5.3013698630136989</v>
      </c>
      <c r="Q3177" s="18">
        <f t="shared" si="616"/>
        <v>183350.28614222302</v>
      </c>
      <c r="R3177" s="18">
        <f t="shared" si="621"/>
        <v>972007.68132931937</v>
      </c>
      <c r="S3177" s="18">
        <f t="shared" si="622"/>
        <v>3852999.8487291811</v>
      </c>
    </row>
    <row r="3178" spans="1:19" ht="15" customHeight="1" x14ac:dyDescent="0.2">
      <c r="A3178" s="14">
        <f t="shared" si="624"/>
        <v>85</v>
      </c>
      <c r="B3178" s="14" t="s">
        <v>2594</v>
      </c>
      <c r="C3178" s="14" t="s">
        <v>20</v>
      </c>
      <c r="D3178" s="14" t="s">
        <v>500</v>
      </c>
      <c r="E3178" s="17" t="s">
        <v>2593</v>
      </c>
      <c r="F3178" s="72" t="s">
        <v>15</v>
      </c>
      <c r="G3178" s="52">
        <v>42353</v>
      </c>
      <c r="H3178" s="17">
        <v>8746125.509656895</v>
      </c>
      <c r="I3178" s="17"/>
      <c r="J3178" s="17"/>
      <c r="K3178" s="17">
        <f t="shared" si="617"/>
        <v>8746125.509656895</v>
      </c>
      <c r="L3178" s="23">
        <f t="shared" si="623"/>
        <v>437306.27548284479</v>
      </c>
      <c r="M3178" s="17">
        <v>25</v>
      </c>
      <c r="N3178" s="17">
        <f t="shared" si="618"/>
        <v>4.3013698630136989</v>
      </c>
      <c r="O3178" s="23">
        <f t="shared" si="619"/>
        <v>1429572.1860441929</v>
      </c>
      <c r="P3178" s="18">
        <f t="shared" si="620"/>
        <v>5.3013698630136989</v>
      </c>
      <c r="Q3178" s="18">
        <f t="shared" si="616"/>
        <v>332352.76936696202</v>
      </c>
      <c r="R3178" s="18">
        <f t="shared" si="621"/>
        <v>1761924.9554111548</v>
      </c>
      <c r="S3178" s="18">
        <f t="shared" si="622"/>
        <v>6984200.5542457402</v>
      </c>
    </row>
    <row r="3179" spans="1:19" ht="15" customHeight="1" x14ac:dyDescent="0.2">
      <c r="A3179" s="14">
        <f t="shared" si="624"/>
        <v>86</v>
      </c>
      <c r="B3179" s="14" t="s">
        <v>2595</v>
      </c>
      <c r="C3179" s="14" t="s">
        <v>20</v>
      </c>
      <c r="D3179" s="14" t="s">
        <v>500</v>
      </c>
      <c r="E3179" s="17" t="s">
        <v>2596</v>
      </c>
      <c r="F3179" s="72" t="s">
        <v>21</v>
      </c>
      <c r="G3179" s="52">
        <v>42353</v>
      </c>
      <c r="H3179" s="17">
        <v>14041613.3379777</v>
      </c>
      <c r="I3179" s="17"/>
      <c r="J3179" s="17"/>
      <c r="K3179" s="17">
        <f t="shared" si="617"/>
        <v>14041613.3379777</v>
      </c>
      <c r="L3179" s="23">
        <f t="shared" si="623"/>
        <v>702080.66689888504</v>
      </c>
      <c r="M3179" s="17">
        <v>25</v>
      </c>
      <c r="N3179" s="17">
        <f t="shared" si="618"/>
        <v>4.3013698630136989</v>
      </c>
      <c r="O3179" s="23">
        <f t="shared" si="619"/>
        <v>2295130.5527226017</v>
      </c>
      <c r="P3179" s="18">
        <f t="shared" si="620"/>
        <v>5.3013698630136989</v>
      </c>
      <c r="Q3179" s="18">
        <f t="shared" si="616"/>
        <v>533581.30684315262</v>
      </c>
      <c r="R3179" s="18">
        <f t="shared" si="621"/>
        <v>2828711.8595657544</v>
      </c>
      <c r="S3179" s="18">
        <f t="shared" si="622"/>
        <v>11212901.478411946</v>
      </c>
    </row>
    <row r="3180" spans="1:19" ht="15" customHeight="1" x14ac:dyDescent="0.2">
      <c r="A3180" s="14">
        <f t="shared" si="624"/>
        <v>87</v>
      </c>
      <c r="B3180" s="14" t="s">
        <v>2595</v>
      </c>
      <c r="C3180" s="14" t="s">
        <v>20</v>
      </c>
      <c r="D3180" s="14" t="s">
        <v>500</v>
      </c>
      <c r="E3180" s="17" t="s">
        <v>2596</v>
      </c>
      <c r="F3180" s="72" t="s">
        <v>21</v>
      </c>
      <c r="G3180" s="52">
        <v>43054</v>
      </c>
      <c r="H3180" s="17">
        <v>123518</v>
      </c>
      <c r="I3180" s="17"/>
      <c r="J3180" s="17"/>
      <c r="K3180" s="17">
        <f t="shared" si="617"/>
        <v>123518</v>
      </c>
      <c r="L3180" s="23">
        <f t="shared" si="623"/>
        <v>6175.9000000000005</v>
      </c>
      <c r="M3180" s="17">
        <v>25</v>
      </c>
      <c r="N3180" s="17">
        <f t="shared" si="618"/>
        <v>2.3808219178082193</v>
      </c>
      <c r="O3180" s="23">
        <f t="shared" si="619"/>
        <v>11174.825742465755</v>
      </c>
      <c r="P3180" s="18">
        <f t="shared" si="620"/>
        <v>3.3808219178082193</v>
      </c>
      <c r="Q3180" s="18">
        <f t="shared" si="616"/>
        <v>4693.6840000000002</v>
      </c>
      <c r="R3180" s="18">
        <f t="shared" si="621"/>
        <v>15868.509742465754</v>
      </c>
      <c r="S3180" s="18">
        <f t="shared" si="622"/>
        <v>107649.49025753424</v>
      </c>
    </row>
    <row r="3181" spans="1:19" ht="15" customHeight="1" x14ac:dyDescent="0.2">
      <c r="A3181" s="14">
        <f t="shared" si="624"/>
        <v>88</v>
      </c>
      <c r="B3181" s="14" t="s">
        <v>2597</v>
      </c>
      <c r="C3181" s="14" t="s">
        <v>20</v>
      </c>
      <c r="D3181" s="14" t="s">
        <v>500</v>
      </c>
      <c r="E3181" s="17" t="s">
        <v>2598</v>
      </c>
      <c r="F3181" s="72" t="s">
        <v>15</v>
      </c>
      <c r="G3181" s="52">
        <v>42353</v>
      </c>
      <c r="H3181" s="17">
        <v>523918537.85547733</v>
      </c>
      <c r="I3181" s="17"/>
      <c r="J3181" s="17"/>
      <c r="K3181" s="17">
        <f t="shared" si="617"/>
        <v>523918537.85547733</v>
      </c>
      <c r="L3181" s="23">
        <f t="shared" si="623"/>
        <v>26195926.892773867</v>
      </c>
      <c r="M3181" s="17">
        <v>25</v>
      </c>
      <c r="N3181" s="17">
        <f t="shared" si="618"/>
        <v>4.3013698630136989</v>
      </c>
      <c r="O3181" s="23">
        <f>(K3181-L3181)/M3181*N3181-124184.38</f>
        <v>85511377.177418575</v>
      </c>
      <c r="P3181" s="18">
        <f t="shared" si="620"/>
        <v>5.3013698630136989</v>
      </c>
      <c r="Q3181" s="18">
        <f>(P3181-N3181)/M3181*(K3181-L3181)-12963.74</f>
        <v>19895940.69850814</v>
      </c>
      <c r="R3181" s="18">
        <f t="shared" si="621"/>
        <v>105407317.87592672</v>
      </c>
      <c r="S3181" s="18">
        <f t="shared" si="622"/>
        <v>418511219.9795506</v>
      </c>
    </row>
    <row r="3182" spans="1:19" ht="15" customHeight="1" x14ac:dyDescent="0.2">
      <c r="A3182" s="14">
        <f t="shared" si="624"/>
        <v>89</v>
      </c>
      <c r="B3182" s="14" t="s">
        <v>2597</v>
      </c>
      <c r="C3182" s="14" t="s">
        <v>20</v>
      </c>
      <c r="D3182" s="14" t="s">
        <v>500</v>
      </c>
      <c r="E3182" s="17" t="s">
        <v>2598</v>
      </c>
      <c r="F3182" s="72" t="s">
        <v>15</v>
      </c>
      <c r="G3182" s="52">
        <v>42444</v>
      </c>
      <c r="H3182" s="17">
        <v>1032443.57</v>
      </c>
      <c r="I3182" s="17"/>
      <c r="J3182" s="17"/>
      <c r="K3182" s="17">
        <f t="shared" si="617"/>
        <v>1032443.57</v>
      </c>
      <c r="L3182" s="23">
        <f t="shared" si="623"/>
        <v>51622.178500000002</v>
      </c>
      <c r="M3182" s="17">
        <v>25</v>
      </c>
      <c r="N3182" s="17">
        <f t="shared" si="618"/>
        <v>4.0520547945205481</v>
      </c>
      <c r="O3182" s="23">
        <f t="shared" ref="O3182:O3217" si="625">(K3182-L3182)/M3182*N3182</f>
        <v>158973.68087983559</v>
      </c>
      <c r="P3182" s="18">
        <f t="shared" si="620"/>
        <v>5.0520547945205481</v>
      </c>
      <c r="Q3182" s="18">
        <f t="shared" ref="Q3182:Q3217" si="626">(P3182-N3182)/M3182*(K3182-L3182)</f>
        <v>39232.855659999994</v>
      </c>
      <c r="R3182" s="18">
        <f t="shared" si="621"/>
        <v>198206.53653983559</v>
      </c>
      <c r="S3182" s="18">
        <f t="shared" si="622"/>
        <v>834237.03346016433</v>
      </c>
    </row>
    <row r="3183" spans="1:19" ht="15" customHeight="1" x14ac:dyDescent="0.2">
      <c r="A3183" s="14">
        <f t="shared" si="624"/>
        <v>90</v>
      </c>
      <c r="B3183" s="14" t="s">
        <v>2597</v>
      </c>
      <c r="C3183" s="14" t="s">
        <v>20</v>
      </c>
      <c r="D3183" s="14" t="s">
        <v>500</v>
      </c>
      <c r="E3183" s="17" t="s">
        <v>2598</v>
      </c>
      <c r="F3183" s="72" t="s">
        <v>15</v>
      </c>
      <c r="G3183" s="52">
        <v>42444</v>
      </c>
      <c r="H3183" s="17">
        <v>453562.14</v>
      </c>
      <c r="I3183" s="17"/>
      <c r="J3183" s="17"/>
      <c r="K3183" s="17">
        <f t="shared" si="617"/>
        <v>453562.14</v>
      </c>
      <c r="L3183" s="23">
        <f t="shared" si="623"/>
        <v>22678.107000000004</v>
      </c>
      <c r="M3183" s="17">
        <v>25</v>
      </c>
      <c r="N3183" s="17">
        <f t="shared" si="618"/>
        <v>4.0520547945205481</v>
      </c>
      <c r="O3183" s="23">
        <f t="shared" si="625"/>
        <v>69838.628471999997</v>
      </c>
      <c r="P3183" s="18">
        <f t="shared" si="620"/>
        <v>5.0520547945205481</v>
      </c>
      <c r="Q3183" s="18">
        <f t="shared" si="626"/>
        <v>17235.36132</v>
      </c>
      <c r="R3183" s="18">
        <f t="shared" si="621"/>
        <v>87073.989791999993</v>
      </c>
      <c r="S3183" s="18">
        <f t="shared" si="622"/>
        <v>366488.15020800004</v>
      </c>
    </row>
    <row r="3184" spans="1:19" ht="15" customHeight="1" x14ac:dyDescent="0.2">
      <c r="A3184" s="14">
        <f t="shared" si="624"/>
        <v>91</v>
      </c>
      <c r="B3184" s="14" t="s">
        <v>2597</v>
      </c>
      <c r="C3184" s="14" t="s">
        <v>20</v>
      </c>
      <c r="D3184" s="14" t="s">
        <v>500</v>
      </c>
      <c r="E3184" s="17" t="s">
        <v>2598</v>
      </c>
      <c r="F3184" s="72" t="s">
        <v>15</v>
      </c>
      <c r="G3184" s="52">
        <v>43054</v>
      </c>
      <c r="H3184" s="17">
        <v>249644.88</v>
      </c>
      <c r="I3184" s="17"/>
      <c r="J3184" s="17"/>
      <c r="K3184" s="17">
        <f t="shared" si="617"/>
        <v>249644.88</v>
      </c>
      <c r="L3184" s="23">
        <f t="shared" si="623"/>
        <v>12482.244000000001</v>
      </c>
      <c r="M3184" s="17">
        <v>25</v>
      </c>
      <c r="N3184" s="17">
        <f t="shared" si="618"/>
        <v>2.3808219178082193</v>
      </c>
      <c r="O3184" s="23">
        <f t="shared" si="625"/>
        <v>22585.680074958906</v>
      </c>
      <c r="P3184" s="18">
        <f t="shared" si="620"/>
        <v>3.3808219178082193</v>
      </c>
      <c r="Q3184" s="18">
        <f t="shared" si="626"/>
        <v>9486.5054400000008</v>
      </c>
      <c r="R3184" s="18">
        <f t="shared" si="621"/>
        <v>32072.185514958906</v>
      </c>
      <c r="S3184" s="18">
        <f t="shared" si="622"/>
        <v>217572.69448504111</v>
      </c>
    </row>
    <row r="3185" spans="1:19" ht="15" customHeight="1" x14ac:dyDescent="0.2">
      <c r="A3185" s="14">
        <f t="shared" si="624"/>
        <v>92</v>
      </c>
      <c r="B3185" s="14" t="s">
        <v>2597</v>
      </c>
      <c r="C3185" s="14" t="s">
        <v>20</v>
      </c>
      <c r="D3185" s="14" t="s">
        <v>500</v>
      </c>
      <c r="E3185" s="17" t="s">
        <v>2598</v>
      </c>
      <c r="F3185" s="72" t="s">
        <v>15</v>
      </c>
      <c r="G3185" s="52">
        <v>42353</v>
      </c>
      <c r="H3185" s="17">
        <v>498000</v>
      </c>
      <c r="I3185" s="17"/>
      <c r="J3185" s="17"/>
      <c r="K3185" s="17">
        <f t="shared" si="617"/>
        <v>498000</v>
      </c>
      <c r="L3185" s="23">
        <f t="shared" si="623"/>
        <v>24900</v>
      </c>
      <c r="M3185" s="17">
        <v>25</v>
      </c>
      <c r="N3185" s="17">
        <f t="shared" si="618"/>
        <v>4.3013698630136989</v>
      </c>
      <c r="O3185" s="23">
        <f t="shared" si="625"/>
        <v>81399.123287671246</v>
      </c>
      <c r="P3185" s="18">
        <f t="shared" si="620"/>
        <v>5.3013698630136989</v>
      </c>
      <c r="Q3185" s="18">
        <f t="shared" si="626"/>
        <v>18924</v>
      </c>
      <c r="R3185" s="18">
        <f t="shared" si="621"/>
        <v>100323.12328767125</v>
      </c>
      <c r="S3185" s="18">
        <f t="shared" si="622"/>
        <v>397676.87671232875</v>
      </c>
    </row>
    <row r="3186" spans="1:19" ht="15" customHeight="1" x14ac:dyDescent="0.2">
      <c r="A3186" s="14">
        <f t="shared" si="624"/>
        <v>93</v>
      </c>
      <c r="B3186" s="14" t="s">
        <v>2597</v>
      </c>
      <c r="C3186" s="14" t="s">
        <v>20</v>
      </c>
      <c r="D3186" s="14" t="s">
        <v>500</v>
      </c>
      <c r="E3186" s="17" t="s">
        <v>2598</v>
      </c>
      <c r="F3186" s="72" t="s">
        <v>15</v>
      </c>
      <c r="G3186" s="52">
        <v>42353</v>
      </c>
      <c r="H3186" s="17">
        <v>34211761</v>
      </c>
      <c r="I3186" s="17"/>
      <c r="J3186" s="17"/>
      <c r="K3186" s="17">
        <f t="shared" si="617"/>
        <v>34211761</v>
      </c>
      <c r="L3186" s="23">
        <f t="shared" si="623"/>
        <v>1710588.05</v>
      </c>
      <c r="M3186" s="17">
        <v>25</v>
      </c>
      <c r="N3186" s="17">
        <f t="shared" si="618"/>
        <v>4.3013698630136989</v>
      </c>
      <c r="O3186" s="23">
        <f t="shared" si="625"/>
        <v>5591982.6335890414</v>
      </c>
      <c r="P3186" s="18">
        <f t="shared" si="620"/>
        <v>5.3013698630136989</v>
      </c>
      <c r="Q3186" s="18">
        <f t="shared" si="626"/>
        <v>1300046.9180000001</v>
      </c>
      <c r="R3186" s="18">
        <f t="shared" si="621"/>
        <v>6892029.5515890419</v>
      </c>
      <c r="S3186" s="18">
        <f t="shared" si="622"/>
        <v>27319731.448410958</v>
      </c>
    </row>
    <row r="3187" spans="1:19" ht="15" customHeight="1" x14ac:dyDescent="0.2">
      <c r="A3187" s="14">
        <f t="shared" si="624"/>
        <v>94</v>
      </c>
      <c r="B3187" s="14" t="s">
        <v>2599</v>
      </c>
      <c r="C3187" s="14" t="s">
        <v>20</v>
      </c>
      <c r="D3187" s="14" t="s">
        <v>500</v>
      </c>
      <c r="E3187" s="17" t="s">
        <v>2598</v>
      </c>
      <c r="F3187" s="72" t="s">
        <v>15</v>
      </c>
      <c r="G3187" s="52">
        <v>42353</v>
      </c>
      <c r="H3187" s="17">
        <v>36473351.788125299</v>
      </c>
      <c r="I3187" s="17"/>
      <c r="J3187" s="17"/>
      <c r="K3187" s="17">
        <f t="shared" si="617"/>
        <v>36473351.788125299</v>
      </c>
      <c r="L3187" s="23">
        <f t="shared" si="623"/>
        <v>1823667.5894062649</v>
      </c>
      <c r="M3187" s="17">
        <v>25</v>
      </c>
      <c r="N3187" s="17">
        <f t="shared" si="618"/>
        <v>4.3013698630136989</v>
      </c>
      <c r="O3187" s="23">
        <f t="shared" si="625"/>
        <v>5961644.2950124806</v>
      </c>
      <c r="P3187" s="18">
        <f t="shared" si="620"/>
        <v>5.3013698630136989</v>
      </c>
      <c r="Q3187" s="18">
        <f t="shared" si="626"/>
        <v>1385987.3679487612</v>
      </c>
      <c r="R3187" s="18">
        <f t="shared" si="621"/>
        <v>7347631.6629612418</v>
      </c>
      <c r="S3187" s="18">
        <f t="shared" si="622"/>
        <v>29125720.125164058</v>
      </c>
    </row>
    <row r="3188" spans="1:19" ht="15" customHeight="1" x14ac:dyDescent="0.2">
      <c r="A3188" s="14">
        <f t="shared" si="624"/>
        <v>95</v>
      </c>
      <c r="B3188" s="14" t="s">
        <v>2599</v>
      </c>
      <c r="C3188" s="14" t="s">
        <v>20</v>
      </c>
      <c r="D3188" s="14" t="s">
        <v>500</v>
      </c>
      <c r="E3188" s="17" t="s">
        <v>2598</v>
      </c>
      <c r="F3188" s="72" t="s">
        <v>15</v>
      </c>
      <c r="G3188" s="52">
        <v>43054</v>
      </c>
      <c r="H3188" s="17">
        <v>1285041.78</v>
      </c>
      <c r="I3188" s="17"/>
      <c r="J3188" s="17"/>
      <c r="K3188" s="17">
        <f t="shared" si="617"/>
        <v>1285041.78</v>
      </c>
      <c r="L3188" s="23">
        <f t="shared" si="623"/>
        <v>64252.089000000007</v>
      </c>
      <c r="M3188" s="17">
        <v>25</v>
      </c>
      <c r="N3188" s="17">
        <f t="shared" si="618"/>
        <v>2.3808219178082193</v>
      </c>
      <c r="O3188" s="23">
        <f t="shared" si="625"/>
        <v>116259.31413468494</v>
      </c>
      <c r="P3188" s="18">
        <f t="shared" si="620"/>
        <v>3.3808219178082193</v>
      </c>
      <c r="Q3188" s="18">
        <f t="shared" si="626"/>
        <v>48831.587640000005</v>
      </c>
      <c r="R3188" s="18">
        <f t="shared" si="621"/>
        <v>165090.90177468496</v>
      </c>
      <c r="S3188" s="18">
        <f t="shared" si="622"/>
        <v>1119950.8782253151</v>
      </c>
    </row>
    <row r="3189" spans="1:19" ht="15" customHeight="1" x14ac:dyDescent="0.2">
      <c r="A3189" s="14">
        <f t="shared" si="624"/>
        <v>96</v>
      </c>
      <c r="B3189" s="14" t="s">
        <v>2599</v>
      </c>
      <c r="C3189" s="14" t="s">
        <v>20</v>
      </c>
      <c r="D3189" s="14" t="s">
        <v>500</v>
      </c>
      <c r="E3189" s="17" t="s">
        <v>2598</v>
      </c>
      <c r="F3189" s="72" t="s">
        <v>15</v>
      </c>
      <c r="G3189" s="52">
        <v>43190</v>
      </c>
      <c r="H3189" s="17">
        <v>695444</v>
      </c>
      <c r="I3189" s="17"/>
      <c r="J3189" s="17"/>
      <c r="K3189" s="17">
        <f t="shared" si="617"/>
        <v>695444</v>
      </c>
      <c r="L3189" s="23">
        <f t="shared" si="623"/>
        <v>34772.200000000004</v>
      </c>
      <c r="M3189" s="17">
        <v>25</v>
      </c>
      <c r="N3189" s="17">
        <f t="shared" si="618"/>
        <v>2.0082191780821916</v>
      </c>
      <c r="O3189" s="23">
        <f t="shared" si="625"/>
        <v>53070.95116712329</v>
      </c>
      <c r="P3189" s="18">
        <f t="shared" si="620"/>
        <v>3.0082191780821916</v>
      </c>
      <c r="Q3189" s="18">
        <f t="shared" si="626"/>
        <v>26426.872000000003</v>
      </c>
      <c r="R3189" s="18">
        <f t="shared" si="621"/>
        <v>79497.823167123293</v>
      </c>
      <c r="S3189" s="18">
        <f t="shared" si="622"/>
        <v>615946.17683287675</v>
      </c>
    </row>
    <row r="3190" spans="1:19" ht="15" customHeight="1" x14ac:dyDescent="0.2">
      <c r="A3190" s="14">
        <f t="shared" si="624"/>
        <v>97</v>
      </c>
      <c r="B3190" s="14" t="s">
        <v>2600</v>
      </c>
      <c r="C3190" s="14" t="s">
        <v>20</v>
      </c>
      <c r="D3190" s="14" t="s">
        <v>500</v>
      </c>
      <c r="E3190" s="17" t="s">
        <v>2601</v>
      </c>
      <c r="F3190" s="72" t="s">
        <v>12</v>
      </c>
      <c r="G3190" s="52">
        <v>42353</v>
      </c>
      <c r="H3190" s="17">
        <v>258004877.19747663</v>
      </c>
      <c r="I3190" s="17"/>
      <c r="J3190" s="17"/>
      <c r="K3190" s="17">
        <f t="shared" ref="K3190:K3217" si="627">H3190+I3190-J3190</f>
        <v>258004877.19747663</v>
      </c>
      <c r="L3190" s="23">
        <f t="shared" si="623"/>
        <v>12900243.859873831</v>
      </c>
      <c r="M3190" s="17">
        <v>25</v>
      </c>
      <c r="N3190" s="17">
        <f t="shared" ref="N3190:N3217" si="628">IF(($N$35-G3190+1)/365&gt;0,($N$35-G3190+1)/365,0)</f>
        <v>4.3013698630136989</v>
      </c>
      <c r="O3190" s="23">
        <f t="shared" si="625"/>
        <v>42171427.324935503</v>
      </c>
      <c r="P3190" s="18">
        <f t="shared" ref="P3190:P3217" si="629">($P$35-G3190+1)/365</f>
        <v>5.3013698630136989</v>
      </c>
      <c r="Q3190" s="18">
        <f t="shared" si="626"/>
        <v>9804185.3335041124</v>
      </c>
      <c r="R3190" s="18">
        <f t="shared" ref="R3190:R3217" si="630">O3190+Q3190</f>
        <v>51975612.658439614</v>
      </c>
      <c r="S3190" s="18">
        <f t="shared" ref="S3190:S3217" si="631">K3190-R3190</f>
        <v>206029264.53903702</v>
      </c>
    </row>
    <row r="3191" spans="1:19" ht="15" customHeight="1" x14ac:dyDescent="0.2">
      <c r="A3191" s="14">
        <f t="shared" si="624"/>
        <v>98</v>
      </c>
      <c r="B3191" s="14" t="s">
        <v>2600</v>
      </c>
      <c r="C3191" s="14" t="s">
        <v>20</v>
      </c>
      <c r="D3191" s="14" t="s">
        <v>500</v>
      </c>
      <c r="E3191" s="17" t="s">
        <v>2601</v>
      </c>
      <c r="F3191" s="72" t="s">
        <v>12</v>
      </c>
      <c r="G3191" s="52">
        <v>42444</v>
      </c>
      <c r="H3191" s="17">
        <v>398046.65</v>
      </c>
      <c r="I3191" s="17"/>
      <c r="J3191" s="17"/>
      <c r="K3191" s="17">
        <f t="shared" si="627"/>
        <v>398046.65</v>
      </c>
      <c r="L3191" s="23">
        <f t="shared" si="623"/>
        <v>19902.332500000004</v>
      </c>
      <c r="M3191" s="17">
        <v>25</v>
      </c>
      <c r="N3191" s="17">
        <f t="shared" si="628"/>
        <v>4.0520547945205481</v>
      </c>
      <c r="O3191" s="23">
        <f t="shared" si="625"/>
        <v>61290.459789863016</v>
      </c>
      <c r="P3191" s="18">
        <f t="shared" si="629"/>
        <v>5.0520547945205481</v>
      </c>
      <c r="Q3191" s="18">
        <f t="shared" si="626"/>
        <v>15125.772700000001</v>
      </c>
      <c r="R3191" s="18">
        <f t="shared" si="630"/>
        <v>76416.232489863018</v>
      </c>
      <c r="S3191" s="18">
        <f t="shared" si="631"/>
        <v>321630.41751013702</v>
      </c>
    </row>
    <row r="3192" spans="1:19" ht="15" customHeight="1" x14ac:dyDescent="0.2">
      <c r="A3192" s="14">
        <f t="shared" si="624"/>
        <v>99</v>
      </c>
      <c r="B3192" s="14" t="s">
        <v>2600</v>
      </c>
      <c r="C3192" s="14" t="s">
        <v>20</v>
      </c>
      <c r="D3192" s="14" t="s">
        <v>500</v>
      </c>
      <c r="E3192" s="17" t="s">
        <v>2601</v>
      </c>
      <c r="F3192" s="72" t="s">
        <v>12</v>
      </c>
      <c r="G3192" s="52">
        <v>43054</v>
      </c>
      <c r="H3192" s="17">
        <v>3512106.59</v>
      </c>
      <c r="I3192" s="17"/>
      <c r="J3192" s="17"/>
      <c r="K3192" s="17">
        <f t="shared" si="627"/>
        <v>3512106.59</v>
      </c>
      <c r="L3192" s="23">
        <f t="shared" si="623"/>
        <v>175605.32949999999</v>
      </c>
      <c r="M3192" s="17">
        <v>25</v>
      </c>
      <c r="N3192" s="17">
        <f t="shared" si="628"/>
        <v>2.3808219178082193</v>
      </c>
      <c r="O3192" s="23">
        <f t="shared" si="625"/>
        <v>317744.61319172598</v>
      </c>
      <c r="P3192" s="18">
        <f t="shared" si="629"/>
        <v>3.3808219178082193</v>
      </c>
      <c r="Q3192" s="18">
        <f t="shared" si="626"/>
        <v>133460.05041999999</v>
      </c>
      <c r="R3192" s="18">
        <f t="shared" si="630"/>
        <v>451204.66361172596</v>
      </c>
      <c r="S3192" s="18">
        <f t="shared" si="631"/>
        <v>3060901.9263882739</v>
      </c>
    </row>
    <row r="3193" spans="1:19" ht="15" customHeight="1" x14ac:dyDescent="0.2">
      <c r="A3193" s="14">
        <f t="shared" si="624"/>
        <v>100</v>
      </c>
      <c r="B3193" s="14" t="s">
        <v>2600</v>
      </c>
      <c r="C3193" s="14" t="s">
        <v>20</v>
      </c>
      <c r="D3193" s="14" t="s">
        <v>500</v>
      </c>
      <c r="E3193" s="17" t="s">
        <v>2601</v>
      </c>
      <c r="F3193" s="72" t="s">
        <v>12</v>
      </c>
      <c r="G3193" s="52">
        <v>43190</v>
      </c>
      <c r="H3193" s="17">
        <v>682801.99</v>
      </c>
      <c r="I3193" s="17"/>
      <c r="J3193" s="17"/>
      <c r="K3193" s="17">
        <f t="shared" si="627"/>
        <v>682801.99</v>
      </c>
      <c r="L3193" s="23">
        <f t="shared" si="623"/>
        <v>34140.099500000004</v>
      </c>
      <c r="M3193" s="17">
        <v>25</v>
      </c>
      <c r="N3193" s="17">
        <f t="shared" si="628"/>
        <v>2.0082191780821916</v>
      </c>
      <c r="O3193" s="23">
        <f t="shared" si="625"/>
        <v>52106.209943726019</v>
      </c>
      <c r="P3193" s="18">
        <f t="shared" si="629"/>
        <v>3.0082191780821916</v>
      </c>
      <c r="Q3193" s="18">
        <f t="shared" si="626"/>
        <v>25946.475620000001</v>
      </c>
      <c r="R3193" s="18">
        <f t="shared" si="630"/>
        <v>78052.685563726016</v>
      </c>
      <c r="S3193" s="18">
        <f t="shared" si="631"/>
        <v>604749.30443627399</v>
      </c>
    </row>
    <row r="3194" spans="1:19" ht="15" customHeight="1" x14ac:dyDescent="0.2">
      <c r="A3194" s="14">
        <f t="shared" si="624"/>
        <v>101</v>
      </c>
      <c r="B3194" s="14" t="s">
        <v>2600</v>
      </c>
      <c r="C3194" s="14" t="s">
        <v>20</v>
      </c>
      <c r="D3194" s="14" t="s">
        <v>500</v>
      </c>
      <c r="E3194" s="17" t="s">
        <v>2601</v>
      </c>
      <c r="F3194" s="72" t="s">
        <v>12</v>
      </c>
      <c r="G3194" s="52">
        <v>43555</v>
      </c>
      <c r="H3194" s="17">
        <v>604000</v>
      </c>
      <c r="I3194" s="17"/>
      <c r="J3194" s="17"/>
      <c r="K3194" s="17">
        <f t="shared" si="627"/>
        <v>604000</v>
      </c>
      <c r="L3194" s="23">
        <f t="shared" si="623"/>
        <v>30200</v>
      </c>
      <c r="M3194" s="17">
        <v>25</v>
      </c>
      <c r="N3194" s="17">
        <f t="shared" si="628"/>
        <v>1.0082191780821919</v>
      </c>
      <c r="O3194" s="23">
        <f t="shared" si="625"/>
        <v>23140.646575342467</v>
      </c>
      <c r="P3194" s="18">
        <f t="shared" si="629"/>
        <v>2.0082191780821916</v>
      </c>
      <c r="Q3194" s="18">
        <f t="shared" si="626"/>
        <v>22951.999999999996</v>
      </c>
      <c r="R3194" s="18">
        <f t="shared" si="630"/>
        <v>46092.646575342464</v>
      </c>
      <c r="S3194" s="18">
        <f t="shared" si="631"/>
        <v>557907.35342465749</v>
      </c>
    </row>
    <row r="3195" spans="1:19" ht="15" customHeight="1" x14ac:dyDescent="0.2">
      <c r="A3195" s="14">
        <f t="shared" si="624"/>
        <v>102</v>
      </c>
      <c r="B3195" s="14" t="s">
        <v>2600</v>
      </c>
      <c r="C3195" s="14" t="s">
        <v>20</v>
      </c>
      <c r="D3195" s="14" t="s">
        <v>500</v>
      </c>
      <c r="E3195" s="17" t="s">
        <v>2601</v>
      </c>
      <c r="F3195" s="72" t="s">
        <v>12</v>
      </c>
      <c r="G3195" s="52">
        <v>43555</v>
      </c>
      <c r="H3195" s="17">
        <v>2130636.56</v>
      </c>
      <c r="I3195" s="17"/>
      <c r="J3195" s="17"/>
      <c r="K3195" s="17">
        <f t="shared" si="627"/>
        <v>2130636.56</v>
      </c>
      <c r="L3195" s="23">
        <f t="shared" si="623"/>
        <v>106531.82800000001</v>
      </c>
      <c r="M3195" s="17">
        <v>25</v>
      </c>
      <c r="N3195" s="17">
        <f t="shared" si="628"/>
        <v>1.0082191780821919</v>
      </c>
      <c r="O3195" s="23">
        <f t="shared" si="625"/>
        <v>81629.648369972609</v>
      </c>
      <c r="P3195" s="18">
        <f t="shared" si="629"/>
        <v>2.0082191780821916</v>
      </c>
      <c r="Q3195" s="18">
        <f t="shared" si="626"/>
        <v>80964.189279999991</v>
      </c>
      <c r="R3195" s="18">
        <f t="shared" si="630"/>
        <v>162593.83764997259</v>
      </c>
      <c r="S3195" s="18">
        <f t="shared" si="631"/>
        <v>1968042.7223500274</v>
      </c>
    </row>
    <row r="3196" spans="1:19" ht="15" customHeight="1" x14ac:dyDescent="0.2">
      <c r="A3196" s="14">
        <f t="shared" si="624"/>
        <v>103</v>
      </c>
      <c r="B3196" s="14" t="s">
        <v>2600</v>
      </c>
      <c r="C3196" s="14" t="s">
        <v>20</v>
      </c>
      <c r="D3196" s="14" t="s">
        <v>500</v>
      </c>
      <c r="E3196" s="17" t="s">
        <v>2601</v>
      </c>
      <c r="F3196" s="72" t="s">
        <v>12</v>
      </c>
      <c r="G3196" s="52">
        <v>43555</v>
      </c>
      <c r="H3196" s="17">
        <v>613821.81999999995</v>
      </c>
      <c r="I3196" s="17"/>
      <c r="J3196" s="17"/>
      <c r="K3196" s="17">
        <f t="shared" si="627"/>
        <v>613821.81999999995</v>
      </c>
      <c r="L3196" s="23">
        <f t="shared" si="623"/>
        <v>30691.091</v>
      </c>
      <c r="M3196" s="17">
        <v>25</v>
      </c>
      <c r="N3196" s="17">
        <f t="shared" si="628"/>
        <v>1.0082191780821919</v>
      </c>
      <c r="O3196" s="23">
        <f t="shared" si="625"/>
        <v>23516.943372273974</v>
      </c>
      <c r="P3196" s="18">
        <f t="shared" si="629"/>
        <v>2.0082191780821916</v>
      </c>
      <c r="Q3196" s="18">
        <f t="shared" si="626"/>
        <v>23325.229159999995</v>
      </c>
      <c r="R3196" s="18">
        <f t="shared" si="630"/>
        <v>46842.172532273966</v>
      </c>
      <c r="S3196" s="18">
        <f t="shared" si="631"/>
        <v>566979.64746772603</v>
      </c>
    </row>
    <row r="3197" spans="1:19" ht="15" customHeight="1" x14ac:dyDescent="0.2">
      <c r="A3197" s="14">
        <f t="shared" si="624"/>
        <v>104</v>
      </c>
      <c r="B3197" s="14" t="s">
        <v>2600</v>
      </c>
      <c r="C3197" s="14" t="s">
        <v>20</v>
      </c>
      <c r="D3197" s="14" t="s">
        <v>500</v>
      </c>
      <c r="E3197" s="17" t="s">
        <v>2601</v>
      </c>
      <c r="F3197" s="72" t="s">
        <v>12</v>
      </c>
      <c r="G3197" s="52">
        <v>43555</v>
      </c>
      <c r="H3197" s="17">
        <v>96759</v>
      </c>
      <c r="I3197" s="17"/>
      <c r="J3197" s="17"/>
      <c r="K3197" s="17">
        <f t="shared" si="627"/>
        <v>96759</v>
      </c>
      <c r="L3197" s="23">
        <f t="shared" si="623"/>
        <v>4837.95</v>
      </c>
      <c r="M3197" s="17">
        <v>25</v>
      </c>
      <c r="N3197" s="17">
        <f t="shared" si="628"/>
        <v>1.0082191780821919</v>
      </c>
      <c r="O3197" s="23">
        <f t="shared" si="625"/>
        <v>3707.0626191780825</v>
      </c>
      <c r="P3197" s="18">
        <f t="shared" si="629"/>
        <v>2.0082191780821916</v>
      </c>
      <c r="Q3197" s="18">
        <f t="shared" si="626"/>
        <v>3676.8419999999996</v>
      </c>
      <c r="R3197" s="18">
        <f t="shared" si="630"/>
        <v>7383.9046191780817</v>
      </c>
      <c r="S3197" s="18">
        <f t="shared" si="631"/>
        <v>89375.09538082192</v>
      </c>
    </row>
    <row r="3198" spans="1:19" ht="15" customHeight="1" x14ac:dyDescent="0.2">
      <c r="A3198" s="14">
        <f t="shared" si="624"/>
        <v>105</v>
      </c>
      <c r="B3198" s="14" t="s">
        <v>2600</v>
      </c>
      <c r="C3198" s="14" t="s">
        <v>20</v>
      </c>
      <c r="D3198" s="14" t="s">
        <v>500</v>
      </c>
      <c r="E3198" s="17" t="s">
        <v>2601</v>
      </c>
      <c r="F3198" s="72" t="s">
        <v>12</v>
      </c>
      <c r="G3198" s="52">
        <v>43799</v>
      </c>
      <c r="H3198" s="17">
        <v>20204611</v>
      </c>
      <c r="I3198" s="17"/>
      <c r="J3198" s="17"/>
      <c r="K3198" s="17">
        <f t="shared" si="627"/>
        <v>20204611</v>
      </c>
      <c r="L3198" s="23">
        <f t="shared" si="623"/>
        <v>1010230.55</v>
      </c>
      <c r="M3198" s="17">
        <v>25</v>
      </c>
      <c r="N3198" s="17">
        <f t="shared" si="628"/>
        <v>0.33972602739726027</v>
      </c>
      <c r="O3198" s="23">
        <f t="shared" si="625"/>
        <v>260833.22474520546</v>
      </c>
      <c r="P3198" s="18">
        <f t="shared" si="629"/>
        <v>1.3397260273972602</v>
      </c>
      <c r="Q3198" s="18">
        <f t="shared" si="626"/>
        <v>767775.21799999999</v>
      </c>
      <c r="R3198" s="18">
        <f t="shared" si="630"/>
        <v>1028608.4427452055</v>
      </c>
      <c r="S3198" s="18">
        <f t="shared" si="631"/>
        <v>19176002.557254795</v>
      </c>
    </row>
    <row r="3199" spans="1:19" ht="15" customHeight="1" x14ac:dyDescent="0.2">
      <c r="A3199" s="14">
        <f t="shared" si="624"/>
        <v>106</v>
      </c>
      <c r="B3199" s="14" t="s">
        <v>2600</v>
      </c>
      <c r="C3199" s="14" t="s">
        <v>20</v>
      </c>
      <c r="D3199" s="14" t="s">
        <v>500</v>
      </c>
      <c r="E3199" s="17" t="s">
        <v>2601</v>
      </c>
      <c r="F3199" s="72" t="s">
        <v>12</v>
      </c>
      <c r="G3199" s="52">
        <v>43830</v>
      </c>
      <c r="H3199" s="17">
        <v>2739831</v>
      </c>
      <c r="I3199" s="17"/>
      <c r="J3199" s="17"/>
      <c r="K3199" s="17">
        <f t="shared" si="627"/>
        <v>2739831</v>
      </c>
      <c r="L3199" s="23">
        <f t="shared" si="623"/>
        <v>136991.55000000002</v>
      </c>
      <c r="M3199" s="17">
        <v>25</v>
      </c>
      <c r="N3199" s="17">
        <f t="shared" si="628"/>
        <v>0.25479452054794521</v>
      </c>
      <c r="O3199" s="23">
        <f t="shared" si="625"/>
        <v>26527.5691890411</v>
      </c>
      <c r="P3199" s="18">
        <f t="shared" si="629"/>
        <v>1.2547945205479452</v>
      </c>
      <c r="Q3199" s="18">
        <f t="shared" si="626"/>
        <v>104113.57800000001</v>
      </c>
      <c r="R3199" s="18">
        <f t="shared" si="630"/>
        <v>130641.1471890411</v>
      </c>
      <c r="S3199" s="18">
        <f t="shared" si="631"/>
        <v>2609189.8528109589</v>
      </c>
    </row>
    <row r="3200" spans="1:19" ht="15" customHeight="1" x14ac:dyDescent="0.2">
      <c r="A3200" s="14">
        <f t="shared" si="624"/>
        <v>107</v>
      </c>
      <c r="B3200" s="14" t="s">
        <v>2600</v>
      </c>
      <c r="C3200" s="14" t="s">
        <v>20</v>
      </c>
      <c r="D3200" s="14" t="s">
        <v>500</v>
      </c>
      <c r="E3200" s="17" t="s">
        <v>2601</v>
      </c>
      <c r="F3200" s="72" t="s">
        <v>12</v>
      </c>
      <c r="G3200" s="52">
        <v>43830</v>
      </c>
      <c r="H3200" s="17">
        <v>144000</v>
      </c>
      <c r="I3200" s="17"/>
      <c r="J3200" s="17"/>
      <c r="K3200" s="17">
        <f t="shared" si="627"/>
        <v>144000</v>
      </c>
      <c r="L3200" s="23">
        <f t="shared" si="623"/>
        <v>7200</v>
      </c>
      <c r="M3200" s="17">
        <v>25</v>
      </c>
      <c r="N3200" s="17">
        <f t="shared" si="628"/>
        <v>0.25479452054794521</v>
      </c>
      <c r="O3200" s="23">
        <f t="shared" si="625"/>
        <v>1394.2356164383561</v>
      </c>
      <c r="P3200" s="18">
        <f t="shared" si="629"/>
        <v>1.2547945205479452</v>
      </c>
      <c r="Q3200" s="18">
        <f t="shared" si="626"/>
        <v>5472</v>
      </c>
      <c r="R3200" s="18">
        <f t="shared" si="630"/>
        <v>6866.2356164383564</v>
      </c>
      <c r="S3200" s="18">
        <f t="shared" si="631"/>
        <v>137133.76438356165</v>
      </c>
    </row>
    <row r="3201" spans="1:19" ht="15" customHeight="1" x14ac:dyDescent="0.2">
      <c r="A3201" s="14">
        <f t="shared" si="624"/>
        <v>108</v>
      </c>
      <c r="B3201" s="14" t="s">
        <v>2600</v>
      </c>
      <c r="C3201" s="14" t="s">
        <v>20</v>
      </c>
      <c r="D3201" s="14" t="s">
        <v>500</v>
      </c>
      <c r="E3201" s="17" t="s">
        <v>2601</v>
      </c>
      <c r="F3201" s="72" t="s">
        <v>12</v>
      </c>
      <c r="G3201" s="52">
        <v>43830</v>
      </c>
      <c r="H3201" s="17">
        <v>1037275</v>
      </c>
      <c r="I3201" s="17"/>
      <c r="J3201" s="17"/>
      <c r="K3201" s="17">
        <f t="shared" si="627"/>
        <v>1037275</v>
      </c>
      <c r="L3201" s="23">
        <f t="shared" si="623"/>
        <v>51863.75</v>
      </c>
      <c r="M3201" s="17">
        <v>25</v>
      </c>
      <c r="N3201" s="17">
        <f t="shared" si="628"/>
        <v>0.25479452054794521</v>
      </c>
      <c r="O3201" s="23">
        <f t="shared" si="625"/>
        <v>10043.095479452055</v>
      </c>
      <c r="P3201" s="18">
        <f t="shared" si="629"/>
        <v>1.2547945205479452</v>
      </c>
      <c r="Q3201" s="18">
        <f t="shared" si="626"/>
        <v>39416.450000000004</v>
      </c>
      <c r="R3201" s="18">
        <f t="shared" si="630"/>
        <v>49459.545479452063</v>
      </c>
      <c r="S3201" s="18">
        <f t="shared" si="631"/>
        <v>987815.454520548</v>
      </c>
    </row>
    <row r="3202" spans="1:19" ht="15" customHeight="1" x14ac:dyDescent="0.2">
      <c r="A3202" s="14">
        <f t="shared" si="624"/>
        <v>109</v>
      </c>
      <c r="B3202" s="14" t="s">
        <v>2602</v>
      </c>
      <c r="C3202" s="14" t="s">
        <v>20</v>
      </c>
      <c r="D3202" s="14" t="s">
        <v>500</v>
      </c>
      <c r="E3202" s="17" t="s">
        <v>2603</v>
      </c>
      <c r="F3202" s="72" t="s">
        <v>15</v>
      </c>
      <c r="G3202" s="52">
        <v>42353</v>
      </c>
      <c r="H3202" s="17">
        <v>124004835.85495344</v>
      </c>
      <c r="I3202" s="17"/>
      <c r="J3202" s="17"/>
      <c r="K3202" s="17">
        <f t="shared" si="627"/>
        <v>124004835.85495344</v>
      </c>
      <c r="L3202" s="23">
        <f t="shared" si="623"/>
        <v>6200241.7927476726</v>
      </c>
      <c r="M3202" s="17">
        <v>25</v>
      </c>
      <c r="N3202" s="17">
        <f t="shared" si="628"/>
        <v>4.3013698630136989</v>
      </c>
      <c r="O3202" s="23">
        <f t="shared" si="625"/>
        <v>20268845.224949375</v>
      </c>
      <c r="P3202" s="18">
        <f t="shared" si="629"/>
        <v>5.3013698630136989</v>
      </c>
      <c r="Q3202" s="18">
        <f t="shared" si="626"/>
        <v>4712183.7624882301</v>
      </c>
      <c r="R3202" s="18">
        <f t="shared" si="630"/>
        <v>24981028.987437606</v>
      </c>
      <c r="S3202" s="18">
        <f t="shared" si="631"/>
        <v>99023806.867515832</v>
      </c>
    </row>
    <row r="3203" spans="1:19" ht="15" customHeight="1" x14ac:dyDescent="0.2">
      <c r="A3203" s="14">
        <f t="shared" si="624"/>
        <v>110</v>
      </c>
      <c r="B3203" s="14" t="s">
        <v>2602</v>
      </c>
      <c r="C3203" s="14" t="s">
        <v>20</v>
      </c>
      <c r="D3203" s="14" t="s">
        <v>500</v>
      </c>
      <c r="E3203" s="17" t="s">
        <v>2603</v>
      </c>
      <c r="F3203" s="72" t="s">
        <v>15</v>
      </c>
      <c r="G3203" s="52">
        <v>42444</v>
      </c>
      <c r="H3203" s="17">
        <v>3924644.37</v>
      </c>
      <c r="I3203" s="17"/>
      <c r="J3203" s="17"/>
      <c r="K3203" s="17">
        <f t="shared" si="627"/>
        <v>3924644.37</v>
      </c>
      <c r="L3203" s="23">
        <f t="shared" si="623"/>
        <v>196232.21850000002</v>
      </c>
      <c r="M3203" s="17">
        <v>25</v>
      </c>
      <c r="N3203" s="17">
        <f t="shared" si="628"/>
        <v>4.0520547945205481</v>
      </c>
      <c r="O3203" s="23">
        <f t="shared" si="625"/>
        <v>604309.21337736992</v>
      </c>
      <c r="P3203" s="18">
        <f t="shared" si="629"/>
        <v>5.0520547945205481</v>
      </c>
      <c r="Q3203" s="18">
        <f t="shared" si="626"/>
        <v>149136.48606</v>
      </c>
      <c r="R3203" s="18">
        <f t="shared" si="630"/>
        <v>753445.69943736994</v>
      </c>
      <c r="S3203" s="18">
        <f t="shared" si="631"/>
        <v>3171198.6705626301</v>
      </c>
    </row>
    <row r="3204" spans="1:19" ht="15" customHeight="1" x14ac:dyDescent="0.2">
      <c r="A3204" s="14">
        <f t="shared" si="624"/>
        <v>111</v>
      </c>
      <c r="B3204" s="14" t="s">
        <v>2602</v>
      </c>
      <c r="C3204" s="14" t="s">
        <v>20</v>
      </c>
      <c r="D3204" s="14" t="s">
        <v>500</v>
      </c>
      <c r="E3204" s="17" t="s">
        <v>2603</v>
      </c>
      <c r="F3204" s="72" t="s">
        <v>15</v>
      </c>
      <c r="G3204" s="52">
        <v>43054</v>
      </c>
      <c r="H3204" s="17">
        <v>8819446.6899999995</v>
      </c>
      <c r="I3204" s="17"/>
      <c r="J3204" s="17"/>
      <c r="K3204" s="17">
        <f t="shared" si="627"/>
        <v>8819446.6899999995</v>
      </c>
      <c r="L3204" s="23">
        <f t="shared" si="623"/>
        <v>440972.3345</v>
      </c>
      <c r="M3204" s="17">
        <v>25</v>
      </c>
      <c r="N3204" s="17">
        <f t="shared" si="628"/>
        <v>2.3808219178082193</v>
      </c>
      <c r="O3204" s="23">
        <f t="shared" si="625"/>
        <v>797906.21533473965</v>
      </c>
      <c r="P3204" s="18">
        <f t="shared" si="629"/>
        <v>3.3808219178082193</v>
      </c>
      <c r="Q3204" s="18">
        <f t="shared" si="626"/>
        <v>335138.97421999997</v>
      </c>
      <c r="R3204" s="18">
        <f t="shared" si="630"/>
        <v>1133045.1895547397</v>
      </c>
      <c r="S3204" s="18">
        <f t="shared" si="631"/>
        <v>7686401.5004452597</v>
      </c>
    </row>
    <row r="3205" spans="1:19" ht="15" customHeight="1" x14ac:dyDescent="0.2">
      <c r="A3205" s="14">
        <f t="shared" si="624"/>
        <v>112</v>
      </c>
      <c r="B3205" s="14" t="s">
        <v>2602</v>
      </c>
      <c r="C3205" s="14" t="s">
        <v>20</v>
      </c>
      <c r="D3205" s="14" t="s">
        <v>500</v>
      </c>
      <c r="E3205" s="17" t="s">
        <v>2603</v>
      </c>
      <c r="F3205" s="72" t="s">
        <v>15</v>
      </c>
      <c r="G3205" s="52">
        <v>43555</v>
      </c>
      <c r="H3205" s="17">
        <v>1634900</v>
      </c>
      <c r="I3205" s="17"/>
      <c r="J3205" s="17"/>
      <c r="K3205" s="17">
        <f t="shared" si="627"/>
        <v>1634900</v>
      </c>
      <c r="L3205" s="23">
        <f t="shared" si="623"/>
        <v>81745</v>
      </c>
      <c r="M3205" s="17">
        <v>25</v>
      </c>
      <c r="N3205" s="17">
        <f t="shared" si="628"/>
        <v>1.0082191780821919</v>
      </c>
      <c r="O3205" s="23">
        <f t="shared" si="625"/>
        <v>62636.826301369867</v>
      </c>
      <c r="P3205" s="18">
        <f t="shared" si="629"/>
        <v>2.0082191780821916</v>
      </c>
      <c r="Q3205" s="18">
        <f t="shared" si="626"/>
        <v>62126.19999999999</v>
      </c>
      <c r="R3205" s="18">
        <f t="shared" si="630"/>
        <v>124763.02630136986</v>
      </c>
      <c r="S3205" s="18">
        <f t="shared" si="631"/>
        <v>1510136.9736986302</v>
      </c>
    </row>
    <row r="3206" spans="1:19" ht="15" customHeight="1" x14ac:dyDescent="0.2">
      <c r="A3206" s="14">
        <f t="shared" si="624"/>
        <v>113</v>
      </c>
      <c r="B3206" s="14" t="s">
        <v>2604</v>
      </c>
      <c r="C3206" s="14" t="s">
        <v>20</v>
      </c>
      <c r="D3206" s="14" t="s">
        <v>500</v>
      </c>
      <c r="E3206" s="17" t="s">
        <v>2605</v>
      </c>
      <c r="F3206" s="72" t="s">
        <v>22</v>
      </c>
      <c r="G3206" s="52">
        <v>42353</v>
      </c>
      <c r="H3206" s="17">
        <v>30898667.340729259</v>
      </c>
      <c r="I3206" s="17"/>
      <c r="J3206" s="17"/>
      <c r="K3206" s="17">
        <f t="shared" si="627"/>
        <v>30898667.340729259</v>
      </c>
      <c r="L3206" s="23">
        <f t="shared" si="623"/>
        <v>1544933.367036463</v>
      </c>
      <c r="M3206" s="17">
        <v>25</v>
      </c>
      <c r="N3206" s="17">
        <f t="shared" si="628"/>
        <v>4.3013698630136989</v>
      </c>
      <c r="O3206" s="23">
        <f t="shared" si="625"/>
        <v>5050450.667254542</v>
      </c>
      <c r="P3206" s="18">
        <f t="shared" si="629"/>
        <v>5.3013698630136989</v>
      </c>
      <c r="Q3206" s="18">
        <f t="shared" si="626"/>
        <v>1174149.358947712</v>
      </c>
      <c r="R3206" s="18">
        <f t="shared" si="630"/>
        <v>6224600.026202254</v>
      </c>
      <c r="S3206" s="18">
        <f t="shared" si="631"/>
        <v>24674067.314527005</v>
      </c>
    </row>
    <row r="3207" spans="1:19" ht="15" customHeight="1" x14ac:dyDescent="0.2">
      <c r="A3207" s="14">
        <f t="shared" si="624"/>
        <v>114</v>
      </c>
      <c r="B3207" s="14" t="s">
        <v>2604</v>
      </c>
      <c r="C3207" s="14" t="s">
        <v>20</v>
      </c>
      <c r="D3207" s="14" t="s">
        <v>500</v>
      </c>
      <c r="E3207" s="17" t="s">
        <v>2605</v>
      </c>
      <c r="F3207" s="72" t="s">
        <v>22</v>
      </c>
      <c r="G3207" s="52">
        <v>42444</v>
      </c>
      <c r="H3207" s="17">
        <v>537447.30000000005</v>
      </c>
      <c r="I3207" s="17"/>
      <c r="J3207" s="17"/>
      <c r="K3207" s="17">
        <f t="shared" si="627"/>
        <v>537447.30000000005</v>
      </c>
      <c r="L3207" s="23">
        <f t="shared" si="623"/>
        <v>26872.365000000005</v>
      </c>
      <c r="M3207" s="17">
        <v>25</v>
      </c>
      <c r="N3207" s="17">
        <f t="shared" si="628"/>
        <v>4.0520547945205481</v>
      </c>
      <c r="O3207" s="23">
        <f t="shared" si="625"/>
        <v>82755.104533150705</v>
      </c>
      <c r="P3207" s="18">
        <f t="shared" si="629"/>
        <v>5.0520547945205481</v>
      </c>
      <c r="Q3207" s="18">
        <f t="shared" si="626"/>
        <v>20422.997400000004</v>
      </c>
      <c r="R3207" s="18">
        <f t="shared" si="630"/>
        <v>103178.10193315071</v>
      </c>
      <c r="S3207" s="18">
        <f t="shared" si="631"/>
        <v>434269.19806684932</v>
      </c>
    </row>
    <row r="3208" spans="1:19" ht="15" customHeight="1" x14ac:dyDescent="0.2">
      <c r="A3208" s="14">
        <f t="shared" si="624"/>
        <v>115</v>
      </c>
      <c r="B3208" s="14" t="s">
        <v>2606</v>
      </c>
      <c r="C3208" s="14" t="s">
        <v>20</v>
      </c>
      <c r="D3208" s="14" t="s">
        <v>500</v>
      </c>
      <c r="E3208" s="53" t="s">
        <v>2605</v>
      </c>
      <c r="F3208" s="72" t="s">
        <v>15</v>
      </c>
      <c r="G3208" s="52">
        <v>42353</v>
      </c>
      <c r="H3208" s="17">
        <v>58644599.897918634</v>
      </c>
      <c r="I3208" s="17"/>
      <c r="J3208" s="17"/>
      <c r="K3208" s="17">
        <f t="shared" si="627"/>
        <v>58644599.897918634</v>
      </c>
      <c r="L3208" s="23">
        <f t="shared" si="623"/>
        <v>2932229.9948959318</v>
      </c>
      <c r="M3208" s="17">
        <v>25</v>
      </c>
      <c r="N3208" s="17">
        <f t="shared" si="628"/>
        <v>4.3013698630136989</v>
      </c>
      <c r="O3208" s="23">
        <f t="shared" si="625"/>
        <v>9585580.3559173308</v>
      </c>
      <c r="P3208" s="18">
        <f t="shared" si="629"/>
        <v>5.3013698630136989</v>
      </c>
      <c r="Q3208" s="18">
        <f t="shared" si="626"/>
        <v>2228494.7961209081</v>
      </c>
      <c r="R3208" s="18">
        <f t="shared" si="630"/>
        <v>11814075.152038239</v>
      </c>
      <c r="S3208" s="18">
        <f t="shared" si="631"/>
        <v>46830524.745880395</v>
      </c>
    </row>
    <row r="3209" spans="1:19" ht="15" customHeight="1" x14ac:dyDescent="0.2">
      <c r="A3209" s="14">
        <f t="shared" si="624"/>
        <v>116</v>
      </c>
      <c r="B3209" s="14" t="s">
        <v>2606</v>
      </c>
      <c r="C3209" s="14" t="s">
        <v>20</v>
      </c>
      <c r="D3209" s="14" t="s">
        <v>500</v>
      </c>
      <c r="E3209" s="53" t="s">
        <v>2605</v>
      </c>
      <c r="F3209" s="72" t="s">
        <v>15</v>
      </c>
      <c r="G3209" s="52">
        <v>42444</v>
      </c>
      <c r="H3209" s="17">
        <v>1556572</v>
      </c>
      <c r="I3209" s="17"/>
      <c r="J3209" s="17"/>
      <c r="K3209" s="17">
        <f t="shared" si="627"/>
        <v>1556572</v>
      </c>
      <c r="L3209" s="23">
        <f t="shared" si="623"/>
        <v>77828.600000000006</v>
      </c>
      <c r="M3209" s="17">
        <v>25</v>
      </c>
      <c r="N3209" s="17">
        <f t="shared" si="628"/>
        <v>4.0520547945205481</v>
      </c>
      <c r="O3209" s="23">
        <f t="shared" si="625"/>
        <v>239677.97135342465</v>
      </c>
      <c r="P3209" s="18">
        <f t="shared" si="629"/>
        <v>5.0520547945205481</v>
      </c>
      <c r="Q3209" s="18">
        <f t="shared" si="626"/>
        <v>59149.735999999997</v>
      </c>
      <c r="R3209" s="18">
        <f t="shared" si="630"/>
        <v>298827.70735342463</v>
      </c>
      <c r="S3209" s="18">
        <f t="shared" si="631"/>
        <v>1257744.2926465753</v>
      </c>
    </row>
    <row r="3210" spans="1:19" ht="15" customHeight="1" x14ac:dyDescent="0.2">
      <c r="A3210" s="14">
        <f t="shared" si="624"/>
        <v>117</v>
      </c>
      <c r="B3210" s="14" t="s">
        <v>2607</v>
      </c>
      <c r="C3210" s="14" t="s">
        <v>20</v>
      </c>
      <c r="D3210" s="14" t="s">
        <v>500</v>
      </c>
      <c r="E3210" s="17" t="s">
        <v>599</v>
      </c>
      <c r="F3210" s="72" t="s">
        <v>17</v>
      </c>
      <c r="G3210" s="52">
        <v>42353</v>
      </c>
      <c r="H3210" s="17">
        <v>31387814.709964152</v>
      </c>
      <c r="I3210" s="17"/>
      <c r="J3210" s="17"/>
      <c r="K3210" s="17">
        <f t="shared" si="627"/>
        <v>31387814.709964152</v>
      </c>
      <c r="L3210" s="23">
        <f t="shared" si="623"/>
        <v>1569390.7354982076</v>
      </c>
      <c r="M3210" s="17">
        <v>25</v>
      </c>
      <c r="N3210" s="17">
        <f t="shared" si="628"/>
        <v>4.3013698630136989</v>
      </c>
      <c r="O3210" s="23">
        <f t="shared" si="625"/>
        <v>5130402.8098533191</v>
      </c>
      <c r="P3210" s="18">
        <f t="shared" si="629"/>
        <v>5.3013698630136989</v>
      </c>
      <c r="Q3210" s="18">
        <f t="shared" si="626"/>
        <v>1192736.9589786378</v>
      </c>
      <c r="R3210" s="18">
        <f t="shared" si="630"/>
        <v>6323139.7688319571</v>
      </c>
      <c r="S3210" s="18">
        <f t="shared" si="631"/>
        <v>25064674.941132195</v>
      </c>
    </row>
    <row r="3211" spans="1:19" ht="15" customHeight="1" x14ac:dyDescent="0.2">
      <c r="A3211" s="14">
        <f t="shared" si="624"/>
        <v>118</v>
      </c>
      <c r="B3211" s="14" t="s">
        <v>2607</v>
      </c>
      <c r="C3211" s="14" t="s">
        <v>20</v>
      </c>
      <c r="D3211" s="14" t="s">
        <v>500</v>
      </c>
      <c r="E3211" s="17" t="s">
        <v>599</v>
      </c>
      <c r="F3211" s="72" t="s">
        <v>17</v>
      </c>
      <c r="G3211" s="52">
        <v>42353</v>
      </c>
      <c r="H3211" s="17">
        <v>36741</v>
      </c>
      <c r="I3211" s="17"/>
      <c r="J3211" s="17"/>
      <c r="K3211" s="17">
        <f t="shared" si="627"/>
        <v>36741</v>
      </c>
      <c r="L3211" s="23">
        <f t="shared" si="623"/>
        <v>1837.0500000000002</v>
      </c>
      <c r="M3211" s="17">
        <v>25</v>
      </c>
      <c r="N3211" s="17">
        <f t="shared" si="628"/>
        <v>4.3013698630136989</v>
      </c>
      <c r="O3211" s="23">
        <f t="shared" si="625"/>
        <v>6005.3919452054797</v>
      </c>
      <c r="P3211" s="18">
        <f t="shared" si="629"/>
        <v>5.3013698630136989</v>
      </c>
      <c r="Q3211" s="18">
        <f t="shared" si="626"/>
        <v>1396.1579999999999</v>
      </c>
      <c r="R3211" s="18">
        <f t="shared" si="630"/>
        <v>7401.5499452054792</v>
      </c>
      <c r="S3211" s="18">
        <f t="shared" si="631"/>
        <v>29339.450054794521</v>
      </c>
    </row>
    <row r="3212" spans="1:19" ht="15" customHeight="1" x14ac:dyDescent="0.2">
      <c r="A3212" s="14">
        <f t="shared" si="624"/>
        <v>119</v>
      </c>
      <c r="B3212" s="14" t="s">
        <v>2607</v>
      </c>
      <c r="C3212" s="14" t="s">
        <v>20</v>
      </c>
      <c r="D3212" s="14" t="s">
        <v>500</v>
      </c>
      <c r="E3212" s="17" t="s">
        <v>599</v>
      </c>
      <c r="F3212" s="72" t="s">
        <v>17</v>
      </c>
      <c r="G3212" s="52">
        <v>42444</v>
      </c>
      <c r="H3212" s="17">
        <v>266082.78000000003</v>
      </c>
      <c r="I3212" s="17"/>
      <c r="J3212" s="17"/>
      <c r="K3212" s="17">
        <f t="shared" si="627"/>
        <v>266082.78000000003</v>
      </c>
      <c r="L3212" s="23">
        <f t="shared" si="623"/>
        <v>13304.139000000003</v>
      </c>
      <c r="M3212" s="17">
        <v>25</v>
      </c>
      <c r="N3212" s="17">
        <f t="shared" si="628"/>
        <v>4.0520547945205481</v>
      </c>
      <c r="O3212" s="23">
        <f t="shared" si="625"/>
        <v>40970.916168657539</v>
      </c>
      <c r="P3212" s="18">
        <f t="shared" si="629"/>
        <v>5.0520547945205481</v>
      </c>
      <c r="Q3212" s="18">
        <f t="shared" si="626"/>
        <v>10111.145640000001</v>
      </c>
      <c r="R3212" s="18">
        <f t="shared" si="630"/>
        <v>51082.061808657541</v>
      </c>
      <c r="S3212" s="18">
        <f t="shared" si="631"/>
        <v>215000.71819134249</v>
      </c>
    </row>
    <row r="3213" spans="1:19" ht="15" customHeight="1" x14ac:dyDescent="0.2">
      <c r="A3213" s="14">
        <f t="shared" si="624"/>
        <v>120</v>
      </c>
      <c r="B3213" s="14" t="s">
        <v>2607</v>
      </c>
      <c r="C3213" s="14" t="s">
        <v>20</v>
      </c>
      <c r="D3213" s="14" t="s">
        <v>500</v>
      </c>
      <c r="E3213" s="17" t="s">
        <v>599</v>
      </c>
      <c r="F3213" s="72" t="s">
        <v>17</v>
      </c>
      <c r="G3213" s="52">
        <v>43054</v>
      </c>
      <c r="H3213" s="17">
        <v>1071.93</v>
      </c>
      <c r="I3213" s="17"/>
      <c r="J3213" s="17"/>
      <c r="K3213" s="17">
        <f t="shared" si="627"/>
        <v>1071.93</v>
      </c>
      <c r="L3213" s="23">
        <f t="shared" si="623"/>
        <v>53.596500000000006</v>
      </c>
      <c r="M3213" s="17">
        <v>25</v>
      </c>
      <c r="N3213" s="17">
        <f t="shared" si="628"/>
        <v>2.3808219178082193</v>
      </c>
      <c r="O3213" s="23">
        <f t="shared" si="625"/>
        <v>96.978828657534265</v>
      </c>
      <c r="P3213" s="18">
        <f t="shared" si="629"/>
        <v>3.3808219178082193</v>
      </c>
      <c r="Q3213" s="18">
        <f t="shared" si="626"/>
        <v>40.733340000000005</v>
      </c>
      <c r="R3213" s="18">
        <f t="shared" si="630"/>
        <v>137.71216865753428</v>
      </c>
      <c r="S3213" s="18">
        <f t="shared" si="631"/>
        <v>934.21783134246584</v>
      </c>
    </row>
    <row r="3214" spans="1:19" ht="15" customHeight="1" x14ac:dyDescent="0.2">
      <c r="A3214" s="14">
        <f t="shared" si="624"/>
        <v>121</v>
      </c>
      <c r="B3214" s="14" t="s">
        <v>2607</v>
      </c>
      <c r="C3214" s="14" t="s">
        <v>20</v>
      </c>
      <c r="D3214" s="14" t="s">
        <v>500</v>
      </c>
      <c r="E3214" s="17" t="s">
        <v>599</v>
      </c>
      <c r="F3214" s="72" t="s">
        <v>17</v>
      </c>
      <c r="G3214" s="52">
        <v>43830</v>
      </c>
      <c r="H3214" s="17">
        <v>1251956.6299999999</v>
      </c>
      <c r="I3214" s="17"/>
      <c r="J3214" s="17"/>
      <c r="K3214" s="17">
        <f t="shared" si="627"/>
        <v>1251956.6299999999</v>
      </c>
      <c r="L3214" s="23">
        <f t="shared" si="623"/>
        <v>62597.8315</v>
      </c>
      <c r="M3214" s="17">
        <v>25</v>
      </c>
      <c r="N3214" s="17">
        <f t="shared" si="628"/>
        <v>0.25479452054794521</v>
      </c>
      <c r="O3214" s="23">
        <f t="shared" si="625"/>
        <v>12121.684192931505</v>
      </c>
      <c r="P3214" s="18">
        <f t="shared" si="629"/>
        <v>1.2547945205479452</v>
      </c>
      <c r="Q3214" s="18">
        <f t="shared" si="626"/>
        <v>47574.351939999993</v>
      </c>
      <c r="R3214" s="18">
        <f t="shared" si="630"/>
        <v>59696.036132931498</v>
      </c>
      <c r="S3214" s="18">
        <f t="shared" si="631"/>
        <v>1192260.5938670684</v>
      </c>
    </row>
    <row r="3215" spans="1:19" ht="15" customHeight="1" x14ac:dyDescent="0.2">
      <c r="A3215" s="14">
        <f t="shared" si="624"/>
        <v>122</v>
      </c>
      <c r="B3215" s="14" t="s">
        <v>2608</v>
      </c>
      <c r="C3215" s="14" t="s">
        <v>20</v>
      </c>
      <c r="D3215" s="14" t="s">
        <v>500</v>
      </c>
      <c r="E3215" s="17" t="s">
        <v>2609</v>
      </c>
      <c r="F3215" s="72" t="s">
        <v>21</v>
      </c>
      <c r="G3215" s="52">
        <v>42353</v>
      </c>
      <c r="H3215" s="17">
        <v>2143783.409759331</v>
      </c>
      <c r="I3215" s="17"/>
      <c r="J3215" s="17"/>
      <c r="K3215" s="17">
        <f t="shared" si="627"/>
        <v>2143783.409759331</v>
      </c>
      <c r="L3215" s="23">
        <f t="shared" si="623"/>
        <v>107189.17048796656</v>
      </c>
      <c r="M3215" s="17">
        <v>25</v>
      </c>
      <c r="N3215" s="17">
        <f t="shared" si="628"/>
        <v>4.3013698630136989</v>
      </c>
      <c r="O3215" s="23">
        <f t="shared" si="625"/>
        <v>350405.80335956631</v>
      </c>
      <c r="P3215" s="18">
        <f t="shared" si="629"/>
        <v>5.3013698630136989</v>
      </c>
      <c r="Q3215" s="18">
        <f t="shared" si="626"/>
        <v>81463.76957085458</v>
      </c>
      <c r="R3215" s="18">
        <f t="shared" si="630"/>
        <v>431869.57293042087</v>
      </c>
      <c r="S3215" s="18">
        <f t="shared" si="631"/>
        <v>1711913.8368289103</v>
      </c>
    </row>
    <row r="3216" spans="1:19" ht="15" customHeight="1" x14ac:dyDescent="0.2">
      <c r="A3216" s="14">
        <f t="shared" si="624"/>
        <v>123</v>
      </c>
      <c r="B3216" s="14" t="s">
        <v>2608</v>
      </c>
      <c r="C3216" s="14" t="s">
        <v>20</v>
      </c>
      <c r="D3216" s="14" t="s">
        <v>500</v>
      </c>
      <c r="E3216" s="17" t="s">
        <v>2609</v>
      </c>
      <c r="F3216" s="72" t="s">
        <v>21</v>
      </c>
      <c r="G3216" s="52">
        <v>42444</v>
      </c>
      <c r="H3216" s="17">
        <v>121949.53</v>
      </c>
      <c r="I3216" s="17"/>
      <c r="J3216" s="17"/>
      <c r="K3216" s="17">
        <f t="shared" si="627"/>
        <v>121949.53</v>
      </c>
      <c r="L3216" s="23">
        <f t="shared" si="623"/>
        <v>6097.4765000000007</v>
      </c>
      <c r="M3216" s="17">
        <v>25</v>
      </c>
      <c r="N3216" s="17">
        <f t="shared" si="628"/>
        <v>4.0520547945205481</v>
      </c>
      <c r="O3216" s="23">
        <f t="shared" si="625"/>
        <v>18777.55475358904</v>
      </c>
      <c r="P3216" s="18">
        <f t="shared" si="629"/>
        <v>5.0520547945205481</v>
      </c>
      <c r="Q3216" s="18">
        <f t="shared" si="626"/>
        <v>4634.0821399999995</v>
      </c>
      <c r="R3216" s="18">
        <f t="shared" si="630"/>
        <v>23411.636893589039</v>
      </c>
      <c r="S3216" s="18">
        <f t="shared" si="631"/>
        <v>98537.893106410964</v>
      </c>
    </row>
    <row r="3217" spans="1:19" ht="15" customHeight="1" x14ac:dyDescent="0.2">
      <c r="A3217" s="14">
        <f>A3216+1</f>
        <v>124</v>
      </c>
      <c r="B3217" s="14" t="s">
        <v>2610</v>
      </c>
      <c r="C3217" s="14" t="s">
        <v>20</v>
      </c>
      <c r="D3217" s="14" t="s">
        <v>500</v>
      </c>
      <c r="E3217" s="17" t="s">
        <v>2609</v>
      </c>
      <c r="F3217" s="72" t="s">
        <v>21</v>
      </c>
      <c r="G3217" s="52">
        <v>42353</v>
      </c>
      <c r="H3217" s="17">
        <v>10588279.3022746</v>
      </c>
      <c r="I3217" s="17"/>
      <c r="J3217" s="17"/>
      <c r="K3217" s="17">
        <f t="shared" si="627"/>
        <v>10588279.3022746</v>
      </c>
      <c r="L3217" s="23">
        <f t="shared" si="623"/>
        <v>529413.96511373005</v>
      </c>
      <c r="M3217" s="17">
        <v>25</v>
      </c>
      <c r="N3217" s="17">
        <f t="shared" si="628"/>
        <v>4.3013698630136989</v>
      </c>
      <c r="O3217" s="23">
        <f t="shared" si="625"/>
        <v>1730676.0086950758</v>
      </c>
      <c r="P3217" s="18">
        <f t="shared" si="629"/>
        <v>5.3013698630136989</v>
      </c>
      <c r="Q3217" s="18">
        <f t="shared" si="626"/>
        <v>402354.6134864348</v>
      </c>
      <c r="R3217" s="18">
        <f t="shared" si="630"/>
        <v>2133030.6221815106</v>
      </c>
      <c r="S3217" s="18">
        <f t="shared" si="631"/>
        <v>8455248.6800930891</v>
      </c>
    </row>
    <row r="3219" spans="1:19" ht="15" customHeight="1" x14ac:dyDescent="0.2">
      <c r="H3219" s="43">
        <f>SUM(H3094:H3218)</f>
        <v>1816938162.95</v>
      </c>
      <c r="I3219" s="43">
        <f>SUM(I3094:I3218)</f>
        <v>43770.44</v>
      </c>
      <c r="J3219" s="43">
        <f>SUM(J3094:J3218)</f>
        <v>0</v>
      </c>
      <c r="K3219" s="43">
        <f>SUM(K3094:K3218)</f>
        <v>1816981933.3900001</v>
      </c>
      <c r="L3219" s="43">
        <f>SUM(L3094:L3218)</f>
        <v>89161349.547999993</v>
      </c>
      <c r="M3219" s="7"/>
      <c r="O3219" s="43">
        <f>SUM(O3094:O3218)</f>
        <v>285300465.36021364</v>
      </c>
      <c r="Q3219" s="43">
        <f>SUM(Q3094:Q3218)</f>
        <v>68053184.344711185</v>
      </c>
      <c r="R3219" s="43">
        <f>SUM(R3094:R3218)</f>
        <v>353353649.70492482</v>
      </c>
      <c r="S3219" s="43">
        <f>SUM(S3094:S3218)</f>
        <v>1463628283.6850755</v>
      </c>
    </row>
    <row r="3222" spans="1:19" ht="15" customHeight="1" x14ac:dyDescent="0.2">
      <c r="O3222" s="7">
        <v>285300465.35986763</v>
      </c>
      <c r="Q3222" s="7">
        <v>68053184.343978986</v>
      </c>
      <c r="S3222" s="7">
        <v>1463628283.687485</v>
      </c>
    </row>
    <row r="3224" spans="1:19" ht="15" customHeight="1" x14ac:dyDescent="0.2">
      <c r="O3224" s="7">
        <f>O3219-O3222</f>
        <v>3.4600496292114258E-4</v>
      </c>
      <c r="Q3224" s="7">
        <f>Q3219-Q3222</f>
        <v>7.3219835758209229E-4</v>
      </c>
      <c r="S3224" s="7">
        <f>S3219-S3222</f>
        <v>-2.4094581604003906E-3</v>
      </c>
    </row>
  </sheetData>
  <autoFilter ref="A36:T292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98"/>
  <sheetViews>
    <sheetView tabSelected="1" workbookViewId="0">
      <selection activeCell="C8" sqref="C8"/>
    </sheetView>
  </sheetViews>
  <sheetFormatPr defaultRowHeight="18.75" customHeight="1" x14ac:dyDescent="0.25"/>
  <cols>
    <col min="1" max="1" width="6" customWidth="1"/>
    <col min="2" max="2" width="51" customWidth="1"/>
    <col min="3" max="3" width="13.28515625" customWidth="1"/>
    <col min="4" max="4" width="17.85546875" bestFit="1" customWidth="1"/>
    <col min="5" max="5" width="21.28515625" customWidth="1"/>
    <col min="6" max="6" width="24.7109375" bestFit="1" customWidth="1"/>
    <col min="7" max="7" width="14.140625" bestFit="1" customWidth="1"/>
    <col min="8" max="8" width="15.7109375" bestFit="1" customWidth="1"/>
    <col min="9" max="9" width="13.28515625" bestFit="1" customWidth="1"/>
    <col min="10" max="10" width="14.28515625" bestFit="1" customWidth="1"/>
    <col min="11" max="11" width="15.7109375" bestFit="1" customWidth="1"/>
    <col min="12" max="12" width="14.28515625" bestFit="1" customWidth="1"/>
    <col min="13" max="13" width="10.42578125" bestFit="1" customWidth="1"/>
    <col min="14" max="14" width="25.5703125" bestFit="1" customWidth="1"/>
    <col min="15" max="15" width="15.5703125" bestFit="1" customWidth="1"/>
    <col min="16" max="16" width="26.140625" bestFit="1" customWidth="1"/>
    <col min="17" max="17" width="14.7109375" bestFit="1" customWidth="1"/>
    <col min="18" max="18" width="30.5703125" bestFit="1" customWidth="1"/>
    <col min="19" max="19" width="25.140625" bestFit="1" customWidth="1"/>
    <col min="20" max="20" width="9.140625" style="77"/>
  </cols>
  <sheetData>
    <row r="1" spans="1:19" ht="18.75" customHeight="1" x14ac:dyDescent="0.25">
      <c r="A1" s="1" t="s">
        <v>2672</v>
      </c>
      <c r="B1" s="2"/>
      <c r="C1" s="2"/>
      <c r="D1" s="1"/>
      <c r="E1" s="1"/>
      <c r="F1" s="66"/>
      <c r="G1" s="2"/>
      <c r="H1" s="7"/>
      <c r="I1" s="7"/>
      <c r="J1" s="7"/>
      <c r="K1" s="7"/>
      <c r="L1" s="7"/>
      <c r="M1" s="8"/>
      <c r="N1" s="7"/>
      <c r="O1" s="7"/>
      <c r="P1" s="7"/>
      <c r="Q1" s="7"/>
      <c r="R1" s="7"/>
      <c r="S1" s="7"/>
    </row>
    <row r="2" spans="1:19" ht="18.75" customHeight="1" x14ac:dyDescent="0.25">
      <c r="A2" s="2"/>
      <c r="B2" s="2"/>
      <c r="C2" s="2"/>
      <c r="D2" s="2"/>
      <c r="E2" s="2"/>
      <c r="F2" s="64"/>
      <c r="G2" s="2"/>
      <c r="H2" s="7"/>
      <c r="I2" s="7"/>
      <c r="J2" s="7"/>
      <c r="K2" s="7"/>
      <c r="L2" s="7"/>
      <c r="M2" s="8"/>
      <c r="N2" s="9">
        <v>44287</v>
      </c>
      <c r="O2" s="7"/>
      <c r="P2" s="9">
        <v>44470</v>
      </c>
      <c r="Q2" s="7"/>
      <c r="R2" s="7"/>
      <c r="S2" s="7"/>
    </row>
    <row r="3" spans="1:19" ht="18.75" customHeight="1" x14ac:dyDescent="0.25">
      <c r="A3" s="10" t="s">
        <v>24</v>
      </c>
      <c r="B3" s="10" t="s">
        <v>25</v>
      </c>
      <c r="C3" s="10" t="s">
        <v>26</v>
      </c>
      <c r="D3" s="10" t="s">
        <v>27</v>
      </c>
      <c r="E3" s="10" t="s">
        <v>27</v>
      </c>
      <c r="F3" s="67" t="s">
        <v>0</v>
      </c>
      <c r="G3" s="11" t="s">
        <v>28</v>
      </c>
      <c r="H3" s="12" t="s">
        <v>29</v>
      </c>
      <c r="I3" s="12" t="s">
        <v>30</v>
      </c>
      <c r="J3" s="12" t="s">
        <v>31</v>
      </c>
      <c r="K3" s="12" t="s">
        <v>32</v>
      </c>
      <c r="L3" s="12" t="s">
        <v>33</v>
      </c>
      <c r="M3" s="13" t="s">
        <v>34</v>
      </c>
      <c r="N3" s="12" t="s">
        <v>2628</v>
      </c>
      <c r="O3" s="12" t="s">
        <v>36</v>
      </c>
      <c r="P3" s="12" t="s">
        <v>2626</v>
      </c>
      <c r="Q3" s="12" t="s">
        <v>38</v>
      </c>
      <c r="R3" s="12" t="s">
        <v>2627</v>
      </c>
      <c r="S3" s="12" t="s">
        <v>2629</v>
      </c>
    </row>
    <row r="4" spans="1:19" ht="18.75" customHeight="1" x14ac:dyDescent="0.25">
      <c r="A4" s="14">
        <v>1</v>
      </c>
      <c r="B4" s="15" t="s">
        <v>41</v>
      </c>
      <c r="C4" s="15" t="s">
        <v>3</v>
      </c>
      <c r="D4" s="15" t="s">
        <v>42</v>
      </c>
      <c r="E4" s="15"/>
      <c r="F4" s="68" t="s">
        <v>4</v>
      </c>
      <c r="G4" s="9">
        <v>19360</v>
      </c>
      <c r="H4" s="16">
        <v>25000.06</v>
      </c>
      <c r="I4" s="17">
        <v>0</v>
      </c>
      <c r="J4" s="17">
        <v>0</v>
      </c>
      <c r="K4" s="17">
        <f t="shared" ref="K4:K67" si="0">H4+I4-J4</f>
        <v>25000.06</v>
      </c>
      <c r="L4" s="18">
        <v>0</v>
      </c>
      <c r="M4" s="19">
        <v>99</v>
      </c>
      <c r="N4" s="18">
        <f>IF(($N$2-G4+1)/365&gt;0,($N$2-G4+1)/365,0)</f>
        <v>68.295890410958904</v>
      </c>
      <c r="O4" s="18">
        <v>0</v>
      </c>
      <c r="P4" s="18">
        <f>($P$2-G4+1)/365</f>
        <v>68.797260273972597</v>
      </c>
      <c r="Q4" s="18">
        <v>0</v>
      </c>
      <c r="R4" s="18">
        <f t="shared" ref="R4:R67" si="1">Q4+O4</f>
        <v>0</v>
      </c>
      <c r="S4" s="18">
        <f t="shared" ref="S4:S67" si="2">K4-R4</f>
        <v>25000.06</v>
      </c>
    </row>
    <row r="5" spans="1:19" ht="18.75" customHeight="1" x14ac:dyDescent="0.25">
      <c r="A5" s="14">
        <f>+A4+1</f>
        <v>2</v>
      </c>
      <c r="B5" s="15" t="s">
        <v>43</v>
      </c>
      <c r="C5" s="15" t="s">
        <v>3</v>
      </c>
      <c r="D5" s="15" t="s">
        <v>42</v>
      </c>
      <c r="E5" s="15"/>
      <c r="F5" s="68" t="s">
        <v>4</v>
      </c>
      <c r="G5" s="9">
        <v>20821</v>
      </c>
      <c r="H5" s="16">
        <v>1500</v>
      </c>
      <c r="I5" s="17">
        <v>0</v>
      </c>
      <c r="J5" s="17">
        <v>0</v>
      </c>
      <c r="K5" s="17">
        <f t="shared" si="0"/>
        <v>1500</v>
      </c>
      <c r="L5" s="18">
        <v>0</v>
      </c>
      <c r="M5" s="19">
        <v>99</v>
      </c>
      <c r="N5" s="18">
        <f t="shared" ref="N5:N68" si="3">IF(($N$2-G5+1)/365&gt;0,($N$2-G5+1)/365,0)</f>
        <v>64.293150684931504</v>
      </c>
      <c r="O5" s="18">
        <v>0</v>
      </c>
      <c r="P5" s="18">
        <f t="shared" ref="P5:P68" si="4">($P$2-G5+1)/365</f>
        <v>64.794520547945211</v>
      </c>
      <c r="Q5" s="18">
        <v>0</v>
      </c>
      <c r="R5" s="18">
        <f t="shared" si="1"/>
        <v>0</v>
      </c>
      <c r="S5" s="18">
        <f t="shared" si="2"/>
        <v>1500</v>
      </c>
    </row>
    <row r="6" spans="1:19" ht="18.75" customHeight="1" x14ac:dyDescent="0.25">
      <c r="A6" s="14">
        <f t="shared" ref="A6:A69" si="5">+A5+1</f>
        <v>3</v>
      </c>
      <c r="B6" s="15" t="s">
        <v>44</v>
      </c>
      <c r="C6" s="15" t="s">
        <v>3</v>
      </c>
      <c r="D6" s="15" t="s">
        <v>42</v>
      </c>
      <c r="E6" s="15"/>
      <c r="F6" s="68" t="s">
        <v>5</v>
      </c>
      <c r="G6" s="9">
        <v>21916</v>
      </c>
      <c r="H6" s="16">
        <v>11787</v>
      </c>
      <c r="I6" s="17">
        <v>0</v>
      </c>
      <c r="J6" s="17">
        <v>0</v>
      </c>
      <c r="K6" s="17">
        <f t="shared" si="0"/>
        <v>11787</v>
      </c>
      <c r="L6" s="18">
        <v>0</v>
      </c>
      <c r="M6" s="19">
        <v>99</v>
      </c>
      <c r="N6" s="18">
        <f t="shared" si="3"/>
        <v>61.293150684931504</v>
      </c>
      <c r="O6" s="18">
        <v>0</v>
      </c>
      <c r="P6" s="18">
        <f t="shared" si="4"/>
        <v>61.794520547945204</v>
      </c>
      <c r="Q6" s="18">
        <v>0</v>
      </c>
      <c r="R6" s="18">
        <f t="shared" si="1"/>
        <v>0</v>
      </c>
      <c r="S6" s="18">
        <f t="shared" si="2"/>
        <v>11787</v>
      </c>
    </row>
    <row r="7" spans="1:19" ht="18.75" customHeight="1" x14ac:dyDescent="0.25">
      <c r="A7" s="14">
        <f t="shared" si="5"/>
        <v>4</v>
      </c>
      <c r="B7" s="15" t="s">
        <v>45</v>
      </c>
      <c r="C7" s="15" t="s">
        <v>3</v>
      </c>
      <c r="D7" s="15" t="s">
        <v>42</v>
      </c>
      <c r="E7" s="15"/>
      <c r="F7" s="68" t="s">
        <v>6</v>
      </c>
      <c r="G7" s="9">
        <v>22282</v>
      </c>
      <c r="H7" s="16">
        <v>2108</v>
      </c>
      <c r="I7" s="17">
        <v>0</v>
      </c>
      <c r="J7" s="17">
        <v>0</v>
      </c>
      <c r="K7" s="17">
        <f t="shared" si="0"/>
        <v>2108</v>
      </c>
      <c r="L7" s="18">
        <v>0</v>
      </c>
      <c r="M7" s="19">
        <v>99</v>
      </c>
      <c r="N7" s="18">
        <f t="shared" si="3"/>
        <v>60.290410958904111</v>
      </c>
      <c r="O7" s="18">
        <v>0</v>
      </c>
      <c r="P7" s="18">
        <f t="shared" si="4"/>
        <v>60.791780821917811</v>
      </c>
      <c r="Q7" s="18">
        <v>0</v>
      </c>
      <c r="R7" s="18">
        <f t="shared" si="1"/>
        <v>0</v>
      </c>
      <c r="S7" s="18">
        <f t="shared" si="2"/>
        <v>2108</v>
      </c>
    </row>
    <row r="8" spans="1:19" ht="18.75" customHeight="1" x14ac:dyDescent="0.25">
      <c r="A8" s="14">
        <f t="shared" si="5"/>
        <v>5</v>
      </c>
      <c r="B8" s="15" t="s">
        <v>46</v>
      </c>
      <c r="C8" s="15" t="s">
        <v>3</v>
      </c>
      <c r="D8" s="15" t="s">
        <v>42</v>
      </c>
      <c r="E8" s="15"/>
      <c r="F8" s="68" t="s">
        <v>4</v>
      </c>
      <c r="G8" s="9">
        <v>24473</v>
      </c>
      <c r="H8" s="16">
        <v>3660</v>
      </c>
      <c r="I8" s="17">
        <v>0</v>
      </c>
      <c r="J8" s="17">
        <v>0</v>
      </c>
      <c r="K8" s="17">
        <f t="shared" si="0"/>
        <v>3660</v>
      </c>
      <c r="L8" s="18">
        <v>0</v>
      </c>
      <c r="M8" s="19">
        <v>99</v>
      </c>
      <c r="N8" s="18">
        <f t="shared" si="3"/>
        <v>54.287671232876711</v>
      </c>
      <c r="O8" s="18">
        <v>0</v>
      </c>
      <c r="P8" s="18">
        <f t="shared" si="4"/>
        <v>54.789041095890411</v>
      </c>
      <c r="Q8" s="18">
        <v>0</v>
      </c>
      <c r="R8" s="18">
        <f t="shared" si="1"/>
        <v>0</v>
      </c>
      <c r="S8" s="18">
        <f t="shared" si="2"/>
        <v>3660</v>
      </c>
    </row>
    <row r="9" spans="1:19" ht="18.75" customHeight="1" x14ac:dyDescent="0.25">
      <c r="A9" s="14">
        <f t="shared" si="5"/>
        <v>6</v>
      </c>
      <c r="B9" s="15" t="s">
        <v>47</v>
      </c>
      <c r="C9" s="15" t="s">
        <v>3</v>
      </c>
      <c r="D9" s="15" t="s">
        <v>42</v>
      </c>
      <c r="E9" s="15"/>
      <c r="F9" s="68" t="s">
        <v>4</v>
      </c>
      <c r="G9" s="9">
        <v>25204</v>
      </c>
      <c r="H9" s="16">
        <v>21738</v>
      </c>
      <c r="I9" s="17">
        <v>0</v>
      </c>
      <c r="J9" s="17">
        <v>0</v>
      </c>
      <c r="K9" s="17">
        <f t="shared" si="0"/>
        <v>21738</v>
      </c>
      <c r="L9" s="18">
        <v>0</v>
      </c>
      <c r="M9" s="19">
        <v>99</v>
      </c>
      <c r="N9" s="18">
        <f t="shared" si="3"/>
        <v>52.284931506849318</v>
      </c>
      <c r="O9" s="18">
        <v>0</v>
      </c>
      <c r="P9" s="18">
        <f t="shared" si="4"/>
        <v>52.786301369863011</v>
      </c>
      <c r="Q9" s="18">
        <v>0</v>
      </c>
      <c r="R9" s="18">
        <f t="shared" si="1"/>
        <v>0</v>
      </c>
      <c r="S9" s="18">
        <f t="shared" si="2"/>
        <v>21738</v>
      </c>
    </row>
    <row r="10" spans="1:19" ht="18.75" customHeight="1" x14ac:dyDescent="0.25">
      <c r="A10" s="14">
        <f t="shared" si="5"/>
        <v>7</v>
      </c>
      <c r="B10" s="15" t="s">
        <v>46</v>
      </c>
      <c r="C10" s="15" t="s">
        <v>3</v>
      </c>
      <c r="D10" s="15" t="s">
        <v>42</v>
      </c>
      <c r="E10" s="15"/>
      <c r="F10" s="68" t="s">
        <v>4</v>
      </c>
      <c r="G10" s="9">
        <v>26665</v>
      </c>
      <c r="H10" s="16">
        <v>160</v>
      </c>
      <c r="I10" s="17">
        <v>0</v>
      </c>
      <c r="J10" s="17">
        <v>0</v>
      </c>
      <c r="K10" s="17">
        <f t="shared" si="0"/>
        <v>160</v>
      </c>
      <c r="L10" s="18">
        <v>0</v>
      </c>
      <c r="M10" s="19">
        <v>99</v>
      </c>
      <c r="N10" s="18">
        <f t="shared" si="3"/>
        <v>48.282191780821918</v>
      </c>
      <c r="O10" s="18">
        <v>0</v>
      </c>
      <c r="P10" s="18">
        <f t="shared" si="4"/>
        <v>48.783561643835618</v>
      </c>
      <c r="Q10" s="18">
        <v>0</v>
      </c>
      <c r="R10" s="18">
        <f t="shared" si="1"/>
        <v>0</v>
      </c>
      <c r="S10" s="18">
        <f t="shared" si="2"/>
        <v>160</v>
      </c>
    </row>
    <row r="11" spans="1:19" ht="18.75" customHeight="1" x14ac:dyDescent="0.25">
      <c r="A11" s="14">
        <f t="shared" si="5"/>
        <v>8</v>
      </c>
      <c r="B11" s="15" t="s">
        <v>48</v>
      </c>
      <c r="C11" s="15" t="s">
        <v>3</v>
      </c>
      <c r="D11" s="15" t="s">
        <v>42</v>
      </c>
      <c r="E11" s="15"/>
      <c r="F11" s="68" t="s">
        <v>4</v>
      </c>
      <c r="G11" s="9">
        <v>27395</v>
      </c>
      <c r="H11" s="16">
        <v>508</v>
      </c>
      <c r="I11" s="17">
        <v>0</v>
      </c>
      <c r="J11" s="17">
        <v>0</v>
      </c>
      <c r="K11" s="17">
        <f t="shared" si="0"/>
        <v>508</v>
      </c>
      <c r="L11" s="18">
        <v>0</v>
      </c>
      <c r="M11" s="19">
        <v>99</v>
      </c>
      <c r="N11" s="18">
        <f t="shared" si="3"/>
        <v>46.282191780821918</v>
      </c>
      <c r="O11" s="18">
        <v>0</v>
      </c>
      <c r="P11" s="18">
        <f t="shared" si="4"/>
        <v>46.783561643835618</v>
      </c>
      <c r="Q11" s="18">
        <v>0</v>
      </c>
      <c r="R11" s="18">
        <f t="shared" si="1"/>
        <v>0</v>
      </c>
      <c r="S11" s="18">
        <f t="shared" si="2"/>
        <v>508</v>
      </c>
    </row>
    <row r="12" spans="1:19" ht="18.75" customHeight="1" x14ac:dyDescent="0.25">
      <c r="A12" s="14">
        <f t="shared" si="5"/>
        <v>9</v>
      </c>
      <c r="B12" s="15" t="s">
        <v>48</v>
      </c>
      <c r="C12" s="15" t="s">
        <v>3</v>
      </c>
      <c r="D12" s="15" t="s">
        <v>42</v>
      </c>
      <c r="E12" s="15"/>
      <c r="F12" s="68" t="s">
        <v>4</v>
      </c>
      <c r="G12" s="9">
        <v>29587</v>
      </c>
      <c r="H12" s="16">
        <v>2362</v>
      </c>
      <c r="I12" s="17">
        <v>0</v>
      </c>
      <c r="J12" s="17">
        <v>0</v>
      </c>
      <c r="K12" s="17">
        <f t="shared" si="0"/>
        <v>2362</v>
      </c>
      <c r="L12" s="18">
        <v>0</v>
      </c>
      <c r="M12" s="19">
        <v>99</v>
      </c>
      <c r="N12" s="18">
        <f t="shared" si="3"/>
        <v>40.276712328767125</v>
      </c>
      <c r="O12" s="18">
        <v>0</v>
      </c>
      <c r="P12" s="18">
        <f t="shared" si="4"/>
        <v>40.778082191780825</v>
      </c>
      <c r="Q12" s="18">
        <v>0</v>
      </c>
      <c r="R12" s="18">
        <f t="shared" si="1"/>
        <v>0</v>
      </c>
      <c r="S12" s="18">
        <f t="shared" si="2"/>
        <v>2362</v>
      </c>
    </row>
    <row r="13" spans="1:19" ht="18.75" customHeight="1" x14ac:dyDescent="0.25">
      <c r="A13" s="14">
        <f t="shared" si="5"/>
        <v>10</v>
      </c>
      <c r="B13" s="15" t="s">
        <v>48</v>
      </c>
      <c r="C13" s="15" t="s">
        <v>3</v>
      </c>
      <c r="D13" s="15" t="s">
        <v>42</v>
      </c>
      <c r="E13" s="15"/>
      <c r="F13" s="68" t="s">
        <v>4</v>
      </c>
      <c r="G13" s="9">
        <v>29952</v>
      </c>
      <c r="H13" s="16">
        <v>6496</v>
      </c>
      <c r="I13" s="17">
        <v>0</v>
      </c>
      <c r="J13" s="17">
        <v>0</v>
      </c>
      <c r="K13" s="17">
        <f t="shared" si="0"/>
        <v>6496</v>
      </c>
      <c r="L13" s="18">
        <v>0</v>
      </c>
      <c r="M13" s="19">
        <v>99</v>
      </c>
      <c r="N13" s="18">
        <f t="shared" si="3"/>
        <v>39.276712328767125</v>
      </c>
      <c r="O13" s="18">
        <v>0</v>
      </c>
      <c r="P13" s="18">
        <f t="shared" si="4"/>
        <v>39.778082191780825</v>
      </c>
      <c r="Q13" s="18">
        <v>0</v>
      </c>
      <c r="R13" s="18">
        <f t="shared" si="1"/>
        <v>0</v>
      </c>
      <c r="S13" s="18">
        <f t="shared" si="2"/>
        <v>6496</v>
      </c>
    </row>
    <row r="14" spans="1:19" ht="18.75" customHeight="1" x14ac:dyDescent="0.25">
      <c r="A14" s="14">
        <f t="shared" si="5"/>
        <v>11</v>
      </c>
      <c r="B14" s="15" t="s">
        <v>44</v>
      </c>
      <c r="C14" s="15" t="s">
        <v>3</v>
      </c>
      <c r="D14" s="15" t="s">
        <v>42</v>
      </c>
      <c r="E14" s="15"/>
      <c r="F14" s="68" t="s">
        <v>4</v>
      </c>
      <c r="G14" s="9">
        <v>31048</v>
      </c>
      <c r="H14" s="16">
        <v>42654</v>
      </c>
      <c r="I14" s="17">
        <v>0</v>
      </c>
      <c r="J14" s="17">
        <v>0</v>
      </c>
      <c r="K14" s="17">
        <f t="shared" si="0"/>
        <v>42654</v>
      </c>
      <c r="L14" s="18">
        <v>0</v>
      </c>
      <c r="M14" s="19">
        <v>99</v>
      </c>
      <c r="N14" s="18">
        <f t="shared" si="3"/>
        <v>36.273972602739725</v>
      </c>
      <c r="O14" s="18">
        <v>0</v>
      </c>
      <c r="P14" s="18">
        <f t="shared" si="4"/>
        <v>36.775342465753425</v>
      </c>
      <c r="Q14" s="18">
        <v>0</v>
      </c>
      <c r="R14" s="18">
        <f t="shared" si="1"/>
        <v>0</v>
      </c>
      <c r="S14" s="18">
        <f t="shared" si="2"/>
        <v>42654</v>
      </c>
    </row>
    <row r="15" spans="1:19" ht="18.75" customHeight="1" x14ac:dyDescent="0.25">
      <c r="A15" s="14">
        <f t="shared" si="5"/>
        <v>12</v>
      </c>
      <c r="B15" s="15" t="s">
        <v>49</v>
      </c>
      <c r="C15" s="15" t="s">
        <v>3</v>
      </c>
      <c r="D15" s="15" t="s">
        <v>42</v>
      </c>
      <c r="E15" s="15"/>
      <c r="F15" s="68" t="s">
        <v>7</v>
      </c>
      <c r="G15" s="9">
        <v>31413</v>
      </c>
      <c r="H15" s="16">
        <v>191737</v>
      </c>
      <c r="I15" s="17">
        <v>0</v>
      </c>
      <c r="J15" s="17">
        <v>0</v>
      </c>
      <c r="K15" s="17">
        <f t="shared" si="0"/>
        <v>191737</v>
      </c>
      <c r="L15" s="18">
        <v>0</v>
      </c>
      <c r="M15" s="19">
        <v>99</v>
      </c>
      <c r="N15" s="18">
        <f t="shared" si="3"/>
        <v>35.273972602739725</v>
      </c>
      <c r="O15" s="18">
        <v>0</v>
      </c>
      <c r="P15" s="18">
        <f t="shared" si="4"/>
        <v>35.775342465753425</v>
      </c>
      <c r="Q15" s="18">
        <v>0</v>
      </c>
      <c r="R15" s="18">
        <f t="shared" si="1"/>
        <v>0</v>
      </c>
      <c r="S15" s="18">
        <f t="shared" si="2"/>
        <v>191737</v>
      </c>
    </row>
    <row r="16" spans="1:19" ht="18.75" customHeight="1" x14ac:dyDescent="0.25">
      <c r="A16" s="14">
        <f t="shared" si="5"/>
        <v>13</v>
      </c>
      <c r="B16" s="15" t="s">
        <v>44</v>
      </c>
      <c r="C16" s="15" t="s">
        <v>3</v>
      </c>
      <c r="D16" s="15" t="s">
        <v>42</v>
      </c>
      <c r="E16" s="15"/>
      <c r="F16" s="68" t="s">
        <v>5</v>
      </c>
      <c r="G16" s="9">
        <v>32143</v>
      </c>
      <c r="H16" s="16">
        <v>43735</v>
      </c>
      <c r="I16" s="17">
        <v>0</v>
      </c>
      <c r="J16" s="17">
        <v>0</v>
      </c>
      <c r="K16" s="17">
        <f t="shared" si="0"/>
        <v>43735</v>
      </c>
      <c r="L16" s="18">
        <v>0</v>
      </c>
      <c r="M16" s="19">
        <v>99</v>
      </c>
      <c r="N16" s="18">
        <f t="shared" si="3"/>
        <v>33.273972602739725</v>
      </c>
      <c r="O16" s="18">
        <v>0</v>
      </c>
      <c r="P16" s="18">
        <f t="shared" si="4"/>
        <v>33.775342465753425</v>
      </c>
      <c r="Q16" s="18">
        <v>0</v>
      </c>
      <c r="R16" s="18">
        <f t="shared" si="1"/>
        <v>0</v>
      </c>
      <c r="S16" s="18">
        <f t="shared" si="2"/>
        <v>43735</v>
      </c>
    </row>
    <row r="17" spans="1:19" ht="18.75" customHeight="1" x14ac:dyDescent="0.25">
      <c r="A17" s="14">
        <f t="shared" si="5"/>
        <v>14</v>
      </c>
      <c r="B17" s="15" t="s">
        <v>50</v>
      </c>
      <c r="C17" s="15" t="s">
        <v>3</v>
      </c>
      <c r="D17" s="15" t="s">
        <v>42</v>
      </c>
      <c r="E17" s="15"/>
      <c r="F17" s="68" t="s">
        <v>6</v>
      </c>
      <c r="G17" s="9">
        <v>32509</v>
      </c>
      <c r="H17" s="16">
        <v>37789</v>
      </c>
      <c r="I17" s="17">
        <v>0</v>
      </c>
      <c r="J17" s="17">
        <v>0</v>
      </c>
      <c r="K17" s="17">
        <f t="shared" si="0"/>
        <v>37789</v>
      </c>
      <c r="L17" s="18">
        <v>0</v>
      </c>
      <c r="M17" s="19">
        <v>99</v>
      </c>
      <c r="N17" s="18">
        <f t="shared" si="3"/>
        <v>32.271232876712325</v>
      </c>
      <c r="O17" s="18">
        <v>0</v>
      </c>
      <c r="P17" s="18">
        <f t="shared" si="4"/>
        <v>32.772602739726025</v>
      </c>
      <c r="Q17" s="18">
        <v>0</v>
      </c>
      <c r="R17" s="18">
        <f t="shared" si="1"/>
        <v>0</v>
      </c>
      <c r="S17" s="18">
        <f t="shared" si="2"/>
        <v>37789</v>
      </c>
    </row>
    <row r="18" spans="1:19" ht="18.75" customHeight="1" x14ac:dyDescent="0.25">
      <c r="A18" s="14">
        <f t="shared" si="5"/>
        <v>15</v>
      </c>
      <c r="B18" s="15" t="s">
        <v>51</v>
      </c>
      <c r="C18" s="15" t="s">
        <v>3</v>
      </c>
      <c r="D18" s="15" t="s">
        <v>42</v>
      </c>
      <c r="E18" s="15"/>
      <c r="F18" s="68" t="s">
        <v>7</v>
      </c>
      <c r="G18" s="9">
        <v>37987</v>
      </c>
      <c r="H18" s="16">
        <v>3347970</v>
      </c>
      <c r="I18" s="17">
        <v>0</v>
      </c>
      <c r="J18" s="17">
        <v>0</v>
      </c>
      <c r="K18" s="17">
        <f t="shared" si="0"/>
        <v>3347970</v>
      </c>
      <c r="L18" s="18">
        <v>0</v>
      </c>
      <c r="M18" s="19">
        <v>99</v>
      </c>
      <c r="N18" s="18">
        <f t="shared" si="3"/>
        <v>17.263013698630136</v>
      </c>
      <c r="O18" s="18">
        <v>0</v>
      </c>
      <c r="P18" s="18">
        <f t="shared" si="4"/>
        <v>17.764383561643836</v>
      </c>
      <c r="Q18" s="18">
        <v>0</v>
      </c>
      <c r="R18" s="18">
        <f t="shared" si="1"/>
        <v>0</v>
      </c>
      <c r="S18" s="18">
        <f t="shared" si="2"/>
        <v>3347970</v>
      </c>
    </row>
    <row r="19" spans="1:19" ht="18.75" customHeight="1" x14ac:dyDescent="0.25">
      <c r="A19" s="14">
        <f t="shared" si="5"/>
        <v>16</v>
      </c>
      <c r="B19" s="15" t="s">
        <v>52</v>
      </c>
      <c r="C19" s="15" t="s">
        <v>3</v>
      </c>
      <c r="D19" s="15" t="s">
        <v>42</v>
      </c>
      <c r="E19" s="15"/>
      <c r="F19" s="68" t="s">
        <v>4</v>
      </c>
      <c r="G19" s="9">
        <v>38353</v>
      </c>
      <c r="H19" s="16">
        <v>393586</v>
      </c>
      <c r="I19" s="17">
        <v>0</v>
      </c>
      <c r="J19" s="17">
        <v>0</v>
      </c>
      <c r="K19" s="17">
        <f t="shared" si="0"/>
        <v>393586</v>
      </c>
      <c r="L19" s="18">
        <v>0</v>
      </c>
      <c r="M19" s="19">
        <v>99</v>
      </c>
      <c r="N19" s="18">
        <f t="shared" si="3"/>
        <v>16.260273972602739</v>
      </c>
      <c r="O19" s="18">
        <v>0</v>
      </c>
      <c r="P19" s="18">
        <f t="shared" si="4"/>
        <v>16.761643835616439</v>
      </c>
      <c r="Q19" s="18">
        <v>0</v>
      </c>
      <c r="R19" s="18">
        <f t="shared" si="1"/>
        <v>0</v>
      </c>
      <c r="S19" s="18">
        <f t="shared" si="2"/>
        <v>393586</v>
      </c>
    </row>
    <row r="20" spans="1:19" ht="18.75" customHeight="1" x14ac:dyDescent="0.25">
      <c r="A20" s="14">
        <f t="shared" si="5"/>
        <v>17</v>
      </c>
      <c r="B20" s="15" t="s">
        <v>53</v>
      </c>
      <c r="C20" s="15" t="s">
        <v>3</v>
      </c>
      <c r="D20" s="15" t="s">
        <v>42</v>
      </c>
      <c r="E20" s="15"/>
      <c r="F20" s="68" t="s">
        <v>4</v>
      </c>
      <c r="G20" s="9">
        <v>42826</v>
      </c>
      <c r="H20" s="16">
        <v>142660000</v>
      </c>
      <c r="I20" s="17">
        <v>0</v>
      </c>
      <c r="J20" s="17">
        <v>0</v>
      </c>
      <c r="K20" s="17">
        <f t="shared" si="0"/>
        <v>142660000</v>
      </c>
      <c r="L20" s="18">
        <v>0</v>
      </c>
      <c r="M20" s="19">
        <v>99</v>
      </c>
      <c r="N20" s="18">
        <f t="shared" si="3"/>
        <v>4.0054794520547947</v>
      </c>
      <c r="O20" s="18">
        <v>0</v>
      </c>
      <c r="P20" s="18">
        <f t="shared" si="4"/>
        <v>4.506849315068493</v>
      </c>
      <c r="Q20" s="18">
        <v>0</v>
      </c>
      <c r="R20" s="18">
        <f t="shared" si="1"/>
        <v>0</v>
      </c>
      <c r="S20" s="18">
        <f t="shared" si="2"/>
        <v>142660000</v>
      </c>
    </row>
    <row r="21" spans="1:19" ht="18.75" customHeight="1" x14ac:dyDescent="0.25">
      <c r="A21" s="14">
        <f t="shared" si="5"/>
        <v>18</v>
      </c>
      <c r="B21" s="15" t="s">
        <v>54</v>
      </c>
      <c r="C21" s="15" t="s">
        <v>3</v>
      </c>
      <c r="D21" s="15" t="s">
        <v>42</v>
      </c>
      <c r="E21" s="15"/>
      <c r="F21" s="68" t="s">
        <v>4</v>
      </c>
      <c r="G21" s="9">
        <v>43191</v>
      </c>
      <c r="H21" s="16">
        <v>12934340</v>
      </c>
      <c r="I21" s="17">
        <v>0</v>
      </c>
      <c r="J21" s="17">
        <v>0</v>
      </c>
      <c r="K21" s="17">
        <f t="shared" si="0"/>
        <v>12934340</v>
      </c>
      <c r="L21" s="18">
        <v>0</v>
      </c>
      <c r="M21" s="19">
        <v>99</v>
      </c>
      <c r="N21" s="18">
        <f t="shared" si="3"/>
        <v>3.0054794520547947</v>
      </c>
      <c r="O21" s="18">
        <v>0</v>
      </c>
      <c r="P21" s="18">
        <f t="shared" si="4"/>
        <v>3.506849315068493</v>
      </c>
      <c r="Q21" s="18">
        <v>0</v>
      </c>
      <c r="R21" s="18">
        <f t="shared" si="1"/>
        <v>0</v>
      </c>
      <c r="S21" s="18">
        <f t="shared" si="2"/>
        <v>12934340</v>
      </c>
    </row>
    <row r="22" spans="1:19" ht="18.75" customHeight="1" x14ac:dyDescent="0.25">
      <c r="A22" s="14">
        <f t="shared" si="5"/>
        <v>19</v>
      </c>
      <c r="B22" s="21" t="s">
        <v>55</v>
      </c>
      <c r="C22" s="15" t="s">
        <v>3</v>
      </c>
      <c r="D22" s="21" t="s">
        <v>56</v>
      </c>
      <c r="E22" s="21"/>
      <c r="F22" s="69" t="s">
        <v>4</v>
      </c>
      <c r="G22" s="9">
        <v>42369</v>
      </c>
      <c r="H22" s="22">
        <v>269379.85329452052</v>
      </c>
      <c r="I22" s="17">
        <v>0</v>
      </c>
      <c r="J22" s="17">
        <v>0</v>
      </c>
      <c r="K22" s="17">
        <f t="shared" si="0"/>
        <v>269379.85329452052</v>
      </c>
      <c r="L22" s="23">
        <f>H22*0.05</f>
        <v>13468.992664726027</v>
      </c>
      <c r="M22" s="23">
        <v>60</v>
      </c>
      <c r="N22" s="18">
        <f t="shared" si="3"/>
        <v>5.2575342465753421</v>
      </c>
      <c r="O22" s="23">
        <v>21405.834481849313</v>
      </c>
      <c r="P22" s="18">
        <f t="shared" si="4"/>
        <v>5.7589041095890412</v>
      </c>
      <c r="Q22" s="18">
        <f t="shared" ref="Q22:Q85" si="6">(P22-N22)/M22*(K22-L22)</f>
        <v>2138.4332189612987</v>
      </c>
      <c r="R22" s="18">
        <f t="shared" si="1"/>
        <v>23544.267700810611</v>
      </c>
      <c r="S22" s="18">
        <f t="shared" si="2"/>
        <v>245835.5855937099</v>
      </c>
    </row>
    <row r="23" spans="1:19" ht="18.75" customHeight="1" x14ac:dyDescent="0.25">
      <c r="A23" s="14">
        <f t="shared" si="5"/>
        <v>20</v>
      </c>
      <c r="B23" s="24" t="s">
        <v>57</v>
      </c>
      <c r="C23" s="15" t="s">
        <v>3</v>
      </c>
      <c r="D23" s="24" t="s">
        <v>56</v>
      </c>
      <c r="E23" s="24"/>
      <c r="F23" s="70" t="s">
        <v>7</v>
      </c>
      <c r="G23" s="25">
        <v>44270</v>
      </c>
      <c r="H23" s="27">
        <v>7645038.4199999999</v>
      </c>
      <c r="I23" s="27">
        <v>0</v>
      </c>
      <c r="J23" s="17">
        <v>0</v>
      </c>
      <c r="K23" s="17">
        <f t="shared" si="0"/>
        <v>7645038.4199999999</v>
      </c>
      <c r="L23" s="23">
        <f>H23*0.05</f>
        <v>382251.92100000003</v>
      </c>
      <c r="M23" s="23">
        <v>30</v>
      </c>
      <c r="N23" s="18">
        <f t="shared" si="3"/>
        <v>4.9315068493150684E-2</v>
      </c>
      <c r="O23" s="23">
        <v>11938.827121643835</v>
      </c>
      <c r="P23" s="18">
        <f t="shared" si="4"/>
        <v>0.55068493150684927</v>
      </c>
      <c r="Q23" s="18">
        <f t="shared" si="6"/>
        <v>121378.07573671232</v>
      </c>
      <c r="R23" s="18">
        <f t="shared" si="1"/>
        <v>133316.90285835616</v>
      </c>
      <c r="S23" s="18">
        <f t="shared" si="2"/>
        <v>7511721.5171416439</v>
      </c>
    </row>
    <row r="24" spans="1:19" ht="18.75" customHeight="1" x14ac:dyDescent="0.25">
      <c r="A24" s="14">
        <f t="shared" si="5"/>
        <v>21</v>
      </c>
      <c r="B24" s="28" t="s">
        <v>58</v>
      </c>
      <c r="C24" s="15" t="s">
        <v>3</v>
      </c>
      <c r="D24" s="24" t="s">
        <v>56</v>
      </c>
      <c r="E24" s="24"/>
      <c r="F24" s="70" t="s">
        <v>7</v>
      </c>
      <c r="G24" s="25">
        <v>43921</v>
      </c>
      <c r="H24" s="26">
        <v>212557.74</v>
      </c>
      <c r="I24" s="17">
        <v>0</v>
      </c>
      <c r="J24" s="17">
        <v>0</v>
      </c>
      <c r="K24" s="17">
        <f t="shared" si="0"/>
        <v>212557.74</v>
      </c>
      <c r="L24" s="23">
        <f t="shared" ref="L24:L86" si="7">H24*0.05</f>
        <v>10627.887000000001</v>
      </c>
      <c r="M24" s="23">
        <v>30</v>
      </c>
      <c r="N24" s="18">
        <f t="shared" si="3"/>
        <v>1.0054794520547945</v>
      </c>
      <c r="O24" s="23">
        <v>6767.8772649315069</v>
      </c>
      <c r="P24" s="18">
        <f t="shared" si="4"/>
        <v>1.5068493150684932</v>
      </c>
      <c r="Q24" s="18">
        <f t="shared" si="6"/>
        <v>3374.7180912328772</v>
      </c>
      <c r="R24" s="18">
        <f t="shared" si="1"/>
        <v>10142.595356164384</v>
      </c>
      <c r="S24" s="18">
        <f t="shared" si="2"/>
        <v>202415.14464383561</v>
      </c>
    </row>
    <row r="25" spans="1:19" ht="18.75" customHeight="1" x14ac:dyDescent="0.25">
      <c r="A25" s="14">
        <f t="shared" si="5"/>
        <v>22</v>
      </c>
      <c r="B25" s="21" t="s">
        <v>59</v>
      </c>
      <c r="C25" s="15" t="s">
        <v>3</v>
      </c>
      <c r="D25" s="21" t="s">
        <v>56</v>
      </c>
      <c r="E25" s="21"/>
      <c r="F25" s="69" t="s">
        <v>4</v>
      </c>
      <c r="G25" s="9">
        <v>42008</v>
      </c>
      <c r="H25" s="22">
        <v>16921612.664996024</v>
      </c>
      <c r="I25" s="17">
        <v>0</v>
      </c>
      <c r="J25" s="17">
        <v>0</v>
      </c>
      <c r="K25" s="17">
        <f t="shared" si="0"/>
        <v>16921612.664996024</v>
      </c>
      <c r="L25" s="23">
        <f t="shared" si="7"/>
        <v>846080.63324980123</v>
      </c>
      <c r="M25" s="23">
        <v>60</v>
      </c>
      <c r="N25" s="18">
        <f t="shared" si="3"/>
        <v>6.2465753424657535</v>
      </c>
      <c r="O25" s="23">
        <v>1361623.3538870569</v>
      </c>
      <c r="P25" s="18">
        <f t="shared" si="4"/>
        <v>6.7479452054794518</v>
      </c>
      <c r="Q25" s="18">
        <f t="shared" si="6"/>
        <v>134329.78821048202</v>
      </c>
      <c r="R25" s="18">
        <f t="shared" si="1"/>
        <v>1495953.142097539</v>
      </c>
      <c r="S25" s="18">
        <f t="shared" si="2"/>
        <v>15425659.522898486</v>
      </c>
    </row>
    <row r="26" spans="1:19" ht="18.75" customHeight="1" x14ac:dyDescent="0.25">
      <c r="A26" s="14">
        <f t="shared" si="5"/>
        <v>23</v>
      </c>
      <c r="B26" s="21" t="s">
        <v>60</v>
      </c>
      <c r="C26" s="15" t="s">
        <v>3</v>
      </c>
      <c r="D26" s="21" t="s">
        <v>56</v>
      </c>
      <c r="E26" s="21"/>
      <c r="F26" s="69" t="s">
        <v>6</v>
      </c>
      <c r="G26" s="9">
        <v>38533</v>
      </c>
      <c r="H26" s="22">
        <v>11999139.424793098</v>
      </c>
      <c r="I26" s="17">
        <v>0</v>
      </c>
      <c r="J26" s="17">
        <v>0</v>
      </c>
      <c r="K26" s="17">
        <f t="shared" si="0"/>
        <v>11999139.424793098</v>
      </c>
      <c r="L26" s="23">
        <f t="shared" si="7"/>
        <v>599956.97123965493</v>
      </c>
      <c r="M26" s="23">
        <v>60</v>
      </c>
      <c r="N26" s="18">
        <f t="shared" si="3"/>
        <v>15.767123287671232</v>
      </c>
      <c r="O26" s="23">
        <v>1566941.188546272</v>
      </c>
      <c r="P26" s="18">
        <f t="shared" si="4"/>
        <v>16.268493150684932</v>
      </c>
      <c r="Q26" s="18">
        <f t="shared" si="6"/>
        <v>95253.442420104373</v>
      </c>
      <c r="R26" s="18">
        <f t="shared" si="1"/>
        <v>1662194.6309663763</v>
      </c>
      <c r="S26" s="18">
        <f t="shared" si="2"/>
        <v>10336944.793826722</v>
      </c>
    </row>
    <row r="27" spans="1:19" ht="18.75" customHeight="1" x14ac:dyDescent="0.25">
      <c r="A27" s="14">
        <f t="shared" si="5"/>
        <v>24</v>
      </c>
      <c r="B27" s="21" t="s">
        <v>61</v>
      </c>
      <c r="C27" s="15" t="s">
        <v>3</v>
      </c>
      <c r="D27" s="21" t="s">
        <v>56</v>
      </c>
      <c r="E27" s="21"/>
      <c r="F27" s="69" t="s">
        <v>8</v>
      </c>
      <c r="G27" s="9">
        <v>35885</v>
      </c>
      <c r="H27" s="22">
        <v>20914.873899543381</v>
      </c>
      <c r="I27" s="17">
        <v>0</v>
      </c>
      <c r="J27" s="17">
        <v>0</v>
      </c>
      <c r="K27" s="17">
        <f t="shared" si="0"/>
        <v>20914.873899543381</v>
      </c>
      <c r="L27" s="23">
        <f t="shared" si="7"/>
        <v>1045.7436949771691</v>
      </c>
      <c r="M27" s="23">
        <v>60</v>
      </c>
      <c r="N27" s="18">
        <f t="shared" si="3"/>
        <v>23.021917808219179</v>
      </c>
      <c r="O27" s="23">
        <v>2178.8506745814307</v>
      </c>
      <c r="P27" s="18">
        <f t="shared" si="4"/>
        <v>23.523287671232875</v>
      </c>
      <c r="Q27" s="18">
        <f t="shared" si="6"/>
        <v>166.02971814774432</v>
      </c>
      <c r="R27" s="18">
        <f t="shared" si="1"/>
        <v>2344.8803927291751</v>
      </c>
      <c r="S27" s="18">
        <f t="shared" si="2"/>
        <v>18569.993506814208</v>
      </c>
    </row>
    <row r="28" spans="1:19" ht="18.75" customHeight="1" x14ac:dyDescent="0.25">
      <c r="A28" s="14">
        <f t="shared" si="5"/>
        <v>25</v>
      </c>
      <c r="B28" s="21" t="s">
        <v>62</v>
      </c>
      <c r="C28" s="15" t="s">
        <v>3</v>
      </c>
      <c r="D28" s="21" t="s">
        <v>56</v>
      </c>
      <c r="E28" s="21"/>
      <c r="F28" s="69" t="s">
        <v>4</v>
      </c>
      <c r="G28" s="9">
        <v>41348</v>
      </c>
      <c r="H28" s="22">
        <v>1116554.9964269407</v>
      </c>
      <c r="I28" s="17">
        <v>0</v>
      </c>
      <c r="J28" s="17">
        <v>0</v>
      </c>
      <c r="K28" s="17">
        <f t="shared" si="0"/>
        <v>1116554.9964269407</v>
      </c>
      <c r="L28" s="23">
        <f t="shared" si="7"/>
        <v>55827.749821347039</v>
      </c>
      <c r="M28" s="23">
        <v>30</v>
      </c>
      <c r="N28" s="18">
        <f t="shared" si="3"/>
        <v>8.0547945205479454</v>
      </c>
      <c r="O28" s="23">
        <v>191827.45270053271</v>
      </c>
      <c r="P28" s="18">
        <f t="shared" si="4"/>
        <v>8.5561643835616437</v>
      </c>
      <c r="Q28" s="18">
        <f t="shared" si="6"/>
        <v>17727.222477518128</v>
      </c>
      <c r="R28" s="18">
        <f t="shared" si="1"/>
        <v>209554.67517805085</v>
      </c>
      <c r="S28" s="18">
        <f t="shared" si="2"/>
        <v>907000.32124888978</v>
      </c>
    </row>
    <row r="29" spans="1:19" ht="18.75" customHeight="1" x14ac:dyDescent="0.25">
      <c r="A29" s="14">
        <f t="shared" si="5"/>
        <v>26</v>
      </c>
      <c r="B29" s="21" t="s">
        <v>63</v>
      </c>
      <c r="C29" s="15" t="s">
        <v>3</v>
      </c>
      <c r="D29" s="21" t="s">
        <v>56</v>
      </c>
      <c r="E29" s="21"/>
      <c r="F29" s="69" t="s">
        <v>4</v>
      </c>
      <c r="G29" s="9">
        <v>29587</v>
      </c>
      <c r="H29" s="22">
        <v>17212.14098173516</v>
      </c>
      <c r="I29" s="17">
        <v>0</v>
      </c>
      <c r="J29" s="17">
        <v>0</v>
      </c>
      <c r="K29" s="17">
        <f t="shared" si="0"/>
        <v>17212.14098173516</v>
      </c>
      <c r="L29" s="23">
        <f t="shared" si="7"/>
        <v>860.60704908675802</v>
      </c>
      <c r="M29" s="23">
        <v>60</v>
      </c>
      <c r="N29" s="18">
        <f t="shared" si="3"/>
        <v>40.276712328767125</v>
      </c>
      <c r="O29" s="23">
        <v>2725.1851898782352</v>
      </c>
      <c r="P29" s="18">
        <f t="shared" si="4"/>
        <v>40.778082191780825</v>
      </c>
      <c r="Q29" s="18">
        <f t="shared" si="6"/>
        <v>136.6361054645966</v>
      </c>
      <c r="R29" s="18">
        <f t="shared" si="1"/>
        <v>2861.8212953428319</v>
      </c>
      <c r="S29" s="18">
        <f t="shared" si="2"/>
        <v>14350.319686392328</v>
      </c>
    </row>
    <row r="30" spans="1:19" ht="18.75" customHeight="1" x14ac:dyDescent="0.25">
      <c r="A30" s="14">
        <f t="shared" si="5"/>
        <v>27</v>
      </c>
      <c r="B30" s="21" t="s">
        <v>64</v>
      </c>
      <c r="C30" s="15" t="s">
        <v>3</v>
      </c>
      <c r="D30" s="21" t="s">
        <v>56</v>
      </c>
      <c r="E30" s="21"/>
      <c r="F30" s="69" t="s">
        <v>4</v>
      </c>
      <c r="G30" s="9">
        <v>29587</v>
      </c>
      <c r="H30" s="29">
        <v>30106.015125570775</v>
      </c>
      <c r="I30" s="17">
        <v>0</v>
      </c>
      <c r="J30" s="17">
        <v>0</v>
      </c>
      <c r="K30" s="17">
        <f t="shared" si="0"/>
        <v>30106.015125570775</v>
      </c>
      <c r="L30" s="23">
        <f t="shared" si="7"/>
        <v>1505.3007562785388</v>
      </c>
      <c r="M30" s="23">
        <v>60</v>
      </c>
      <c r="N30" s="18">
        <f t="shared" si="3"/>
        <v>40.276712328767125</v>
      </c>
      <c r="O30" s="23">
        <v>4766.662475837139</v>
      </c>
      <c r="P30" s="18">
        <f t="shared" si="4"/>
        <v>40.778082191780825</v>
      </c>
      <c r="Q30" s="18">
        <f t="shared" si="6"/>
        <v>238.99227075710016</v>
      </c>
      <c r="R30" s="18">
        <f t="shared" si="1"/>
        <v>5005.6547465942394</v>
      </c>
      <c r="S30" s="18">
        <f t="shared" si="2"/>
        <v>25100.360378976537</v>
      </c>
    </row>
    <row r="31" spans="1:19" ht="18.75" customHeight="1" x14ac:dyDescent="0.25">
      <c r="A31" s="14">
        <f t="shared" si="5"/>
        <v>28</v>
      </c>
      <c r="B31" s="21" t="s">
        <v>65</v>
      </c>
      <c r="C31" s="15" t="s">
        <v>3</v>
      </c>
      <c r="D31" s="21" t="s">
        <v>56</v>
      </c>
      <c r="E31" s="21"/>
      <c r="F31" s="69" t="s">
        <v>4</v>
      </c>
      <c r="G31" s="9">
        <v>40162</v>
      </c>
      <c r="H31" s="22">
        <v>178359.26515981735</v>
      </c>
      <c r="I31" s="17">
        <v>0</v>
      </c>
      <c r="J31" s="17">
        <v>0</v>
      </c>
      <c r="K31" s="17">
        <f t="shared" si="0"/>
        <v>178359.26515981735</v>
      </c>
      <c r="L31" s="23">
        <f t="shared" si="7"/>
        <v>8917.9632579908684</v>
      </c>
      <c r="M31" s="23">
        <v>30</v>
      </c>
      <c r="N31" s="18">
        <f t="shared" si="3"/>
        <v>11.304109589041095</v>
      </c>
      <c r="O31" s="23">
        <v>33817.377919025865</v>
      </c>
      <c r="P31" s="18">
        <f t="shared" si="4"/>
        <v>11.805479452054794</v>
      </c>
      <c r="Q31" s="18">
        <f t="shared" si="6"/>
        <v>2831.7587441127143</v>
      </c>
      <c r="R31" s="18">
        <f t="shared" si="1"/>
        <v>36649.136663138575</v>
      </c>
      <c r="S31" s="18">
        <f t="shared" si="2"/>
        <v>141710.12849667878</v>
      </c>
    </row>
    <row r="32" spans="1:19" ht="18.75" customHeight="1" x14ac:dyDescent="0.25">
      <c r="A32" s="14">
        <f t="shared" si="5"/>
        <v>29</v>
      </c>
      <c r="B32" s="21" t="s">
        <v>66</v>
      </c>
      <c r="C32" s="15" t="s">
        <v>3</v>
      </c>
      <c r="D32" s="21" t="s">
        <v>56</v>
      </c>
      <c r="E32" s="21"/>
      <c r="F32" s="69" t="s">
        <v>4</v>
      </c>
      <c r="G32" s="9">
        <v>28856</v>
      </c>
      <c r="H32" s="26">
        <v>7.785922374429223</v>
      </c>
      <c r="I32" s="17">
        <v>0</v>
      </c>
      <c r="J32" s="17">
        <v>0</v>
      </c>
      <c r="K32" s="17">
        <f t="shared" si="0"/>
        <v>7.785922374429223</v>
      </c>
      <c r="L32" s="23">
        <f t="shared" si="7"/>
        <v>0.38929611872146119</v>
      </c>
      <c r="M32" s="23">
        <v>60</v>
      </c>
      <c r="N32" s="18">
        <f t="shared" si="3"/>
        <v>42.279452054794518</v>
      </c>
      <c r="O32" s="23">
        <v>1.3180895738203948</v>
      </c>
      <c r="P32" s="18">
        <f t="shared" si="4"/>
        <v>42.780821917808218</v>
      </c>
      <c r="Q32" s="18">
        <f t="shared" si="6"/>
        <v>6.1807424876462284E-2</v>
      </c>
      <c r="R32" s="18">
        <f t="shared" si="1"/>
        <v>1.379896998696857</v>
      </c>
      <c r="S32" s="18">
        <f t="shared" si="2"/>
        <v>6.4060253757323657</v>
      </c>
    </row>
    <row r="33" spans="1:19" ht="18.75" customHeight="1" x14ac:dyDescent="0.25">
      <c r="A33" s="14">
        <f t="shared" si="5"/>
        <v>30</v>
      </c>
      <c r="B33" s="21" t="s">
        <v>66</v>
      </c>
      <c r="C33" s="15" t="s">
        <v>3</v>
      </c>
      <c r="D33" s="21" t="s">
        <v>56</v>
      </c>
      <c r="E33" s="21"/>
      <c r="F33" s="69" t="s">
        <v>4</v>
      </c>
      <c r="G33" s="9">
        <v>28491</v>
      </c>
      <c r="H33" s="26">
        <v>255.2809315068493</v>
      </c>
      <c r="I33" s="17">
        <v>0</v>
      </c>
      <c r="J33" s="17">
        <v>0</v>
      </c>
      <c r="K33" s="17">
        <f t="shared" si="0"/>
        <v>255.2809315068493</v>
      </c>
      <c r="L33" s="23">
        <f t="shared" si="7"/>
        <v>12.764046575342466</v>
      </c>
      <c r="M33" s="23">
        <v>60</v>
      </c>
      <c r="N33" s="18">
        <f t="shared" si="3"/>
        <v>43.279452054794518</v>
      </c>
      <c r="O33" s="23">
        <v>44.782791780821881</v>
      </c>
      <c r="P33" s="18">
        <f t="shared" si="4"/>
        <v>43.780821917808218</v>
      </c>
      <c r="Q33" s="18">
        <f t="shared" si="6"/>
        <v>2.0265109562769803</v>
      </c>
      <c r="R33" s="18">
        <f t="shared" si="1"/>
        <v>46.809302737098861</v>
      </c>
      <c r="S33" s="18">
        <f t="shared" si="2"/>
        <v>208.47162876975045</v>
      </c>
    </row>
    <row r="34" spans="1:19" ht="18.75" customHeight="1" x14ac:dyDescent="0.25">
      <c r="A34" s="14">
        <f t="shared" si="5"/>
        <v>31</v>
      </c>
      <c r="B34" s="21" t="s">
        <v>67</v>
      </c>
      <c r="C34" s="15" t="s">
        <v>3</v>
      </c>
      <c r="D34" s="21" t="s">
        <v>56</v>
      </c>
      <c r="E34" s="21"/>
      <c r="F34" s="69" t="s">
        <v>4</v>
      </c>
      <c r="G34" s="9">
        <v>39143</v>
      </c>
      <c r="H34" s="22">
        <v>1613194.4733892696</v>
      </c>
      <c r="I34" s="17">
        <v>0</v>
      </c>
      <c r="J34" s="17">
        <v>0</v>
      </c>
      <c r="K34" s="17">
        <f t="shared" si="0"/>
        <v>1613194.4733892696</v>
      </c>
      <c r="L34" s="23">
        <f t="shared" si="7"/>
        <v>80659.723669463478</v>
      </c>
      <c r="M34" s="23">
        <v>30</v>
      </c>
      <c r="N34" s="18">
        <f t="shared" si="3"/>
        <v>14.095890410958905</v>
      </c>
      <c r="O34" s="23">
        <v>337165.04853535013</v>
      </c>
      <c r="P34" s="18">
        <f t="shared" si="4"/>
        <v>14.597260273972603</v>
      </c>
      <c r="Q34" s="18">
        <f t="shared" si="6"/>
        <v>25612.224584358381</v>
      </c>
      <c r="R34" s="18">
        <f t="shared" si="1"/>
        <v>362777.27311970852</v>
      </c>
      <c r="S34" s="18">
        <f t="shared" si="2"/>
        <v>1250417.200269561</v>
      </c>
    </row>
    <row r="35" spans="1:19" ht="18.75" customHeight="1" x14ac:dyDescent="0.25">
      <c r="A35" s="14">
        <f t="shared" si="5"/>
        <v>32</v>
      </c>
      <c r="B35" s="21" t="s">
        <v>66</v>
      </c>
      <c r="C35" s="15" t="s">
        <v>3</v>
      </c>
      <c r="D35" s="21" t="s">
        <v>56</v>
      </c>
      <c r="E35" s="21"/>
      <c r="F35" s="69" t="s">
        <v>4</v>
      </c>
      <c r="G35" s="9">
        <v>28126</v>
      </c>
      <c r="H35" s="26">
        <v>125.15729680365297</v>
      </c>
      <c r="I35" s="17">
        <v>0</v>
      </c>
      <c r="J35" s="17">
        <v>0</v>
      </c>
      <c r="K35" s="17">
        <f t="shared" si="0"/>
        <v>125.15729680365297</v>
      </c>
      <c r="L35" s="23">
        <f t="shared" si="7"/>
        <v>6.2578648401826484</v>
      </c>
      <c r="M35" s="23">
        <v>60</v>
      </c>
      <c r="N35" s="18">
        <f t="shared" si="3"/>
        <v>44.279452054794518</v>
      </c>
      <c r="O35" s="23">
        <v>22.787813394216101</v>
      </c>
      <c r="P35" s="18">
        <f t="shared" si="4"/>
        <v>44.780821917808218</v>
      </c>
      <c r="Q35" s="18">
        <f t="shared" si="6"/>
        <v>0.9935431985988642</v>
      </c>
      <c r="R35" s="18">
        <f t="shared" si="1"/>
        <v>23.781356592814966</v>
      </c>
      <c r="S35" s="18">
        <f t="shared" si="2"/>
        <v>101.375940210838</v>
      </c>
    </row>
    <row r="36" spans="1:19" ht="18.75" customHeight="1" x14ac:dyDescent="0.25">
      <c r="A36" s="14">
        <f t="shared" si="5"/>
        <v>33</v>
      </c>
      <c r="B36" s="21" t="s">
        <v>68</v>
      </c>
      <c r="C36" s="15" t="s">
        <v>3</v>
      </c>
      <c r="D36" s="21" t="s">
        <v>56</v>
      </c>
      <c r="E36" s="21"/>
      <c r="F36" s="69" t="s">
        <v>4</v>
      </c>
      <c r="G36" s="9">
        <v>39005</v>
      </c>
      <c r="H36" s="22">
        <v>145698.9442994977</v>
      </c>
      <c r="I36" s="17">
        <v>0</v>
      </c>
      <c r="J36" s="17">
        <v>0</v>
      </c>
      <c r="K36" s="17">
        <f t="shared" si="0"/>
        <v>145698.9442994977</v>
      </c>
      <c r="L36" s="23">
        <f t="shared" si="7"/>
        <v>7284.9472149748854</v>
      </c>
      <c r="M36" s="23">
        <v>30</v>
      </c>
      <c r="N36" s="18">
        <f t="shared" si="3"/>
        <v>14.473972602739726</v>
      </c>
      <c r="O36" s="23">
        <v>30889.471149617963</v>
      </c>
      <c r="P36" s="18">
        <f t="shared" si="4"/>
        <v>14.975342465753425</v>
      </c>
      <c r="Q36" s="18">
        <f t="shared" si="6"/>
        <v>2313.2202252481875</v>
      </c>
      <c r="R36" s="18">
        <f t="shared" si="1"/>
        <v>33202.691374866146</v>
      </c>
      <c r="S36" s="18">
        <f t="shared" si="2"/>
        <v>112496.25292463155</v>
      </c>
    </row>
    <row r="37" spans="1:19" ht="18.75" customHeight="1" x14ac:dyDescent="0.25">
      <c r="A37" s="14">
        <f t="shared" si="5"/>
        <v>34</v>
      </c>
      <c r="B37" s="21" t="s">
        <v>69</v>
      </c>
      <c r="C37" s="15" t="s">
        <v>3</v>
      </c>
      <c r="D37" s="21" t="s">
        <v>56</v>
      </c>
      <c r="E37" s="21"/>
      <c r="F37" s="69" t="s">
        <v>4</v>
      </c>
      <c r="G37" s="9">
        <v>38883</v>
      </c>
      <c r="H37" s="22">
        <v>377448.54598630138</v>
      </c>
      <c r="I37" s="17">
        <v>0</v>
      </c>
      <c r="J37" s="17">
        <v>0</v>
      </c>
      <c r="K37" s="17">
        <f t="shared" si="0"/>
        <v>377448.54598630138</v>
      </c>
      <c r="L37" s="23">
        <f t="shared" si="7"/>
        <v>18872.42729931507</v>
      </c>
      <c r="M37" s="23">
        <v>30</v>
      </c>
      <c r="N37" s="18">
        <f t="shared" si="3"/>
        <v>14.808219178082192</v>
      </c>
      <c r="O37" s="23">
        <v>81057.737039726053</v>
      </c>
      <c r="P37" s="18">
        <f t="shared" si="4"/>
        <v>15.30958904109589</v>
      </c>
      <c r="Q37" s="18">
        <f t="shared" si="6"/>
        <v>5992.6419835359311</v>
      </c>
      <c r="R37" s="18">
        <f t="shared" si="1"/>
        <v>87050.379023261979</v>
      </c>
      <c r="S37" s="18">
        <f t="shared" si="2"/>
        <v>290398.16696303943</v>
      </c>
    </row>
    <row r="38" spans="1:19" ht="18.75" customHeight="1" x14ac:dyDescent="0.25">
      <c r="A38" s="14">
        <f t="shared" si="5"/>
        <v>35</v>
      </c>
      <c r="B38" s="21" t="s">
        <v>70</v>
      </c>
      <c r="C38" s="15" t="s">
        <v>3</v>
      </c>
      <c r="D38" s="21" t="s">
        <v>56</v>
      </c>
      <c r="E38" s="21"/>
      <c r="F38" s="69" t="s">
        <v>4</v>
      </c>
      <c r="G38" s="9">
        <v>38883</v>
      </c>
      <c r="H38" s="22">
        <v>866012.5261495891</v>
      </c>
      <c r="I38" s="17">
        <v>0</v>
      </c>
      <c r="J38" s="17">
        <v>0</v>
      </c>
      <c r="K38" s="17">
        <f t="shared" si="0"/>
        <v>866012.5261495891</v>
      </c>
      <c r="L38" s="23">
        <f t="shared" si="7"/>
        <v>43300.626307479455</v>
      </c>
      <c r="M38" s="23">
        <v>30</v>
      </c>
      <c r="N38" s="18">
        <f t="shared" si="3"/>
        <v>14.808219178082192</v>
      </c>
      <c r="O38" s="23">
        <v>185977.70839019181</v>
      </c>
      <c r="P38" s="18">
        <f t="shared" si="4"/>
        <v>15.30958904109589</v>
      </c>
      <c r="Q38" s="18">
        <f t="shared" si="6"/>
        <v>13749.43175078593</v>
      </c>
      <c r="R38" s="18">
        <f t="shared" si="1"/>
        <v>199727.14014097775</v>
      </c>
      <c r="S38" s="18">
        <f t="shared" si="2"/>
        <v>666285.38600861141</v>
      </c>
    </row>
    <row r="39" spans="1:19" ht="18.75" customHeight="1" x14ac:dyDescent="0.25">
      <c r="A39" s="14">
        <f t="shared" si="5"/>
        <v>36</v>
      </c>
      <c r="B39" s="21" t="s">
        <v>71</v>
      </c>
      <c r="C39" s="15" t="s">
        <v>3</v>
      </c>
      <c r="D39" s="21" t="s">
        <v>56</v>
      </c>
      <c r="E39" s="21"/>
      <c r="F39" s="69" t="s">
        <v>7</v>
      </c>
      <c r="G39" s="9">
        <v>38748</v>
      </c>
      <c r="H39" s="22">
        <v>460609.79508575343</v>
      </c>
      <c r="I39" s="17">
        <v>0</v>
      </c>
      <c r="J39" s="17">
        <v>0</v>
      </c>
      <c r="K39" s="17">
        <f t="shared" si="0"/>
        <v>460609.79508575343</v>
      </c>
      <c r="L39" s="23">
        <f t="shared" si="7"/>
        <v>23030.489754287672</v>
      </c>
      <c r="M39" s="23">
        <v>30</v>
      </c>
      <c r="N39" s="18">
        <f t="shared" si="3"/>
        <v>15.178082191780822</v>
      </c>
      <c r="O39" s="23">
        <v>100360.76553016444</v>
      </c>
      <c r="P39" s="18">
        <f t="shared" si="4"/>
        <v>15.67945205479452</v>
      </c>
      <c r="Q39" s="18">
        <f t="shared" si="6"/>
        <v>7312.9692123888735</v>
      </c>
      <c r="R39" s="18">
        <f t="shared" si="1"/>
        <v>107673.73474255331</v>
      </c>
      <c r="S39" s="18">
        <f t="shared" si="2"/>
        <v>352936.06034320011</v>
      </c>
    </row>
    <row r="40" spans="1:19" ht="18.75" customHeight="1" x14ac:dyDescent="0.25">
      <c r="A40" s="14">
        <f t="shared" si="5"/>
        <v>37</v>
      </c>
      <c r="B40" s="21" t="s">
        <v>64</v>
      </c>
      <c r="C40" s="15" t="s">
        <v>3</v>
      </c>
      <c r="D40" s="21" t="s">
        <v>56</v>
      </c>
      <c r="E40" s="21"/>
      <c r="F40" s="69" t="s">
        <v>4</v>
      </c>
      <c r="G40" s="9">
        <v>27760</v>
      </c>
      <c r="H40" s="26">
        <v>303.19656164383571</v>
      </c>
      <c r="I40" s="17">
        <v>0</v>
      </c>
      <c r="J40" s="17">
        <v>0</v>
      </c>
      <c r="K40" s="17">
        <f t="shared" si="0"/>
        <v>303.19656164383571</v>
      </c>
      <c r="L40" s="23">
        <f t="shared" si="7"/>
        <v>15.159828082191787</v>
      </c>
      <c r="M40" s="23">
        <v>60</v>
      </c>
      <c r="N40" s="18">
        <f t="shared" si="3"/>
        <v>45.282191780821918</v>
      </c>
      <c r="O40" s="23">
        <v>57.402084246575434</v>
      </c>
      <c r="P40" s="18">
        <f t="shared" si="4"/>
        <v>45.783561643835618</v>
      </c>
      <c r="Q40" s="18">
        <f t="shared" si="6"/>
        <v>2.4068822941452503</v>
      </c>
      <c r="R40" s="18">
        <f t="shared" si="1"/>
        <v>59.808966540720682</v>
      </c>
      <c r="S40" s="18">
        <f t="shared" si="2"/>
        <v>243.38759510311502</v>
      </c>
    </row>
    <row r="41" spans="1:19" ht="18.75" customHeight="1" x14ac:dyDescent="0.25">
      <c r="A41" s="14">
        <f t="shared" si="5"/>
        <v>38</v>
      </c>
      <c r="B41" s="21" t="s">
        <v>72</v>
      </c>
      <c r="C41" s="15" t="s">
        <v>3</v>
      </c>
      <c r="D41" s="24" t="s">
        <v>56</v>
      </c>
      <c r="E41" s="24"/>
      <c r="F41" s="70" t="s">
        <v>7</v>
      </c>
      <c r="G41" s="9">
        <v>38663</v>
      </c>
      <c r="H41" s="22">
        <v>160247.11266844749</v>
      </c>
      <c r="I41" s="17">
        <v>0</v>
      </c>
      <c r="J41" s="17">
        <v>0</v>
      </c>
      <c r="K41" s="17">
        <f t="shared" si="0"/>
        <v>160247.11266844749</v>
      </c>
      <c r="L41" s="23">
        <f t="shared" si="7"/>
        <v>8012.3556334223749</v>
      </c>
      <c r="M41" s="23">
        <v>30</v>
      </c>
      <c r="N41" s="18">
        <f t="shared" si="3"/>
        <v>15.41095890410959</v>
      </c>
      <c r="O41" s="23">
        <v>35241.034418354648</v>
      </c>
      <c r="P41" s="18">
        <f t="shared" si="4"/>
        <v>15.912328767123288</v>
      </c>
      <c r="Q41" s="18">
        <f t="shared" si="6"/>
        <v>2544.1973093524721</v>
      </c>
      <c r="R41" s="18">
        <f t="shared" si="1"/>
        <v>37785.23172770712</v>
      </c>
      <c r="S41" s="18">
        <f t="shared" si="2"/>
        <v>122461.88094074038</v>
      </c>
    </row>
    <row r="42" spans="1:19" ht="18.75" customHeight="1" x14ac:dyDescent="0.25">
      <c r="A42" s="14">
        <f t="shared" si="5"/>
        <v>39</v>
      </c>
      <c r="B42" s="21" t="s">
        <v>73</v>
      </c>
      <c r="C42" s="15" t="s">
        <v>3</v>
      </c>
      <c r="D42" s="21" t="s">
        <v>56</v>
      </c>
      <c r="E42" s="21"/>
      <c r="F42" s="69" t="s">
        <v>6</v>
      </c>
      <c r="G42" s="9">
        <v>38657</v>
      </c>
      <c r="H42" s="22">
        <v>122652.74874429224</v>
      </c>
      <c r="I42" s="17">
        <v>0</v>
      </c>
      <c r="J42" s="17">
        <v>0</v>
      </c>
      <c r="K42" s="17">
        <f t="shared" si="0"/>
        <v>122652.74874429224</v>
      </c>
      <c r="L42" s="23">
        <f t="shared" si="7"/>
        <v>6132.6374372146129</v>
      </c>
      <c r="M42" s="23">
        <v>30</v>
      </c>
      <c r="N42" s="18">
        <f t="shared" si="3"/>
        <v>15.427397260273972</v>
      </c>
      <c r="O42" s="23">
        <v>26991.184912480963</v>
      </c>
      <c r="P42" s="18">
        <f t="shared" si="4"/>
        <v>15.92876712328767</v>
      </c>
      <c r="Q42" s="18">
        <f t="shared" si="6"/>
        <v>1947.3224081456792</v>
      </c>
      <c r="R42" s="18">
        <f t="shared" si="1"/>
        <v>28938.507320626642</v>
      </c>
      <c r="S42" s="18">
        <f t="shared" si="2"/>
        <v>93714.241423665604</v>
      </c>
    </row>
    <row r="43" spans="1:19" ht="18.75" customHeight="1" x14ac:dyDescent="0.25">
      <c r="A43" s="14">
        <f t="shared" si="5"/>
        <v>40</v>
      </c>
      <c r="B43" s="21" t="s">
        <v>74</v>
      </c>
      <c r="C43" s="15" t="s">
        <v>3</v>
      </c>
      <c r="D43" s="21" t="s">
        <v>56</v>
      </c>
      <c r="E43" s="21"/>
      <c r="F43" s="69" t="s">
        <v>6</v>
      </c>
      <c r="G43" s="9">
        <v>38533</v>
      </c>
      <c r="H43" s="22">
        <v>258158.26003452056</v>
      </c>
      <c r="I43" s="17">
        <v>0</v>
      </c>
      <c r="J43" s="17">
        <v>0</v>
      </c>
      <c r="K43" s="17">
        <f t="shared" si="0"/>
        <v>258158.26003452056</v>
      </c>
      <c r="L43" s="23">
        <f t="shared" si="7"/>
        <v>12907.913001726029</v>
      </c>
      <c r="M43" s="23">
        <v>30</v>
      </c>
      <c r="N43" s="18">
        <f t="shared" si="3"/>
        <v>15.767123287671232</v>
      </c>
      <c r="O43" s="23">
        <v>57597.560527908681</v>
      </c>
      <c r="P43" s="18">
        <f t="shared" si="4"/>
        <v>16.268493150684932</v>
      </c>
      <c r="Q43" s="18">
        <f t="shared" si="6"/>
        <v>4098.7044298631527</v>
      </c>
      <c r="R43" s="18">
        <f t="shared" si="1"/>
        <v>61696.264957771833</v>
      </c>
      <c r="S43" s="18">
        <f t="shared" si="2"/>
        <v>196461.99507674872</v>
      </c>
    </row>
    <row r="44" spans="1:19" ht="18.75" customHeight="1" x14ac:dyDescent="0.25">
      <c r="A44" s="14">
        <f t="shared" si="5"/>
        <v>41</v>
      </c>
      <c r="B44" s="21" t="s">
        <v>64</v>
      </c>
      <c r="C44" s="15" t="s">
        <v>3</v>
      </c>
      <c r="D44" s="21" t="s">
        <v>56</v>
      </c>
      <c r="E44" s="21"/>
      <c r="F44" s="69" t="s">
        <v>4</v>
      </c>
      <c r="G44" s="9">
        <v>27395</v>
      </c>
      <c r="H44" s="22">
        <v>1743.1284566210047</v>
      </c>
      <c r="I44" s="17">
        <v>0</v>
      </c>
      <c r="J44" s="17">
        <v>0</v>
      </c>
      <c r="K44" s="17">
        <f t="shared" si="0"/>
        <v>1743.1284566210047</v>
      </c>
      <c r="L44" s="23">
        <f t="shared" si="7"/>
        <v>87.156422831050236</v>
      </c>
      <c r="M44" s="23">
        <v>60</v>
      </c>
      <c r="N44" s="18">
        <f t="shared" si="3"/>
        <v>46.282191780821918</v>
      </c>
      <c r="O44" s="23">
        <v>343.77042404870639</v>
      </c>
      <c r="P44" s="18">
        <f t="shared" si="4"/>
        <v>46.783561643835618</v>
      </c>
      <c r="Q44" s="18">
        <f t="shared" si="6"/>
        <v>13.837574528929792</v>
      </c>
      <c r="R44" s="18">
        <f t="shared" si="1"/>
        <v>357.60799857763618</v>
      </c>
      <c r="S44" s="18">
        <f t="shared" si="2"/>
        <v>1385.5204580433685</v>
      </c>
    </row>
    <row r="45" spans="1:19" ht="18.75" customHeight="1" x14ac:dyDescent="0.25">
      <c r="A45" s="14">
        <f t="shared" si="5"/>
        <v>42</v>
      </c>
      <c r="B45" s="21" t="s">
        <v>64</v>
      </c>
      <c r="C45" s="15" t="s">
        <v>3</v>
      </c>
      <c r="D45" s="21" t="s">
        <v>56</v>
      </c>
      <c r="E45" s="21"/>
      <c r="F45" s="69" t="s">
        <v>4</v>
      </c>
      <c r="G45" s="9">
        <v>27030</v>
      </c>
      <c r="H45" s="22">
        <v>5397.9647671232906</v>
      </c>
      <c r="I45" s="17">
        <v>0</v>
      </c>
      <c r="J45" s="17">
        <v>0</v>
      </c>
      <c r="K45" s="17">
        <f t="shared" si="0"/>
        <v>5397.9647671232906</v>
      </c>
      <c r="L45" s="23">
        <f t="shared" si="7"/>
        <v>269.89823835616454</v>
      </c>
      <c r="M45" s="23">
        <v>60</v>
      </c>
      <c r="N45" s="18">
        <f t="shared" si="3"/>
        <v>47.282191780821918</v>
      </c>
      <c r="O45" s="23">
        <v>1111.2369150684951</v>
      </c>
      <c r="P45" s="18">
        <f t="shared" si="4"/>
        <v>47.783561643835618</v>
      </c>
      <c r="Q45" s="18">
        <f t="shared" si="6"/>
        <v>42.850966884218565</v>
      </c>
      <c r="R45" s="18">
        <f t="shared" si="1"/>
        <v>1154.0878819527138</v>
      </c>
      <c r="S45" s="18">
        <f t="shared" si="2"/>
        <v>4243.8768851705772</v>
      </c>
    </row>
    <row r="46" spans="1:19" ht="18.75" customHeight="1" x14ac:dyDescent="0.25">
      <c r="A46" s="14">
        <f t="shared" si="5"/>
        <v>43</v>
      </c>
      <c r="B46" s="21" t="s">
        <v>75</v>
      </c>
      <c r="C46" s="15" t="s">
        <v>3</v>
      </c>
      <c r="D46" s="21" t="s">
        <v>56</v>
      </c>
      <c r="E46" s="21"/>
      <c r="F46" s="69" t="s">
        <v>4</v>
      </c>
      <c r="G46" s="9">
        <v>37955</v>
      </c>
      <c r="H46" s="22">
        <v>84694.743799086747</v>
      </c>
      <c r="I46" s="17">
        <v>0</v>
      </c>
      <c r="J46" s="17">
        <v>0</v>
      </c>
      <c r="K46" s="17">
        <f t="shared" si="0"/>
        <v>84694.743799086747</v>
      </c>
      <c r="L46" s="23">
        <f t="shared" si="7"/>
        <v>4234.7371899543377</v>
      </c>
      <c r="M46" s="23">
        <v>30</v>
      </c>
      <c r="N46" s="18">
        <f t="shared" si="3"/>
        <v>17.350684931506848</v>
      </c>
      <c r="O46" s="23">
        <v>20219.72408097412</v>
      </c>
      <c r="P46" s="18">
        <f t="shared" si="4"/>
        <v>17.852054794520548</v>
      </c>
      <c r="Q46" s="18">
        <f t="shared" si="6"/>
        <v>1344.6740830567371</v>
      </c>
      <c r="R46" s="18">
        <f t="shared" si="1"/>
        <v>21564.398164030856</v>
      </c>
      <c r="S46" s="18">
        <f t="shared" si="2"/>
        <v>63130.345635055892</v>
      </c>
    </row>
    <row r="47" spans="1:19" ht="18.75" customHeight="1" x14ac:dyDescent="0.25">
      <c r="A47" s="14">
        <f t="shared" si="5"/>
        <v>44</v>
      </c>
      <c r="B47" s="21" t="s">
        <v>76</v>
      </c>
      <c r="C47" s="15" t="s">
        <v>3</v>
      </c>
      <c r="D47" s="21" t="s">
        <v>56</v>
      </c>
      <c r="E47" s="21"/>
      <c r="F47" s="69" t="s">
        <v>4</v>
      </c>
      <c r="G47" s="9">
        <v>37802</v>
      </c>
      <c r="H47" s="22">
        <v>149256.96273972603</v>
      </c>
      <c r="I47" s="17">
        <v>0</v>
      </c>
      <c r="J47" s="17">
        <v>0</v>
      </c>
      <c r="K47" s="17">
        <f t="shared" si="0"/>
        <v>149256.96273972603</v>
      </c>
      <c r="L47" s="23">
        <f t="shared" si="7"/>
        <v>7462.8481369863021</v>
      </c>
      <c r="M47" s="23">
        <v>30</v>
      </c>
      <c r="N47" s="18">
        <f t="shared" si="3"/>
        <v>17.769863013698629</v>
      </c>
      <c r="O47" s="23">
        <v>36316.219652968022</v>
      </c>
      <c r="P47" s="18">
        <f t="shared" si="4"/>
        <v>18.271232876712329</v>
      </c>
      <c r="Q47" s="18">
        <f t="shared" si="6"/>
        <v>2369.7098604841494</v>
      </c>
      <c r="R47" s="18">
        <f t="shared" si="1"/>
        <v>38685.929513452174</v>
      </c>
      <c r="S47" s="18">
        <f t="shared" si="2"/>
        <v>110571.03322627387</v>
      </c>
    </row>
    <row r="48" spans="1:19" ht="18.75" customHeight="1" x14ac:dyDescent="0.25">
      <c r="A48" s="14">
        <f t="shared" si="5"/>
        <v>45</v>
      </c>
      <c r="B48" s="21" t="s">
        <v>77</v>
      </c>
      <c r="C48" s="15" t="s">
        <v>3</v>
      </c>
      <c r="D48" s="21" t="s">
        <v>56</v>
      </c>
      <c r="E48" s="21"/>
      <c r="F48" s="69" t="s">
        <v>4</v>
      </c>
      <c r="G48" s="9">
        <v>37802</v>
      </c>
      <c r="H48" s="22">
        <v>162705.06547945208</v>
      </c>
      <c r="I48" s="17">
        <v>0</v>
      </c>
      <c r="J48" s="17">
        <v>0</v>
      </c>
      <c r="K48" s="17">
        <f t="shared" si="0"/>
        <v>162705.06547945208</v>
      </c>
      <c r="L48" s="23">
        <f t="shared" si="7"/>
        <v>8135.2532739726048</v>
      </c>
      <c r="M48" s="23">
        <v>30</v>
      </c>
      <c r="N48" s="18">
        <f t="shared" si="3"/>
        <v>17.769863013698629</v>
      </c>
      <c r="O48" s="23">
        <v>39588.32330593605</v>
      </c>
      <c r="P48" s="18">
        <f t="shared" si="4"/>
        <v>18.271232876712329</v>
      </c>
      <c r="Q48" s="18">
        <f t="shared" si="6"/>
        <v>2583.2215190504858</v>
      </c>
      <c r="R48" s="18">
        <f t="shared" si="1"/>
        <v>42171.544824986537</v>
      </c>
      <c r="S48" s="18">
        <f t="shared" si="2"/>
        <v>120533.52065446554</v>
      </c>
    </row>
    <row r="49" spans="1:19" ht="18.75" customHeight="1" x14ac:dyDescent="0.25">
      <c r="A49" s="14">
        <f t="shared" si="5"/>
        <v>46</v>
      </c>
      <c r="B49" s="21" t="s">
        <v>78</v>
      </c>
      <c r="C49" s="15" t="s">
        <v>3</v>
      </c>
      <c r="D49" s="21" t="s">
        <v>56</v>
      </c>
      <c r="E49" s="21"/>
      <c r="F49" s="69" t="s">
        <v>4</v>
      </c>
      <c r="G49" s="9">
        <v>26665</v>
      </c>
      <c r="H49" s="26">
        <v>1326.0080844748859</v>
      </c>
      <c r="I49" s="17">
        <v>0</v>
      </c>
      <c r="J49" s="17">
        <v>0</v>
      </c>
      <c r="K49" s="17">
        <f t="shared" si="0"/>
        <v>1326.0080844748859</v>
      </c>
      <c r="L49" s="23">
        <f t="shared" si="7"/>
        <v>66.300404223744295</v>
      </c>
      <c r="M49" s="23">
        <v>60</v>
      </c>
      <c r="N49" s="18">
        <f t="shared" si="3"/>
        <v>48.282191780821918</v>
      </c>
      <c r="O49" s="23">
        <v>285.59539044901072</v>
      </c>
      <c r="P49" s="18">
        <f t="shared" si="4"/>
        <v>48.783561643835618</v>
      </c>
      <c r="Q49" s="18">
        <f t="shared" si="6"/>
        <v>10.526324451413675</v>
      </c>
      <c r="R49" s="18">
        <f t="shared" si="1"/>
        <v>296.12171490042442</v>
      </c>
      <c r="S49" s="18">
        <f t="shared" si="2"/>
        <v>1029.8863695744615</v>
      </c>
    </row>
    <row r="50" spans="1:19" ht="18.75" customHeight="1" x14ac:dyDescent="0.25">
      <c r="A50" s="14">
        <f t="shared" si="5"/>
        <v>47</v>
      </c>
      <c r="B50" s="21" t="s">
        <v>79</v>
      </c>
      <c r="C50" s="15" t="s">
        <v>3</v>
      </c>
      <c r="D50" s="21" t="s">
        <v>56</v>
      </c>
      <c r="E50" s="21"/>
      <c r="F50" s="69" t="s">
        <v>6</v>
      </c>
      <c r="G50" s="9">
        <v>26665</v>
      </c>
      <c r="H50" s="22">
        <v>4693.118098173516</v>
      </c>
      <c r="I50" s="17">
        <v>0</v>
      </c>
      <c r="J50" s="17">
        <v>0</v>
      </c>
      <c r="K50" s="17">
        <f t="shared" si="0"/>
        <v>4693.118098173516</v>
      </c>
      <c r="L50" s="23">
        <f t="shared" si="7"/>
        <v>234.65590490867581</v>
      </c>
      <c r="M50" s="23">
        <v>60</v>
      </c>
      <c r="N50" s="18">
        <f t="shared" si="3"/>
        <v>48.282191780821918</v>
      </c>
      <c r="O50" s="23">
        <v>1010.8029591704721</v>
      </c>
      <c r="P50" s="18">
        <f t="shared" si="4"/>
        <v>48.783561643835618</v>
      </c>
      <c r="Q50" s="18">
        <f t="shared" si="6"/>
        <v>37.255642984815893</v>
      </c>
      <c r="R50" s="18">
        <f t="shared" si="1"/>
        <v>1048.0586021552881</v>
      </c>
      <c r="S50" s="18">
        <f t="shared" si="2"/>
        <v>3645.0594960182279</v>
      </c>
    </row>
    <row r="51" spans="1:19" ht="18.75" customHeight="1" x14ac:dyDescent="0.25">
      <c r="A51" s="14">
        <f t="shared" si="5"/>
        <v>48</v>
      </c>
      <c r="B51" s="21" t="s">
        <v>64</v>
      </c>
      <c r="C51" s="15" t="s">
        <v>3</v>
      </c>
      <c r="D51" s="21" t="s">
        <v>56</v>
      </c>
      <c r="E51" s="21"/>
      <c r="F51" s="69" t="s">
        <v>4</v>
      </c>
      <c r="G51" s="9">
        <v>26665</v>
      </c>
      <c r="H51" s="29">
        <v>29602.115442922382</v>
      </c>
      <c r="I51" s="17">
        <v>0</v>
      </c>
      <c r="J51" s="17">
        <v>0</v>
      </c>
      <c r="K51" s="17">
        <f t="shared" si="0"/>
        <v>29602.115442922382</v>
      </c>
      <c r="L51" s="23">
        <f t="shared" si="7"/>
        <v>1480.1057721461193</v>
      </c>
      <c r="M51" s="23">
        <v>60</v>
      </c>
      <c r="N51" s="18">
        <f t="shared" si="3"/>
        <v>48.282191780821918</v>
      </c>
      <c r="O51" s="23">
        <v>6375.6984719939201</v>
      </c>
      <c r="P51" s="18">
        <f t="shared" si="4"/>
        <v>48.783561643835618</v>
      </c>
      <c r="Q51" s="18">
        <f t="shared" si="6"/>
        <v>234.99213560511734</v>
      </c>
      <c r="R51" s="18">
        <f t="shared" si="1"/>
        <v>6610.6906075990373</v>
      </c>
      <c r="S51" s="18">
        <f t="shared" si="2"/>
        <v>22991.424835323345</v>
      </c>
    </row>
    <row r="52" spans="1:19" ht="18.75" customHeight="1" x14ac:dyDescent="0.25">
      <c r="A52" s="14">
        <f t="shared" si="5"/>
        <v>49</v>
      </c>
      <c r="B52" s="21" t="s">
        <v>80</v>
      </c>
      <c r="C52" s="15" t="s">
        <v>3</v>
      </c>
      <c r="D52" s="21" t="s">
        <v>56</v>
      </c>
      <c r="E52" s="21"/>
      <c r="F52" s="69" t="s">
        <v>4</v>
      </c>
      <c r="G52" s="9">
        <v>37257</v>
      </c>
      <c r="H52" s="22">
        <v>116343.90369863014</v>
      </c>
      <c r="I52" s="17">
        <v>0</v>
      </c>
      <c r="J52" s="17">
        <v>0</v>
      </c>
      <c r="K52" s="17">
        <f t="shared" si="0"/>
        <v>116343.90369863014</v>
      </c>
      <c r="L52" s="23">
        <f t="shared" si="7"/>
        <v>5817.1951849315074</v>
      </c>
      <c r="M52" s="23">
        <v>30</v>
      </c>
      <c r="N52" s="18">
        <f t="shared" si="3"/>
        <v>19.263013698630136</v>
      </c>
      <c r="O52" s="23">
        <v>30414.285136986298</v>
      </c>
      <c r="P52" s="18">
        <f t="shared" si="4"/>
        <v>19.764383561643836</v>
      </c>
      <c r="Q52" s="18">
        <f t="shared" si="6"/>
        <v>1847.1586902289409</v>
      </c>
      <c r="R52" s="18">
        <f t="shared" si="1"/>
        <v>32261.44382721524</v>
      </c>
      <c r="S52" s="18">
        <f t="shared" si="2"/>
        <v>84082.459871414903</v>
      </c>
    </row>
    <row r="53" spans="1:19" ht="18.75" customHeight="1" x14ac:dyDescent="0.25">
      <c r="A53" s="14">
        <f t="shared" si="5"/>
        <v>50</v>
      </c>
      <c r="B53" s="21" t="s">
        <v>81</v>
      </c>
      <c r="C53" s="15" t="s">
        <v>3</v>
      </c>
      <c r="D53" s="24" t="s">
        <v>56</v>
      </c>
      <c r="E53" s="24"/>
      <c r="F53" s="70" t="s">
        <v>7</v>
      </c>
      <c r="G53" s="9">
        <v>37257</v>
      </c>
      <c r="H53" s="22">
        <v>479282.56726027402</v>
      </c>
      <c r="I53" s="17">
        <v>0</v>
      </c>
      <c r="J53" s="17">
        <v>0</v>
      </c>
      <c r="K53" s="17">
        <f t="shared" si="0"/>
        <v>479282.56726027402</v>
      </c>
      <c r="L53" s="23">
        <f t="shared" si="7"/>
        <v>23964.128363013704</v>
      </c>
      <c r="M53" s="23">
        <v>30</v>
      </c>
      <c r="N53" s="18">
        <f t="shared" si="3"/>
        <v>19.263013698630136</v>
      </c>
      <c r="O53" s="23">
        <v>125292.65563926939</v>
      </c>
      <c r="P53" s="18">
        <f t="shared" si="4"/>
        <v>19.764383561643836</v>
      </c>
      <c r="Q53" s="18">
        <f t="shared" si="6"/>
        <v>7609.4314445843711</v>
      </c>
      <c r="R53" s="18">
        <f t="shared" si="1"/>
        <v>132902.08708385375</v>
      </c>
      <c r="S53" s="18">
        <f t="shared" si="2"/>
        <v>346380.4801764203</v>
      </c>
    </row>
    <row r="54" spans="1:19" ht="18.75" customHeight="1" x14ac:dyDescent="0.25">
      <c r="A54" s="14">
        <f t="shared" si="5"/>
        <v>51</v>
      </c>
      <c r="B54" s="21" t="s">
        <v>82</v>
      </c>
      <c r="C54" s="15" t="s">
        <v>3</v>
      </c>
      <c r="D54" s="21" t="s">
        <v>56</v>
      </c>
      <c r="E54" s="21"/>
      <c r="F54" s="69" t="s">
        <v>6</v>
      </c>
      <c r="G54" s="9">
        <v>26299</v>
      </c>
      <c r="H54" s="22">
        <v>3372.6948744292231</v>
      </c>
      <c r="I54" s="17">
        <v>0</v>
      </c>
      <c r="J54" s="17">
        <v>0</v>
      </c>
      <c r="K54" s="17">
        <f t="shared" si="0"/>
        <v>3372.6948744292231</v>
      </c>
      <c r="L54" s="23">
        <f t="shared" si="7"/>
        <v>168.63474372146118</v>
      </c>
      <c r="M54" s="23">
        <v>60</v>
      </c>
      <c r="N54" s="18">
        <f t="shared" si="3"/>
        <v>49.284931506849318</v>
      </c>
      <c r="O54" s="23">
        <v>762.01361320395722</v>
      </c>
      <c r="P54" s="18">
        <f t="shared" si="4"/>
        <v>49.786301369863011</v>
      </c>
      <c r="Q54" s="18">
        <f t="shared" si="6"/>
        <v>26.773653147009757</v>
      </c>
      <c r="R54" s="18">
        <f t="shared" si="1"/>
        <v>788.787266350967</v>
      </c>
      <c r="S54" s="18">
        <f t="shared" si="2"/>
        <v>2583.9076080782561</v>
      </c>
    </row>
    <row r="55" spans="1:19" ht="18.75" customHeight="1" x14ac:dyDescent="0.25">
      <c r="A55" s="14">
        <f t="shared" si="5"/>
        <v>52</v>
      </c>
      <c r="B55" s="21" t="s">
        <v>83</v>
      </c>
      <c r="C55" s="15" t="s">
        <v>3</v>
      </c>
      <c r="D55" s="21" t="s">
        <v>56</v>
      </c>
      <c r="E55" s="21"/>
      <c r="F55" s="69" t="s">
        <v>4</v>
      </c>
      <c r="G55" s="9">
        <v>25934</v>
      </c>
      <c r="H55" s="26">
        <v>18.39707762557078</v>
      </c>
      <c r="I55" s="17">
        <v>0</v>
      </c>
      <c r="J55" s="17">
        <v>0</v>
      </c>
      <c r="K55" s="17">
        <f t="shared" si="0"/>
        <v>18.39707762557078</v>
      </c>
      <c r="L55" s="23">
        <f t="shared" si="7"/>
        <v>0.91985388127853907</v>
      </c>
      <c r="M55" s="23">
        <v>60</v>
      </c>
      <c r="N55" s="18">
        <f t="shared" si="3"/>
        <v>50.284931506849318</v>
      </c>
      <c r="O55" s="23">
        <v>4.3719375951293813</v>
      </c>
      <c r="P55" s="18">
        <f t="shared" si="4"/>
        <v>50.786301369863011</v>
      </c>
      <c r="Q55" s="18">
        <f t="shared" si="6"/>
        <v>0.14604255457559104</v>
      </c>
      <c r="R55" s="18">
        <f t="shared" si="1"/>
        <v>4.5179801497049725</v>
      </c>
      <c r="S55" s="18">
        <f t="shared" si="2"/>
        <v>13.879097475865809</v>
      </c>
    </row>
    <row r="56" spans="1:19" ht="18.75" customHeight="1" x14ac:dyDescent="0.25">
      <c r="A56" s="14">
        <f t="shared" si="5"/>
        <v>53</v>
      </c>
      <c r="B56" s="21" t="s">
        <v>84</v>
      </c>
      <c r="C56" s="15" t="s">
        <v>3</v>
      </c>
      <c r="D56" s="21" t="s">
        <v>56</v>
      </c>
      <c r="E56" s="21"/>
      <c r="F56" s="69" t="s">
        <v>4</v>
      </c>
      <c r="G56" s="9">
        <v>25934</v>
      </c>
      <c r="H56" s="26">
        <v>563.23360730593618</v>
      </c>
      <c r="I56" s="17">
        <v>0</v>
      </c>
      <c r="J56" s="17">
        <v>0</v>
      </c>
      <c r="K56" s="17">
        <f t="shared" si="0"/>
        <v>563.23360730593618</v>
      </c>
      <c r="L56" s="23">
        <f t="shared" si="7"/>
        <v>28.16168036529681</v>
      </c>
      <c r="M56" s="23">
        <v>60</v>
      </c>
      <c r="N56" s="18">
        <f t="shared" si="3"/>
        <v>50.284931506849318</v>
      </c>
      <c r="O56" s="23">
        <v>133.84855098934563</v>
      </c>
      <c r="P56" s="18">
        <f t="shared" si="4"/>
        <v>50.786301369863011</v>
      </c>
      <c r="Q56" s="18">
        <f t="shared" si="6"/>
        <v>4.4711489785450178</v>
      </c>
      <c r="R56" s="18">
        <f t="shared" si="1"/>
        <v>138.31969996789064</v>
      </c>
      <c r="S56" s="18">
        <f t="shared" si="2"/>
        <v>424.91390733804553</v>
      </c>
    </row>
    <row r="57" spans="1:19" ht="18.75" customHeight="1" x14ac:dyDescent="0.25">
      <c r="A57" s="14">
        <f t="shared" si="5"/>
        <v>54</v>
      </c>
      <c r="B57" s="21" t="s">
        <v>85</v>
      </c>
      <c r="C57" s="15" t="s">
        <v>3</v>
      </c>
      <c r="D57" s="21" t="s">
        <v>56</v>
      </c>
      <c r="E57" s="21"/>
      <c r="F57" s="69" t="s">
        <v>6</v>
      </c>
      <c r="G57" s="9">
        <v>25934</v>
      </c>
      <c r="H57" s="22">
        <v>4203.5907214611871</v>
      </c>
      <c r="I57" s="17">
        <v>0</v>
      </c>
      <c r="J57" s="17">
        <v>0</v>
      </c>
      <c r="K57" s="17">
        <f t="shared" si="0"/>
        <v>4203.5907214611871</v>
      </c>
      <c r="L57" s="23">
        <f t="shared" si="7"/>
        <v>210.17953607305935</v>
      </c>
      <c r="M57" s="23">
        <v>60</v>
      </c>
      <c r="N57" s="18">
        <f t="shared" si="3"/>
        <v>50.284931506849318</v>
      </c>
      <c r="O57" s="23">
        <v>998.95411019786934</v>
      </c>
      <c r="P57" s="18">
        <f t="shared" si="4"/>
        <v>50.786301369863011</v>
      </c>
      <c r="Q57" s="18">
        <f t="shared" si="6"/>
        <v>33.369600316256573</v>
      </c>
      <c r="R57" s="18">
        <f t="shared" si="1"/>
        <v>1032.3237105141259</v>
      </c>
      <c r="S57" s="18">
        <f t="shared" si="2"/>
        <v>3171.267010947061</v>
      </c>
    </row>
    <row r="58" spans="1:19" ht="18.75" customHeight="1" x14ac:dyDescent="0.25">
      <c r="A58" s="14">
        <f t="shared" si="5"/>
        <v>55</v>
      </c>
      <c r="B58" s="21" t="s">
        <v>86</v>
      </c>
      <c r="C58" s="15" t="s">
        <v>3</v>
      </c>
      <c r="D58" s="21" t="s">
        <v>56</v>
      </c>
      <c r="E58" s="21"/>
      <c r="F58" s="69" t="s">
        <v>4</v>
      </c>
      <c r="G58" s="9">
        <v>25569</v>
      </c>
      <c r="H58" s="26">
        <v>935.72960273972558</v>
      </c>
      <c r="I58" s="17">
        <v>0</v>
      </c>
      <c r="J58" s="17">
        <v>0</v>
      </c>
      <c r="K58" s="17">
        <f t="shared" si="0"/>
        <v>935.72960273972558</v>
      </c>
      <c r="L58" s="23">
        <f t="shared" si="7"/>
        <v>46.786480136986285</v>
      </c>
      <c r="M58" s="23">
        <v>60</v>
      </c>
      <c r="N58" s="18">
        <f t="shared" si="3"/>
        <v>51.284931506849318</v>
      </c>
      <c r="O58" s="23">
        <v>234.62240662100459</v>
      </c>
      <c r="P58" s="18">
        <f t="shared" si="4"/>
        <v>51.786301369863011</v>
      </c>
      <c r="Q58" s="18">
        <f t="shared" si="6"/>
        <v>7.4281548601049971</v>
      </c>
      <c r="R58" s="18">
        <f t="shared" si="1"/>
        <v>242.05056148110958</v>
      </c>
      <c r="S58" s="18">
        <f t="shared" si="2"/>
        <v>693.67904125861605</v>
      </c>
    </row>
    <row r="59" spans="1:19" ht="18.75" customHeight="1" x14ac:dyDescent="0.25">
      <c r="A59" s="14">
        <f t="shared" si="5"/>
        <v>56</v>
      </c>
      <c r="B59" s="21" t="s">
        <v>87</v>
      </c>
      <c r="C59" s="15" t="s">
        <v>3</v>
      </c>
      <c r="D59" s="21" t="s">
        <v>56</v>
      </c>
      <c r="E59" s="21"/>
      <c r="F59" s="69" t="s">
        <v>4</v>
      </c>
      <c r="G59" s="9">
        <v>25569</v>
      </c>
      <c r="H59" s="22">
        <v>1033.2571027397262</v>
      </c>
      <c r="I59" s="17">
        <v>0</v>
      </c>
      <c r="J59" s="17">
        <v>0</v>
      </c>
      <c r="K59" s="17">
        <f t="shared" si="0"/>
        <v>1033.2571027397262</v>
      </c>
      <c r="L59" s="23">
        <f t="shared" si="7"/>
        <v>51.662855136986309</v>
      </c>
      <c r="M59" s="23">
        <v>60</v>
      </c>
      <c r="N59" s="18">
        <f t="shared" si="3"/>
        <v>51.284931506849318</v>
      </c>
      <c r="O59" s="23">
        <v>259.07619828767139</v>
      </c>
      <c r="P59" s="18">
        <f t="shared" si="4"/>
        <v>51.786301369863011</v>
      </c>
      <c r="Q59" s="18">
        <f t="shared" si="6"/>
        <v>8.20236289092691</v>
      </c>
      <c r="R59" s="18">
        <f t="shared" si="1"/>
        <v>267.2785611785983</v>
      </c>
      <c r="S59" s="18">
        <f t="shared" si="2"/>
        <v>765.97854156112794</v>
      </c>
    </row>
    <row r="60" spans="1:19" ht="18.75" customHeight="1" x14ac:dyDescent="0.25">
      <c r="A60" s="14">
        <f t="shared" si="5"/>
        <v>57</v>
      </c>
      <c r="B60" s="21" t="s">
        <v>88</v>
      </c>
      <c r="C60" s="15" t="s">
        <v>3</v>
      </c>
      <c r="D60" s="21" t="s">
        <v>56</v>
      </c>
      <c r="E60" s="21"/>
      <c r="F60" s="69" t="s">
        <v>4</v>
      </c>
      <c r="G60" s="9">
        <v>25569</v>
      </c>
      <c r="H60" s="22">
        <v>4275.17808219178</v>
      </c>
      <c r="I60" s="17">
        <v>0</v>
      </c>
      <c r="J60" s="17">
        <v>0</v>
      </c>
      <c r="K60" s="17">
        <f t="shared" si="0"/>
        <v>4275.17808219178</v>
      </c>
      <c r="L60" s="23">
        <f t="shared" si="7"/>
        <v>213.75890410958903</v>
      </c>
      <c r="M60" s="23">
        <v>60</v>
      </c>
      <c r="N60" s="18">
        <f t="shared" si="3"/>
        <v>51.284931506849318</v>
      </c>
      <c r="O60" s="23">
        <v>1071.9470319634718</v>
      </c>
      <c r="P60" s="18">
        <f t="shared" si="4"/>
        <v>51.786301369863011</v>
      </c>
      <c r="Q60" s="18">
        <f t="shared" si="6"/>
        <v>33.937886282604225</v>
      </c>
      <c r="R60" s="18">
        <f t="shared" si="1"/>
        <v>1105.884918246076</v>
      </c>
      <c r="S60" s="18">
        <f t="shared" si="2"/>
        <v>3169.2931639457038</v>
      </c>
    </row>
    <row r="61" spans="1:19" ht="18.75" customHeight="1" x14ac:dyDescent="0.25">
      <c r="A61" s="14">
        <f t="shared" si="5"/>
        <v>58</v>
      </c>
      <c r="B61" s="21" t="s">
        <v>89</v>
      </c>
      <c r="C61" s="15" t="s">
        <v>3</v>
      </c>
      <c r="D61" s="21" t="s">
        <v>56</v>
      </c>
      <c r="E61" s="21"/>
      <c r="F61" s="69" t="s">
        <v>6</v>
      </c>
      <c r="G61" s="9">
        <v>25569</v>
      </c>
      <c r="H61" s="22">
        <v>27720.52188356164</v>
      </c>
      <c r="I61" s="17">
        <v>0</v>
      </c>
      <c r="J61" s="17">
        <v>0</v>
      </c>
      <c r="K61" s="17">
        <f t="shared" si="0"/>
        <v>27720.52188356164</v>
      </c>
      <c r="L61" s="23">
        <f t="shared" si="7"/>
        <v>1386.0260941780821</v>
      </c>
      <c r="M61" s="23">
        <v>60</v>
      </c>
      <c r="N61" s="18">
        <f t="shared" si="3"/>
        <v>51.284931506849318</v>
      </c>
      <c r="O61" s="23">
        <v>6950.5715519406313</v>
      </c>
      <c r="P61" s="18">
        <f t="shared" si="4"/>
        <v>51.786301369863011</v>
      </c>
      <c r="Q61" s="18">
        <f t="shared" si="6"/>
        <v>220.05537577429843</v>
      </c>
      <c r="R61" s="18">
        <f t="shared" si="1"/>
        <v>7170.6269277149295</v>
      </c>
      <c r="S61" s="18">
        <f t="shared" si="2"/>
        <v>20549.89495584671</v>
      </c>
    </row>
    <row r="62" spans="1:19" ht="18.75" customHeight="1" x14ac:dyDescent="0.25">
      <c r="A62" s="14">
        <f t="shared" si="5"/>
        <v>59</v>
      </c>
      <c r="B62" s="21" t="s">
        <v>90</v>
      </c>
      <c r="C62" s="15" t="s">
        <v>3</v>
      </c>
      <c r="D62" s="21" t="s">
        <v>56</v>
      </c>
      <c r="E62" s="21"/>
      <c r="F62" s="69" t="s">
        <v>9</v>
      </c>
      <c r="G62" s="9">
        <v>36489</v>
      </c>
      <c r="H62" s="22">
        <v>2002669.4119315101</v>
      </c>
      <c r="I62" s="17">
        <v>0</v>
      </c>
      <c r="J62" s="17">
        <v>0</v>
      </c>
      <c r="K62" s="17">
        <f t="shared" si="0"/>
        <v>2002669.4119315101</v>
      </c>
      <c r="L62" s="23">
        <f t="shared" si="7"/>
        <v>100133.47059657551</v>
      </c>
      <c r="M62" s="23">
        <v>30</v>
      </c>
      <c r="N62" s="18">
        <f t="shared" si="3"/>
        <v>21.367123287671234</v>
      </c>
      <c r="O62" s="23">
        <v>956888.86164886202</v>
      </c>
      <c r="P62" s="18">
        <f t="shared" si="4"/>
        <v>21.86849315068493</v>
      </c>
      <c r="Q62" s="18">
        <f t="shared" si="6"/>
        <v>31795.806142857673</v>
      </c>
      <c r="R62" s="18">
        <f t="shared" si="1"/>
        <v>988684.66779171966</v>
      </c>
      <c r="S62" s="18">
        <f t="shared" si="2"/>
        <v>1013984.7441397904</v>
      </c>
    </row>
    <row r="63" spans="1:19" ht="18.75" customHeight="1" x14ac:dyDescent="0.25">
      <c r="A63" s="14">
        <f t="shared" si="5"/>
        <v>60</v>
      </c>
      <c r="B63" s="21" t="s">
        <v>91</v>
      </c>
      <c r="C63" s="15" t="s">
        <v>3</v>
      </c>
      <c r="D63" s="21" t="s">
        <v>56</v>
      </c>
      <c r="E63" s="21"/>
      <c r="F63" s="69" t="s">
        <v>4</v>
      </c>
      <c r="G63" s="9">
        <v>36160</v>
      </c>
      <c r="H63" s="29">
        <v>52865.853397260275</v>
      </c>
      <c r="I63" s="17">
        <v>0</v>
      </c>
      <c r="J63" s="17">
        <v>0</v>
      </c>
      <c r="K63" s="17">
        <f t="shared" si="0"/>
        <v>52865.853397260275</v>
      </c>
      <c r="L63" s="23">
        <f t="shared" si="7"/>
        <v>2643.292669863014</v>
      </c>
      <c r="M63" s="23">
        <v>30</v>
      </c>
      <c r="N63" s="18">
        <f t="shared" si="3"/>
        <v>22.268493150684932</v>
      </c>
      <c r="O63" s="23">
        <v>16351.93930502283</v>
      </c>
      <c r="P63" s="18">
        <f t="shared" si="4"/>
        <v>22.769863013698629</v>
      </c>
      <c r="Q63" s="18">
        <f t="shared" si="6"/>
        <v>839.33594640307388</v>
      </c>
      <c r="R63" s="18">
        <f t="shared" si="1"/>
        <v>17191.275251425905</v>
      </c>
      <c r="S63" s="18">
        <f t="shared" si="2"/>
        <v>35674.57814583437</v>
      </c>
    </row>
    <row r="64" spans="1:19" ht="18.75" customHeight="1" x14ac:dyDescent="0.25">
      <c r="A64" s="14">
        <f t="shared" si="5"/>
        <v>61</v>
      </c>
      <c r="B64" s="21" t="s">
        <v>92</v>
      </c>
      <c r="C64" s="15" t="s">
        <v>3</v>
      </c>
      <c r="D64" s="21" t="s">
        <v>56</v>
      </c>
      <c r="E64" s="21"/>
      <c r="F64" s="69" t="s">
        <v>7</v>
      </c>
      <c r="G64" s="9">
        <v>25204</v>
      </c>
      <c r="H64" s="26">
        <v>19.355127853881278</v>
      </c>
      <c r="I64" s="17">
        <v>0</v>
      </c>
      <c r="J64" s="17">
        <v>0</v>
      </c>
      <c r="K64" s="17">
        <f t="shared" si="0"/>
        <v>19.355127853881278</v>
      </c>
      <c r="L64" s="23">
        <f t="shared" si="7"/>
        <v>0.96775639269406399</v>
      </c>
      <c r="M64" s="23">
        <v>60</v>
      </c>
      <c r="N64" s="18">
        <f t="shared" si="3"/>
        <v>52.284931506849318</v>
      </c>
      <c r="O64" s="23">
        <v>5.1384256468797611</v>
      </c>
      <c r="P64" s="18">
        <f t="shared" si="4"/>
        <v>52.786301369863011</v>
      </c>
      <c r="Q64" s="18">
        <f t="shared" si="6"/>
        <v>0.15364789851128866</v>
      </c>
      <c r="R64" s="18">
        <f t="shared" si="1"/>
        <v>5.2920735453910499</v>
      </c>
      <c r="S64" s="18">
        <f t="shared" si="2"/>
        <v>14.063054308490228</v>
      </c>
    </row>
    <row r="65" spans="1:19" ht="18.75" customHeight="1" x14ac:dyDescent="0.25">
      <c r="A65" s="14">
        <f t="shared" si="5"/>
        <v>62</v>
      </c>
      <c r="B65" s="21" t="s">
        <v>86</v>
      </c>
      <c r="C65" s="15" t="s">
        <v>3</v>
      </c>
      <c r="D65" s="21" t="s">
        <v>56</v>
      </c>
      <c r="E65" s="21"/>
      <c r="F65" s="69" t="s">
        <v>4</v>
      </c>
      <c r="G65" s="9">
        <v>25204</v>
      </c>
      <c r="H65" s="26">
        <v>31.42066210045661</v>
      </c>
      <c r="I65" s="17">
        <v>0</v>
      </c>
      <c r="J65" s="17">
        <v>0</v>
      </c>
      <c r="K65" s="17">
        <f t="shared" si="0"/>
        <v>31.42066210045661</v>
      </c>
      <c r="L65" s="23">
        <f t="shared" si="7"/>
        <v>1.5710331050228306</v>
      </c>
      <c r="M65" s="23">
        <v>60</v>
      </c>
      <c r="N65" s="18">
        <f t="shared" si="3"/>
        <v>52.284931506849318</v>
      </c>
      <c r="O65" s="23">
        <v>8.3416000761034983</v>
      </c>
      <c r="P65" s="18">
        <f t="shared" si="4"/>
        <v>52.786301369863011</v>
      </c>
      <c r="Q65" s="18">
        <f t="shared" si="6"/>
        <v>0.24942840667416982</v>
      </c>
      <c r="R65" s="18">
        <f t="shared" si="1"/>
        <v>8.5910284827776682</v>
      </c>
      <c r="S65" s="18">
        <f t="shared" si="2"/>
        <v>22.829633617678944</v>
      </c>
    </row>
    <row r="66" spans="1:19" ht="18.75" customHeight="1" x14ac:dyDescent="0.25">
      <c r="A66" s="14">
        <f t="shared" si="5"/>
        <v>63</v>
      </c>
      <c r="B66" s="21" t="s">
        <v>93</v>
      </c>
      <c r="C66" s="15" t="s">
        <v>3</v>
      </c>
      <c r="D66" s="21" t="s">
        <v>56</v>
      </c>
      <c r="E66" s="21"/>
      <c r="F66" s="69" t="s">
        <v>4</v>
      </c>
      <c r="G66" s="9">
        <v>36144</v>
      </c>
      <c r="H66" s="22">
        <v>463798.52334246575</v>
      </c>
      <c r="I66" s="17">
        <v>0</v>
      </c>
      <c r="J66" s="17">
        <v>0</v>
      </c>
      <c r="K66" s="17">
        <f t="shared" si="0"/>
        <v>463798.52334246575</v>
      </c>
      <c r="L66" s="23">
        <f t="shared" si="7"/>
        <v>23189.926167123289</v>
      </c>
      <c r="M66" s="23">
        <v>30</v>
      </c>
      <c r="N66" s="18">
        <f t="shared" si="3"/>
        <v>22.312328767123287</v>
      </c>
      <c r="O66" s="23">
        <v>143850.75039452047</v>
      </c>
      <c r="P66" s="18">
        <f t="shared" si="4"/>
        <v>22.813698630136987</v>
      </c>
      <c r="Q66" s="18">
        <f t="shared" si="6"/>
        <v>7363.5957336153315</v>
      </c>
      <c r="R66" s="18">
        <f t="shared" si="1"/>
        <v>151214.3461281358</v>
      </c>
      <c r="S66" s="18">
        <f t="shared" si="2"/>
        <v>312584.17721432995</v>
      </c>
    </row>
    <row r="67" spans="1:19" ht="18.75" customHeight="1" x14ac:dyDescent="0.25">
      <c r="A67" s="14">
        <f t="shared" si="5"/>
        <v>64</v>
      </c>
      <c r="B67" s="21" t="s">
        <v>94</v>
      </c>
      <c r="C67" s="15" t="s">
        <v>3</v>
      </c>
      <c r="D67" s="21" t="s">
        <v>56</v>
      </c>
      <c r="E67" s="21"/>
      <c r="F67" s="69" t="s">
        <v>4</v>
      </c>
      <c r="G67" s="9">
        <v>36144</v>
      </c>
      <c r="H67" s="22">
        <v>1492321.4529041101</v>
      </c>
      <c r="I67" s="17">
        <v>0</v>
      </c>
      <c r="J67" s="17">
        <v>0</v>
      </c>
      <c r="K67" s="17">
        <f t="shared" si="0"/>
        <v>1492321.4529041101</v>
      </c>
      <c r="L67" s="23">
        <f t="shared" si="7"/>
        <v>74616.07264520551</v>
      </c>
      <c r="M67" s="23">
        <v>30</v>
      </c>
      <c r="N67" s="18">
        <f t="shared" si="3"/>
        <v>22.312328767123287</v>
      </c>
      <c r="O67" s="23">
        <v>824442.94979086774</v>
      </c>
      <c r="P67" s="18">
        <f t="shared" si="4"/>
        <v>22.813698630136987</v>
      </c>
      <c r="Q67" s="18">
        <f t="shared" si="6"/>
        <v>23693.158409806412</v>
      </c>
      <c r="R67" s="18">
        <f t="shared" si="1"/>
        <v>848136.10820067418</v>
      </c>
      <c r="S67" s="18">
        <f t="shared" si="2"/>
        <v>644185.3447034359</v>
      </c>
    </row>
    <row r="68" spans="1:19" ht="18.75" customHeight="1" x14ac:dyDescent="0.25">
      <c r="A68" s="14">
        <f t="shared" si="5"/>
        <v>65</v>
      </c>
      <c r="B68" s="21" t="s">
        <v>95</v>
      </c>
      <c r="C68" s="15" t="s">
        <v>3</v>
      </c>
      <c r="D68" s="21" t="s">
        <v>56</v>
      </c>
      <c r="E68" s="21"/>
      <c r="F68" s="69" t="s">
        <v>6</v>
      </c>
      <c r="G68" s="9">
        <v>36114</v>
      </c>
      <c r="H68" s="29">
        <v>52751.692109589036</v>
      </c>
      <c r="I68" s="17">
        <v>0</v>
      </c>
      <c r="J68" s="17">
        <v>0</v>
      </c>
      <c r="K68" s="17">
        <f t="shared" ref="K68:K131" si="8">H68+I68-J68</f>
        <v>52751.692109589036</v>
      </c>
      <c r="L68" s="23">
        <f t="shared" si="7"/>
        <v>2637.584605479452</v>
      </c>
      <c r="M68" s="23">
        <v>30</v>
      </c>
      <c r="N68" s="18">
        <f t="shared" si="3"/>
        <v>22.394520547945206</v>
      </c>
      <c r="O68" s="23">
        <v>16445.951773515972</v>
      </c>
      <c r="P68" s="18">
        <f t="shared" si="4"/>
        <v>22.895890410958906</v>
      </c>
      <c r="Q68" s="18">
        <f t="shared" si="6"/>
        <v>837.52344047964186</v>
      </c>
      <c r="R68" s="18">
        <f t="shared" ref="R68:R131" si="9">Q68+O68</f>
        <v>17283.475213995614</v>
      </c>
      <c r="S68" s="18">
        <f t="shared" ref="S68:S131" si="10">K68-R68</f>
        <v>35468.216895593418</v>
      </c>
    </row>
    <row r="69" spans="1:19" ht="18.75" customHeight="1" x14ac:dyDescent="0.25">
      <c r="A69" s="14">
        <f t="shared" si="5"/>
        <v>66</v>
      </c>
      <c r="B69" s="21" t="s">
        <v>96</v>
      </c>
      <c r="C69" s="15" t="s">
        <v>3</v>
      </c>
      <c r="D69" s="21" t="s">
        <v>56</v>
      </c>
      <c r="E69" s="21"/>
      <c r="F69" s="69" t="s">
        <v>4</v>
      </c>
      <c r="G69" s="9">
        <v>36114</v>
      </c>
      <c r="H69" s="22">
        <v>298913.52624657535</v>
      </c>
      <c r="I69" s="17">
        <v>0</v>
      </c>
      <c r="J69" s="17">
        <v>0</v>
      </c>
      <c r="K69" s="17">
        <f t="shared" si="8"/>
        <v>298913.52624657535</v>
      </c>
      <c r="L69" s="23">
        <f t="shared" si="7"/>
        <v>14945.676312328767</v>
      </c>
      <c r="M69" s="23">
        <v>30</v>
      </c>
      <c r="N69" s="18">
        <f t="shared" ref="N69:N132" si="11">IF(($N$2-G69+1)/365&gt;0,($N$2-G69+1)/365,0)</f>
        <v>22.394520547945206</v>
      </c>
      <c r="O69" s="23">
        <v>93189.758290410915</v>
      </c>
      <c r="P69" s="18">
        <f t="shared" ref="P69:P132" si="12">($P$2-G69+1)/365</f>
        <v>22.895890410958906</v>
      </c>
      <c r="Q69" s="18">
        <f t="shared" si="6"/>
        <v>4745.7640673942706</v>
      </c>
      <c r="R69" s="18">
        <f t="shared" si="9"/>
        <v>97935.522357805181</v>
      </c>
      <c r="S69" s="18">
        <f t="shared" si="10"/>
        <v>200978.00388877018</v>
      </c>
    </row>
    <row r="70" spans="1:19" ht="18.75" customHeight="1" x14ac:dyDescent="0.25">
      <c r="A70" s="14">
        <f t="shared" ref="A70:A133" si="13">+A69+1</f>
        <v>67</v>
      </c>
      <c r="B70" s="21" t="s">
        <v>97</v>
      </c>
      <c r="C70" s="15" t="s">
        <v>3</v>
      </c>
      <c r="D70" s="21" t="s">
        <v>56</v>
      </c>
      <c r="E70" s="21"/>
      <c r="F70" s="69" t="s">
        <v>8</v>
      </c>
      <c r="G70" s="9">
        <v>36114</v>
      </c>
      <c r="H70" s="22">
        <v>332591.4241643835</v>
      </c>
      <c r="I70" s="17">
        <v>0</v>
      </c>
      <c r="J70" s="17">
        <v>0</v>
      </c>
      <c r="K70" s="17">
        <f t="shared" si="8"/>
        <v>332591.4241643835</v>
      </c>
      <c r="L70" s="23">
        <f t="shared" si="7"/>
        <v>16629.571208219175</v>
      </c>
      <c r="M70" s="23">
        <v>30</v>
      </c>
      <c r="N70" s="18">
        <f t="shared" si="11"/>
        <v>22.394520547945206</v>
      </c>
      <c r="O70" s="23">
        <v>103689.2335269406</v>
      </c>
      <c r="P70" s="18">
        <f t="shared" si="12"/>
        <v>22.895890410958906</v>
      </c>
      <c r="Q70" s="18">
        <f t="shared" si="6"/>
        <v>5280.4583644728973</v>
      </c>
      <c r="R70" s="18">
        <f t="shared" si="9"/>
        <v>108969.6918914135</v>
      </c>
      <c r="S70" s="18">
        <f t="shared" si="10"/>
        <v>223621.73227297</v>
      </c>
    </row>
    <row r="71" spans="1:19" ht="18.75" customHeight="1" x14ac:dyDescent="0.25">
      <c r="A71" s="14">
        <f t="shared" si="13"/>
        <v>68</v>
      </c>
      <c r="B71" s="21" t="s">
        <v>98</v>
      </c>
      <c r="C71" s="15" t="s">
        <v>3</v>
      </c>
      <c r="D71" s="24" t="s">
        <v>56</v>
      </c>
      <c r="E71" s="24"/>
      <c r="F71" s="70" t="s">
        <v>7</v>
      </c>
      <c r="G71" s="9">
        <v>36114</v>
      </c>
      <c r="H71" s="22">
        <v>446736.32975342462</v>
      </c>
      <c r="I71" s="17">
        <v>0</v>
      </c>
      <c r="J71" s="17">
        <v>0</v>
      </c>
      <c r="K71" s="17">
        <f t="shared" si="8"/>
        <v>446736.32975342462</v>
      </c>
      <c r="L71" s="23">
        <f t="shared" si="7"/>
        <v>22336.816487671233</v>
      </c>
      <c r="M71" s="23">
        <v>30</v>
      </c>
      <c r="N71" s="18">
        <f t="shared" si="11"/>
        <v>22.394520547945206</v>
      </c>
      <c r="O71" s="23">
        <v>139275.23157625561</v>
      </c>
      <c r="P71" s="18">
        <f t="shared" si="12"/>
        <v>22.895890410958906</v>
      </c>
      <c r="Q71" s="18">
        <f t="shared" si="6"/>
        <v>7092.7041943043905</v>
      </c>
      <c r="R71" s="18">
        <f t="shared" si="9"/>
        <v>146367.93577056</v>
      </c>
      <c r="S71" s="18">
        <f t="shared" si="10"/>
        <v>300368.39398286463</v>
      </c>
    </row>
    <row r="72" spans="1:19" ht="18.75" customHeight="1" x14ac:dyDescent="0.25">
      <c r="A72" s="14">
        <f t="shared" si="13"/>
        <v>69</v>
      </c>
      <c r="B72" s="21" t="s">
        <v>99</v>
      </c>
      <c r="C72" s="15" t="s">
        <v>3</v>
      </c>
      <c r="D72" s="21" t="s">
        <v>56</v>
      </c>
      <c r="E72" s="21"/>
      <c r="F72" s="69" t="s">
        <v>4</v>
      </c>
      <c r="G72" s="9">
        <v>35977</v>
      </c>
      <c r="H72" s="22">
        <v>1556203.2626483999</v>
      </c>
      <c r="I72" s="17">
        <v>0</v>
      </c>
      <c r="J72" s="17">
        <v>0</v>
      </c>
      <c r="K72" s="17">
        <f t="shared" si="8"/>
        <v>1556203.2626483999</v>
      </c>
      <c r="L72" s="23">
        <f t="shared" si="7"/>
        <v>77810.163132419999</v>
      </c>
      <c r="M72" s="23">
        <v>30</v>
      </c>
      <c r="N72" s="18">
        <f t="shared" si="11"/>
        <v>22.769863013698629</v>
      </c>
      <c r="O72" s="23">
        <v>853941.95153120055</v>
      </c>
      <c r="P72" s="18">
        <f t="shared" si="12"/>
        <v>23.271232876712329</v>
      </c>
      <c r="Q72" s="18">
        <f t="shared" si="6"/>
        <v>24707.391526157538</v>
      </c>
      <c r="R72" s="18">
        <f t="shared" si="9"/>
        <v>878649.34305735806</v>
      </c>
      <c r="S72" s="18">
        <f t="shared" si="10"/>
        <v>677553.91959104186</v>
      </c>
    </row>
    <row r="73" spans="1:19" ht="18.75" customHeight="1" x14ac:dyDescent="0.25">
      <c r="A73" s="14">
        <f t="shared" si="13"/>
        <v>70</v>
      </c>
      <c r="B73" s="21" t="s">
        <v>100</v>
      </c>
      <c r="C73" s="15" t="s">
        <v>3</v>
      </c>
      <c r="D73" s="21" t="s">
        <v>56</v>
      </c>
      <c r="E73" s="21"/>
      <c r="F73" s="69" t="s">
        <v>4</v>
      </c>
      <c r="G73" s="9">
        <v>35869</v>
      </c>
      <c r="H73" s="22">
        <v>33686.099383561646</v>
      </c>
      <c r="I73" s="17">
        <v>0</v>
      </c>
      <c r="J73" s="17">
        <v>0</v>
      </c>
      <c r="K73" s="17">
        <f t="shared" si="8"/>
        <v>33686.099383561646</v>
      </c>
      <c r="L73" s="23">
        <f t="shared" si="7"/>
        <v>1684.3049691780825</v>
      </c>
      <c r="M73" s="23">
        <v>30</v>
      </c>
      <c r="N73" s="18">
        <f t="shared" si="11"/>
        <v>23.065753424657533</v>
      </c>
      <c r="O73" s="23">
        <v>10967.823267123284</v>
      </c>
      <c r="P73" s="18">
        <f t="shared" si="12"/>
        <v>23.567123287671233</v>
      </c>
      <c r="Q73" s="18">
        <f t="shared" si="6"/>
        <v>534.82450939106923</v>
      </c>
      <c r="R73" s="18">
        <f t="shared" si="9"/>
        <v>11502.647776514354</v>
      </c>
      <c r="S73" s="18">
        <f t="shared" si="10"/>
        <v>22183.451607047293</v>
      </c>
    </row>
    <row r="74" spans="1:19" ht="18.75" customHeight="1" x14ac:dyDescent="0.25">
      <c r="A74" s="14">
        <f t="shared" si="13"/>
        <v>71</v>
      </c>
      <c r="B74" s="21" t="s">
        <v>101</v>
      </c>
      <c r="C74" s="15" t="s">
        <v>3</v>
      </c>
      <c r="D74" s="21" t="s">
        <v>56</v>
      </c>
      <c r="E74" s="21"/>
      <c r="F74" s="70" t="s">
        <v>7</v>
      </c>
      <c r="G74" s="9">
        <v>35796</v>
      </c>
      <c r="H74" s="22">
        <v>9259.9002739726038</v>
      </c>
      <c r="I74" s="17">
        <v>0</v>
      </c>
      <c r="J74" s="17">
        <v>0</v>
      </c>
      <c r="K74" s="17">
        <f t="shared" si="8"/>
        <v>9259.9002739726038</v>
      </c>
      <c r="L74" s="23">
        <f t="shared" si="7"/>
        <v>462.9950136986302</v>
      </c>
      <c r="M74" s="23">
        <v>30</v>
      </c>
      <c r="N74" s="18">
        <f t="shared" si="11"/>
        <v>23.265753424657536</v>
      </c>
      <c r="O74" s="23">
        <v>3055.5685479452077</v>
      </c>
      <c r="P74" s="18">
        <f t="shared" si="12"/>
        <v>23.767123287671232</v>
      </c>
      <c r="Q74" s="18">
        <f t="shared" si="6"/>
        <v>147.01677284293427</v>
      </c>
      <c r="R74" s="18">
        <f t="shared" si="9"/>
        <v>3202.5853207881419</v>
      </c>
      <c r="S74" s="18">
        <f t="shared" si="10"/>
        <v>6057.314953184462</v>
      </c>
    </row>
    <row r="75" spans="1:19" ht="18.75" customHeight="1" x14ac:dyDescent="0.25">
      <c r="A75" s="14">
        <f t="shared" si="13"/>
        <v>72</v>
      </c>
      <c r="B75" s="21" t="s">
        <v>102</v>
      </c>
      <c r="C75" s="15" t="s">
        <v>3</v>
      </c>
      <c r="D75" s="21" t="s">
        <v>56</v>
      </c>
      <c r="E75" s="21"/>
      <c r="F75" s="69" t="s">
        <v>4</v>
      </c>
      <c r="G75" s="9">
        <v>35795</v>
      </c>
      <c r="H75" s="22">
        <v>19520.625940639271</v>
      </c>
      <c r="I75" s="17">
        <v>0</v>
      </c>
      <c r="J75" s="17">
        <v>0</v>
      </c>
      <c r="K75" s="17">
        <f t="shared" si="8"/>
        <v>19520.625940639271</v>
      </c>
      <c r="L75" s="23">
        <f t="shared" si="7"/>
        <v>976.03129703196362</v>
      </c>
      <c r="M75" s="23">
        <v>30</v>
      </c>
      <c r="N75" s="18">
        <f t="shared" si="11"/>
        <v>23.268493150684932</v>
      </c>
      <c r="O75" s="23">
        <v>6442.5796866057826</v>
      </c>
      <c r="P75" s="18">
        <f t="shared" si="12"/>
        <v>23.769863013698629</v>
      </c>
      <c r="Q75" s="18">
        <f t="shared" si="6"/>
        <v>309.92336253699744</v>
      </c>
      <c r="R75" s="18">
        <f t="shared" si="9"/>
        <v>6752.5030491427797</v>
      </c>
      <c r="S75" s="18">
        <f t="shared" si="10"/>
        <v>12768.122891496492</v>
      </c>
    </row>
    <row r="76" spans="1:19" ht="18.75" customHeight="1" x14ac:dyDescent="0.25">
      <c r="A76" s="14">
        <f t="shared" si="13"/>
        <v>73</v>
      </c>
      <c r="B76" s="21" t="s">
        <v>103</v>
      </c>
      <c r="C76" s="15" t="s">
        <v>3</v>
      </c>
      <c r="D76" s="21" t="s">
        <v>56</v>
      </c>
      <c r="E76" s="21"/>
      <c r="F76" s="69" t="s">
        <v>7</v>
      </c>
      <c r="G76" s="9">
        <v>24838</v>
      </c>
      <c r="H76" s="26">
        <v>135.40593607305937</v>
      </c>
      <c r="I76" s="17">
        <v>0</v>
      </c>
      <c r="J76" s="17">
        <v>0</v>
      </c>
      <c r="K76" s="17">
        <f t="shared" si="8"/>
        <v>135.40593607305937</v>
      </c>
      <c r="L76" s="23">
        <f t="shared" si="7"/>
        <v>6.7702968036529683</v>
      </c>
      <c r="M76" s="23">
        <v>60</v>
      </c>
      <c r="N76" s="18">
        <f t="shared" si="11"/>
        <v>53.287671232876711</v>
      </c>
      <c r="O76" s="23">
        <v>38.219208523592023</v>
      </c>
      <c r="P76" s="18">
        <f t="shared" si="12"/>
        <v>53.789041095890411</v>
      </c>
      <c r="Q76" s="18">
        <f t="shared" si="6"/>
        <v>1.0749005473197002</v>
      </c>
      <c r="R76" s="18">
        <f t="shared" si="9"/>
        <v>39.294109070911723</v>
      </c>
      <c r="S76" s="18">
        <f t="shared" si="10"/>
        <v>96.111827002147635</v>
      </c>
    </row>
    <row r="77" spans="1:19" ht="18.75" customHeight="1" x14ac:dyDescent="0.25">
      <c r="A77" s="14">
        <f t="shared" si="13"/>
        <v>74</v>
      </c>
      <c r="B77" s="21" t="s">
        <v>86</v>
      </c>
      <c r="C77" s="15" t="s">
        <v>3</v>
      </c>
      <c r="D77" s="21" t="s">
        <v>56</v>
      </c>
      <c r="E77" s="21"/>
      <c r="F77" s="69" t="s">
        <v>4</v>
      </c>
      <c r="G77" s="9">
        <v>24838</v>
      </c>
      <c r="H77" s="22">
        <v>3004.5988493150689</v>
      </c>
      <c r="I77" s="17">
        <v>0</v>
      </c>
      <c r="J77" s="17">
        <v>0</v>
      </c>
      <c r="K77" s="17">
        <f t="shared" si="8"/>
        <v>3004.5988493150689</v>
      </c>
      <c r="L77" s="23">
        <f t="shared" si="7"/>
        <v>150.22994246575345</v>
      </c>
      <c r="M77" s="23">
        <v>60</v>
      </c>
      <c r="N77" s="18">
        <f t="shared" si="11"/>
        <v>53.287671232876711</v>
      </c>
      <c r="O77" s="23">
        <v>848.0676200913241</v>
      </c>
      <c r="P77" s="18">
        <f t="shared" si="12"/>
        <v>53.789041095890411</v>
      </c>
      <c r="Q77" s="18">
        <f t="shared" si="6"/>
        <v>23.851575796960095</v>
      </c>
      <c r="R77" s="18">
        <f t="shared" si="9"/>
        <v>871.91919588828421</v>
      </c>
      <c r="S77" s="18">
        <f t="shared" si="10"/>
        <v>2132.6796534267846</v>
      </c>
    </row>
    <row r="78" spans="1:19" ht="18.75" customHeight="1" x14ac:dyDescent="0.25">
      <c r="A78" s="14">
        <f t="shared" si="13"/>
        <v>75</v>
      </c>
      <c r="B78" s="21" t="s">
        <v>104</v>
      </c>
      <c r="C78" s="15" t="s">
        <v>3</v>
      </c>
      <c r="D78" s="21" t="s">
        <v>56</v>
      </c>
      <c r="E78" s="21"/>
      <c r="F78" s="69" t="s">
        <v>10</v>
      </c>
      <c r="G78" s="9">
        <v>35750</v>
      </c>
      <c r="H78" s="22">
        <v>90373.08295890411</v>
      </c>
      <c r="I78" s="17">
        <v>0</v>
      </c>
      <c r="J78" s="17">
        <v>0</v>
      </c>
      <c r="K78" s="17">
        <f t="shared" si="8"/>
        <v>90373.08295890411</v>
      </c>
      <c r="L78" s="23">
        <f t="shared" si="7"/>
        <v>4518.6541479452053</v>
      </c>
      <c r="M78" s="23">
        <v>30</v>
      </c>
      <c r="N78" s="18">
        <f t="shared" si="11"/>
        <v>23.391780821917809</v>
      </c>
      <c r="O78" s="23">
        <v>30077.332838356157</v>
      </c>
      <c r="P78" s="18">
        <f t="shared" si="12"/>
        <v>23.893150684931506</v>
      </c>
      <c r="Q78" s="18">
        <f t="shared" si="6"/>
        <v>1434.8274404023207</v>
      </c>
      <c r="R78" s="18">
        <f t="shared" si="9"/>
        <v>31512.160278758478</v>
      </c>
      <c r="S78" s="18">
        <f t="shared" si="10"/>
        <v>58860.922680145632</v>
      </c>
    </row>
    <row r="79" spans="1:19" ht="18.75" customHeight="1" x14ac:dyDescent="0.25">
      <c r="A79" s="14">
        <f t="shared" si="13"/>
        <v>76</v>
      </c>
      <c r="B79" s="21" t="s">
        <v>105</v>
      </c>
      <c r="C79" s="15" t="s">
        <v>3</v>
      </c>
      <c r="D79" s="21" t="s">
        <v>56</v>
      </c>
      <c r="E79" s="21"/>
      <c r="F79" s="70" t="s">
        <v>7</v>
      </c>
      <c r="G79" s="9">
        <v>35750</v>
      </c>
      <c r="H79" s="22">
        <v>91040.11850228309</v>
      </c>
      <c r="I79" s="17">
        <v>0</v>
      </c>
      <c r="J79" s="17">
        <v>0</v>
      </c>
      <c r="K79" s="17">
        <f t="shared" si="8"/>
        <v>91040.11850228309</v>
      </c>
      <c r="L79" s="23">
        <f t="shared" si="7"/>
        <v>4552.0059251141547</v>
      </c>
      <c r="M79" s="23">
        <v>30</v>
      </c>
      <c r="N79" s="18">
        <f t="shared" si="11"/>
        <v>23.391780821917809</v>
      </c>
      <c r="O79" s="23">
        <v>30299.330908980221</v>
      </c>
      <c r="P79" s="18">
        <f t="shared" si="12"/>
        <v>23.893150684931506</v>
      </c>
      <c r="Q79" s="18">
        <f t="shared" si="6"/>
        <v>1445.4177718376116</v>
      </c>
      <c r="R79" s="18">
        <f t="shared" si="9"/>
        <v>31744.748680817833</v>
      </c>
      <c r="S79" s="18">
        <f t="shared" si="10"/>
        <v>59295.369821465254</v>
      </c>
    </row>
    <row r="80" spans="1:19" ht="18.75" customHeight="1" x14ac:dyDescent="0.25">
      <c r="A80" s="14">
        <f t="shared" si="13"/>
        <v>77</v>
      </c>
      <c r="B80" s="21" t="s">
        <v>106</v>
      </c>
      <c r="C80" s="15" t="s">
        <v>3</v>
      </c>
      <c r="D80" s="21" t="s">
        <v>56</v>
      </c>
      <c r="E80" s="21"/>
      <c r="F80" s="69" t="s">
        <v>11</v>
      </c>
      <c r="G80" s="9">
        <v>35750</v>
      </c>
      <c r="H80" s="22">
        <v>124614.93698630136</v>
      </c>
      <c r="I80" s="17">
        <v>0</v>
      </c>
      <c r="J80" s="17">
        <v>0</v>
      </c>
      <c r="K80" s="17">
        <f t="shared" si="8"/>
        <v>124614.93698630136</v>
      </c>
      <c r="L80" s="23">
        <f t="shared" si="7"/>
        <v>6230.7468493150682</v>
      </c>
      <c r="M80" s="23">
        <v>30</v>
      </c>
      <c r="N80" s="18">
        <f t="shared" si="11"/>
        <v>23.391780821917809</v>
      </c>
      <c r="O80" s="23">
        <v>41473.465479452039</v>
      </c>
      <c r="P80" s="18">
        <f t="shared" si="12"/>
        <v>23.893150684931506</v>
      </c>
      <c r="Q80" s="18">
        <f t="shared" si="6"/>
        <v>1978.4755063989403</v>
      </c>
      <c r="R80" s="18">
        <f t="shared" si="9"/>
        <v>43451.940985850983</v>
      </c>
      <c r="S80" s="18">
        <f t="shared" si="10"/>
        <v>81162.996000450366</v>
      </c>
    </row>
    <row r="81" spans="1:19" ht="18.75" customHeight="1" x14ac:dyDescent="0.25">
      <c r="A81" s="14">
        <f t="shared" si="13"/>
        <v>78</v>
      </c>
      <c r="B81" s="21" t="s">
        <v>107</v>
      </c>
      <c r="C81" s="15" t="s">
        <v>3</v>
      </c>
      <c r="D81" s="21" t="s">
        <v>56</v>
      </c>
      <c r="E81" s="21"/>
      <c r="F81" s="69" t="s">
        <v>11</v>
      </c>
      <c r="G81" s="9">
        <v>35750</v>
      </c>
      <c r="H81" s="22">
        <v>241862.82768949767</v>
      </c>
      <c r="I81" s="17">
        <v>0</v>
      </c>
      <c r="J81" s="17">
        <v>0</v>
      </c>
      <c r="K81" s="17">
        <f t="shared" si="8"/>
        <v>241862.82768949767</v>
      </c>
      <c r="L81" s="23">
        <f t="shared" si="7"/>
        <v>12093.141384474884</v>
      </c>
      <c r="M81" s="23">
        <v>30</v>
      </c>
      <c r="N81" s="18">
        <f t="shared" si="11"/>
        <v>23.391780821917809</v>
      </c>
      <c r="O81" s="23">
        <v>80495.08251202431</v>
      </c>
      <c r="P81" s="18">
        <f t="shared" si="12"/>
        <v>23.893150684931506</v>
      </c>
      <c r="Q81" s="18">
        <f t="shared" si="6"/>
        <v>3839.9865382483094</v>
      </c>
      <c r="R81" s="18">
        <f t="shared" si="9"/>
        <v>84335.069050272621</v>
      </c>
      <c r="S81" s="18">
        <f t="shared" si="10"/>
        <v>157527.75863922504</v>
      </c>
    </row>
    <row r="82" spans="1:19" ht="18.75" customHeight="1" x14ac:dyDescent="0.25">
      <c r="A82" s="14">
        <f t="shared" si="13"/>
        <v>79</v>
      </c>
      <c r="B82" s="21" t="s">
        <v>108</v>
      </c>
      <c r="C82" s="15" t="s">
        <v>3</v>
      </c>
      <c r="D82" s="21" t="s">
        <v>56</v>
      </c>
      <c r="E82" s="21"/>
      <c r="F82" s="69" t="s">
        <v>12</v>
      </c>
      <c r="G82" s="9">
        <v>35750</v>
      </c>
      <c r="H82" s="22">
        <v>288709.85746118717</v>
      </c>
      <c r="I82" s="17">
        <v>0</v>
      </c>
      <c r="J82" s="17">
        <v>0</v>
      </c>
      <c r="K82" s="17">
        <f t="shared" si="8"/>
        <v>288709.85746118717</v>
      </c>
      <c r="L82" s="23">
        <f t="shared" si="7"/>
        <v>14435.49287305936</v>
      </c>
      <c r="M82" s="23">
        <v>30</v>
      </c>
      <c r="N82" s="18">
        <f t="shared" si="11"/>
        <v>23.391780821917809</v>
      </c>
      <c r="O82" s="23">
        <v>96086.380947336365</v>
      </c>
      <c r="P82" s="18">
        <f t="shared" si="12"/>
        <v>23.893150684931506</v>
      </c>
      <c r="Q82" s="18">
        <f t="shared" si="6"/>
        <v>4583.7633533906092</v>
      </c>
      <c r="R82" s="18">
        <f t="shared" si="9"/>
        <v>100670.14430072697</v>
      </c>
      <c r="S82" s="18">
        <f t="shared" si="10"/>
        <v>188039.7131604602</v>
      </c>
    </row>
    <row r="83" spans="1:19" ht="18.75" customHeight="1" x14ac:dyDescent="0.25">
      <c r="A83" s="14">
        <f t="shared" si="13"/>
        <v>80</v>
      </c>
      <c r="B83" s="21" t="s">
        <v>81</v>
      </c>
      <c r="C83" s="15" t="s">
        <v>3</v>
      </c>
      <c r="D83" s="21" t="s">
        <v>56</v>
      </c>
      <c r="E83" s="21"/>
      <c r="F83" s="70" t="s">
        <v>7</v>
      </c>
      <c r="G83" s="9">
        <v>35750</v>
      </c>
      <c r="H83" s="22">
        <v>3522969.0089497701</v>
      </c>
      <c r="I83" s="17">
        <v>0</v>
      </c>
      <c r="J83" s="17">
        <v>0</v>
      </c>
      <c r="K83" s="17">
        <f t="shared" si="8"/>
        <v>3522969.0089497701</v>
      </c>
      <c r="L83" s="23">
        <f t="shared" si="7"/>
        <v>176148.45044748852</v>
      </c>
      <c r="M83" s="23">
        <v>30</v>
      </c>
      <c r="N83" s="18">
        <f t="shared" si="11"/>
        <v>23.391780821917809</v>
      </c>
      <c r="O83" s="23">
        <v>1873010.1058691004</v>
      </c>
      <c r="P83" s="18">
        <f t="shared" si="12"/>
        <v>23.893150684931506</v>
      </c>
      <c r="Q83" s="18">
        <f t="shared" si="6"/>
        <v>55933.165498257062</v>
      </c>
      <c r="R83" s="18">
        <f t="shared" si="9"/>
        <v>1928943.2713673576</v>
      </c>
      <c r="S83" s="18">
        <f t="shared" si="10"/>
        <v>1594025.7375824125</v>
      </c>
    </row>
    <row r="84" spans="1:19" ht="18.75" customHeight="1" x14ac:dyDescent="0.25">
      <c r="A84" s="14">
        <f t="shared" si="13"/>
        <v>81</v>
      </c>
      <c r="B84" s="21" t="s">
        <v>109</v>
      </c>
      <c r="C84" s="15" t="s">
        <v>3</v>
      </c>
      <c r="D84" s="21" t="s">
        <v>56</v>
      </c>
      <c r="E84" s="21"/>
      <c r="F84" s="69" t="s">
        <v>8</v>
      </c>
      <c r="G84" s="9">
        <v>35750</v>
      </c>
      <c r="H84" s="22">
        <v>7159632.3746483997</v>
      </c>
      <c r="I84" s="17">
        <v>0</v>
      </c>
      <c r="J84" s="17">
        <v>0</v>
      </c>
      <c r="K84" s="17">
        <f t="shared" si="8"/>
        <v>7159632.3746483997</v>
      </c>
      <c r="L84" s="23">
        <f t="shared" si="7"/>
        <v>357981.61873242003</v>
      </c>
      <c r="M84" s="23">
        <v>30</v>
      </c>
      <c r="N84" s="18">
        <f t="shared" si="11"/>
        <v>23.391780821917809</v>
      </c>
      <c r="O84" s="23">
        <v>4616077.3754837122</v>
      </c>
      <c r="P84" s="18">
        <f t="shared" si="12"/>
        <v>23.893150684931506</v>
      </c>
      <c r="Q84" s="18">
        <f t="shared" si="6"/>
        <v>113671.42359201999</v>
      </c>
      <c r="R84" s="18">
        <f t="shared" si="9"/>
        <v>4729748.799075732</v>
      </c>
      <c r="S84" s="18">
        <f t="shared" si="10"/>
        <v>2429883.5755726676</v>
      </c>
    </row>
    <row r="85" spans="1:19" ht="18.75" customHeight="1" x14ac:dyDescent="0.25">
      <c r="A85" s="14">
        <f t="shared" si="13"/>
        <v>82</v>
      </c>
      <c r="B85" s="21" t="s">
        <v>110</v>
      </c>
      <c r="C85" s="15" t="s">
        <v>3</v>
      </c>
      <c r="D85" s="21" t="s">
        <v>56</v>
      </c>
      <c r="E85" s="21"/>
      <c r="F85" s="69" t="s">
        <v>4</v>
      </c>
      <c r="G85" s="9">
        <v>35735</v>
      </c>
      <c r="H85" s="22">
        <v>1382510.70065297</v>
      </c>
      <c r="I85" s="17">
        <v>0</v>
      </c>
      <c r="J85" s="17">
        <v>0</v>
      </c>
      <c r="K85" s="17">
        <f t="shared" si="8"/>
        <v>1382510.70065297</v>
      </c>
      <c r="L85" s="23">
        <f t="shared" si="7"/>
        <v>69125.535032648506</v>
      </c>
      <c r="M85" s="23">
        <v>30</v>
      </c>
      <c r="N85" s="18">
        <f t="shared" si="11"/>
        <v>23.432876712328767</v>
      </c>
      <c r="O85" s="23">
        <v>811203.69762907363</v>
      </c>
      <c r="P85" s="18">
        <f t="shared" si="12"/>
        <v>23.934246575342467</v>
      </c>
      <c r="Q85" s="18">
        <f t="shared" si="6"/>
        <v>21949.724685709538</v>
      </c>
      <c r="R85" s="18">
        <f t="shared" si="9"/>
        <v>833153.42231478321</v>
      </c>
      <c r="S85" s="18">
        <f t="shared" si="10"/>
        <v>549357.27833818679</v>
      </c>
    </row>
    <row r="86" spans="1:19" ht="18.75" customHeight="1" x14ac:dyDescent="0.25">
      <c r="A86" s="14">
        <f t="shared" si="13"/>
        <v>83</v>
      </c>
      <c r="B86" s="21" t="s">
        <v>111</v>
      </c>
      <c r="C86" s="15" t="s">
        <v>3</v>
      </c>
      <c r="D86" s="21" t="s">
        <v>56</v>
      </c>
      <c r="E86" s="21"/>
      <c r="F86" s="69" t="s">
        <v>4</v>
      </c>
      <c r="G86" s="9">
        <v>35611</v>
      </c>
      <c r="H86" s="22">
        <v>74472.422059360732</v>
      </c>
      <c r="I86" s="17">
        <v>0</v>
      </c>
      <c r="J86" s="17">
        <v>0</v>
      </c>
      <c r="K86" s="17">
        <f t="shared" si="8"/>
        <v>74472.422059360732</v>
      </c>
      <c r="L86" s="23">
        <f t="shared" si="7"/>
        <v>3723.6211029680367</v>
      </c>
      <c r="M86" s="23">
        <v>30</v>
      </c>
      <c r="N86" s="18">
        <f t="shared" si="11"/>
        <v>23.772602739726029</v>
      </c>
      <c r="O86" s="23">
        <v>25448.467922526637</v>
      </c>
      <c r="P86" s="18">
        <f t="shared" si="12"/>
        <v>24.273972602739725</v>
      </c>
      <c r="Q86" s="18">
        <f t="shared" ref="Q86:Q138" si="14">(P86-N86)/M86*(K86-L86)</f>
        <v>1182.377221462996</v>
      </c>
      <c r="R86" s="18">
        <f t="shared" si="9"/>
        <v>26630.845143989634</v>
      </c>
      <c r="S86" s="18">
        <f t="shared" si="10"/>
        <v>47841.576915371101</v>
      </c>
    </row>
    <row r="87" spans="1:19" ht="18.75" customHeight="1" x14ac:dyDescent="0.25">
      <c r="A87" s="14">
        <f t="shared" si="13"/>
        <v>84</v>
      </c>
      <c r="B87" s="21" t="s">
        <v>112</v>
      </c>
      <c r="C87" s="15" t="s">
        <v>3</v>
      </c>
      <c r="D87" s="21" t="s">
        <v>56</v>
      </c>
      <c r="E87" s="21"/>
      <c r="F87" s="69" t="s">
        <v>4</v>
      </c>
      <c r="G87" s="9">
        <v>35550</v>
      </c>
      <c r="H87" s="22">
        <v>389647.5952876712</v>
      </c>
      <c r="I87" s="17">
        <v>0</v>
      </c>
      <c r="J87" s="17">
        <v>0</v>
      </c>
      <c r="K87" s="17">
        <f t="shared" si="8"/>
        <v>389647.5952876712</v>
      </c>
      <c r="L87" s="23">
        <f t="shared" ref="L87:L150" si="15">H87*0.05</f>
        <v>19482.379764383561</v>
      </c>
      <c r="M87" s="23">
        <v>30</v>
      </c>
      <c r="N87" s="18">
        <f t="shared" si="11"/>
        <v>23.93972602739726</v>
      </c>
      <c r="O87" s="23">
        <v>134737.57137716888</v>
      </c>
      <c r="P87" s="18">
        <f t="shared" si="12"/>
        <v>24.44109589041096</v>
      </c>
      <c r="Q87" s="18">
        <f t="shared" si="14"/>
        <v>6186.322779978248</v>
      </c>
      <c r="R87" s="18">
        <f t="shared" si="9"/>
        <v>140923.89415714712</v>
      </c>
      <c r="S87" s="18">
        <f t="shared" si="10"/>
        <v>248723.70113052407</v>
      </c>
    </row>
    <row r="88" spans="1:19" ht="18.75" customHeight="1" x14ac:dyDescent="0.25">
      <c r="A88" s="14">
        <f t="shared" si="13"/>
        <v>85</v>
      </c>
      <c r="B88" s="21" t="s">
        <v>113</v>
      </c>
      <c r="C88" s="15" t="s">
        <v>3</v>
      </c>
      <c r="D88" s="21" t="s">
        <v>56</v>
      </c>
      <c r="E88" s="21"/>
      <c r="F88" s="69" t="s">
        <v>4</v>
      </c>
      <c r="G88" s="9">
        <v>35521</v>
      </c>
      <c r="H88" s="29">
        <v>54906.518452054806</v>
      </c>
      <c r="I88" s="17">
        <v>0</v>
      </c>
      <c r="J88" s="17">
        <v>0</v>
      </c>
      <c r="K88" s="17">
        <f t="shared" si="8"/>
        <v>54906.518452054806</v>
      </c>
      <c r="L88" s="23">
        <f t="shared" si="15"/>
        <v>2745.3259226027403</v>
      </c>
      <c r="M88" s="23">
        <v>30</v>
      </c>
      <c r="N88" s="18">
        <f t="shared" si="11"/>
        <v>24.019178082191782</v>
      </c>
      <c r="O88" s="23">
        <v>19094.816706392707</v>
      </c>
      <c r="P88" s="18">
        <f t="shared" si="12"/>
        <v>24.520547945205479</v>
      </c>
      <c r="Q88" s="18">
        <f t="shared" si="14"/>
        <v>871.73499843741422</v>
      </c>
      <c r="R88" s="18">
        <f t="shared" si="9"/>
        <v>19966.551704830123</v>
      </c>
      <c r="S88" s="18">
        <f t="shared" si="10"/>
        <v>34939.96674722468</v>
      </c>
    </row>
    <row r="89" spans="1:19" ht="18.75" customHeight="1" x14ac:dyDescent="0.25">
      <c r="A89" s="14">
        <f t="shared" si="13"/>
        <v>86</v>
      </c>
      <c r="B89" s="21" t="s">
        <v>114</v>
      </c>
      <c r="C89" s="15" t="s">
        <v>3</v>
      </c>
      <c r="D89" s="21" t="s">
        <v>56</v>
      </c>
      <c r="E89" s="21"/>
      <c r="F89" s="69" t="s">
        <v>4</v>
      </c>
      <c r="G89" s="9">
        <v>35521</v>
      </c>
      <c r="H89" s="22">
        <v>237168.0263926941</v>
      </c>
      <c r="I89" s="17">
        <v>0</v>
      </c>
      <c r="J89" s="17">
        <v>0</v>
      </c>
      <c r="K89" s="17">
        <f t="shared" si="8"/>
        <v>237168.0263926941</v>
      </c>
      <c r="L89" s="23">
        <f t="shared" si="15"/>
        <v>11858.401319634706</v>
      </c>
      <c r="M89" s="23">
        <v>30</v>
      </c>
      <c r="N89" s="18">
        <f t="shared" si="11"/>
        <v>24.019178082191782</v>
      </c>
      <c r="O89" s="23">
        <v>82479.824258751934</v>
      </c>
      <c r="P89" s="18">
        <f t="shared" si="12"/>
        <v>24.520547945205479</v>
      </c>
      <c r="Q89" s="18">
        <f t="shared" si="14"/>
        <v>3765.4485286182367</v>
      </c>
      <c r="R89" s="18">
        <f t="shared" si="9"/>
        <v>86245.272787370166</v>
      </c>
      <c r="S89" s="18">
        <f t="shared" si="10"/>
        <v>150922.75360532393</v>
      </c>
    </row>
    <row r="90" spans="1:19" ht="18.75" customHeight="1" x14ac:dyDescent="0.25">
      <c r="A90" s="14">
        <f t="shared" si="13"/>
        <v>87</v>
      </c>
      <c r="B90" s="21" t="s">
        <v>115</v>
      </c>
      <c r="C90" s="15" t="s">
        <v>3</v>
      </c>
      <c r="D90" s="21" t="s">
        <v>56</v>
      </c>
      <c r="E90" s="21"/>
      <c r="F90" s="69" t="s">
        <v>6</v>
      </c>
      <c r="G90" s="9">
        <v>35514</v>
      </c>
      <c r="H90" s="22">
        <v>3340444.5851506898</v>
      </c>
      <c r="I90" s="17">
        <v>0</v>
      </c>
      <c r="J90" s="17">
        <v>0</v>
      </c>
      <c r="K90" s="17">
        <f t="shared" si="8"/>
        <v>3340444.5851506898</v>
      </c>
      <c r="L90" s="23">
        <f t="shared" si="15"/>
        <v>167022.22925753449</v>
      </c>
      <c r="M90" s="23">
        <v>30</v>
      </c>
      <c r="N90" s="18">
        <f t="shared" si="11"/>
        <v>24.038356164383561</v>
      </c>
      <c r="O90" s="23">
        <v>1505852.4403908728</v>
      </c>
      <c r="P90" s="18">
        <f t="shared" si="12"/>
        <v>24.539726027397261</v>
      </c>
      <c r="Q90" s="18">
        <f t="shared" si="14"/>
        <v>53035.277728625479</v>
      </c>
      <c r="R90" s="18">
        <f t="shared" si="9"/>
        <v>1558887.7181194983</v>
      </c>
      <c r="S90" s="18">
        <f t="shared" si="10"/>
        <v>1781556.8670311915</v>
      </c>
    </row>
    <row r="91" spans="1:19" ht="18.75" customHeight="1" x14ac:dyDescent="0.25">
      <c r="A91" s="14">
        <f t="shared" si="13"/>
        <v>88</v>
      </c>
      <c r="B91" s="21" t="s">
        <v>116</v>
      </c>
      <c r="C91" s="15" t="s">
        <v>3</v>
      </c>
      <c r="D91" s="21" t="s">
        <v>56</v>
      </c>
      <c r="E91" s="21"/>
      <c r="F91" s="69" t="s">
        <v>4</v>
      </c>
      <c r="G91" s="9">
        <v>35504</v>
      </c>
      <c r="H91" s="22">
        <v>55964.893105022828</v>
      </c>
      <c r="I91" s="17">
        <v>0</v>
      </c>
      <c r="J91" s="17">
        <v>0</v>
      </c>
      <c r="K91" s="17">
        <f t="shared" si="8"/>
        <v>55964.893105022828</v>
      </c>
      <c r="L91" s="23">
        <f t="shared" si="15"/>
        <v>2798.2446552511415</v>
      </c>
      <c r="M91" s="23">
        <v>30</v>
      </c>
      <c r="N91" s="18">
        <f t="shared" si="11"/>
        <v>24.065753424657533</v>
      </c>
      <c r="O91" s="23">
        <v>19528.372098934546</v>
      </c>
      <c r="P91" s="18">
        <f t="shared" si="12"/>
        <v>24.567123287671233</v>
      </c>
      <c r="Q91" s="18">
        <f t="shared" si="14"/>
        <v>888.53850833865249</v>
      </c>
      <c r="R91" s="18">
        <f t="shared" si="9"/>
        <v>20416.910607273199</v>
      </c>
      <c r="S91" s="18">
        <f t="shared" si="10"/>
        <v>35547.982497749632</v>
      </c>
    </row>
    <row r="92" spans="1:19" ht="18.75" customHeight="1" x14ac:dyDescent="0.25">
      <c r="A92" s="14">
        <f t="shared" si="13"/>
        <v>89</v>
      </c>
      <c r="B92" s="21" t="s">
        <v>117</v>
      </c>
      <c r="C92" s="15" t="s">
        <v>3</v>
      </c>
      <c r="D92" s="21" t="s">
        <v>56</v>
      </c>
      <c r="E92" s="21"/>
      <c r="F92" s="70" t="s">
        <v>7</v>
      </c>
      <c r="G92" s="9">
        <v>35504</v>
      </c>
      <c r="H92" s="22">
        <v>80509.702885844759</v>
      </c>
      <c r="I92" s="17">
        <v>0</v>
      </c>
      <c r="J92" s="17">
        <v>0</v>
      </c>
      <c r="K92" s="17">
        <f t="shared" si="8"/>
        <v>80509.702885844759</v>
      </c>
      <c r="L92" s="23">
        <f t="shared" si="15"/>
        <v>4025.4851442922381</v>
      </c>
      <c r="M92" s="23">
        <v>30</v>
      </c>
      <c r="N92" s="18">
        <f t="shared" si="11"/>
        <v>24.065753424657533</v>
      </c>
      <c r="O92" s="23">
        <v>28093.030260578362</v>
      </c>
      <c r="P92" s="18">
        <f t="shared" si="12"/>
        <v>24.567123287671233</v>
      </c>
      <c r="Q92" s="18">
        <f t="shared" si="14"/>
        <v>1278.2293923930729</v>
      </c>
      <c r="R92" s="18">
        <f t="shared" si="9"/>
        <v>29371.259652971436</v>
      </c>
      <c r="S92" s="18">
        <f t="shared" si="10"/>
        <v>51138.443232873324</v>
      </c>
    </row>
    <row r="93" spans="1:19" ht="18.75" customHeight="1" x14ac:dyDescent="0.25">
      <c r="A93" s="14">
        <f t="shared" si="13"/>
        <v>90</v>
      </c>
      <c r="B93" s="21" t="s">
        <v>118</v>
      </c>
      <c r="C93" s="15" t="s">
        <v>3</v>
      </c>
      <c r="D93" s="21" t="s">
        <v>56</v>
      </c>
      <c r="E93" s="21"/>
      <c r="F93" s="69" t="s">
        <v>4</v>
      </c>
      <c r="G93" s="9">
        <v>35504</v>
      </c>
      <c r="H93" s="22">
        <v>114937.99086757991</v>
      </c>
      <c r="I93" s="17">
        <v>0</v>
      </c>
      <c r="J93" s="17">
        <v>0</v>
      </c>
      <c r="K93" s="17">
        <f t="shared" si="8"/>
        <v>114937.99086757991</v>
      </c>
      <c r="L93" s="23">
        <f t="shared" si="15"/>
        <v>5746.899543378996</v>
      </c>
      <c r="M93" s="23">
        <v>30</v>
      </c>
      <c r="N93" s="18">
        <f t="shared" si="11"/>
        <v>24.065753424657533</v>
      </c>
      <c r="O93" s="23">
        <v>40106.426179604256</v>
      </c>
      <c r="P93" s="18">
        <f t="shared" si="12"/>
        <v>24.567123287671233</v>
      </c>
      <c r="Q93" s="18">
        <f t="shared" si="14"/>
        <v>1824.8374166510339</v>
      </c>
      <c r="R93" s="18">
        <f t="shared" si="9"/>
        <v>41931.263596255289</v>
      </c>
      <c r="S93" s="18">
        <f t="shared" si="10"/>
        <v>73006.72727132462</v>
      </c>
    </row>
    <row r="94" spans="1:19" ht="18.75" customHeight="1" x14ac:dyDescent="0.25">
      <c r="A94" s="14">
        <f t="shared" si="13"/>
        <v>91</v>
      </c>
      <c r="B94" s="21" t="s">
        <v>119</v>
      </c>
      <c r="C94" s="15" t="s">
        <v>3</v>
      </c>
      <c r="D94" s="21" t="s">
        <v>56</v>
      </c>
      <c r="E94" s="21"/>
      <c r="F94" s="69" t="s">
        <v>13</v>
      </c>
      <c r="G94" s="9">
        <v>35502</v>
      </c>
      <c r="H94" s="22">
        <v>112234.95452054794</v>
      </c>
      <c r="I94" s="17">
        <v>0</v>
      </c>
      <c r="J94" s="17">
        <v>0</v>
      </c>
      <c r="K94" s="17">
        <f t="shared" si="8"/>
        <v>112234.95452054794</v>
      </c>
      <c r="L94" s="23">
        <f t="shared" si="15"/>
        <v>5611.7477260273972</v>
      </c>
      <c r="M94" s="23">
        <v>30</v>
      </c>
      <c r="N94" s="18">
        <f t="shared" si="11"/>
        <v>24.07123287671233</v>
      </c>
      <c r="O94" s="23">
        <v>39178.744036529672</v>
      </c>
      <c r="P94" s="18">
        <f t="shared" si="12"/>
        <v>24.572602739726026</v>
      </c>
      <c r="Q94" s="18">
        <f t="shared" si="14"/>
        <v>1781.9220861549929</v>
      </c>
      <c r="R94" s="18">
        <f t="shared" si="9"/>
        <v>40960.666122684663</v>
      </c>
      <c r="S94" s="18">
        <f t="shared" si="10"/>
        <v>71274.288397863274</v>
      </c>
    </row>
    <row r="95" spans="1:19" ht="18.75" customHeight="1" x14ac:dyDescent="0.25">
      <c r="A95" s="14">
        <f t="shared" si="13"/>
        <v>92</v>
      </c>
      <c r="B95" s="21" t="s">
        <v>120</v>
      </c>
      <c r="C95" s="15" t="s">
        <v>3</v>
      </c>
      <c r="D95" s="21" t="s">
        <v>56</v>
      </c>
      <c r="E95" s="21"/>
      <c r="F95" s="69" t="s">
        <v>11</v>
      </c>
      <c r="G95" s="9">
        <v>35476</v>
      </c>
      <c r="H95" s="29">
        <v>29261.899890410961</v>
      </c>
      <c r="I95" s="17">
        <v>0</v>
      </c>
      <c r="J95" s="17">
        <v>0</v>
      </c>
      <c r="K95" s="17">
        <f t="shared" si="8"/>
        <v>29261.899890410961</v>
      </c>
      <c r="L95" s="23">
        <f t="shared" si="15"/>
        <v>1463.0949945205482</v>
      </c>
      <c r="M95" s="23">
        <v>30</v>
      </c>
      <c r="N95" s="18">
        <f t="shared" si="11"/>
        <v>24.142465753424659</v>
      </c>
      <c r="O95" s="23">
        <v>10267.591567123291</v>
      </c>
      <c r="P95" s="18">
        <f t="shared" si="12"/>
        <v>24.643835616438356</v>
      </c>
      <c r="Q95" s="18">
        <f t="shared" si="14"/>
        <v>464.58276675323503</v>
      </c>
      <c r="R95" s="18">
        <f t="shared" si="9"/>
        <v>10732.174333876526</v>
      </c>
      <c r="S95" s="18">
        <f t="shared" si="10"/>
        <v>18529.725556534435</v>
      </c>
    </row>
    <row r="96" spans="1:19" ht="18.75" customHeight="1" x14ac:dyDescent="0.25">
      <c r="A96" s="14">
        <f t="shared" si="13"/>
        <v>93</v>
      </c>
      <c r="B96" s="21" t="s">
        <v>121</v>
      </c>
      <c r="C96" s="15" t="s">
        <v>3</v>
      </c>
      <c r="D96" s="21" t="s">
        <v>56</v>
      </c>
      <c r="E96" s="21"/>
      <c r="F96" s="69" t="s">
        <v>11</v>
      </c>
      <c r="G96" s="9">
        <v>35476</v>
      </c>
      <c r="H96" s="29">
        <v>37424.47547031963</v>
      </c>
      <c r="I96" s="17">
        <v>0</v>
      </c>
      <c r="J96" s="17">
        <v>0</v>
      </c>
      <c r="K96" s="17">
        <f t="shared" si="8"/>
        <v>37424.47547031963</v>
      </c>
      <c r="L96" s="23">
        <f t="shared" si="15"/>
        <v>1871.2237735159815</v>
      </c>
      <c r="M96" s="23">
        <v>30</v>
      </c>
      <c r="N96" s="18">
        <f t="shared" si="11"/>
        <v>24.142465753424659</v>
      </c>
      <c r="O96" s="23">
        <v>13131.725218873671</v>
      </c>
      <c r="P96" s="18">
        <f t="shared" si="12"/>
        <v>24.643835616438356</v>
      </c>
      <c r="Q96" s="18">
        <f t="shared" si="14"/>
        <v>594.17763109726388</v>
      </c>
      <c r="R96" s="18">
        <f t="shared" si="9"/>
        <v>13725.902849970935</v>
      </c>
      <c r="S96" s="18">
        <f t="shared" si="10"/>
        <v>23698.572620348696</v>
      </c>
    </row>
    <row r="97" spans="1:19" ht="18.75" customHeight="1" x14ac:dyDescent="0.25">
      <c r="A97" s="14">
        <f t="shared" si="13"/>
        <v>94</v>
      </c>
      <c r="B97" s="21" t="s">
        <v>122</v>
      </c>
      <c r="C97" s="15" t="s">
        <v>3</v>
      </c>
      <c r="D97" s="21" t="s">
        <v>56</v>
      </c>
      <c r="E97" s="21"/>
      <c r="F97" s="69" t="s">
        <v>7</v>
      </c>
      <c r="G97" s="9">
        <v>35414</v>
      </c>
      <c r="H97" s="22">
        <v>10758.386849315069</v>
      </c>
      <c r="I97" s="17">
        <v>0</v>
      </c>
      <c r="J97" s="17">
        <v>0</v>
      </c>
      <c r="K97" s="17">
        <f t="shared" si="8"/>
        <v>10758.386849315069</v>
      </c>
      <c r="L97" s="23">
        <f t="shared" si="15"/>
        <v>537.91934246575352</v>
      </c>
      <c r="M97" s="23">
        <v>30</v>
      </c>
      <c r="N97" s="18">
        <f t="shared" si="11"/>
        <v>24.312328767123287</v>
      </c>
      <c r="O97" s="23">
        <v>3822.2652237442931</v>
      </c>
      <c r="P97" s="18">
        <f t="shared" si="12"/>
        <v>24.813698630136987</v>
      </c>
      <c r="Q97" s="18">
        <f t="shared" si="14"/>
        <v>170.80781312816711</v>
      </c>
      <c r="R97" s="18">
        <f t="shared" si="9"/>
        <v>3993.0730368724603</v>
      </c>
      <c r="S97" s="18">
        <f t="shared" si="10"/>
        <v>6765.3138124426096</v>
      </c>
    </row>
    <row r="98" spans="1:19" ht="18.75" customHeight="1" x14ac:dyDescent="0.25">
      <c r="A98" s="14">
        <f t="shared" si="13"/>
        <v>95</v>
      </c>
      <c r="B98" s="21" t="s">
        <v>123</v>
      </c>
      <c r="C98" s="15" t="s">
        <v>3</v>
      </c>
      <c r="D98" s="21" t="s">
        <v>56</v>
      </c>
      <c r="E98" s="21"/>
      <c r="F98" s="69" t="s">
        <v>4</v>
      </c>
      <c r="G98" s="9">
        <v>35353</v>
      </c>
      <c r="H98" s="22">
        <v>57859.656182648396</v>
      </c>
      <c r="I98" s="17">
        <v>0</v>
      </c>
      <c r="J98" s="17">
        <v>0</v>
      </c>
      <c r="K98" s="17">
        <f t="shared" si="8"/>
        <v>57859.656182648396</v>
      </c>
      <c r="L98" s="23">
        <f t="shared" si="15"/>
        <v>2892.9828091324198</v>
      </c>
      <c r="M98" s="23">
        <v>30</v>
      </c>
      <c r="N98" s="18">
        <f t="shared" si="11"/>
        <v>24.479452054794521</v>
      </c>
      <c r="O98" s="23">
        <v>20813.753580517507</v>
      </c>
      <c r="P98" s="18">
        <f t="shared" si="12"/>
        <v>24.980821917808218</v>
      </c>
      <c r="Q98" s="18">
        <f t="shared" si="14"/>
        <v>918.62111665327666</v>
      </c>
      <c r="R98" s="18">
        <f t="shared" si="9"/>
        <v>21732.374697170784</v>
      </c>
      <c r="S98" s="18">
        <f t="shared" si="10"/>
        <v>36127.281485477608</v>
      </c>
    </row>
    <row r="99" spans="1:19" ht="18.75" customHeight="1" x14ac:dyDescent="0.25">
      <c r="A99" s="14">
        <f t="shared" si="13"/>
        <v>96</v>
      </c>
      <c r="B99" s="21" t="s">
        <v>124</v>
      </c>
      <c r="C99" s="15" t="s">
        <v>3</v>
      </c>
      <c r="D99" s="21" t="s">
        <v>56</v>
      </c>
      <c r="E99" s="21"/>
      <c r="F99" s="69" t="s">
        <v>4</v>
      </c>
      <c r="G99" s="9">
        <v>35353</v>
      </c>
      <c r="H99" s="22">
        <v>100138.0276484018</v>
      </c>
      <c r="I99" s="17">
        <v>0</v>
      </c>
      <c r="J99" s="17">
        <v>0</v>
      </c>
      <c r="K99" s="17">
        <f t="shared" si="8"/>
        <v>100138.0276484018</v>
      </c>
      <c r="L99" s="23">
        <f t="shared" si="15"/>
        <v>5006.9013824200902</v>
      </c>
      <c r="M99" s="23">
        <v>30</v>
      </c>
      <c r="N99" s="18">
        <f t="shared" si="11"/>
        <v>24.479452054794521</v>
      </c>
      <c r="O99" s="23">
        <v>36022.478684170448</v>
      </c>
      <c r="P99" s="18">
        <f t="shared" si="12"/>
        <v>24.980821917808218</v>
      </c>
      <c r="Q99" s="18">
        <f t="shared" si="14"/>
        <v>1589.8626581437968</v>
      </c>
      <c r="R99" s="18">
        <f t="shared" si="9"/>
        <v>37612.341342314248</v>
      </c>
      <c r="S99" s="18">
        <f t="shared" si="10"/>
        <v>62525.686306087548</v>
      </c>
    </row>
    <row r="100" spans="1:19" ht="18.75" customHeight="1" x14ac:dyDescent="0.25">
      <c r="A100" s="14">
        <f t="shared" si="13"/>
        <v>97</v>
      </c>
      <c r="B100" s="21" t="s">
        <v>125</v>
      </c>
      <c r="C100" s="15" t="s">
        <v>3</v>
      </c>
      <c r="D100" s="21" t="s">
        <v>56</v>
      </c>
      <c r="E100" s="21"/>
      <c r="F100" s="70" t="s">
        <v>7</v>
      </c>
      <c r="G100" s="9">
        <v>35353</v>
      </c>
      <c r="H100" s="22">
        <v>188888.53791780822</v>
      </c>
      <c r="I100" s="17">
        <v>0</v>
      </c>
      <c r="J100" s="17">
        <v>0</v>
      </c>
      <c r="K100" s="17">
        <f t="shared" si="8"/>
        <v>188888.53791780822</v>
      </c>
      <c r="L100" s="23">
        <f t="shared" si="15"/>
        <v>9444.4268958904122</v>
      </c>
      <c r="M100" s="23">
        <v>30</v>
      </c>
      <c r="N100" s="18">
        <f t="shared" si="11"/>
        <v>24.479452054794521</v>
      </c>
      <c r="O100" s="23">
        <v>67948.545528767107</v>
      </c>
      <c r="P100" s="18">
        <f t="shared" si="12"/>
        <v>24.980821917808218</v>
      </c>
      <c r="Q100" s="18">
        <f t="shared" si="14"/>
        <v>2998.9289787224488</v>
      </c>
      <c r="R100" s="18">
        <f t="shared" si="9"/>
        <v>70947.474507489562</v>
      </c>
      <c r="S100" s="18">
        <f t="shared" si="10"/>
        <v>117941.06341031866</v>
      </c>
    </row>
    <row r="101" spans="1:19" ht="18.75" customHeight="1" x14ac:dyDescent="0.25">
      <c r="A101" s="14">
        <f t="shared" si="13"/>
        <v>98</v>
      </c>
      <c r="B101" s="21" t="s">
        <v>126</v>
      </c>
      <c r="C101" s="15" t="s">
        <v>3</v>
      </c>
      <c r="D101" s="21" t="s">
        <v>56</v>
      </c>
      <c r="E101" s="21"/>
      <c r="F101" s="69" t="s">
        <v>4</v>
      </c>
      <c r="G101" s="9">
        <v>35353</v>
      </c>
      <c r="H101" s="22">
        <v>1580273.91972146</v>
      </c>
      <c r="I101" s="17">
        <v>0</v>
      </c>
      <c r="J101" s="17">
        <v>0</v>
      </c>
      <c r="K101" s="17">
        <f t="shared" si="8"/>
        <v>1580273.91972146</v>
      </c>
      <c r="L101" s="23">
        <f t="shared" si="15"/>
        <v>79013.695986072998</v>
      </c>
      <c r="M101" s="23">
        <v>30</v>
      </c>
      <c r="N101" s="18">
        <f t="shared" si="11"/>
        <v>24.479452054794521</v>
      </c>
      <c r="O101" s="23">
        <v>905271.7267030431</v>
      </c>
      <c r="P101" s="18">
        <f t="shared" si="12"/>
        <v>24.980821917808218</v>
      </c>
      <c r="Q101" s="18">
        <f t="shared" si="14"/>
        <v>25089.554424070739</v>
      </c>
      <c r="R101" s="18">
        <f t="shared" si="9"/>
        <v>930361.28112711385</v>
      </c>
      <c r="S101" s="18">
        <f t="shared" si="10"/>
        <v>649912.63859434612</v>
      </c>
    </row>
    <row r="102" spans="1:19" ht="18.75" customHeight="1" x14ac:dyDescent="0.25">
      <c r="A102" s="14">
        <f t="shared" si="13"/>
        <v>99</v>
      </c>
      <c r="B102" s="21" t="s">
        <v>127</v>
      </c>
      <c r="C102" s="15" t="s">
        <v>3</v>
      </c>
      <c r="D102" s="21" t="s">
        <v>56</v>
      </c>
      <c r="E102" s="21"/>
      <c r="F102" s="69" t="s">
        <v>4</v>
      </c>
      <c r="G102" s="9">
        <v>35293</v>
      </c>
      <c r="H102" s="22">
        <v>58301.601534246583</v>
      </c>
      <c r="I102" s="17">
        <v>0</v>
      </c>
      <c r="J102" s="17">
        <v>0</v>
      </c>
      <c r="K102" s="17">
        <f t="shared" si="8"/>
        <v>58301.601534246583</v>
      </c>
      <c r="L102" s="23">
        <f t="shared" si="15"/>
        <v>2915.0800767123292</v>
      </c>
      <c r="M102" s="23">
        <v>30</v>
      </c>
      <c r="N102" s="18">
        <f t="shared" si="11"/>
        <v>24.643835616438356</v>
      </c>
      <c r="O102" s="23">
        <v>21234.766882191776</v>
      </c>
      <c r="P102" s="18">
        <f t="shared" si="12"/>
        <v>25.145205479452056</v>
      </c>
      <c r="Q102" s="18">
        <f t="shared" si="14"/>
        <v>925.63775586564338</v>
      </c>
      <c r="R102" s="18">
        <f t="shared" si="9"/>
        <v>22160.404638057418</v>
      </c>
      <c r="S102" s="18">
        <f t="shared" si="10"/>
        <v>36141.196896189169</v>
      </c>
    </row>
    <row r="103" spans="1:19" ht="18.75" customHeight="1" x14ac:dyDescent="0.25">
      <c r="A103" s="14">
        <f t="shared" si="13"/>
        <v>100</v>
      </c>
      <c r="B103" s="21" t="s">
        <v>128</v>
      </c>
      <c r="C103" s="15" t="s">
        <v>3</v>
      </c>
      <c r="D103" s="21" t="s">
        <v>56</v>
      </c>
      <c r="E103" s="21"/>
      <c r="F103" s="71" t="s">
        <v>11</v>
      </c>
      <c r="G103" s="9">
        <v>35139</v>
      </c>
      <c r="H103" s="29">
        <v>38127.836082191789</v>
      </c>
      <c r="I103" s="17">
        <v>0</v>
      </c>
      <c r="J103" s="17">
        <v>0</v>
      </c>
      <c r="K103" s="17">
        <f t="shared" si="8"/>
        <v>38127.836082191789</v>
      </c>
      <c r="L103" s="23">
        <f t="shared" si="15"/>
        <v>1906.3918041095894</v>
      </c>
      <c r="M103" s="23">
        <v>30</v>
      </c>
      <c r="N103" s="18">
        <f t="shared" si="11"/>
        <v>25.065753424657533</v>
      </c>
      <c r="O103" s="23">
        <v>14349.248764383559</v>
      </c>
      <c r="P103" s="18">
        <f t="shared" si="12"/>
        <v>25.567123287671233</v>
      </c>
      <c r="Q103" s="18">
        <f t="shared" si="14"/>
        <v>605.34468519534801</v>
      </c>
      <c r="R103" s="18">
        <f t="shared" si="9"/>
        <v>14954.593449578908</v>
      </c>
      <c r="S103" s="18">
        <f t="shared" si="10"/>
        <v>23173.242632612881</v>
      </c>
    </row>
    <row r="104" spans="1:19" ht="18.75" customHeight="1" x14ac:dyDescent="0.25">
      <c r="A104" s="14">
        <f t="shared" si="13"/>
        <v>101</v>
      </c>
      <c r="B104" s="21" t="s">
        <v>129</v>
      </c>
      <c r="C104" s="15" t="s">
        <v>3</v>
      </c>
      <c r="D104" s="21" t="s">
        <v>56</v>
      </c>
      <c r="E104" s="21"/>
      <c r="F104" s="71" t="s">
        <v>11</v>
      </c>
      <c r="G104" s="9">
        <v>35120</v>
      </c>
      <c r="H104" s="22">
        <v>1137288.6467397299</v>
      </c>
      <c r="I104" s="17">
        <v>0</v>
      </c>
      <c r="J104" s="17">
        <v>0</v>
      </c>
      <c r="K104" s="17">
        <f t="shared" si="8"/>
        <v>1137288.6467397299</v>
      </c>
      <c r="L104" s="23">
        <f t="shared" si="15"/>
        <v>56864.432336986501</v>
      </c>
      <c r="M104" s="23">
        <v>30</v>
      </c>
      <c r="N104" s="18">
        <f t="shared" si="11"/>
        <v>25.117808219178084</v>
      </c>
      <c r="O104" s="23">
        <v>521631.17996895406</v>
      </c>
      <c r="P104" s="18">
        <f t="shared" si="12"/>
        <v>25.61917808219178</v>
      </c>
      <c r="Q104" s="18">
        <f t="shared" si="14"/>
        <v>18056.404679059466</v>
      </c>
      <c r="R104" s="18">
        <f t="shared" si="9"/>
        <v>539687.58464801358</v>
      </c>
      <c r="S104" s="18">
        <f t="shared" si="10"/>
        <v>597601.06209171633</v>
      </c>
    </row>
    <row r="105" spans="1:19" ht="18.75" customHeight="1" x14ac:dyDescent="0.25">
      <c r="A105" s="14">
        <f t="shared" si="13"/>
        <v>102</v>
      </c>
      <c r="B105" s="21" t="s">
        <v>130</v>
      </c>
      <c r="C105" s="15" t="s">
        <v>3</v>
      </c>
      <c r="D105" s="21" t="s">
        <v>56</v>
      </c>
      <c r="E105" s="21"/>
      <c r="F105" s="69" t="s">
        <v>4</v>
      </c>
      <c r="G105" s="9">
        <v>35069</v>
      </c>
      <c r="H105" s="22">
        <v>130078.26005936071</v>
      </c>
      <c r="I105" s="17">
        <v>0</v>
      </c>
      <c r="J105" s="17">
        <v>0</v>
      </c>
      <c r="K105" s="17">
        <f t="shared" si="8"/>
        <v>130078.26005936071</v>
      </c>
      <c r="L105" s="23">
        <f t="shared" si="15"/>
        <v>6503.9130029680355</v>
      </c>
      <c r="M105" s="23">
        <v>30</v>
      </c>
      <c r="N105" s="18">
        <f t="shared" si="11"/>
        <v>25.257534246575343</v>
      </c>
      <c r="O105" s="23">
        <v>49710.037682343995</v>
      </c>
      <c r="P105" s="18">
        <f t="shared" si="12"/>
        <v>25.758904109589039</v>
      </c>
      <c r="Q105" s="18">
        <f t="shared" si="14"/>
        <v>2065.2151151890189</v>
      </c>
      <c r="R105" s="18">
        <f t="shared" si="9"/>
        <v>51775.252797533016</v>
      </c>
      <c r="S105" s="18">
        <f t="shared" si="10"/>
        <v>78303.00726182769</v>
      </c>
    </row>
    <row r="106" spans="1:19" ht="18.75" customHeight="1" x14ac:dyDescent="0.25">
      <c r="A106" s="14">
        <f t="shared" si="13"/>
        <v>103</v>
      </c>
      <c r="B106" s="21" t="s">
        <v>131</v>
      </c>
      <c r="C106" s="15" t="s">
        <v>3</v>
      </c>
      <c r="D106" s="21" t="s">
        <v>56</v>
      </c>
      <c r="E106" s="21"/>
      <c r="F106" s="69" t="s">
        <v>4</v>
      </c>
      <c r="G106" s="9">
        <v>35014</v>
      </c>
      <c r="H106" s="22">
        <v>10050.087452054795</v>
      </c>
      <c r="I106" s="17">
        <v>0</v>
      </c>
      <c r="J106" s="17">
        <v>0</v>
      </c>
      <c r="K106" s="17">
        <f t="shared" si="8"/>
        <v>10050.087452054795</v>
      </c>
      <c r="L106" s="23">
        <f t="shared" si="15"/>
        <v>502.50437260273975</v>
      </c>
      <c r="M106" s="23">
        <v>30</v>
      </c>
      <c r="N106" s="18">
        <f t="shared" si="11"/>
        <v>25.408219178082192</v>
      </c>
      <c r="O106" s="23">
        <v>3887.9671890410937</v>
      </c>
      <c r="P106" s="18">
        <f t="shared" si="12"/>
        <v>25.909589041095892</v>
      </c>
      <c r="Q106" s="18">
        <f t="shared" si="14"/>
        <v>159.56234735522656</v>
      </c>
      <c r="R106" s="18">
        <f t="shared" si="9"/>
        <v>4047.5295363963201</v>
      </c>
      <c r="S106" s="18">
        <f t="shared" si="10"/>
        <v>6002.5579156584754</v>
      </c>
    </row>
    <row r="107" spans="1:19" ht="18.75" customHeight="1" x14ac:dyDescent="0.25">
      <c r="A107" s="14">
        <f t="shared" si="13"/>
        <v>104</v>
      </c>
      <c r="B107" s="21" t="s">
        <v>132</v>
      </c>
      <c r="C107" s="15" t="s">
        <v>3</v>
      </c>
      <c r="D107" s="21" t="s">
        <v>56</v>
      </c>
      <c r="E107" s="21"/>
      <c r="F107" s="69" t="s">
        <v>4</v>
      </c>
      <c r="G107" s="9">
        <v>35003</v>
      </c>
      <c r="H107" s="29">
        <v>28355.747045662101</v>
      </c>
      <c r="I107" s="17">
        <v>0</v>
      </c>
      <c r="J107" s="17">
        <v>0</v>
      </c>
      <c r="K107" s="17">
        <f t="shared" si="8"/>
        <v>28355.747045662101</v>
      </c>
      <c r="L107" s="23">
        <f t="shared" si="15"/>
        <v>1417.7873522831051</v>
      </c>
      <c r="M107" s="23">
        <v>30</v>
      </c>
      <c r="N107" s="18">
        <f t="shared" si="11"/>
        <v>25.438356164383563</v>
      </c>
      <c r="O107" s="23">
        <v>10996.788180060888</v>
      </c>
      <c r="P107" s="18">
        <f t="shared" si="12"/>
        <v>25.93972602739726</v>
      </c>
      <c r="Q107" s="18">
        <f t="shared" si="14"/>
        <v>450.19603871126338</v>
      </c>
      <c r="R107" s="18">
        <f t="shared" si="9"/>
        <v>11446.984218772152</v>
      </c>
      <c r="S107" s="18">
        <f t="shared" si="10"/>
        <v>16908.76282688995</v>
      </c>
    </row>
    <row r="108" spans="1:19" ht="18.75" customHeight="1" x14ac:dyDescent="0.25">
      <c r="A108" s="14">
        <f t="shared" si="13"/>
        <v>105</v>
      </c>
      <c r="B108" s="21" t="s">
        <v>133</v>
      </c>
      <c r="C108" s="15" t="s">
        <v>3</v>
      </c>
      <c r="D108" s="21" t="s">
        <v>56</v>
      </c>
      <c r="E108" s="21"/>
      <c r="F108" s="69" t="s">
        <v>4</v>
      </c>
      <c r="G108" s="9">
        <v>34972</v>
      </c>
      <c r="H108" s="22">
        <v>11427.510365296803</v>
      </c>
      <c r="I108" s="17">
        <v>0</v>
      </c>
      <c r="J108" s="17">
        <v>0</v>
      </c>
      <c r="K108" s="17">
        <f t="shared" si="8"/>
        <v>11427.510365296803</v>
      </c>
      <c r="L108" s="23">
        <f t="shared" si="15"/>
        <v>571.37551826484014</v>
      </c>
      <c r="M108" s="23">
        <v>30</v>
      </c>
      <c r="N108" s="18">
        <f t="shared" si="11"/>
        <v>25.523287671232875</v>
      </c>
      <c r="O108" s="23">
        <v>4462.8731856925397</v>
      </c>
      <c r="P108" s="18">
        <f t="shared" si="12"/>
        <v>26.024657534246575</v>
      </c>
      <c r="Q108" s="18">
        <f t="shared" si="14"/>
        <v>181.43129470382232</v>
      </c>
      <c r="R108" s="18">
        <f t="shared" si="9"/>
        <v>4644.3044803963621</v>
      </c>
      <c r="S108" s="18">
        <f t="shared" si="10"/>
        <v>6783.2058849004407</v>
      </c>
    </row>
    <row r="109" spans="1:19" ht="18.75" customHeight="1" x14ac:dyDescent="0.25">
      <c r="A109" s="14">
        <f t="shared" si="13"/>
        <v>106</v>
      </c>
      <c r="B109" s="21" t="s">
        <v>134</v>
      </c>
      <c r="C109" s="15" t="s">
        <v>3</v>
      </c>
      <c r="D109" s="21" t="s">
        <v>56</v>
      </c>
      <c r="E109" s="21"/>
      <c r="F109" s="69" t="s">
        <v>4</v>
      </c>
      <c r="G109" s="9">
        <v>34783</v>
      </c>
      <c r="H109" s="22">
        <v>173999.31876255712</v>
      </c>
      <c r="I109" s="17">
        <v>0</v>
      </c>
      <c r="J109" s="17">
        <v>0</v>
      </c>
      <c r="K109" s="17">
        <f t="shared" si="8"/>
        <v>173999.31876255712</v>
      </c>
      <c r="L109" s="23">
        <f t="shared" si="15"/>
        <v>8699.9659381278561</v>
      </c>
      <c r="M109" s="23">
        <v>30</v>
      </c>
      <c r="N109" s="18">
        <f t="shared" si="11"/>
        <v>26.041095890410958</v>
      </c>
      <c r="O109" s="23">
        <v>71006.578451902562</v>
      </c>
      <c r="P109" s="18">
        <f t="shared" si="12"/>
        <v>26.542465753424658</v>
      </c>
      <c r="Q109" s="18">
        <f t="shared" si="14"/>
        <v>2762.5371293945786</v>
      </c>
      <c r="R109" s="18">
        <f t="shared" si="9"/>
        <v>73769.115581297141</v>
      </c>
      <c r="S109" s="18">
        <f t="shared" si="10"/>
        <v>100230.20318125997</v>
      </c>
    </row>
    <row r="110" spans="1:19" ht="18.75" customHeight="1" x14ac:dyDescent="0.25">
      <c r="A110" s="14">
        <f t="shared" si="13"/>
        <v>107</v>
      </c>
      <c r="B110" s="21" t="s">
        <v>135</v>
      </c>
      <c r="C110" s="15" t="s">
        <v>3</v>
      </c>
      <c r="D110" s="21" t="s">
        <v>56</v>
      </c>
      <c r="E110" s="21"/>
      <c r="F110" s="69" t="s">
        <v>4</v>
      </c>
      <c r="G110" s="9">
        <v>34783</v>
      </c>
      <c r="H110" s="22">
        <v>193667.956543379</v>
      </c>
      <c r="I110" s="17">
        <v>0</v>
      </c>
      <c r="J110" s="17">
        <v>0</v>
      </c>
      <c r="K110" s="17">
        <f t="shared" si="8"/>
        <v>193667.956543379</v>
      </c>
      <c r="L110" s="23">
        <f t="shared" si="15"/>
        <v>9683.3978271689502</v>
      </c>
      <c r="M110" s="23">
        <v>30</v>
      </c>
      <c r="N110" s="18">
        <f t="shared" si="11"/>
        <v>26.041095890410958</v>
      </c>
      <c r="O110" s="23">
        <v>79033.062012633163</v>
      </c>
      <c r="P110" s="18">
        <f t="shared" si="12"/>
        <v>26.542465753424658</v>
      </c>
      <c r="Q110" s="18">
        <f t="shared" si="14"/>
        <v>3074.810433339409</v>
      </c>
      <c r="R110" s="18">
        <f t="shared" si="9"/>
        <v>82107.872445972578</v>
      </c>
      <c r="S110" s="18">
        <f t="shared" si="10"/>
        <v>111560.08409740642</v>
      </c>
    </row>
    <row r="111" spans="1:19" ht="18.75" customHeight="1" x14ac:dyDescent="0.25">
      <c r="A111" s="14">
        <f t="shared" si="13"/>
        <v>108</v>
      </c>
      <c r="B111" s="21" t="s">
        <v>136</v>
      </c>
      <c r="C111" s="15" t="s">
        <v>3</v>
      </c>
      <c r="D111" s="21" t="s">
        <v>56</v>
      </c>
      <c r="E111" s="21"/>
      <c r="F111" s="69" t="s">
        <v>4</v>
      </c>
      <c r="G111" s="9">
        <v>34711</v>
      </c>
      <c r="H111" s="22">
        <v>10692.832082191781</v>
      </c>
      <c r="I111" s="17">
        <v>0</v>
      </c>
      <c r="J111" s="17">
        <v>0</v>
      </c>
      <c r="K111" s="17">
        <f t="shared" si="8"/>
        <v>10692.832082191781</v>
      </c>
      <c r="L111" s="23">
        <f t="shared" si="15"/>
        <v>534.64160410958903</v>
      </c>
      <c r="M111" s="23">
        <v>30</v>
      </c>
      <c r="N111" s="18">
        <f t="shared" si="11"/>
        <v>26.238356164383561</v>
      </c>
      <c r="O111" s="23">
        <v>4440.0100374429203</v>
      </c>
      <c r="P111" s="18">
        <f t="shared" si="12"/>
        <v>26.739726027397261</v>
      </c>
      <c r="Q111" s="18">
        <f t="shared" si="14"/>
        <v>169.76701894877132</v>
      </c>
      <c r="R111" s="18">
        <f t="shared" si="9"/>
        <v>4609.777056391692</v>
      </c>
      <c r="S111" s="18">
        <f t="shared" si="10"/>
        <v>6083.0550258000885</v>
      </c>
    </row>
    <row r="112" spans="1:19" ht="18.75" customHeight="1" x14ac:dyDescent="0.25">
      <c r="A112" s="14">
        <f t="shared" si="13"/>
        <v>109</v>
      </c>
      <c r="B112" s="21" t="s">
        <v>137</v>
      </c>
      <c r="C112" s="15" t="s">
        <v>3</v>
      </c>
      <c r="D112" s="21" t="s">
        <v>56</v>
      </c>
      <c r="E112" s="21"/>
      <c r="F112" s="69" t="s">
        <v>4</v>
      </c>
      <c r="G112" s="9">
        <v>34699</v>
      </c>
      <c r="H112" s="22">
        <v>38781.725310502283</v>
      </c>
      <c r="I112" s="17">
        <v>0</v>
      </c>
      <c r="J112" s="17">
        <v>0</v>
      </c>
      <c r="K112" s="17">
        <f t="shared" si="8"/>
        <v>38781.725310502283</v>
      </c>
      <c r="L112" s="23">
        <f t="shared" si="15"/>
        <v>1939.0862655251142</v>
      </c>
      <c r="M112" s="23">
        <v>30</v>
      </c>
      <c r="N112" s="18">
        <f t="shared" si="11"/>
        <v>26.271232876712329</v>
      </c>
      <c r="O112" s="23">
        <v>16150.654377929985</v>
      </c>
      <c r="P112" s="18">
        <f t="shared" si="12"/>
        <v>26.772602739726029</v>
      </c>
      <c r="Q112" s="18">
        <f t="shared" si="14"/>
        <v>615.72629636811325</v>
      </c>
      <c r="R112" s="18">
        <f t="shared" si="9"/>
        <v>16766.380674298096</v>
      </c>
      <c r="S112" s="18">
        <f t="shared" si="10"/>
        <v>22015.344636204187</v>
      </c>
    </row>
    <row r="113" spans="1:19" ht="18.75" customHeight="1" x14ac:dyDescent="0.25">
      <c r="A113" s="14">
        <f t="shared" si="13"/>
        <v>110</v>
      </c>
      <c r="B113" s="21" t="s">
        <v>138</v>
      </c>
      <c r="C113" s="15" t="s">
        <v>3</v>
      </c>
      <c r="D113" s="21" t="s">
        <v>56</v>
      </c>
      <c r="E113" s="21"/>
      <c r="F113" s="71" t="s">
        <v>10</v>
      </c>
      <c r="G113" s="9">
        <v>34699</v>
      </c>
      <c r="H113" s="29">
        <v>56662.699273972597</v>
      </c>
      <c r="I113" s="17">
        <v>0</v>
      </c>
      <c r="J113" s="17">
        <v>0</v>
      </c>
      <c r="K113" s="17">
        <f t="shared" si="8"/>
        <v>56662.699273972597</v>
      </c>
      <c r="L113" s="23">
        <f t="shared" si="15"/>
        <v>2833.1349636986301</v>
      </c>
      <c r="M113" s="23">
        <v>30</v>
      </c>
      <c r="N113" s="18">
        <f t="shared" si="11"/>
        <v>26.271232876712329</v>
      </c>
      <c r="O113" s="23">
        <v>23597.188231506829</v>
      </c>
      <c r="P113" s="18">
        <f t="shared" si="12"/>
        <v>26.772602739726029</v>
      </c>
      <c r="Q113" s="18">
        <f t="shared" si="14"/>
        <v>899.61737614430706</v>
      </c>
      <c r="R113" s="18">
        <f t="shared" si="9"/>
        <v>24496.805607651135</v>
      </c>
      <c r="S113" s="18">
        <f t="shared" si="10"/>
        <v>32165.893666321463</v>
      </c>
    </row>
    <row r="114" spans="1:19" ht="18.75" customHeight="1" x14ac:dyDescent="0.25">
      <c r="A114" s="14">
        <f t="shared" si="13"/>
        <v>111</v>
      </c>
      <c r="B114" s="21" t="s">
        <v>139</v>
      </c>
      <c r="C114" s="15" t="s">
        <v>3</v>
      </c>
      <c r="D114" s="21" t="s">
        <v>56</v>
      </c>
      <c r="E114" s="21"/>
      <c r="F114" s="71" t="s">
        <v>10</v>
      </c>
      <c r="G114" s="9">
        <v>34699</v>
      </c>
      <c r="H114" s="22">
        <v>259107.60863470321</v>
      </c>
      <c r="I114" s="17">
        <v>0</v>
      </c>
      <c r="J114" s="17">
        <v>0</v>
      </c>
      <c r="K114" s="17">
        <f t="shared" si="8"/>
        <v>259107.60863470321</v>
      </c>
      <c r="L114" s="23">
        <f t="shared" si="15"/>
        <v>12955.380431735161</v>
      </c>
      <c r="M114" s="23">
        <v>30</v>
      </c>
      <c r="N114" s="18">
        <f t="shared" si="11"/>
        <v>26.271232876712329</v>
      </c>
      <c r="O114" s="23">
        <v>107905.39616910202</v>
      </c>
      <c r="P114" s="18">
        <f t="shared" si="12"/>
        <v>26.772602739726029</v>
      </c>
      <c r="Q114" s="18">
        <f t="shared" si="14"/>
        <v>4113.77696448797</v>
      </c>
      <c r="R114" s="18">
        <f t="shared" si="9"/>
        <v>112019.17313359</v>
      </c>
      <c r="S114" s="18">
        <f t="shared" si="10"/>
        <v>147088.43550111321</v>
      </c>
    </row>
    <row r="115" spans="1:19" ht="18.75" customHeight="1" x14ac:dyDescent="0.25">
      <c r="A115" s="14">
        <f t="shared" si="13"/>
        <v>112</v>
      </c>
      <c r="B115" s="21" t="s">
        <v>140</v>
      </c>
      <c r="C115" s="15" t="s">
        <v>3</v>
      </c>
      <c r="D115" s="21" t="s">
        <v>56</v>
      </c>
      <c r="E115" s="21"/>
      <c r="F115" s="69" t="s">
        <v>13</v>
      </c>
      <c r="G115" s="9">
        <v>34644</v>
      </c>
      <c r="H115" s="22">
        <v>6377.2533150684922</v>
      </c>
      <c r="I115" s="17">
        <v>0</v>
      </c>
      <c r="J115" s="17">
        <v>0</v>
      </c>
      <c r="K115" s="17">
        <f t="shared" si="8"/>
        <v>6377.2533150684922</v>
      </c>
      <c r="L115" s="23">
        <f t="shared" si="15"/>
        <v>318.86266575342461</v>
      </c>
      <c r="M115" s="23">
        <v>30</v>
      </c>
      <c r="N115" s="18">
        <f t="shared" si="11"/>
        <v>26.421917808219177</v>
      </c>
      <c r="O115" s="23">
        <v>2692.0448273972602</v>
      </c>
      <c r="P115" s="18">
        <f t="shared" si="12"/>
        <v>26.923287671232877</v>
      </c>
      <c r="Q115" s="18">
        <f t="shared" si="14"/>
        <v>101.24981633101922</v>
      </c>
      <c r="R115" s="18">
        <f t="shared" si="9"/>
        <v>2793.2946437282794</v>
      </c>
      <c r="S115" s="18">
        <f t="shared" si="10"/>
        <v>3583.9586713402127</v>
      </c>
    </row>
    <row r="116" spans="1:19" ht="18.75" customHeight="1" x14ac:dyDescent="0.25">
      <c r="A116" s="14">
        <f t="shared" si="13"/>
        <v>113</v>
      </c>
      <c r="B116" s="21" t="s">
        <v>141</v>
      </c>
      <c r="C116" s="15" t="s">
        <v>3</v>
      </c>
      <c r="D116" s="21" t="s">
        <v>56</v>
      </c>
      <c r="E116" s="21"/>
      <c r="F116" s="70" t="s">
        <v>7</v>
      </c>
      <c r="G116" s="9">
        <v>34644</v>
      </c>
      <c r="H116" s="22">
        <v>8871.5952054794507</v>
      </c>
      <c r="I116" s="17">
        <v>0</v>
      </c>
      <c r="J116" s="17">
        <v>0</v>
      </c>
      <c r="K116" s="17">
        <f t="shared" si="8"/>
        <v>8871.5952054794507</v>
      </c>
      <c r="L116" s="23">
        <f t="shared" si="15"/>
        <v>443.57976027397257</v>
      </c>
      <c r="M116" s="23">
        <v>30</v>
      </c>
      <c r="N116" s="18">
        <f t="shared" si="11"/>
        <v>26.421917808219177</v>
      </c>
      <c r="O116" s="23">
        <v>3744.9871917808205</v>
      </c>
      <c r="P116" s="18">
        <f>($P$2-G116+1)/365</f>
        <v>26.923287671232877</v>
      </c>
      <c r="Q116" s="18">
        <f t="shared" si="14"/>
        <v>140.85176497466725</v>
      </c>
      <c r="R116" s="18">
        <f t="shared" si="9"/>
        <v>3885.8389567554877</v>
      </c>
      <c r="S116" s="18">
        <f t="shared" si="10"/>
        <v>4985.7562487239629</v>
      </c>
    </row>
    <row r="117" spans="1:19" ht="18.75" customHeight="1" x14ac:dyDescent="0.25">
      <c r="A117" s="14">
        <f t="shared" si="13"/>
        <v>114</v>
      </c>
      <c r="B117" s="21" t="s">
        <v>142</v>
      </c>
      <c r="C117" s="15" t="s">
        <v>3</v>
      </c>
      <c r="D117" s="21" t="s">
        <v>56</v>
      </c>
      <c r="E117" s="21"/>
      <c r="F117" s="69" t="s">
        <v>4</v>
      </c>
      <c r="G117" s="9">
        <v>34639</v>
      </c>
      <c r="H117" s="22">
        <v>6786.0133470319633</v>
      </c>
      <c r="I117" s="17">
        <v>0</v>
      </c>
      <c r="J117" s="17">
        <v>0</v>
      </c>
      <c r="K117" s="17">
        <f t="shared" si="8"/>
        <v>6786.0133470319633</v>
      </c>
      <c r="L117" s="23">
        <f t="shared" si="15"/>
        <v>339.30066735159818</v>
      </c>
      <c r="M117" s="23">
        <v>30</v>
      </c>
      <c r="N117" s="18">
        <f t="shared" si="11"/>
        <v>26.435616438356163</v>
      </c>
      <c r="O117" s="23">
        <v>2868.1578604261804</v>
      </c>
      <c r="P117" s="18">
        <f t="shared" si="12"/>
        <v>26.936986301369863</v>
      </c>
      <c r="Q117" s="18">
        <f t="shared" si="14"/>
        <v>107.73958177000091</v>
      </c>
      <c r="R117" s="18">
        <f t="shared" si="9"/>
        <v>2975.8974421961811</v>
      </c>
      <c r="S117" s="18">
        <f t="shared" si="10"/>
        <v>3810.1159048357822</v>
      </c>
    </row>
    <row r="118" spans="1:19" ht="18.75" customHeight="1" x14ac:dyDescent="0.25">
      <c r="A118" s="14">
        <f t="shared" si="13"/>
        <v>115</v>
      </c>
      <c r="B118" s="21" t="s">
        <v>143</v>
      </c>
      <c r="C118" s="15" t="s">
        <v>3</v>
      </c>
      <c r="D118" s="21" t="s">
        <v>56</v>
      </c>
      <c r="E118" s="21"/>
      <c r="F118" s="70" t="s">
        <v>7</v>
      </c>
      <c r="G118" s="9">
        <v>34500</v>
      </c>
      <c r="H118" s="22">
        <v>7716.5972054794547</v>
      </c>
      <c r="I118" s="17">
        <v>0</v>
      </c>
      <c r="J118" s="17">
        <v>0</v>
      </c>
      <c r="K118" s="17">
        <f t="shared" si="8"/>
        <v>7716.5972054794547</v>
      </c>
      <c r="L118" s="23">
        <f t="shared" si="15"/>
        <v>385.82986027397277</v>
      </c>
      <c r="M118" s="23">
        <v>30</v>
      </c>
      <c r="N118" s="18">
        <f t="shared" si="11"/>
        <v>26.816438356164383</v>
      </c>
      <c r="O118" s="23">
        <v>3378.6348657534236</v>
      </c>
      <c r="P118" s="18">
        <f t="shared" si="12"/>
        <v>27.317808219178083</v>
      </c>
      <c r="Q118" s="18">
        <f t="shared" si="14"/>
        <v>122.51419398836592</v>
      </c>
      <c r="R118" s="18">
        <f t="shared" si="9"/>
        <v>3501.1490597417896</v>
      </c>
      <c r="S118" s="18">
        <f t="shared" si="10"/>
        <v>4215.4481457376651</v>
      </c>
    </row>
    <row r="119" spans="1:19" ht="18.75" customHeight="1" x14ac:dyDescent="0.25">
      <c r="A119" s="14">
        <f t="shared" si="13"/>
        <v>116</v>
      </c>
      <c r="B119" s="21" t="s">
        <v>102</v>
      </c>
      <c r="C119" s="15" t="s">
        <v>3</v>
      </c>
      <c r="D119" s="21" t="s">
        <v>56</v>
      </c>
      <c r="E119" s="21"/>
      <c r="F119" s="69" t="s">
        <v>4</v>
      </c>
      <c r="G119" s="9">
        <v>34328</v>
      </c>
      <c r="H119" s="22">
        <v>6273.2283561643835</v>
      </c>
      <c r="I119" s="17">
        <v>0</v>
      </c>
      <c r="J119" s="17">
        <v>0</v>
      </c>
      <c r="K119" s="17">
        <f t="shared" si="8"/>
        <v>6273.2283561643835</v>
      </c>
      <c r="L119" s="23">
        <f t="shared" si="15"/>
        <v>313.6614178082192</v>
      </c>
      <c r="M119" s="23">
        <v>30</v>
      </c>
      <c r="N119" s="18">
        <f t="shared" si="11"/>
        <v>27.287671232876711</v>
      </c>
      <c r="O119" s="23">
        <v>2875.33185844749</v>
      </c>
      <c r="P119" s="18">
        <f t="shared" si="12"/>
        <v>27.789041095890411</v>
      </c>
      <c r="Q119" s="18">
        <f t="shared" si="14"/>
        <v>99.598241983486844</v>
      </c>
      <c r="R119" s="18">
        <f t="shared" si="9"/>
        <v>2974.9301004309768</v>
      </c>
      <c r="S119" s="18">
        <f t="shared" si="10"/>
        <v>3298.2982557334067</v>
      </c>
    </row>
    <row r="120" spans="1:19" ht="18.75" customHeight="1" x14ac:dyDescent="0.25">
      <c r="A120" s="14">
        <f t="shared" si="13"/>
        <v>117</v>
      </c>
      <c r="B120" s="21" t="s">
        <v>144</v>
      </c>
      <c r="C120" s="15" t="s">
        <v>3</v>
      </c>
      <c r="D120" s="21" t="s">
        <v>56</v>
      </c>
      <c r="E120" s="21"/>
      <c r="F120" s="69" t="s">
        <v>4</v>
      </c>
      <c r="G120" s="9">
        <v>34294</v>
      </c>
      <c r="H120" s="22">
        <v>1780.7967853881282</v>
      </c>
      <c r="I120" s="17">
        <v>0</v>
      </c>
      <c r="J120" s="17">
        <v>0</v>
      </c>
      <c r="K120" s="17">
        <f t="shared" si="8"/>
        <v>1780.7967853881282</v>
      </c>
      <c r="L120" s="23">
        <f t="shared" si="15"/>
        <v>89.039839269406414</v>
      </c>
      <c r="M120" s="23">
        <v>30</v>
      </c>
      <c r="N120" s="18">
        <f t="shared" si="11"/>
        <v>27.38082191780822</v>
      </c>
      <c r="O120" s="23">
        <v>823.89015768645379</v>
      </c>
      <c r="P120" s="18">
        <f t="shared" si="12"/>
        <v>27.882191780821916</v>
      </c>
      <c r="Q120" s="18">
        <f t="shared" si="14"/>
        <v>28.273198277600432</v>
      </c>
      <c r="R120" s="18">
        <f t="shared" si="9"/>
        <v>852.16335596405418</v>
      </c>
      <c r="S120" s="18">
        <f t="shared" si="10"/>
        <v>928.63342942407405</v>
      </c>
    </row>
    <row r="121" spans="1:19" ht="18.75" customHeight="1" x14ac:dyDescent="0.25">
      <c r="A121" s="14">
        <f t="shared" si="13"/>
        <v>118</v>
      </c>
      <c r="B121" s="21" t="s">
        <v>145</v>
      </c>
      <c r="C121" s="15" t="s">
        <v>3</v>
      </c>
      <c r="D121" s="21" t="s">
        <v>56</v>
      </c>
      <c r="E121" s="21"/>
      <c r="F121" s="70" t="s">
        <v>7</v>
      </c>
      <c r="G121" s="9">
        <v>34294</v>
      </c>
      <c r="H121" s="29">
        <v>36218.469698630128</v>
      </c>
      <c r="I121" s="17">
        <v>0</v>
      </c>
      <c r="J121" s="17">
        <v>0</v>
      </c>
      <c r="K121" s="17">
        <f t="shared" si="8"/>
        <v>36218.469698630128</v>
      </c>
      <c r="L121" s="23">
        <f t="shared" si="15"/>
        <v>1810.9234849315064</v>
      </c>
      <c r="M121" s="23">
        <v>30</v>
      </c>
      <c r="N121" s="18">
        <f t="shared" si="11"/>
        <v>27.38082191780822</v>
      </c>
      <c r="O121" s="23">
        <v>16756.56703561643</v>
      </c>
      <c r="P121" s="18">
        <f t="shared" si="12"/>
        <v>27.882191780821916</v>
      </c>
      <c r="Q121" s="18">
        <f t="shared" si="14"/>
        <v>575.03022439331698</v>
      </c>
      <c r="R121" s="18">
        <f t="shared" si="9"/>
        <v>17331.597260009748</v>
      </c>
      <c r="S121" s="18">
        <f t="shared" si="10"/>
        <v>18886.872438620379</v>
      </c>
    </row>
    <row r="122" spans="1:19" ht="18.75" customHeight="1" x14ac:dyDescent="0.25">
      <c r="A122" s="14">
        <f t="shared" si="13"/>
        <v>119</v>
      </c>
      <c r="B122" s="21" t="s">
        <v>146</v>
      </c>
      <c r="C122" s="15" t="s">
        <v>3</v>
      </c>
      <c r="D122" s="21" t="s">
        <v>56</v>
      </c>
      <c r="E122" s="21"/>
      <c r="F122" s="69" t="s">
        <v>4</v>
      </c>
      <c r="G122" s="9">
        <v>34283</v>
      </c>
      <c r="H122" s="22">
        <v>2104.5751278538819</v>
      </c>
      <c r="I122" s="17">
        <v>0</v>
      </c>
      <c r="J122" s="17">
        <v>0</v>
      </c>
      <c r="K122" s="17">
        <f t="shared" si="8"/>
        <v>2104.5751278538819</v>
      </c>
      <c r="L122" s="23">
        <f t="shared" si="15"/>
        <v>105.22875639269409</v>
      </c>
      <c r="M122" s="23">
        <v>30</v>
      </c>
      <c r="N122" s="18">
        <f t="shared" si="11"/>
        <v>27.410958904109588</v>
      </c>
      <c r="O122" s="23">
        <v>976.65623942161324</v>
      </c>
      <c r="P122" s="18">
        <f t="shared" si="12"/>
        <v>27.912328767123288</v>
      </c>
      <c r="Q122" s="18">
        <f t="shared" si="14"/>
        <v>33.413733879214462</v>
      </c>
      <c r="R122" s="18">
        <f t="shared" si="9"/>
        <v>1010.0699733008277</v>
      </c>
      <c r="S122" s="18">
        <f t="shared" si="10"/>
        <v>1094.5051545530541</v>
      </c>
    </row>
    <row r="123" spans="1:19" ht="18.75" customHeight="1" x14ac:dyDescent="0.25">
      <c r="A123" s="14">
        <f t="shared" si="13"/>
        <v>120</v>
      </c>
      <c r="B123" s="21" t="s">
        <v>147</v>
      </c>
      <c r="C123" s="15" t="s">
        <v>3</v>
      </c>
      <c r="D123" s="21" t="s">
        <v>56</v>
      </c>
      <c r="E123" s="21"/>
      <c r="F123" s="69" t="s">
        <v>7</v>
      </c>
      <c r="G123" s="9">
        <v>34211</v>
      </c>
      <c r="H123" s="22">
        <v>32399.049894977172</v>
      </c>
      <c r="I123" s="17">
        <v>0</v>
      </c>
      <c r="J123" s="17">
        <v>0</v>
      </c>
      <c r="K123" s="17">
        <f t="shared" si="8"/>
        <v>32399.049894977172</v>
      </c>
      <c r="L123" s="23">
        <f t="shared" si="15"/>
        <v>1619.9524947488587</v>
      </c>
      <c r="M123" s="23">
        <v>30</v>
      </c>
      <c r="N123" s="18">
        <f t="shared" si="11"/>
        <v>27.608219178082191</v>
      </c>
      <c r="O123" s="23">
        <v>15341.985215677318</v>
      </c>
      <c r="P123" s="18">
        <f t="shared" si="12"/>
        <v>28.109589041095891</v>
      </c>
      <c r="Q123" s="18">
        <f t="shared" si="14"/>
        <v>514.39039490792663</v>
      </c>
      <c r="R123" s="18">
        <f t="shared" si="9"/>
        <v>15856.375610585244</v>
      </c>
      <c r="S123" s="18">
        <f t="shared" si="10"/>
        <v>16542.674284391927</v>
      </c>
    </row>
    <row r="124" spans="1:19" ht="18.75" customHeight="1" x14ac:dyDescent="0.25">
      <c r="A124" s="14">
        <f t="shared" si="13"/>
        <v>121</v>
      </c>
      <c r="B124" s="21" t="s">
        <v>148</v>
      </c>
      <c r="C124" s="15" t="s">
        <v>3</v>
      </c>
      <c r="D124" s="21" t="s">
        <v>56</v>
      </c>
      <c r="E124" s="21"/>
      <c r="F124" s="69" t="s">
        <v>4</v>
      </c>
      <c r="G124" s="9">
        <v>34064</v>
      </c>
      <c r="H124" s="22">
        <v>2159.5806666666667</v>
      </c>
      <c r="I124" s="17">
        <v>0</v>
      </c>
      <c r="J124" s="17">
        <v>0</v>
      </c>
      <c r="K124" s="17">
        <f t="shared" si="8"/>
        <v>2159.5806666666667</v>
      </c>
      <c r="L124" s="23">
        <f t="shared" si="15"/>
        <v>107.97903333333335</v>
      </c>
      <c r="M124" s="23">
        <v>30</v>
      </c>
      <c r="N124" s="18">
        <f t="shared" si="11"/>
        <v>28.010958904109589</v>
      </c>
      <c r="O124" s="23">
        <v>1067.3013555555558</v>
      </c>
      <c r="P124" s="18">
        <f t="shared" si="12"/>
        <v>28.512328767123286</v>
      </c>
      <c r="Q124" s="18">
        <f t="shared" si="14"/>
        <v>34.287040995433635</v>
      </c>
      <c r="R124" s="18">
        <f t="shared" si="9"/>
        <v>1101.5883965509895</v>
      </c>
      <c r="S124" s="18">
        <f t="shared" si="10"/>
        <v>1057.9922701156772</v>
      </c>
    </row>
    <row r="125" spans="1:19" ht="18.75" customHeight="1" x14ac:dyDescent="0.25">
      <c r="A125" s="14">
        <f t="shared" si="13"/>
        <v>122</v>
      </c>
      <c r="B125" s="21" t="s">
        <v>149</v>
      </c>
      <c r="C125" s="15" t="s">
        <v>3</v>
      </c>
      <c r="D125" s="21" t="s">
        <v>56</v>
      </c>
      <c r="E125" s="21"/>
      <c r="F125" s="69" t="s">
        <v>11</v>
      </c>
      <c r="G125" s="9">
        <v>34046</v>
      </c>
      <c r="H125" s="22">
        <v>25453.375780821923</v>
      </c>
      <c r="I125" s="17">
        <v>0</v>
      </c>
      <c r="J125" s="17">
        <v>0</v>
      </c>
      <c r="K125" s="17">
        <f t="shared" si="8"/>
        <v>25453.375780821923</v>
      </c>
      <c r="L125" s="23">
        <f t="shared" si="15"/>
        <v>1272.6687890410963</v>
      </c>
      <c r="M125" s="23">
        <v>30</v>
      </c>
      <c r="N125" s="18">
        <f t="shared" si="11"/>
        <v>28.06027397260274</v>
      </c>
      <c r="O125" s="23">
        <v>12647.379393607302</v>
      </c>
      <c r="P125" s="18">
        <f t="shared" si="12"/>
        <v>28.561643835616437</v>
      </c>
      <c r="Q125" s="18">
        <f t="shared" si="14"/>
        <v>404.11592506811616</v>
      </c>
      <c r="R125" s="18">
        <f t="shared" si="9"/>
        <v>13051.495318675417</v>
      </c>
      <c r="S125" s="18">
        <f t="shared" si="10"/>
        <v>12401.880462146506</v>
      </c>
    </row>
    <row r="126" spans="1:19" ht="18.75" customHeight="1" x14ac:dyDescent="0.25">
      <c r="A126" s="14">
        <f t="shared" si="13"/>
        <v>123</v>
      </c>
      <c r="B126" s="21" t="s">
        <v>144</v>
      </c>
      <c r="C126" s="15" t="s">
        <v>3</v>
      </c>
      <c r="D126" s="21" t="s">
        <v>56</v>
      </c>
      <c r="E126" s="21"/>
      <c r="F126" s="69" t="s">
        <v>4</v>
      </c>
      <c r="G126" s="9">
        <v>34028</v>
      </c>
      <c r="H126" s="22">
        <v>1517.9458082191777</v>
      </c>
      <c r="I126" s="17">
        <v>0</v>
      </c>
      <c r="J126" s="17">
        <v>0</v>
      </c>
      <c r="K126" s="17">
        <f t="shared" si="8"/>
        <v>1517.9458082191777</v>
      </c>
      <c r="L126" s="23">
        <f t="shared" si="15"/>
        <v>75.897290410958888</v>
      </c>
      <c r="M126" s="23">
        <v>30</v>
      </c>
      <c r="N126" s="18">
        <f t="shared" si="11"/>
        <v>28.109589041095891</v>
      </c>
      <c r="O126" s="23">
        <v>758.33907031963508</v>
      </c>
      <c r="P126" s="18">
        <f t="shared" si="12"/>
        <v>28.610958904109587</v>
      </c>
      <c r="Q126" s="18">
        <f t="shared" si="14"/>
        <v>24.099988927753689</v>
      </c>
      <c r="R126" s="18">
        <f t="shared" si="9"/>
        <v>782.43905924738874</v>
      </c>
      <c r="S126" s="18">
        <f t="shared" si="10"/>
        <v>735.50674897178897</v>
      </c>
    </row>
    <row r="127" spans="1:19" ht="18.75" customHeight="1" x14ac:dyDescent="0.25">
      <c r="A127" s="14">
        <f t="shared" si="13"/>
        <v>124</v>
      </c>
      <c r="B127" s="21" t="s">
        <v>105</v>
      </c>
      <c r="C127" s="15" t="s">
        <v>3</v>
      </c>
      <c r="D127" s="21" t="s">
        <v>56</v>
      </c>
      <c r="E127" s="21"/>
      <c r="F127" s="70" t="s">
        <v>7</v>
      </c>
      <c r="G127" s="9">
        <v>34025</v>
      </c>
      <c r="H127" s="22">
        <v>4411.6557990867586</v>
      </c>
      <c r="I127" s="17">
        <v>0</v>
      </c>
      <c r="J127" s="17">
        <v>0</v>
      </c>
      <c r="K127" s="17">
        <f t="shared" si="8"/>
        <v>4411.6557990867586</v>
      </c>
      <c r="L127" s="23">
        <f t="shared" si="15"/>
        <v>220.58278995433795</v>
      </c>
      <c r="M127" s="23">
        <v>30</v>
      </c>
      <c r="N127" s="18">
        <f t="shared" si="11"/>
        <v>28.117808219178084</v>
      </c>
      <c r="O127" s="23">
        <v>2205.9832298325746</v>
      </c>
      <c r="P127" s="18">
        <f t="shared" si="12"/>
        <v>28.61917808219178</v>
      </c>
      <c r="Q127" s="18">
        <f t="shared" si="14"/>
        <v>70.042590015637401</v>
      </c>
      <c r="R127" s="18">
        <f t="shared" si="9"/>
        <v>2276.025819848212</v>
      </c>
      <c r="S127" s="18">
        <f t="shared" si="10"/>
        <v>2135.6299792385466</v>
      </c>
    </row>
    <row r="128" spans="1:19" ht="18.75" customHeight="1" x14ac:dyDescent="0.25">
      <c r="A128" s="14">
        <f t="shared" si="13"/>
        <v>125</v>
      </c>
      <c r="B128" s="21" t="s">
        <v>150</v>
      </c>
      <c r="C128" s="15" t="s">
        <v>3</v>
      </c>
      <c r="D128" s="21" t="s">
        <v>56</v>
      </c>
      <c r="E128" s="21"/>
      <c r="F128" s="69" t="s">
        <v>4</v>
      </c>
      <c r="G128" s="9">
        <v>34011</v>
      </c>
      <c r="H128" s="22">
        <v>102364.70860273979</v>
      </c>
      <c r="I128" s="17">
        <v>0</v>
      </c>
      <c r="J128" s="17">
        <v>0</v>
      </c>
      <c r="K128" s="17">
        <f t="shared" si="8"/>
        <v>102364.70860273979</v>
      </c>
      <c r="L128" s="23">
        <f t="shared" si="15"/>
        <v>5118.2354301369896</v>
      </c>
      <c r="M128" s="23">
        <v>30</v>
      </c>
      <c r="N128" s="18">
        <f t="shared" si="11"/>
        <v>28.156164383561645</v>
      </c>
      <c r="O128" s="23">
        <v>51403.442871232903</v>
      </c>
      <c r="P128" s="18">
        <f t="shared" si="12"/>
        <v>28.657534246575342</v>
      </c>
      <c r="Q128" s="18">
        <f t="shared" si="14"/>
        <v>1625.2150311037656</v>
      </c>
      <c r="R128" s="18">
        <f t="shared" si="9"/>
        <v>53028.657902336665</v>
      </c>
      <c r="S128" s="18">
        <f t="shared" si="10"/>
        <v>49336.050700403124</v>
      </c>
    </row>
    <row r="129" spans="1:19" ht="18.75" customHeight="1" x14ac:dyDescent="0.25">
      <c r="A129" s="14">
        <f t="shared" si="13"/>
        <v>126</v>
      </c>
      <c r="B129" s="21" t="s">
        <v>151</v>
      </c>
      <c r="C129" s="15" t="s">
        <v>3</v>
      </c>
      <c r="D129" s="21" t="s">
        <v>56</v>
      </c>
      <c r="E129" s="21"/>
      <c r="F129" s="71" t="s">
        <v>8</v>
      </c>
      <c r="G129" s="9">
        <v>33810</v>
      </c>
      <c r="H129" s="22">
        <v>3034.0831232876717</v>
      </c>
      <c r="I129" s="17">
        <v>0</v>
      </c>
      <c r="J129" s="17">
        <v>0</v>
      </c>
      <c r="K129" s="17">
        <f t="shared" si="8"/>
        <v>3034.0831232876717</v>
      </c>
      <c r="L129" s="23">
        <f t="shared" si="15"/>
        <v>151.70415616438359</v>
      </c>
      <c r="M129" s="23">
        <v>30</v>
      </c>
      <c r="N129" s="18">
        <f t="shared" si="11"/>
        <v>28.706849315068492</v>
      </c>
      <c r="O129" s="23">
        <v>1623.0666885844744</v>
      </c>
      <c r="P129" s="18">
        <f t="shared" si="12"/>
        <v>29.208219178082192</v>
      </c>
      <c r="Q129" s="18">
        <f t="shared" si="14"/>
        <v>48.171264930005762</v>
      </c>
      <c r="R129" s="18">
        <f t="shared" si="9"/>
        <v>1671.2379535144801</v>
      </c>
      <c r="S129" s="18">
        <f t="shared" si="10"/>
        <v>1362.8451697731916</v>
      </c>
    </row>
    <row r="130" spans="1:19" ht="18.75" customHeight="1" x14ac:dyDescent="0.25">
      <c r="A130" s="14">
        <f t="shared" si="13"/>
        <v>127</v>
      </c>
      <c r="B130" s="21" t="s">
        <v>152</v>
      </c>
      <c r="C130" s="15" t="s">
        <v>3</v>
      </c>
      <c r="D130" s="21" t="s">
        <v>56</v>
      </c>
      <c r="E130" s="21"/>
      <c r="F130" s="69" t="s">
        <v>4</v>
      </c>
      <c r="G130" s="9">
        <v>33810</v>
      </c>
      <c r="H130" s="22">
        <v>14848.977863013701</v>
      </c>
      <c r="I130" s="17">
        <v>0</v>
      </c>
      <c r="J130" s="17">
        <v>0</v>
      </c>
      <c r="K130" s="17">
        <f t="shared" si="8"/>
        <v>14848.977863013701</v>
      </c>
      <c r="L130" s="23">
        <f t="shared" si="15"/>
        <v>742.44889315068508</v>
      </c>
      <c r="M130" s="23">
        <v>30</v>
      </c>
      <c r="N130" s="18">
        <f t="shared" si="11"/>
        <v>28.706849315068492</v>
      </c>
      <c r="O130" s="23">
        <v>7943.3820200913233</v>
      </c>
      <c r="P130" s="18">
        <f t="shared" si="12"/>
        <v>29.208219178082192</v>
      </c>
      <c r="Q130" s="18">
        <f t="shared" si="14"/>
        <v>235.75294990730032</v>
      </c>
      <c r="R130" s="18">
        <f t="shared" si="9"/>
        <v>8179.134969998624</v>
      </c>
      <c r="S130" s="18">
        <f t="shared" si="10"/>
        <v>6669.8428930150767</v>
      </c>
    </row>
    <row r="131" spans="1:19" ht="18.75" customHeight="1" x14ac:dyDescent="0.25">
      <c r="A131" s="14">
        <f t="shared" si="13"/>
        <v>128</v>
      </c>
      <c r="B131" s="21" t="s">
        <v>153</v>
      </c>
      <c r="C131" s="15" t="s">
        <v>3</v>
      </c>
      <c r="D131" s="21" t="s">
        <v>56</v>
      </c>
      <c r="E131" s="21"/>
      <c r="F131" s="69" t="s">
        <v>11</v>
      </c>
      <c r="G131" s="9">
        <v>33719</v>
      </c>
      <c r="H131" s="29">
        <v>37449.857095890417</v>
      </c>
      <c r="I131" s="17">
        <v>0</v>
      </c>
      <c r="J131" s="17">
        <v>0</v>
      </c>
      <c r="K131" s="17">
        <f t="shared" si="8"/>
        <v>37449.857095890417</v>
      </c>
      <c r="L131" s="23">
        <f t="shared" si="15"/>
        <v>1872.492854794521</v>
      </c>
      <c r="M131" s="23">
        <v>30</v>
      </c>
      <c r="N131" s="18">
        <f t="shared" si="11"/>
        <v>28.956164383561642</v>
      </c>
      <c r="O131" s="23">
        <v>20647.783693150679</v>
      </c>
      <c r="P131" s="18">
        <f t="shared" si="12"/>
        <v>29.457534246575342</v>
      </c>
      <c r="Q131" s="18">
        <f t="shared" si="14"/>
        <v>594.58060786489182</v>
      </c>
      <c r="R131" s="18">
        <f t="shared" si="9"/>
        <v>21242.364301015572</v>
      </c>
      <c r="S131" s="18">
        <f t="shared" si="10"/>
        <v>16207.492794874845</v>
      </c>
    </row>
    <row r="132" spans="1:19" ht="18.75" customHeight="1" x14ac:dyDescent="0.25">
      <c r="A132" s="14">
        <f t="shared" si="13"/>
        <v>129</v>
      </c>
      <c r="B132" s="21" t="s">
        <v>154</v>
      </c>
      <c r="C132" s="15" t="s">
        <v>3</v>
      </c>
      <c r="D132" s="21" t="s">
        <v>56</v>
      </c>
      <c r="E132" s="21"/>
      <c r="F132" s="69" t="s">
        <v>4</v>
      </c>
      <c r="G132" s="9">
        <v>33688</v>
      </c>
      <c r="H132" s="22">
        <v>1315.707488584475</v>
      </c>
      <c r="I132" s="17">
        <v>0</v>
      </c>
      <c r="J132" s="17">
        <v>0</v>
      </c>
      <c r="K132" s="17">
        <f t="shared" ref="K132:K195" si="16">H132+I132-J132</f>
        <v>1315.707488584475</v>
      </c>
      <c r="L132" s="23">
        <f t="shared" si="15"/>
        <v>65.785374429223751</v>
      </c>
      <c r="M132" s="23">
        <v>30</v>
      </c>
      <c r="N132" s="18">
        <f t="shared" si="11"/>
        <v>29.041095890410958</v>
      </c>
      <c r="O132" s="23">
        <v>733.08495281582941</v>
      </c>
      <c r="P132" s="18">
        <f t="shared" si="12"/>
        <v>29.542465753424658</v>
      </c>
      <c r="Q132" s="18">
        <f t="shared" si="14"/>
        <v>20.889109305060419</v>
      </c>
      <c r="R132" s="18">
        <f t="shared" ref="R132:R195" si="17">Q132+O132</f>
        <v>753.97406212088981</v>
      </c>
      <c r="S132" s="18">
        <f t="shared" ref="S132:S149" si="18">K132-R132</f>
        <v>561.73342646358515</v>
      </c>
    </row>
    <row r="133" spans="1:19" ht="18.75" customHeight="1" x14ac:dyDescent="0.25">
      <c r="A133" s="14">
        <f t="shared" si="13"/>
        <v>130</v>
      </c>
      <c r="B133" s="21" t="s">
        <v>155</v>
      </c>
      <c r="C133" s="15" t="s">
        <v>3</v>
      </c>
      <c r="D133" s="21" t="s">
        <v>56</v>
      </c>
      <c r="E133" s="21"/>
      <c r="F133" s="69" t="s">
        <v>4</v>
      </c>
      <c r="G133" s="9">
        <v>33688</v>
      </c>
      <c r="H133" s="22">
        <v>82024.691105022852</v>
      </c>
      <c r="I133" s="17">
        <v>0</v>
      </c>
      <c r="J133" s="17">
        <v>0</v>
      </c>
      <c r="K133" s="17">
        <f t="shared" si="16"/>
        <v>82024.691105022852</v>
      </c>
      <c r="L133" s="23">
        <f t="shared" si="15"/>
        <v>4101.2345552511424</v>
      </c>
      <c r="M133" s="23">
        <v>30</v>
      </c>
      <c r="N133" s="18">
        <f t="shared" ref="N133:N196" si="19">IF(($N$2-G133+1)/365&gt;0,($N$2-G133+1)/365,0)</f>
        <v>29.041095890410958</v>
      </c>
      <c r="O133" s="23">
        <v>45702.45843409434</v>
      </c>
      <c r="P133" s="18">
        <f t="shared" ref="P133:P196" si="20">($P$2-G133+1)/365</f>
        <v>29.542465753424658</v>
      </c>
      <c r="Q133" s="18">
        <f t="shared" si="14"/>
        <v>1302.2824245304348</v>
      </c>
      <c r="R133" s="18">
        <f t="shared" si="17"/>
        <v>47004.740858624777</v>
      </c>
      <c r="S133" s="18">
        <f t="shared" si="18"/>
        <v>35019.950246398075</v>
      </c>
    </row>
    <row r="134" spans="1:19" ht="18.75" customHeight="1" x14ac:dyDescent="0.25">
      <c r="A134" s="14">
        <f t="shared" ref="A134:A197" si="21">+A133+1</f>
        <v>131</v>
      </c>
      <c r="B134" s="21" t="s">
        <v>156</v>
      </c>
      <c r="C134" s="15" t="s">
        <v>3</v>
      </c>
      <c r="D134" s="21" t="s">
        <v>56</v>
      </c>
      <c r="E134" s="21"/>
      <c r="F134" s="69" t="s">
        <v>13</v>
      </c>
      <c r="G134" s="9">
        <v>33671</v>
      </c>
      <c r="H134" s="22">
        <v>8635.4918675799054</v>
      </c>
      <c r="I134" s="17">
        <v>0</v>
      </c>
      <c r="J134" s="17">
        <v>0</v>
      </c>
      <c r="K134" s="17">
        <f t="shared" si="16"/>
        <v>8635.4918675799054</v>
      </c>
      <c r="L134" s="23">
        <f t="shared" si="15"/>
        <v>431.77459337899529</v>
      </c>
      <c r="M134" s="23">
        <v>30</v>
      </c>
      <c r="N134" s="18">
        <f t="shared" si="19"/>
        <v>29.087671232876712</v>
      </c>
      <c r="O134" s="23">
        <v>4839.6317654490067</v>
      </c>
      <c r="P134" s="18">
        <f t="shared" si="20"/>
        <v>29.589041095890412</v>
      </c>
      <c r="Q134" s="18">
        <f t="shared" si="14"/>
        <v>137.10322019897447</v>
      </c>
      <c r="R134" s="18">
        <f t="shared" si="17"/>
        <v>4976.7349856479814</v>
      </c>
      <c r="S134" s="18">
        <f t="shared" si="18"/>
        <v>3658.756881931924</v>
      </c>
    </row>
    <row r="135" spans="1:19" ht="18.75" customHeight="1" x14ac:dyDescent="0.25">
      <c r="A135" s="14">
        <f t="shared" si="21"/>
        <v>132</v>
      </c>
      <c r="B135" s="21" t="s">
        <v>157</v>
      </c>
      <c r="C135" s="15" t="s">
        <v>3</v>
      </c>
      <c r="D135" s="21" t="s">
        <v>56</v>
      </c>
      <c r="E135" s="21"/>
      <c r="F135" s="69" t="s">
        <v>4</v>
      </c>
      <c r="G135" s="9">
        <v>33603</v>
      </c>
      <c r="H135" s="22">
        <v>3691.4676164383563</v>
      </c>
      <c r="I135" s="17">
        <v>0</v>
      </c>
      <c r="J135" s="17">
        <v>0</v>
      </c>
      <c r="K135" s="17">
        <f t="shared" si="16"/>
        <v>3691.4676164383563</v>
      </c>
      <c r="L135" s="23">
        <f t="shared" si="15"/>
        <v>184.57338082191782</v>
      </c>
      <c r="M135" s="23">
        <v>30</v>
      </c>
      <c r="N135" s="18">
        <f t="shared" si="19"/>
        <v>29.273972602739725</v>
      </c>
      <c r="O135" s="23">
        <v>2118.4328840182648</v>
      </c>
      <c r="P135" s="18">
        <f t="shared" si="20"/>
        <v>29.775342465753425</v>
      </c>
      <c r="Q135" s="18">
        <f t="shared" si="14"/>
        <v>58.608369417151593</v>
      </c>
      <c r="R135" s="18">
        <f t="shared" si="17"/>
        <v>2177.0412534354164</v>
      </c>
      <c r="S135" s="18">
        <f t="shared" si="18"/>
        <v>1514.42636300294</v>
      </c>
    </row>
    <row r="136" spans="1:19" ht="18.75" customHeight="1" x14ac:dyDescent="0.25">
      <c r="A136" s="14">
        <f t="shared" si="21"/>
        <v>133</v>
      </c>
      <c r="B136" s="21" t="s">
        <v>158</v>
      </c>
      <c r="C136" s="15" t="s">
        <v>3</v>
      </c>
      <c r="D136" s="21" t="s">
        <v>56</v>
      </c>
      <c r="E136" s="21"/>
      <c r="F136" s="69" t="s">
        <v>6</v>
      </c>
      <c r="G136" s="9">
        <v>22647</v>
      </c>
      <c r="H136" s="22">
        <v>1020.1939726027394</v>
      </c>
      <c r="I136" s="17">
        <v>0</v>
      </c>
      <c r="J136" s="17">
        <v>0</v>
      </c>
      <c r="K136" s="17">
        <f t="shared" si="16"/>
        <v>1020.1939726027394</v>
      </c>
      <c r="L136" s="23">
        <f t="shared" si="15"/>
        <v>51.009698630136974</v>
      </c>
      <c r="M136" s="23">
        <v>60</v>
      </c>
      <c r="N136" s="18">
        <f t="shared" si="19"/>
        <v>59.290410958904111</v>
      </c>
      <c r="O136" s="23">
        <v>471.318337899543</v>
      </c>
      <c r="P136" s="18">
        <f t="shared" si="20"/>
        <v>59.791780821917811</v>
      </c>
      <c r="Q136" s="18">
        <f t="shared" si="14"/>
        <v>8.0986631112779328</v>
      </c>
      <c r="R136" s="18">
        <f t="shared" si="17"/>
        <v>479.41700101082091</v>
      </c>
      <c r="S136" s="18">
        <f t="shared" si="18"/>
        <v>540.77697159191848</v>
      </c>
    </row>
    <row r="137" spans="1:19" ht="18.75" customHeight="1" x14ac:dyDescent="0.25">
      <c r="A137" s="14">
        <f t="shared" si="21"/>
        <v>134</v>
      </c>
      <c r="B137" s="21" t="s">
        <v>159</v>
      </c>
      <c r="C137" s="15" t="s">
        <v>3</v>
      </c>
      <c r="D137" s="21" t="s">
        <v>56</v>
      </c>
      <c r="E137" s="21"/>
      <c r="F137" s="70" t="s">
        <v>7</v>
      </c>
      <c r="G137" s="9">
        <v>33585</v>
      </c>
      <c r="H137" s="22">
        <v>3126.870082191781</v>
      </c>
      <c r="I137" s="17">
        <v>0</v>
      </c>
      <c r="J137" s="17">
        <v>0</v>
      </c>
      <c r="K137" s="17">
        <f t="shared" si="16"/>
        <v>3126.870082191781</v>
      </c>
      <c r="L137" s="23">
        <f t="shared" si="15"/>
        <v>156.34350410958905</v>
      </c>
      <c r="M137" s="23">
        <v>30</v>
      </c>
      <c r="N137" s="18">
        <f t="shared" si="19"/>
        <v>29.323287671232876</v>
      </c>
      <c r="O137" s="23">
        <v>1805.9092584474877</v>
      </c>
      <c r="P137" s="18">
        <f t="shared" si="20"/>
        <v>29.824657534246576</v>
      </c>
      <c r="Q137" s="18">
        <f t="shared" si="14"/>
        <v>49.644416784387452</v>
      </c>
      <c r="R137" s="18">
        <f t="shared" si="17"/>
        <v>1855.5536752318751</v>
      </c>
      <c r="S137" s="18">
        <f t="shared" si="18"/>
        <v>1271.3164069599059</v>
      </c>
    </row>
    <row r="138" spans="1:19" ht="18.75" customHeight="1" x14ac:dyDescent="0.25">
      <c r="A138" s="14">
        <f t="shared" si="21"/>
        <v>135</v>
      </c>
      <c r="B138" s="21" t="s">
        <v>160</v>
      </c>
      <c r="C138" s="15" t="s">
        <v>3</v>
      </c>
      <c r="D138" s="21" t="s">
        <v>56</v>
      </c>
      <c r="E138" s="21"/>
      <c r="F138" s="70" t="s">
        <v>7</v>
      </c>
      <c r="G138" s="9">
        <v>33585</v>
      </c>
      <c r="H138" s="22">
        <v>4115.9116849315051</v>
      </c>
      <c r="I138" s="17">
        <v>0</v>
      </c>
      <c r="J138" s="17">
        <v>0</v>
      </c>
      <c r="K138" s="17">
        <f t="shared" si="16"/>
        <v>4115.9116849315051</v>
      </c>
      <c r="L138" s="23">
        <f t="shared" si="15"/>
        <v>205.79558424657526</v>
      </c>
      <c r="M138" s="23">
        <v>30</v>
      </c>
      <c r="N138" s="18">
        <f t="shared" si="19"/>
        <v>29.323287671232876</v>
      </c>
      <c r="O138" s="23">
        <v>2377.1256315068495</v>
      </c>
      <c r="P138" s="18">
        <f t="shared" si="20"/>
        <v>29.824657534246576</v>
      </c>
      <c r="Q138" s="18">
        <f t="shared" si="14"/>
        <v>65.347145792268861</v>
      </c>
      <c r="R138" s="18">
        <f t="shared" si="17"/>
        <v>2442.4727772991182</v>
      </c>
      <c r="S138" s="18">
        <f t="shared" si="18"/>
        <v>1673.4389076323869</v>
      </c>
    </row>
    <row r="139" spans="1:19" ht="18.75" customHeight="1" x14ac:dyDescent="0.25">
      <c r="A139" s="14">
        <f t="shared" si="21"/>
        <v>136</v>
      </c>
      <c r="B139" s="21" t="s">
        <v>161</v>
      </c>
      <c r="C139" s="15" t="s">
        <v>3</v>
      </c>
      <c r="D139" s="21" t="s">
        <v>56</v>
      </c>
      <c r="E139" s="21"/>
      <c r="F139" s="70" t="s">
        <v>7</v>
      </c>
      <c r="G139" s="9">
        <v>33508</v>
      </c>
      <c r="H139" s="22">
        <v>6468.3288401826503</v>
      </c>
      <c r="I139" s="17">
        <v>0</v>
      </c>
      <c r="J139" s="17">
        <v>0</v>
      </c>
      <c r="K139" s="17">
        <f t="shared" si="16"/>
        <v>6468.3288401826503</v>
      </c>
      <c r="L139" s="23">
        <f t="shared" si="15"/>
        <v>323.41644200913254</v>
      </c>
      <c r="M139" s="23">
        <v>30</v>
      </c>
      <c r="N139" s="18">
        <f t="shared" si="19"/>
        <v>29.534246575342465</v>
      </c>
      <c r="O139" s="23">
        <v>3841.1255549467282</v>
      </c>
      <c r="P139" s="18">
        <f t="shared" si="20"/>
        <v>30.035616438356165</v>
      </c>
      <c r="Q139" s="18">
        <v>0</v>
      </c>
      <c r="R139" s="18">
        <f t="shared" si="17"/>
        <v>3841.1255549467282</v>
      </c>
      <c r="S139" s="18">
        <f t="shared" si="18"/>
        <v>2627.2032852359221</v>
      </c>
    </row>
    <row r="140" spans="1:19" ht="18.75" customHeight="1" x14ac:dyDescent="0.25">
      <c r="A140" s="14">
        <f t="shared" si="21"/>
        <v>137</v>
      </c>
      <c r="B140" s="21" t="s">
        <v>157</v>
      </c>
      <c r="C140" s="15" t="s">
        <v>3</v>
      </c>
      <c r="D140" s="21" t="s">
        <v>56</v>
      </c>
      <c r="E140" s="21"/>
      <c r="F140" s="69" t="s">
        <v>4</v>
      </c>
      <c r="G140" s="9">
        <v>33404</v>
      </c>
      <c r="H140" s="22">
        <v>3871.1193881278523</v>
      </c>
      <c r="I140" s="17">
        <v>0</v>
      </c>
      <c r="J140" s="17">
        <v>0</v>
      </c>
      <c r="K140" s="17">
        <f t="shared" si="16"/>
        <v>3871.1193881278523</v>
      </c>
      <c r="L140" s="23">
        <f t="shared" si="15"/>
        <v>193.55596940639262</v>
      </c>
      <c r="M140" s="23">
        <v>30</v>
      </c>
      <c r="N140" s="18">
        <f t="shared" si="19"/>
        <v>29.81917808219178</v>
      </c>
      <c r="O140" s="23">
        <v>2390.2306371385066</v>
      </c>
      <c r="P140" s="18">
        <f t="shared" si="20"/>
        <v>30.32054794520548</v>
      </c>
      <c r="Q140" s="18">
        <v>0</v>
      </c>
      <c r="R140" s="18">
        <f t="shared" si="17"/>
        <v>2390.2306371385066</v>
      </c>
      <c r="S140" s="18">
        <f t="shared" si="18"/>
        <v>1480.8887509893457</v>
      </c>
    </row>
    <row r="141" spans="1:19" ht="18.75" customHeight="1" x14ac:dyDescent="0.25">
      <c r="A141" s="14">
        <f t="shared" si="21"/>
        <v>138</v>
      </c>
      <c r="B141" s="21" t="s">
        <v>162</v>
      </c>
      <c r="C141" s="15" t="s">
        <v>3</v>
      </c>
      <c r="D141" s="21" t="s">
        <v>56</v>
      </c>
      <c r="E141" s="21"/>
      <c r="F141" s="69" t="s">
        <v>4</v>
      </c>
      <c r="G141" s="9">
        <v>33358</v>
      </c>
      <c r="H141" s="22">
        <v>4883.167415525113</v>
      </c>
      <c r="I141" s="17">
        <v>0</v>
      </c>
      <c r="J141" s="17">
        <v>0</v>
      </c>
      <c r="K141" s="17">
        <f t="shared" si="16"/>
        <v>4883.167415525113</v>
      </c>
      <c r="L141" s="23">
        <f t="shared" si="15"/>
        <v>244.15837077625565</v>
      </c>
      <c r="M141" s="23">
        <v>30</v>
      </c>
      <c r="N141" s="18">
        <f t="shared" si="19"/>
        <v>29.945205479452056</v>
      </c>
      <c r="O141" s="23">
        <v>3069.2881558599724</v>
      </c>
      <c r="P141" s="18">
        <f t="shared" si="20"/>
        <v>30.446575342465753</v>
      </c>
      <c r="Q141" s="18">
        <v>0</v>
      </c>
      <c r="R141" s="18">
        <f t="shared" si="17"/>
        <v>3069.2881558599724</v>
      </c>
      <c r="S141" s="18">
        <f t="shared" si="18"/>
        <v>1813.8792596651406</v>
      </c>
    </row>
    <row r="142" spans="1:19" ht="18.75" customHeight="1" x14ac:dyDescent="0.25">
      <c r="A142" s="14">
        <f t="shared" si="21"/>
        <v>139</v>
      </c>
      <c r="B142" s="21" t="s">
        <v>102</v>
      </c>
      <c r="C142" s="15" t="s">
        <v>3</v>
      </c>
      <c r="D142" s="21" t="s">
        <v>56</v>
      </c>
      <c r="E142" s="21"/>
      <c r="F142" s="69" t="s">
        <v>4</v>
      </c>
      <c r="G142" s="9">
        <v>33328</v>
      </c>
      <c r="H142" s="22">
        <v>8703.0919086757931</v>
      </c>
      <c r="I142" s="17">
        <v>0</v>
      </c>
      <c r="J142" s="17">
        <v>0</v>
      </c>
      <c r="K142" s="17">
        <f t="shared" si="16"/>
        <v>8703.0919086757931</v>
      </c>
      <c r="L142" s="23">
        <f t="shared" si="15"/>
        <v>435.15459543378967</v>
      </c>
      <c r="M142" s="23">
        <v>30</v>
      </c>
      <c r="N142" s="18">
        <f t="shared" si="19"/>
        <v>30.027397260273972</v>
      </c>
      <c r="O142" s="23">
        <v>5535.2409996955821</v>
      </c>
      <c r="P142" s="18">
        <f t="shared" si="20"/>
        <v>30.528767123287672</v>
      </c>
      <c r="Q142" s="18">
        <v>0</v>
      </c>
      <c r="R142" s="18">
        <f t="shared" si="17"/>
        <v>5535.2409996955821</v>
      </c>
      <c r="S142" s="18">
        <f t="shared" si="18"/>
        <v>3167.850908980211</v>
      </c>
    </row>
    <row r="143" spans="1:19" ht="18.75" customHeight="1" x14ac:dyDescent="0.25">
      <c r="A143" s="14">
        <f t="shared" si="21"/>
        <v>140</v>
      </c>
      <c r="B143" s="21" t="s">
        <v>163</v>
      </c>
      <c r="C143" s="15" t="s">
        <v>3</v>
      </c>
      <c r="D143" s="21" t="s">
        <v>56</v>
      </c>
      <c r="E143" s="21"/>
      <c r="F143" s="69" t="s">
        <v>4</v>
      </c>
      <c r="G143" s="9">
        <v>33318</v>
      </c>
      <c r="H143" s="22">
        <v>2788.5930958904119</v>
      </c>
      <c r="I143" s="17">
        <v>0</v>
      </c>
      <c r="J143" s="17">
        <v>0</v>
      </c>
      <c r="K143" s="17">
        <f t="shared" si="16"/>
        <v>2788.5930958904119</v>
      </c>
      <c r="L143" s="23">
        <f t="shared" si="15"/>
        <v>139.42965479452059</v>
      </c>
      <c r="M143" s="23">
        <v>30</v>
      </c>
      <c r="N143" s="18">
        <f t="shared" si="19"/>
        <v>30.054794520547944</v>
      </c>
      <c r="O143" s="23">
        <v>1780.6236420091327</v>
      </c>
      <c r="P143" s="18">
        <f t="shared" si="20"/>
        <v>30.556164383561644</v>
      </c>
      <c r="Q143" s="18">
        <v>0</v>
      </c>
      <c r="R143" s="18">
        <f t="shared" si="17"/>
        <v>1780.6236420091327</v>
      </c>
      <c r="S143" s="18">
        <f t="shared" si="18"/>
        <v>1007.9694538812792</v>
      </c>
    </row>
    <row r="144" spans="1:19" ht="18.75" customHeight="1" x14ac:dyDescent="0.25">
      <c r="A144" s="14">
        <f t="shared" si="21"/>
        <v>141</v>
      </c>
      <c r="B144" s="21" t="s">
        <v>164</v>
      </c>
      <c r="C144" s="15" t="s">
        <v>3</v>
      </c>
      <c r="D144" s="21" t="s">
        <v>56</v>
      </c>
      <c r="E144" s="21"/>
      <c r="F144" s="69" t="s">
        <v>4</v>
      </c>
      <c r="G144" s="9">
        <v>33308</v>
      </c>
      <c r="H144" s="22">
        <v>10512.327050228319</v>
      </c>
      <c r="I144" s="17">
        <v>0</v>
      </c>
      <c r="J144" s="17">
        <v>0</v>
      </c>
      <c r="K144" s="17">
        <f t="shared" si="16"/>
        <v>10512.327050228319</v>
      </c>
      <c r="L144" s="23">
        <f t="shared" si="15"/>
        <v>525.61635251141604</v>
      </c>
      <c r="M144" s="23">
        <v>30</v>
      </c>
      <c r="N144" s="18">
        <f t="shared" si="19"/>
        <v>30.082191780821919</v>
      </c>
      <c r="O144" s="23">
        <v>6739.3421528158369</v>
      </c>
      <c r="P144" s="18">
        <f t="shared" si="20"/>
        <v>30.583561643835615</v>
      </c>
      <c r="Q144" s="18">
        <v>0</v>
      </c>
      <c r="R144" s="18">
        <f t="shared" si="17"/>
        <v>6739.3421528158369</v>
      </c>
      <c r="S144" s="18">
        <f t="shared" si="18"/>
        <v>3772.9848974124825</v>
      </c>
    </row>
    <row r="145" spans="1:19" ht="18.75" customHeight="1" x14ac:dyDescent="0.25">
      <c r="A145" s="14">
        <f t="shared" si="21"/>
        <v>142</v>
      </c>
      <c r="B145" s="21" t="s">
        <v>165</v>
      </c>
      <c r="C145" s="15" t="s">
        <v>3</v>
      </c>
      <c r="D145" s="21" t="s">
        <v>56</v>
      </c>
      <c r="E145" s="21"/>
      <c r="F145" s="69" t="s">
        <v>4</v>
      </c>
      <c r="G145" s="9">
        <v>33308</v>
      </c>
      <c r="H145" s="29">
        <v>18536.32231963471</v>
      </c>
      <c r="I145" s="17">
        <v>0</v>
      </c>
      <c r="J145" s="17">
        <v>0</v>
      </c>
      <c r="K145" s="17">
        <f t="shared" si="16"/>
        <v>18536.32231963471</v>
      </c>
      <c r="L145" s="23">
        <f t="shared" si="15"/>
        <v>926.81611598173549</v>
      </c>
      <c r="M145" s="23">
        <v>30</v>
      </c>
      <c r="N145" s="18">
        <f t="shared" si="19"/>
        <v>30.082191780821919</v>
      </c>
      <c r="O145" s="23">
        <v>11883.441008828015</v>
      </c>
      <c r="P145" s="18">
        <f t="shared" si="20"/>
        <v>30.583561643835615</v>
      </c>
      <c r="Q145" s="18">
        <v>0</v>
      </c>
      <c r="R145" s="18">
        <f t="shared" si="17"/>
        <v>11883.441008828015</v>
      </c>
      <c r="S145" s="18">
        <f t="shared" si="18"/>
        <v>6652.8813108066952</v>
      </c>
    </row>
    <row r="146" spans="1:19" ht="18.75" customHeight="1" x14ac:dyDescent="0.25">
      <c r="A146" s="14">
        <f t="shared" si="21"/>
        <v>143</v>
      </c>
      <c r="B146" s="21" t="s">
        <v>166</v>
      </c>
      <c r="C146" s="15" t="s">
        <v>3</v>
      </c>
      <c r="D146" s="21" t="s">
        <v>56</v>
      </c>
      <c r="E146" s="21"/>
      <c r="F146" s="70" t="s">
        <v>7</v>
      </c>
      <c r="G146" s="9">
        <v>33289</v>
      </c>
      <c r="H146" s="22">
        <v>2493.1070456621001</v>
      </c>
      <c r="I146" s="17">
        <v>0</v>
      </c>
      <c r="J146" s="17">
        <v>0</v>
      </c>
      <c r="K146" s="17">
        <f t="shared" si="16"/>
        <v>2493.1070456621001</v>
      </c>
      <c r="L146" s="23">
        <f t="shared" si="15"/>
        <v>124.655352283105</v>
      </c>
      <c r="M146" s="23">
        <v>30</v>
      </c>
      <c r="N146" s="18">
        <f t="shared" si="19"/>
        <v>30.134246575342466</v>
      </c>
      <c r="O146" s="23">
        <v>1610.5379700152212</v>
      </c>
      <c r="P146" s="18">
        <f t="shared" si="20"/>
        <v>30.635616438356163</v>
      </c>
      <c r="Q146" s="18">
        <v>0</v>
      </c>
      <c r="R146" s="18">
        <f t="shared" si="17"/>
        <v>1610.5379700152212</v>
      </c>
      <c r="S146" s="18">
        <f t="shared" si="18"/>
        <v>882.5690756468789</v>
      </c>
    </row>
    <row r="147" spans="1:19" ht="18.75" customHeight="1" x14ac:dyDescent="0.25">
      <c r="A147" s="14">
        <f t="shared" si="21"/>
        <v>144</v>
      </c>
      <c r="B147" s="21" t="s">
        <v>167</v>
      </c>
      <c r="C147" s="15" t="s">
        <v>3</v>
      </c>
      <c r="D147" s="21" t="s">
        <v>56</v>
      </c>
      <c r="E147" s="21"/>
      <c r="F147" s="69" t="s">
        <v>4</v>
      </c>
      <c r="G147" s="9">
        <v>33284</v>
      </c>
      <c r="H147" s="22">
        <v>5558.7101004566211</v>
      </c>
      <c r="I147" s="17">
        <v>0</v>
      </c>
      <c r="J147" s="17">
        <v>0</v>
      </c>
      <c r="K147" s="17">
        <f t="shared" si="16"/>
        <v>5558.7101004566211</v>
      </c>
      <c r="L147" s="23">
        <f t="shared" si="15"/>
        <v>277.93550502283108</v>
      </c>
      <c r="M147" s="23">
        <v>30</v>
      </c>
      <c r="N147" s="18">
        <f t="shared" si="19"/>
        <v>30.147945205479452</v>
      </c>
      <c r="O147" s="23">
        <v>3598.1574417047186</v>
      </c>
      <c r="P147" s="18">
        <f t="shared" si="20"/>
        <v>30.649315068493152</v>
      </c>
      <c r="Q147" s="18">
        <v>0</v>
      </c>
      <c r="R147" s="18">
        <f t="shared" si="17"/>
        <v>3598.1574417047186</v>
      </c>
      <c r="S147" s="18">
        <f t="shared" si="18"/>
        <v>1960.5526587519025</v>
      </c>
    </row>
    <row r="148" spans="1:19" ht="18.75" customHeight="1" x14ac:dyDescent="0.25">
      <c r="A148" s="14">
        <f t="shared" si="21"/>
        <v>145</v>
      </c>
      <c r="B148" s="21" t="s">
        <v>168</v>
      </c>
      <c r="C148" s="15" t="s">
        <v>3</v>
      </c>
      <c r="D148" s="21" t="s">
        <v>56</v>
      </c>
      <c r="E148" s="21"/>
      <c r="F148" s="69" t="s">
        <v>6</v>
      </c>
      <c r="G148" s="9">
        <v>22282</v>
      </c>
      <c r="H148" s="22">
        <v>14119.023561643829</v>
      </c>
      <c r="I148" s="17">
        <v>0</v>
      </c>
      <c r="J148" s="17">
        <v>0</v>
      </c>
      <c r="K148" s="17">
        <f t="shared" si="16"/>
        <v>14119.023561643829</v>
      </c>
      <c r="L148" s="23">
        <f t="shared" si="15"/>
        <v>705.95117808219152</v>
      </c>
      <c r="M148" s="23">
        <v>60</v>
      </c>
      <c r="N148" s="18">
        <f t="shared" si="19"/>
        <v>60.290410958904111</v>
      </c>
      <c r="O148" s="23">
        <v>7321.7320730593565</v>
      </c>
      <c r="P148" s="18">
        <f t="shared" si="20"/>
        <v>60.791780821917811</v>
      </c>
      <c r="Q148" s="18">
        <v>0</v>
      </c>
      <c r="R148" s="18">
        <f t="shared" si="17"/>
        <v>7321.7320730593565</v>
      </c>
      <c r="S148" s="18">
        <f t="shared" si="18"/>
        <v>6797.291488584473</v>
      </c>
    </row>
    <row r="149" spans="1:19" ht="18.75" customHeight="1" x14ac:dyDescent="0.25">
      <c r="A149" s="14">
        <f t="shared" si="21"/>
        <v>146</v>
      </c>
      <c r="B149" s="21" t="s">
        <v>169</v>
      </c>
      <c r="C149" s="15" t="s">
        <v>3</v>
      </c>
      <c r="D149" s="21" t="s">
        <v>56</v>
      </c>
      <c r="E149" s="21"/>
      <c r="F149" s="70" t="s">
        <v>4</v>
      </c>
      <c r="G149" s="9">
        <v>33108</v>
      </c>
      <c r="H149" s="22">
        <v>5105.9141917808192</v>
      </c>
      <c r="I149" s="17">
        <v>0</v>
      </c>
      <c r="J149" s="17">
        <v>0</v>
      </c>
      <c r="K149" s="17">
        <f t="shared" si="16"/>
        <v>5105.9141917808192</v>
      </c>
      <c r="L149" s="23">
        <f t="shared" si="15"/>
        <v>255.29570958904097</v>
      </c>
      <c r="M149" s="23">
        <v>30</v>
      </c>
      <c r="N149" s="18">
        <f t="shared" si="19"/>
        <v>30.63013698630137</v>
      </c>
      <c r="O149" s="23">
        <v>3559.0475872146108</v>
      </c>
      <c r="P149" s="18">
        <f t="shared" si="20"/>
        <v>31.13150684931507</v>
      </c>
      <c r="Q149" s="18">
        <v>0</v>
      </c>
      <c r="R149" s="18">
        <f t="shared" si="17"/>
        <v>3559.0475872146108</v>
      </c>
      <c r="S149" s="18">
        <f t="shared" si="18"/>
        <v>1546.8666045662085</v>
      </c>
    </row>
    <row r="150" spans="1:19" ht="18.75" customHeight="1" x14ac:dyDescent="0.25">
      <c r="A150" s="14">
        <f t="shared" si="21"/>
        <v>147</v>
      </c>
      <c r="B150" s="21" t="s">
        <v>170</v>
      </c>
      <c r="C150" s="15" t="s">
        <v>3</v>
      </c>
      <c r="D150" s="21" t="s">
        <v>56</v>
      </c>
      <c r="E150" s="21"/>
      <c r="F150" s="69" t="s">
        <v>4</v>
      </c>
      <c r="G150" s="9">
        <v>42172</v>
      </c>
      <c r="H150" s="22">
        <v>212922.52602739725</v>
      </c>
      <c r="I150" s="17">
        <v>0</v>
      </c>
      <c r="J150" s="17">
        <v>0</v>
      </c>
      <c r="K150" s="17">
        <f t="shared" si="16"/>
        <v>212922.52602739725</v>
      </c>
      <c r="L150" s="23">
        <f t="shared" si="15"/>
        <v>10646.126301369863</v>
      </c>
      <c r="M150" s="23">
        <v>5</v>
      </c>
      <c r="N150" s="18">
        <f t="shared" si="19"/>
        <v>5.7972602739726025</v>
      </c>
      <c r="O150" s="23">
        <v>230800.04821917805</v>
      </c>
      <c r="P150" s="18">
        <f t="shared" si="20"/>
        <v>6.2986301369863016</v>
      </c>
      <c r="Q150" s="18">
        <v>0</v>
      </c>
      <c r="R150" s="18">
        <f t="shared" si="17"/>
        <v>230800.04821917805</v>
      </c>
      <c r="S150" s="18">
        <f>L150</f>
        <v>10646.126301369863</v>
      </c>
    </row>
    <row r="151" spans="1:19" ht="18.75" customHeight="1" x14ac:dyDescent="0.25">
      <c r="A151" s="14">
        <f t="shared" si="21"/>
        <v>148</v>
      </c>
      <c r="B151" s="21" t="s">
        <v>150</v>
      </c>
      <c r="C151" s="15" t="s">
        <v>3</v>
      </c>
      <c r="D151" s="21" t="s">
        <v>56</v>
      </c>
      <c r="E151" s="21"/>
      <c r="F151" s="69" t="s">
        <v>11</v>
      </c>
      <c r="G151" s="9">
        <v>32874</v>
      </c>
      <c r="H151" s="26">
        <v>123.30000000000018</v>
      </c>
      <c r="I151" s="17">
        <v>0</v>
      </c>
      <c r="J151" s="17">
        <v>0</v>
      </c>
      <c r="K151" s="17">
        <f t="shared" si="16"/>
        <v>123.30000000000018</v>
      </c>
      <c r="L151" s="23">
        <f t="shared" ref="L151:L214" si="22">H151*0.05</f>
        <v>6.1650000000000098</v>
      </c>
      <c r="M151" s="23">
        <v>30</v>
      </c>
      <c r="N151" s="18">
        <f t="shared" si="19"/>
        <v>31.271232876712329</v>
      </c>
      <c r="O151" s="23">
        <v>2342.6999999999998</v>
      </c>
      <c r="P151" s="18">
        <f t="shared" si="20"/>
        <v>31.772602739726029</v>
      </c>
      <c r="Q151" s="18">
        <v>0</v>
      </c>
      <c r="R151" s="18">
        <f t="shared" si="17"/>
        <v>2342.6999999999998</v>
      </c>
      <c r="S151" s="18">
        <f t="shared" ref="S151:S214" si="23">L151</f>
        <v>6.1650000000000098</v>
      </c>
    </row>
    <row r="152" spans="1:19" ht="18.75" customHeight="1" x14ac:dyDescent="0.25">
      <c r="A152" s="14">
        <f t="shared" si="21"/>
        <v>149</v>
      </c>
      <c r="B152" s="21" t="s">
        <v>171</v>
      </c>
      <c r="C152" s="15" t="s">
        <v>3</v>
      </c>
      <c r="D152" s="21" t="s">
        <v>56</v>
      </c>
      <c r="E152" s="21"/>
      <c r="F152" s="70" t="s">
        <v>7</v>
      </c>
      <c r="G152" s="9">
        <v>32874</v>
      </c>
      <c r="H152" s="22">
        <v>454.75</v>
      </c>
      <c r="I152" s="17">
        <v>0</v>
      </c>
      <c r="J152" s="17">
        <v>0</v>
      </c>
      <c r="K152" s="17">
        <f t="shared" si="16"/>
        <v>454.75</v>
      </c>
      <c r="L152" s="23">
        <f t="shared" si="22"/>
        <v>22.737500000000001</v>
      </c>
      <c r="M152" s="23">
        <v>30</v>
      </c>
      <c r="N152" s="18">
        <f t="shared" si="19"/>
        <v>31.271232876712329</v>
      </c>
      <c r="O152" s="23">
        <v>8640.25</v>
      </c>
      <c r="P152" s="18">
        <f t="shared" si="20"/>
        <v>31.772602739726029</v>
      </c>
      <c r="Q152" s="18">
        <v>0</v>
      </c>
      <c r="R152" s="18">
        <f t="shared" si="17"/>
        <v>8640.25</v>
      </c>
      <c r="S152" s="18">
        <f t="shared" si="23"/>
        <v>22.737500000000001</v>
      </c>
    </row>
    <row r="153" spans="1:19" ht="18.75" customHeight="1" x14ac:dyDescent="0.25">
      <c r="A153" s="14">
        <f t="shared" si="21"/>
        <v>150</v>
      </c>
      <c r="B153" s="21" t="s">
        <v>172</v>
      </c>
      <c r="C153" s="15" t="s">
        <v>3</v>
      </c>
      <c r="D153" s="21" t="s">
        <v>56</v>
      </c>
      <c r="E153" s="21"/>
      <c r="F153" s="69" t="s">
        <v>4</v>
      </c>
      <c r="G153" s="9">
        <v>32874</v>
      </c>
      <c r="H153" s="22">
        <v>479.89999999999964</v>
      </c>
      <c r="I153" s="17">
        <v>0</v>
      </c>
      <c r="J153" s="17">
        <v>0</v>
      </c>
      <c r="K153" s="17">
        <f t="shared" si="16"/>
        <v>479.89999999999964</v>
      </c>
      <c r="L153" s="23">
        <f t="shared" si="22"/>
        <v>23.994999999999983</v>
      </c>
      <c r="M153" s="23">
        <v>30</v>
      </c>
      <c r="N153" s="18">
        <f t="shared" si="19"/>
        <v>31.271232876712329</v>
      </c>
      <c r="O153" s="23">
        <v>9118.1</v>
      </c>
      <c r="P153" s="18">
        <f t="shared" si="20"/>
        <v>31.772602739726029</v>
      </c>
      <c r="Q153" s="18">
        <v>0</v>
      </c>
      <c r="R153" s="18">
        <f t="shared" si="17"/>
        <v>9118.1</v>
      </c>
      <c r="S153" s="18">
        <f t="shared" si="23"/>
        <v>23.994999999999983</v>
      </c>
    </row>
    <row r="154" spans="1:19" ht="18.75" customHeight="1" x14ac:dyDescent="0.25">
      <c r="A154" s="14">
        <f t="shared" si="21"/>
        <v>151</v>
      </c>
      <c r="B154" s="21" t="s">
        <v>173</v>
      </c>
      <c r="C154" s="15" t="s">
        <v>3</v>
      </c>
      <c r="D154" s="21" t="s">
        <v>56</v>
      </c>
      <c r="E154" s="21"/>
      <c r="F154" s="69" t="s">
        <v>4</v>
      </c>
      <c r="G154" s="9">
        <v>32874</v>
      </c>
      <c r="H154" s="22">
        <v>659.89999999999964</v>
      </c>
      <c r="I154" s="17">
        <v>0</v>
      </c>
      <c r="J154" s="17">
        <v>0</v>
      </c>
      <c r="K154" s="17">
        <f t="shared" si="16"/>
        <v>659.89999999999964</v>
      </c>
      <c r="L154" s="23">
        <f t="shared" si="22"/>
        <v>32.994999999999983</v>
      </c>
      <c r="M154" s="23">
        <v>30</v>
      </c>
      <c r="N154" s="18">
        <f t="shared" si="19"/>
        <v>31.271232876712329</v>
      </c>
      <c r="O154" s="23">
        <v>12538.1</v>
      </c>
      <c r="P154" s="18">
        <f t="shared" si="20"/>
        <v>31.772602739726029</v>
      </c>
      <c r="Q154" s="18">
        <v>0</v>
      </c>
      <c r="R154" s="18">
        <f t="shared" si="17"/>
        <v>12538.1</v>
      </c>
      <c r="S154" s="18">
        <f t="shared" si="23"/>
        <v>32.994999999999983</v>
      </c>
    </row>
    <row r="155" spans="1:19" ht="18.75" customHeight="1" x14ac:dyDescent="0.25">
      <c r="A155" s="14">
        <f t="shared" si="21"/>
        <v>152</v>
      </c>
      <c r="B155" s="21" t="s">
        <v>157</v>
      </c>
      <c r="C155" s="15" t="s">
        <v>3</v>
      </c>
      <c r="D155" s="21" t="s">
        <v>56</v>
      </c>
      <c r="E155" s="21"/>
      <c r="F155" s="69" t="s">
        <v>4</v>
      </c>
      <c r="G155" s="9">
        <v>32874</v>
      </c>
      <c r="H155" s="22">
        <v>29142.150000000023</v>
      </c>
      <c r="I155" s="17">
        <v>0</v>
      </c>
      <c r="J155" s="17">
        <v>0</v>
      </c>
      <c r="K155" s="17">
        <f t="shared" si="16"/>
        <v>29142.150000000023</v>
      </c>
      <c r="L155" s="23">
        <f t="shared" si="22"/>
        <v>1457.1075000000012</v>
      </c>
      <c r="M155" s="23">
        <v>30</v>
      </c>
      <c r="N155" s="18">
        <f t="shared" si="19"/>
        <v>31.271232876712329</v>
      </c>
      <c r="O155" s="23">
        <v>553700.85</v>
      </c>
      <c r="P155" s="18">
        <f t="shared" si="20"/>
        <v>31.772602739726029</v>
      </c>
      <c r="Q155" s="18">
        <v>0</v>
      </c>
      <c r="R155" s="18">
        <f t="shared" si="17"/>
        <v>553700.85</v>
      </c>
      <c r="S155" s="18">
        <f t="shared" si="23"/>
        <v>1457.1075000000012</v>
      </c>
    </row>
    <row r="156" spans="1:19" ht="18.75" customHeight="1" x14ac:dyDescent="0.25">
      <c r="A156" s="14">
        <f t="shared" si="21"/>
        <v>153</v>
      </c>
      <c r="B156" s="21" t="s">
        <v>174</v>
      </c>
      <c r="C156" s="15" t="s">
        <v>3</v>
      </c>
      <c r="D156" s="21" t="s">
        <v>56</v>
      </c>
      <c r="E156" s="21"/>
      <c r="F156" s="69" t="s">
        <v>4</v>
      </c>
      <c r="G156" s="9">
        <v>32509</v>
      </c>
      <c r="H156" s="22">
        <v>284.39999999999964</v>
      </c>
      <c r="I156" s="17">
        <v>0</v>
      </c>
      <c r="J156" s="17">
        <v>0</v>
      </c>
      <c r="K156" s="17">
        <f t="shared" si="16"/>
        <v>284.39999999999964</v>
      </c>
      <c r="L156" s="23">
        <f t="shared" si="22"/>
        <v>14.219999999999983</v>
      </c>
      <c r="M156" s="23">
        <v>30</v>
      </c>
      <c r="N156" s="18">
        <f t="shared" si="19"/>
        <v>32.271232876712325</v>
      </c>
      <c r="O156" s="23">
        <v>5403.6</v>
      </c>
      <c r="P156" s="18">
        <f t="shared" si="20"/>
        <v>32.772602739726025</v>
      </c>
      <c r="Q156" s="18">
        <v>0</v>
      </c>
      <c r="R156" s="18">
        <f t="shared" si="17"/>
        <v>5403.6</v>
      </c>
      <c r="S156" s="18">
        <f t="shared" si="23"/>
        <v>14.219999999999983</v>
      </c>
    </row>
    <row r="157" spans="1:19" ht="18.75" customHeight="1" x14ac:dyDescent="0.25">
      <c r="A157" s="14">
        <f t="shared" si="21"/>
        <v>154</v>
      </c>
      <c r="B157" s="21" t="s">
        <v>175</v>
      </c>
      <c r="C157" s="15" t="s">
        <v>3</v>
      </c>
      <c r="D157" s="21" t="s">
        <v>56</v>
      </c>
      <c r="E157" s="21"/>
      <c r="F157" s="69" t="s">
        <v>4</v>
      </c>
      <c r="G157" s="9">
        <v>32509</v>
      </c>
      <c r="H157" s="22">
        <v>761.29999999999927</v>
      </c>
      <c r="I157" s="17">
        <v>0</v>
      </c>
      <c r="J157" s="17">
        <v>0</v>
      </c>
      <c r="K157" s="17">
        <f t="shared" si="16"/>
        <v>761.29999999999927</v>
      </c>
      <c r="L157" s="23">
        <f t="shared" si="22"/>
        <v>38.064999999999962</v>
      </c>
      <c r="M157" s="23">
        <v>30</v>
      </c>
      <c r="N157" s="18">
        <f t="shared" si="19"/>
        <v>32.271232876712325</v>
      </c>
      <c r="O157" s="23">
        <v>14464.7</v>
      </c>
      <c r="P157" s="18">
        <f t="shared" si="20"/>
        <v>32.772602739726025</v>
      </c>
      <c r="Q157" s="18">
        <v>0</v>
      </c>
      <c r="R157" s="18">
        <f t="shared" si="17"/>
        <v>14464.7</v>
      </c>
      <c r="S157" s="18">
        <f t="shared" si="23"/>
        <v>38.064999999999962</v>
      </c>
    </row>
    <row r="158" spans="1:19" ht="18.75" customHeight="1" x14ac:dyDescent="0.25">
      <c r="A158" s="14">
        <f t="shared" si="21"/>
        <v>155</v>
      </c>
      <c r="B158" s="21" t="s">
        <v>176</v>
      </c>
      <c r="C158" s="15" t="s">
        <v>3</v>
      </c>
      <c r="D158" s="21" t="s">
        <v>56</v>
      </c>
      <c r="E158" s="21"/>
      <c r="F158" s="70" t="s">
        <v>7</v>
      </c>
      <c r="G158" s="9">
        <v>32509</v>
      </c>
      <c r="H158" s="22">
        <v>1222.5</v>
      </c>
      <c r="I158" s="17">
        <v>0</v>
      </c>
      <c r="J158" s="17">
        <v>0</v>
      </c>
      <c r="K158" s="17">
        <f t="shared" si="16"/>
        <v>1222.5</v>
      </c>
      <c r="L158" s="23">
        <f t="shared" si="22"/>
        <v>61.125</v>
      </c>
      <c r="M158" s="23">
        <v>30</v>
      </c>
      <c r="N158" s="18">
        <f t="shared" si="19"/>
        <v>32.271232876712325</v>
      </c>
      <c r="O158" s="23">
        <v>23227.5</v>
      </c>
      <c r="P158" s="18">
        <f t="shared" si="20"/>
        <v>32.772602739726025</v>
      </c>
      <c r="Q158" s="18">
        <v>0</v>
      </c>
      <c r="R158" s="18">
        <f t="shared" si="17"/>
        <v>23227.5</v>
      </c>
      <c r="S158" s="18">
        <f t="shared" si="23"/>
        <v>61.125</v>
      </c>
    </row>
    <row r="159" spans="1:19" ht="18.75" customHeight="1" x14ac:dyDescent="0.25">
      <c r="A159" s="14">
        <f t="shared" si="21"/>
        <v>156</v>
      </c>
      <c r="B159" s="21" t="s">
        <v>177</v>
      </c>
      <c r="C159" s="15" t="s">
        <v>3</v>
      </c>
      <c r="D159" s="21" t="s">
        <v>56</v>
      </c>
      <c r="E159" s="21"/>
      <c r="F159" s="69" t="s">
        <v>4</v>
      </c>
      <c r="G159" s="9">
        <v>32509</v>
      </c>
      <c r="H159" s="22">
        <v>2466.1500000000015</v>
      </c>
      <c r="I159" s="17">
        <v>0</v>
      </c>
      <c r="J159" s="17">
        <v>0</v>
      </c>
      <c r="K159" s="17">
        <f t="shared" si="16"/>
        <v>2466.1500000000015</v>
      </c>
      <c r="L159" s="23">
        <f t="shared" si="22"/>
        <v>123.30750000000008</v>
      </c>
      <c r="M159" s="23">
        <v>30</v>
      </c>
      <c r="N159" s="18">
        <f t="shared" si="19"/>
        <v>32.271232876712325</v>
      </c>
      <c r="O159" s="23">
        <v>46856.85</v>
      </c>
      <c r="P159" s="18">
        <f t="shared" si="20"/>
        <v>32.772602739726025</v>
      </c>
      <c r="Q159" s="18">
        <v>0</v>
      </c>
      <c r="R159" s="18">
        <f t="shared" si="17"/>
        <v>46856.85</v>
      </c>
      <c r="S159" s="18">
        <f t="shared" si="23"/>
        <v>123.30750000000008</v>
      </c>
    </row>
    <row r="160" spans="1:19" ht="18.75" customHeight="1" x14ac:dyDescent="0.25">
      <c r="A160" s="14">
        <f t="shared" si="21"/>
        <v>157</v>
      </c>
      <c r="B160" s="21" t="s">
        <v>178</v>
      </c>
      <c r="C160" s="15" t="s">
        <v>3</v>
      </c>
      <c r="D160" s="21" t="s">
        <v>56</v>
      </c>
      <c r="E160" s="21"/>
      <c r="F160" s="71" t="s">
        <v>10</v>
      </c>
      <c r="G160" s="9">
        <v>32509</v>
      </c>
      <c r="H160" s="22">
        <v>7727.2999999999884</v>
      </c>
      <c r="I160" s="17">
        <v>0</v>
      </c>
      <c r="J160" s="17">
        <v>0</v>
      </c>
      <c r="K160" s="17">
        <f t="shared" si="16"/>
        <v>7727.2999999999884</v>
      </c>
      <c r="L160" s="23">
        <f t="shared" si="22"/>
        <v>386.36499999999944</v>
      </c>
      <c r="M160" s="23">
        <v>30</v>
      </c>
      <c r="N160" s="18">
        <f t="shared" si="19"/>
        <v>32.271232876712325</v>
      </c>
      <c r="O160" s="23">
        <v>146818.70000000001</v>
      </c>
      <c r="P160" s="18">
        <f t="shared" si="20"/>
        <v>32.772602739726025</v>
      </c>
      <c r="Q160" s="18">
        <v>0</v>
      </c>
      <c r="R160" s="18">
        <f t="shared" si="17"/>
        <v>146818.70000000001</v>
      </c>
      <c r="S160" s="18">
        <f t="shared" si="23"/>
        <v>386.36499999999944</v>
      </c>
    </row>
    <row r="161" spans="1:19" ht="18.75" customHeight="1" x14ac:dyDescent="0.25">
      <c r="A161" s="14">
        <f t="shared" si="21"/>
        <v>158</v>
      </c>
      <c r="B161" s="21" t="s">
        <v>179</v>
      </c>
      <c r="C161" s="15" t="s">
        <v>3</v>
      </c>
      <c r="D161" s="21" t="s">
        <v>56</v>
      </c>
      <c r="E161" s="21"/>
      <c r="F161" s="69" t="s">
        <v>12</v>
      </c>
      <c r="G161" s="9">
        <v>32509</v>
      </c>
      <c r="H161" s="22">
        <v>9030.4500000000116</v>
      </c>
      <c r="I161" s="17">
        <v>0</v>
      </c>
      <c r="J161" s="17">
        <v>0</v>
      </c>
      <c r="K161" s="17">
        <f t="shared" si="16"/>
        <v>9030.4500000000116</v>
      </c>
      <c r="L161" s="23">
        <f t="shared" si="22"/>
        <v>451.5225000000006</v>
      </c>
      <c r="M161" s="23">
        <v>30</v>
      </c>
      <c r="N161" s="18">
        <f t="shared" si="19"/>
        <v>32.271232876712325</v>
      </c>
      <c r="O161" s="23">
        <v>171578.55</v>
      </c>
      <c r="P161" s="18">
        <f t="shared" si="20"/>
        <v>32.772602739726025</v>
      </c>
      <c r="Q161" s="18">
        <v>0</v>
      </c>
      <c r="R161" s="18">
        <f t="shared" si="17"/>
        <v>171578.55</v>
      </c>
      <c r="S161" s="18">
        <f t="shared" si="23"/>
        <v>451.5225000000006</v>
      </c>
    </row>
    <row r="162" spans="1:19" ht="18.75" customHeight="1" x14ac:dyDescent="0.25">
      <c r="A162" s="14">
        <f t="shared" si="21"/>
        <v>159</v>
      </c>
      <c r="B162" s="21" t="s">
        <v>180</v>
      </c>
      <c r="C162" s="15" t="s">
        <v>3</v>
      </c>
      <c r="D162" s="21" t="s">
        <v>56</v>
      </c>
      <c r="E162" s="21"/>
      <c r="F162" s="69" t="s">
        <v>4</v>
      </c>
      <c r="G162" s="9">
        <v>32509</v>
      </c>
      <c r="H162" s="29">
        <v>16358.75</v>
      </c>
      <c r="I162" s="17">
        <v>0</v>
      </c>
      <c r="J162" s="17">
        <v>0</v>
      </c>
      <c r="K162" s="17">
        <f t="shared" si="16"/>
        <v>16358.75</v>
      </c>
      <c r="L162" s="23">
        <f t="shared" si="22"/>
        <v>817.9375</v>
      </c>
      <c r="M162" s="23">
        <v>30</v>
      </c>
      <c r="N162" s="18">
        <f t="shared" si="19"/>
        <v>32.271232876712325</v>
      </c>
      <c r="O162" s="23">
        <v>310816.25</v>
      </c>
      <c r="P162" s="18">
        <f t="shared" si="20"/>
        <v>32.772602739726025</v>
      </c>
      <c r="Q162" s="18">
        <v>0</v>
      </c>
      <c r="R162" s="18">
        <f t="shared" si="17"/>
        <v>310816.25</v>
      </c>
      <c r="S162" s="18">
        <f t="shared" si="23"/>
        <v>817.9375</v>
      </c>
    </row>
    <row r="163" spans="1:19" ht="18.75" customHeight="1" x14ac:dyDescent="0.25">
      <c r="A163" s="14">
        <f t="shared" si="21"/>
        <v>160</v>
      </c>
      <c r="B163" s="21" t="s">
        <v>181</v>
      </c>
      <c r="C163" s="15" t="s">
        <v>3</v>
      </c>
      <c r="D163" s="21" t="s">
        <v>56</v>
      </c>
      <c r="E163" s="21"/>
      <c r="F163" s="69" t="s">
        <v>4</v>
      </c>
      <c r="G163" s="9">
        <v>32143</v>
      </c>
      <c r="H163" s="26">
        <v>133.40000000000009</v>
      </c>
      <c r="I163" s="17">
        <v>0</v>
      </c>
      <c r="J163" s="17">
        <v>0</v>
      </c>
      <c r="K163" s="17">
        <f t="shared" si="16"/>
        <v>133.40000000000009</v>
      </c>
      <c r="L163" s="23">
        <f t="shared" si="22"/>
        <v>6.6700000000000053</v>
      </c>
      <c r="M163" s="23">
        <v>30</v>
      </c>
      <c r="N163" s="18">
        <f t="shared" si="19"/>
        <v>33.273972602739725</v>
      </c>
      <c r="O163" s="23">
        <v>2534.6</v>
      </c>
      <c r="P163" s="18">
        <f t="shared" si="20"/>
        <v>33.775342465753425</v>
      </c>
      <c r="Q163" s="18">
        <v>0</v>
      </c>
      <c r="R163" s="18">
        <f t="shared" si="17"/>
        <v>2534.6</v>
      </c>
      <c r="S163" s="18">
        <f t="shared" si="23"/>
        <v>6.6700000000000053</v>
      </c>
    </row>
    <row r="164" spans="1:19" ht="18.75" customHeight="1" x14ac:dyDescent="0.25">
      <c r="A164" s="14">
        <f t="shared" si="21"/>
        <v>161</v>
      </c>
      <c r="B164" s="21" t="s">
        <v>182</v>
      </c>
      <c r="C164" s="15" t="s">
        <v>3</v>
      </c>
      <c r="D164" s="21" t="s">
        <v>56</v>
      </c>
      <c r="E164" s="21"/>
      <c r="F164" s="69" t="s">
        <v>4</v>
      </c>
      <c r="G164" s="9">
        <v>32143</v>
      </c>
      <c r="H164" s="22">
        <v>164.65000000000009</v>
      </c>
      <c r="I164" s="17">
        <v>0</v>
      </c>
      <c r="J164" s="17">
        <v>0</v>
      </c>
      <c r="K164" s="17">
        <f t="shared" si="16"/>
        <v>164.65000000000009</v>
      </c>
      <c r="L164" s="23">
        <f t="shared" si="22"/>
        <v>8.2325000000000053</v>
      </c>
      <c r="M164" s="23">
        <v>30</v>
      </c>
      <c r="N164" s="18">
        <f t="shared" si="19"/>
        <v>33.273972602739725</v>
      </c>
      <c r="O164" s="23">
        <v>3128.35</v>
      </c>
      <c r="P164" s="18">
        <f t="shared" si="20"/>
        <v>33.775342465753425</v>
      </c>
      <c r="Q164" s="18">
        <v>0</v>
      </c>
      <c r="R164" s="18">
        <f t="shared" si="17"/>
        <v>3128.35</v>
      </c>
      <c r="S164" s="18">
        <f t="shared" si="23"/>
        <v>8.2325000000000053</v>
      </c>
    </row>
    <row r="165" spans="1:19" ht="18.75" customHeight="1" x14ac:dyDescent="0.25">
      <c r="A165" s="14">
        <f t="shared" si="21"/>
        <v>162</v>
      </c>
      <c r="B165" s="21" t="s">
        <v>183</v>
      </c>
      <c r="C165" s="15" t="s">
        <v>3</v>
      </c>
      <c r="D165" s="21" t="s">
        <v>56</v>
      </c>
      <c r="E165" s="21"/>
      <c r="F165" s="69" t="s">
        <v>4</v>
      </c>
      <c r="G165" s="9">
        <v>32143</v>
      </c>
      <c r="H165" s="22">
        <v>408</v>
      </c>
      <c r="I165" s="17">
        <v>0</v>
      </c>
      <c r="J165" s="17">
        <v>0</v>
      </c>
      <c r="K165" s="17">
        <f t="shared" si="16"/>
        <v>408</v>
      </c>
      <c r="L165" s="23">
        <f t="shared" si="22"/>
        <v>20.400000000000002</v>
      </c>
      <c r="M165" s="23">
        <v>30</v>
      </c>
      <c r="N165" s="18">
        <f t="shared" si="19"/>
        <v>33.273972602739725</v>
      </c>
      <c r="O165" s="23">
        <v>7752</v>
      </c>
      <c r="P165" s="18">
        <f t="shared" si="20"/>
        <v>33.775342465753425</v>
      </c>
      <c r="Q165" s="18">
        <v>0</v>
      </c>
      <c r="R165" s="18">
        <f t="shared" si="17"/>
        <v>7752</v>
      </c>
      <c r="S165" s="18">
        <f t="shared" si="23"/>
        <v>20.400000000000002</v>
      </c>
    </row>
    <row r="166" spans="1:19" ht="18.75" customHeight="1" x14ac:dyDescent="0.25">
      <c r="A166" s="14">
        <f t="shared" si="21"/>
        <v>163</v>
      </c>
      <c r="B166" s="21" t="s">
        <v>184</v>
      </c>
      <c r="C166" s="15" t="s">
        <v>3</v>
      </c>
      <c r="D166" s="21" t="s">
        <v>56</v>
      </c>
      <c r="E166" s="21"/>
      <c r="F166" s="69" t="s">
        <v>4</v>
      </c>
      <c r="G166" s="9">
        <v>32143</v>
      </c>
      <c r="H166" s="22">
        <v>2039.1999999999971</v>
      </c>
      <c r="I166" s="17">
        <v>0</v>
      </c>
      <c r="J166" s="17">
        <v>0</v>
      </c>
      <c r="K166" s="17">
        <f t="shared" si="16"/>
        <v>2039.1999999999971</v>
      </c>
      <c r="L166" s="23">
        <f t="shared" si="22"/>
        <v>101.95999999999987</v>
      </c>
      <c r="M166" s="23">
        <v>30</v>
      </c>
      <c r="N166" s="18">
        <f t="shared" si="19"/>
        <v>33.273972602739725</v>
      </c>
      <c r="O166" s="23">
        <v>38744.800000000003</v>
      </c>
      <c r="P166" s="18">
        <f t="shared" si="20"/>
        <v>33.775342465753425</v>
      </c>
      <c r="Q166" s="18">
        <v>0</v>
      </c>
      <c r="R166" s="18">
        <f t="shared" si="17"/>
        <v>38744.800000000003</v>
      </c>
      <c r="S166" s="18">
        <f t="shared" si="23"/>
        <v>101.95999999999987</v>
      </c>
    </row>
    <row r="167" spans="1:19" ht="18.75" customHeight="1" x14ac:dyDescent="0.25">
      <c r="A167" s="14">
        <f t="shared" si="21"/>
        <v>164</v>
      </c>
      <c r="B167" s="21" t="s">
        <v>185</v>
      </c>
      <c r="C167" s="15" t="s">
        <v>3</v>
      </c>
      <c r="D167" s="21" t="s">
        <v>56</v>
      </c>
      <c r="E167" s="21"/>
      <c r="F167" s="69" t="s">
        <v>11</v>
      </c>
      <c r="G167" s="9">
        <v>32143</v>
      </c>
      <c r="H167" s="22">
        <v>6368.3500000000058</v>
      </c>
      <c r="I167" s="17">
        <v>0</v>
      </c>
      <c r="J167" s="17">
        <v>0</v>
      </c>
      <c r="K167" s="17">
        <f t="shared" si="16"/>
        <v>6368.3500000000058</v>
      </c>
      <c r="L167" s="23">
        <f t="shared" si="22"/>
        <v>318.4175000000003</v>
      </c>
      <c r="M167" s="23">
        <v>30</v>
      </c>
      <c r="N167" s="18">
        <f t="shared" si="19"/>
        <v>33.273972602739725</v>
      </c>
      <c r="O167" s="23">
        <v>120998.65</v>
      </c>
      <c r="P167" s="18">
        <f t="shared" si="20"/>
        <v>33.775342465753425</v>
      </c>
      <c r="Q167" s="18">
        <v>0</v>
      </c>
      <c r="R167" s="18">
        <f t="shared" si="17"/>
        <v>120998.65</v>
      </c>
      <c r="S167" s="18">
        <f t="shared" si="23"/>
        <v>318.4175000000003</v>
      </c>
    </row>
    <row r="168" spans="1:19" ht="18.75" customHeight="1" x14ac:dyDescent="0.25">
      <c r="A168" s="14">
        <f t="shared" si="21"/>
        <v>165</v>
      </c>
      <c r="B168" s="21" t="s">
        <v>186</v>
      </c>
      <c r="C168" s="15" t="s">
        <v>3</v>
      </c>
      <c r="D168" s="21" t="s">
        <v>56</v>
      </c>
      <c r="E168" s="21"/>
      <c r="F168" s="69" t="s">
        <v>7</v>
      </c>
      <c r="G168" s="9">
        <v>32143</v>
      </c>
      <c r="H168" s="22">
        <v>6747.3000000000029</v>
      </c>
      <c r="I168" s="17">
        <v>0</v>
      </c>
      <c r="J168" s="17">
        <v>0</v>
      </c>
      <c r="K168" s="17">
        <f t="shared" si="16"/>
        <v>6747.3000000000029</v>
      </c>
      <c r="L168" s="23">
        <f t="shared" si="22"/>
        <v>337.36500000000018</v>
      </c>
      <c r="M168" s="23">
        <v>30</v>
      </c>
      <c r="N168" s="18">
        <f t="shared" si="19"/>
        <v>33.273972602739725</v>
      </c>
      <c r="O168" s="23">
        <v>128198.7</v>
      </c>
      <c r="P168" s="18">
        <f t="shared" si="20"/>
        <v>33.775342465753425</v>
      </c>
      <c r="Q168" s="18">
        <v>0</v>
      </c>
      <c r="R168" s="18">
        <f t="shared" si="17"/>
        <v>128198.7</v>
      </c>
      <c r="S168" s="18">
        <f t="shared" si="23"/>
        <v>337.36500000000018</v>
      </c>
    </row>
    <row r="169" spans="1:19" ht="18.75" customHeight="1" x14ac:dyDescent="0.25">
      <c r="A169" s="14">
        <f t="shared" si="21"/>
        <v>166</v>
      </c>
      <c r="B169" s="21" t="s">
        <v>150</v>
      </c>
      <c r="C169" s="15" t="s">
        <v>3</v>
      </c>
      <c r="D169" s="21" t="s">
        <v>56</v>
      </c>
      <c r="E169" s="21"/>
      <c r="F169" s="69" t="s">
        <v>11</v>
      </c>
      <c r="G169" s="9">
        <v>32143</v>
      </c>
      <c r="H169" s="22">
        <v>9830.7999999999884</v>
      </c>
      <c r="I169" s="17">
        <v>0</v>
      </c>
      <c r="J169" s="17">
        <v>0</v>
      </c>
      <c r="K169" s="17">
        <f t="shared" si="16"/>
        <v>9830.7999999999884</v>
      </c>
      <c r="L169" s="23">
        <f t="shared" si="22"/>
        <v>491.53999999999945</v>
      </c>
      <c r="M169" s="23">
        <v>30</v>
      </c>
      <c r="N169" s="18">
        <f t="shared" si="19"/>
        <v>33.273972602739725</v>
      </c>
      <c r="O169" s="23">
        <v>186785.2</v>
      </c>
      <c r="P169" s="18">
        <f t="shared" si="20"/>
        <v>33.775342465753425</v>
      </c>
      <c r="Q169" s="18">
        <v>0</v>
      </c>
      <c r="R169" s="18">
        <f t="shared" si="17"/>
        <v>186785.2</v>
      </c>
      <c r="S169" s="18">
        <f t="shared" si="23"/>
        <v>491.53999999999945</v>
      </c>
    </row>
    <row r="170" spans="1:19" ht="18.75" customHeight="1" x14ac:dyDescent="0.25">
      <c r="A170" s="14">
        <f t="shared" si="21"/>
        <v>167</v>
      </c>
      <c r="B170" s="21" t="s">
        <v>178</v>
      </c>
      <c r="C170" s="15" t="s">
        <v>3</v>
      </c>
      <c r="D170" s="21" t="s">
        <v>56</v>
      </c>
      <c r="E170" s="21"/>
      <c r="F170" s="71" t="s">
        <v>10</v>
      </c>
      <c r="G170" s="9">
        <v>32143</v>
      </c>
      <c r="H170" s="22">
        <v>17858.099999999977</v>
      </c>
      <c r="I170" s="17">
        <v>0</v>
      </c>
      <c r="J170" s="17">
        <v>0</v>
      </c>
      <c r="K170" s="17">
        <f t="shared" si="16"/>
        <v>17858.099999999977</v>
      </c>
      <c r="L170" s="23">
        <f t="shared" si="22"/>
        <v>892.90499999999884</v>
      </c>
      <c r="M170" s="23">
        <v>30</v>
      </c>
      <c r="N170" s="18">
        <f t="shared" si="19"/>
        <v>33.273972602739725</v>
      </c>
      <c r="O170" s="23">
        <v>339303.9</v>
      </c>
      <c r="P170" s="18">
        <f t="shared" si="20"/>
        <v>33.775342465753425</v>
      </c>
      <c r="Q170" s="18">
        <v>0</v>
      </c>
      <c r="R170" s="18">
        <f t="shared" si="17"/>
        <v>339303.9</v>
      </c>
      <c r="S170" s="18">
        <f t="shared" si="23"/>
        <v>892.90499999999884</v>
      </c>
    </row>
    <row r="171" spans="1:19" ht="18.75" customHeight="1" x14ac:dyDescent="0.25">
      <c r="A171" s="14">
        <f t="shared" si="21"/>
        <v>168</v>
      </c>
      <c r="B171" s="21" t="s">
        <v>158</v>
      </c>
      <c r="C171" s="15" t="s">
        <v>3</v>
      </c>
      <c r="D171" s="21" t="s">
        <v>56</v>
      </c>
      <c r="E171" s="21"/>
      <c r="F171" s="69" t="s">
        <v>6</v>
      </c>
      <c r="G171" s="9">
        <v>21186</v>
      </c>
      <c r="H171" s="22">
        <v>1403.0499999999993</v>
      </c>
      <c r="I171" s="17">
        <v>0</v>
      </c>
      <c r="J171" s="17">
        <v>0</v>
      </c>
      <c r="K171" s="17">
        <f t="shared" si="16"/>
        <v>1403.0499999999993</v>
      </c>
      <c r="L171" s="23">
        <f t="shared" si="22"/>
        <v>70.152499999999961</v>
      </c>
      <c r="M171" s="23">
        <v>60</v>
      </c>
      <c r="N171" s="18">
        <f t="shared" si="19"/>
        <v>63.293150684931504</v>
      </c>
      <c r="O171" s="23">
        <v>26657.95</v>
      </c>
      <c r="P171" s="18">
        <f t="shared" si="20"/>
        <v>63.794520547945204</v>
      </c>
      <c r="Q171" s="18">
        <v>0</v>
      </c>
      <c r="R171" s="18">
        <f t="shared" si="17"/>
        <v>26657.95</v>
      </c>
      <c r="S171" s="18">
        <f t="shared" si="23"/>
        <v>70.152499999999961</v>
      </c>
    </row>
    <row r="172" spans="1:19" ht="18.75" customHeight="1" x14ac:dyDescent="0.25">
      <c r="A172" s="14">
        <f t="shared" si="21"/>
        <v>169</v>
      </c>
      <c r="B172" s="21" t="s">
        <v>187</v>
      </c>
      <c r="C172" s="15" t="s">
        <v>3</v>
      </c>
      <c r="D172" s="21" t="s">
        <v>56</v>
      </c>
      <c r="E172" s="21"/>
      <c r="F172" s="69" t="s">
        <v>4</v>
      </c>
      <c r="G172" s="9">
        <v>31778</v>
      </c>
      <c r="H172" s="29">
        <v>7286.6000000000058</v>
      </c>
      <c r="I172" s="17">
        <v>0</v>
      </c>
      <c r="J172" s="17">
        <v>0</v>
      </c>
      <c r="K172" s="17">
        <f t="shared" si="16"/>
        <v>7286.6000000000058</v>
      </c>
      <c r="L172" s="23">
        <f t="shared" si="22"/>
        <v>364.33000000000033</v>
      </c>
      <c r="M172" s="23">
        <v>30</v>
      </c>
      <c r="N172" s="18">
        <f t="shared" si="19"/>
        <v>34.273972602739725</v>
      </c>
      <c r="O172" s="23">
        <v>138445.4</v>
      </c>
      <c r="P172" s="18">
        <f t="shared" si="20"/>
        <v>34.775342465753425</v>
      </c>
      <c r="Q172" s="18">
        <v>0</v>
      </c>
      <c r="R172" s="18">
        <f t="shared" si="17"/>
        <v>138445.4</v>
      </c>
      <c r="S172" s="18">
        <f t="shared" si="23"/>
        <v>364.33000000000033</v>
      </c>
    </row>
    <row r="173" spans="1:19" ht="18.75" customHeight="1" x14ac:dyDescent="0.25">
      <c r="A173" s="14">
        <f t="shared" si="21"/>
        <v>170</v>
      </c>
      <c r="B173" s="21" t="s">
        <v>188</v>
      </c>
      <c r="C173" s="15" t="s">
        <v>3</v>
      </c>
      <c r="D173" s="21" t="s">
        <v>56</v>
      </c>
      <c r="E173" s="21"/>
      <c r="F173" s="69" t="s">
        <v>4</v>
      </c>
      <c r="G173" s="9">
        <v>31778</v>
      </c>
      <c r="H173" s="22">
        <v>2994.4000000000015</v>
      </c>
      <c r="I173" s="17">
        <v>0</v>
      </c>
      <c r="J173" s="17">
        <v>0</v>
      </c>
      <c r="K173" s="17">
        <f t="shared" si="16"/>
        <v>2994.4000000000015</v>
      </c>
      <c r="L173" s="23">
        <f t="shared" si="22"/>
        <v>149.72000000000008</v>
      </c>
      <c r="M173" s="23">
        <v>30</v>
      </c>
      <c r="N173" s="18">
        <f t="shared" si="19"/>
        <v>34.273972602739725</v>
      </c>
      <c r="O173" s="23">
        <v>56893.599999999999</v>
      </c>
      <c r="P173" s="18">
        <f t="shared" si="20"/>
        <v>34.775342465753425</v>
      </c>
      <c r="Q173" s="18">
        <v>0</v>
      </c>
      <c r="R173" s="18">
        <f t="shared" si="17"/>
        <v>56893.599999999999</v>
      </c>
      <c r="S173" s="18">
        <f t="shared" si="23"/>
        <v>149.72000000000008</v>
      </c>
    </row>
    <row r="174" spans="1:19" ht="18.75" customHeight="1" x14ac:dyDescent="0.25">
      <c r="A174" s="14">
        <f t="shared" si="21"/>
        <v>171</v>
      </c>
      <c r="B174" s="21" t="s">
        <v>189</v>
      </c>
      <c r="C174" s="15" t="s">
        <v>3</v>
      </c>
      <c r="D174" s="21" t="s">
        <v>56</v>
      </c>
      <c r="E174" s="21"/>
      <c r="F174" s="69" t="s">
        <v>6</v>
      </c>
      <c r="G174" s="9">
        <v>20821</v>
      </c>
      <c r="H174" s="22">
        <v>1727.6999999999971</v>
      </c>
      <c r="I174" s="17">
        <v>0</v>
      </c>
      <c r="J174" s="17">
        <v>0</v>
      </c>
      <c r="K174" s="17">
        <f t="shared" si="16"/>
        <v>1727.6999999999971</v>
      </c>
      <c r="L174" s="23">
        <f t="shared" si="22"/>
        <v>86.384999999999863</v>
      </c>
      <c r="M174" s="23">
        <v>60</v>
      </c>
      <c r="N174" s="18">
        <f t="shared" si="19"/>
        <v>64.293150684931504</v>
      </c>
      <c r="O174" s="23">
        <v>32826.300000000003</v>
      </c>
      <c r="P174" s="18">
        <f t="shared" si="20"/>
        <v>64.794520547945211</v>
      </c>
      <c r="Q174" s="18">
        <v>0</v>
      </c>
      <c r="R174" s="18">
        <f t="shared" si="17"/>
        <v>32826.300000000003</v>
      </c>
      <c r="S174" s="18">
        <f t="shared" si="23"/>
        <v>86.384999999999863</v>
      </c>
    </row>
    <row r="175" spans="1:19" ht="18.75" customHeight="1" x14ac:dyDescent="0.25">
      <c r="A175" s="14">
        <f t="shared" si="21"/>
        <v>172</v>
      </c>
      <c r="B175" s="21" t="s">
        <v>190</v>
      </c>
      <c r="C175" s="15" t="s">
        <v>3</v>
      </c>
      <c r="D175" s="21" t="s">
        <v>56</v>
      </c>
      <c r="E175" s="21"/>
      <c r="F175" s="69" t="s">
        <v>4</v>
      </c>
      <c r="G175" s="9">
        <v>31413</v>
      </c>
      <c r="H175" s="22">
        <v>3868.8500000000058</v>
      </c>
      <c r="I175" s="17">
        <v>0</v>
      </c>
      <c r="J175" s="17">
        <v>0</v>
      </c>
      <c r="K175" s="17">
        <f t="shared" si="16"/>
        <v>3868.8500000000058</v>
      </c>
      <c r="L175" s="23">
        <f t="shared" si="22"/>
        <v>193.44250000000031</v>
      </c>
      <c r="M175" s="23">
        <v>30</v>
      </c>
      <c r="N175" s="18">
        <f t="shared" si="19"/>
        <v>35.273972602739725</v>
      </c>
      <c r="O175" s="23">
        <v>73508.149999999994</v>
      </c>
      <c r="P175" s="18">
        <f t="shared" si="20"/>
        <v>35.775342465753425</v>
      </c>
      <c r="Q175" s="18">
        <v>0</v>
      </c>
      <c r="R175" s="18">
        <f t="shared" si="17"/>
        <v>73508.149999999994</v>
      </c>
      <c r="S175" s="18">
        <f t="shared" si="23"/>
        <v>193.44250000000031</v>
      </c>
    </row>
    <row r="176" spans="1:19" ht="18.75" customHeight="1" x14ac:dyDescent="0.25">
      <c r="A176" s="14">
        <f t="shared" si="21"/>
        <v>173</v>
      </c>
      <c r="B176" s="21" t="s">
        <v>155</v>
      </c>
      <c r="C176" s="15" t="s">
        <v>3</v>
      </c>
      <c r="D176" s="21" t="s">
        <v>56</v>
      </c>
      <c r="E176" s="21"/>
      <c r="F176" s="69" t="s">
        <v>4</v>
      </c>
      <c r="G176" s="9">
        <v>31413</v>
      </c>
      <c r="H176" s="22">
        <v>1301.2000000000007</v>
      </c>
      <c r="I176" s="17">
        <v>0</v>
      </c>
      <c r="J176" s="17">
        <v>0</v>
      </c>
      <c r="K176" s="17">
        <f t="shared" si="16"/>
        <v>1301.2000000000007</v>
      </c>
      <c r="L176" s="23">
        <f t="shared" si="22"/>
        <v>65.060000000000045</v>
      </c>
      <c r="M176" s="23">
        <v>30</v>
      </c>
      <c r="N176" s="18">
        <f t="shared" si="19"/>
        <v>35.273972602739725</v>
      </c>
      <c r="O176" s="23">
        <v>24722.799999999999</v>
      </c>
      <c r="P176" s="18">
        <f t="shared" si="20"/>
        <v>35.775342465753425</v>
      </c>
      <c r="Q176" s="18">
        <v>0</v>
      </c>
      <c r="R176" s="18">
        <f t="shared" si="17"/>
        <v>24722.799999999999</v>
      </c>
      <c r="S176" s="18">
        <f t="shared" si="23"/>
        <v>65.060000000000045</v>
      </c>
    </row>
    <row r="177" spans="1:19" ht="18.75" customHeight="1" x14ac:dyDescent="0.25">
      <c r="A177" s="14">
        <f t="shared" si="21"/>
        <v>174</v>
      </c>
      <c r="B177" s="21" t="s">
        <v>191</v>
      </c>
      <c r="C177" s="15" t="s">
        <v>3</v>
      </c>
      <c r="D177" s="21" t="s">
        <v>56</v>
      </c>
      <c r="E177" s="21"/>
      <c r="F177" s="69" t="s">
        <v>4</v>
      </c>
      <c r="G177" s="9">
        <v>31413</v>
      </c>
      <c r="H177" s="22">
        <v>697.54999999999927</v>
      </c>
      <c r="I177" s="17">
        <v>0</v>
      </c>
      <c r="J177" s="17">
        <v>0</v>
      </c>
      <c r="K177" s="17">
        <f t="shared" si="16"/>
        <v>697.54999999999927</v>
      </c>
      <c r="L177" s="23">
        <f t="shared" si="22"/>
        <v>34.877499999999962</v>
      </c>
      <c r="M177" s="23">
        <v>30</v>
      </c>
      <c r="N177" s="18">
        <f t="shared" si="19"/>
        <v>35.273972602739725</v>
      </c>
      <c r="O177" s="23">
        <v>13253.45</v>
      </c>
      <c r="P177" s="18">
        <f t="shared" si="20"/>
        <v>35.775342465753425</v>
      </c>
      <c r="Q177" s="18">
        <v>0</v>
      </c>
      <c r="R177" s="18">
        <f t="shared" si="17"/>
        <v>13253.45</v>
      </c>
      <c r="S177" s="18">
        <f t="shared" si="23"/>
        <v>34.877499999999962</v>
      </c>
    </row>
    <row r="178" spans="1:19" ht="18.75" customHeight="1" x14ac:dyDescent="0.25">
      <c r="A178" s="14">
        <f t="shared" si="21"/>
        <v>175</v>
      </c>
      <c r="B178" s="21" t="s">
        <v>192</v>
      </c>
      <c r="C178" s="15" t="s">
        <v>3</v>
      </c>
      <c r="D178" s="21" t="s">
        <v>56</v>
      </c>
      <c r="E178" s="21"/>
      <c r="F178" s="69" t="s">
        <v>4</v>
      </c>
      <c r="G178" s="9">
        <v>31413</v>
      </c>
      <c r="H178" s="26">
        <v>614.14999999999964</v>
      </c>
      <c r="I178" s="17">
        <v>0</v>
      </c>
      <c r="J178" s="17">
        <v>0</v>
      </c>
      <c r="K178" s="17">
        <f t="shared" si="16"/>
        <v>614.14999999999964</v>
      </c>
      <c r="L178" s="23">
        <f t="shared" si="22"/>
        <v>30.707499999999982</v>
      </c>
      <c r="M178" s="23">
        <v>30</v>
      </c>
      <c r="N178" s="18">
        <f t="shared" si="19"/>
        <v>35.273972602739725</v>
      </c>
      <c r="O178" s="23">
        <v>11668.85</v>
      </c>
      <c r="P178" s="18">
        <f t="shared" si="20"/>
        <v>35.775342465753425</v>
      </c>
      <c r="Q178" s="18">
        <v>0</v>
      </c>
      <c r="R178" s="18">
        <f t="shared" si="17"/>
        <v>11668.85</v>
      </c>
      <c r="S178" s="18">
        <f t="shared" si="23"/>
        <v>30.707499999999982</v>
      </c>
    </row>
    <row r="179" spans="1:19" ht="18.75" customHeight="1" x14ac:dyDescent="0.25">
      <c r="A179" s="14">
        <f t="shared" si="21"/>
        <v>176</v>
      </c>
      <c r="B179" s="21" t="s">
        <v>193</v>
      </c>
      <c r="C179" s="15" t="s">
        <v>3</v>
      </c>
      <c r="D179" s="21" t="s">
        <v>56</v>
      </c>
      <c r="E179" s="21"/>
      <c r="F179" s="69" t="s">
        <v>4</v>
      </c>
      <c r="G179" s="9">
        <v>31413</v>
      </c>
      <c r="H179" s="26">
        <v>143.5</v>
      </c>
      <c r="I179" s="17">
        <v>0</v>
      </c>
      <c r="J179" s="17">
        <v>0</v>
      </c>
      <c r="K179" s="17">
        <f t="shared" si="16"/>
        <v>143.5</v>
      </c>
      <c r="L179" s="23">
        <f t="shared" si="22"/>
        <v>7.1750000000000007</v>
      </c>
      <c r="M179" s="23">
        <v>30</v>
      </c>
      <c r="N179" s="18">
        <f t="shared" si="19"/>
        <v>35.273972602739725</v>
      </c>
      <c r="O179" s="23">
        <v>2726.5</v>
      </c>
      <c r="P179" s="18">
        <f t="shared" si="20"/>
        <v>35.775342465753425</v>
      </c>
      <c r="Q179" s="18">
        <v>0</v>
      </c>
      <c r="R179" s="18">
        <f t="shared" si="17"/>
        <v>2726.5</v>
      </c>
      <c r="S179" s="18">
        <f t="shared" si="23"/>
        <v>7.1750000000000007</v>
      </c>
    </row>
    <row r="180" spans="1:19" ht="18.75" customHeight="1" x14ac:dyDescent="0.25">
      <c r="A180" s="14">
        <f t="shared" si="21"/>
        <v>177</v>
      </c>
      <c r="B180" s="21" t="s">
        <v>194</v>
      </c>
      <c r="C180" s="15" t="s">
        <v>3</v>
      </c>
      <c r="D180" s="21" t="s">
        <v>56</v>
      </c>
      <c r="E180" s="21"/>
      <c r="F180" s="69" t="s">
        <v>4</v>
      </c>
      <c r="G180" s="9">
        <v>31048</v>
      </c>
      <c r="H180" s="26">
        <v>1313.9500000000007</v>
      </c>
      <c r="I180" s="17">
        <v>0</v>
      </c>
      <c r="J180" s="17">
        <v>0</v>
      </c>
      <c r="K180" s="17">
        <f t="shared" si="16"/>
        <v>1313.9500000000007</v>
      </c>
      <c r="L180" s="23">
        <f t="shared" si="22"/>
        <v>65.697500000000034</v>
      </c>
      <c r="M180" s="23">
        <v>30</v>
      </c>
      <c r="N180" s="18">
        <f t="shared" si="19"/>
        <v>36.273972602739725</v>
      </c>
      <c r="O180" s="23">
        <v>24965.05</v>
      </c>
      <c r="P180" s="18">
        <f t="shared" si="20"/>
        <v>36.775342465753425</v>
      </c>
      <c r="Q180" s="18">
        <v>0</v>
      </c>
      <c r="R180" s="18">
        <f t="shared" si="17"/>
        <v>24965.05</v>
      </c>
      <c r="S180" s="18">
        <f t="shared" si="23"/>
        <v>65.697500000000034</v>
      </c>
    </row>
    <row r="181" spans="1:19" ht="18.75" customHeight="1" x14ac:dyDescent="0.25">
      <c r="A181" s="14">
        <f t="shared" si="21"/>
        <v>178</v>
      </c>
      <c r="B181" s="21" t="s">
        <v>195</v>
      </c>
      <c r="C181" s="15" t="s">
        <v>3</v>
      </c>
      <c r="D181" s="21" t="s">
        <v>56</v>
      </c>
      <c r="E181" s="21"/>
      <c r="F181" s="69" t="s">
        <v>4</v>
      </c>
      <c r="G181" s="9">
        <v>31048</v>
      </c>
      <c r="H181" s="26">
        <v>1062.3499999999985</v>
      </c>
      <c r="I181" s="17">
        <v>0</v>
      </c>
      <c r="J181" s="17">
        <v>0</v>
      </c>
      <c r="K181" s="17">
        <f t="shared" si="16"/>
        <v>1062.3499999999985</v>
      </c>
      <c r="L181" s="23">
        <f t="shared" si="22"/>
        <v>53.117499999999929</v>
      </c>
      <c r="M181" s="23">
        <v>30</v>
      </c>
      <c r="N181" s="18">
        <f t="shared" si="19"/>
        <v>36.273972602739725</v>
      </c>
      <c r="O181" s="23">
        <v>20184.650000000001</v>
      </c>
      <c r="P181" s="18">
        <f t="shared" si="20"/>
        <v>36.775342465753425</v>
      </c>
      <c r="Q181" s="18">
        <v>0</v>
      </c>
      <c r="R181" s="18">
        <f t="shared" si="17"/>
        <v>20184.650000000001</v>
      </c>
      <c r="S181" s="18">
        <f t="shared" si="23"/>
        <v>53.117499999999929</v>
      </c>
    </row>
    <row r="182" spans="1:19" ht="18.75" customHeight="1" x14ac:dyDescent="0.25">
      <c r="A182" s="14">
        <f t="shared" si="21"/>
        <v>179</v>
      </c>
      <c r="B182" s="21" t="s">
        <v>191</v>
      </c>
      <c r="C182" s="15" t="s">
        <v>3</v>
      </c>
      <c r="D182" s="21" t="s">
        <v>56</v>
      </c>
      <c r="E182" s="21"/>
      <c r="F182" s="69" t="s">
        <v>4</v>
      </c>
      <c r="G182" s="9">
        <v>31048</v>
      </c>
      <c r="H182" s="26">
        <v>684.85000000000036</v>
      </c>
      <c r="I182" s="17">
        <v>0</v>
      </c>
      <c r="J182" s="17">
        <v>0</v>
      </c>
      <c r="K182" s="17">
        <f t="shared" si="16"/>
        <v>684.85000000000036</v>
      </c>
      <c r="L182" s="23">
        <f t="shared" si="22"/>
        <v>34.242500000000021</v>
      </c>
      <c r="M182" s="23">
        <v>30</v>
      </c>
      <c r="N182" s="18">
        <f t="shared" si="19"/>
        <v>36.273972602739725</v>
      </c>
      <c r="O182" s="23">
        <v>13012.15</v>
      </c>
      <c r="P182" s="18">
        <f t="shared" si="20"/>
        <v>36.775342465753425</v>
      </c>
      <c r="Q182" s="18">
        <v>0</v>
      </c>
      <c r="R182" s="18">
        <f t="shared" si="17"/>
        <v>13012.15</v>
      </c>
      <c r="S182" s="18">
        <f t="shared" si="23"/>
        <v>34.242500000000021</v>
      </c>
    </row>
    <row r="183" spans="1:19" ht="18.75" customHeight="1" x14ac:dyDescent="0.25">
      <c r="A183" s="14">
        <f t="shared" si="21"/>
        <v>180</v>
      </c>
      <c r="B183" s="21" t="s">
        <v>196</v>
      </c>
      <c r="C183" s="15" t="s">
        <v>3</v>
      </c>
      <c r="D183" s="21" t="s">
        <v>56</v>
      </c>
      <c r="E183" s="21"/>
      <c r="F183" s="69" t="s">
        <v>4</v>
      </c>
      <c r="G183" s="9">
        <v>31048</v>
      </c>
      <c r="H183" s="26">
        <v>324.35000000000036</v>
      </c>
      <c r="I183" s="17">
        <v>0</v>
      </c>
      <c r="J183" s="17">
        <v>0</v>
      </c>
      <c r="K183" s="17">
        <f t="shared" si="16"/>
        <v>324.35000000000036</v>
      </c>
      <c r="L183" s="23">
        <f t="shared" si="22"/>
        <v>16.217500000000019</v>
      </c>
      <c r="M183" s="23">
        <v>30</v>
      </c>
      <c r="N183" s="18">
        <f t="shared" si="19"/>
        <v>36.273972602739725</v>
      </c>
      <c r="O183" s="23">
        <v>6162.65</v>
      </c>
      <c r="P183" s="18">
        <f t="shared" si="20"/>
        <v>36.775342465753425</v>
      </c>
      <c r="Q183" s="18">
        <v>0</v>
      </c>
      <c r="R183" s="18">
        <f t="shared" si="17"/>
        <v>6162.65</v>
      </c>
      <c r="S183" s="18">
        <f t="shared" si="23"/>
        <v>16.217500000000019</v>
      </c>
    </row>
    <row r="184" spans="1:19" ht="18.75" customHeight="1" x14ac:dyDescent="0.25">
      <c r="A184" s="14">
        <f t="shared" si="21"/>
        <v>181</v>
      </c>
      <c r="B184" s="21" t="s">
        <v>197</v>
      </c>
      <c r="C184" s="15" t="s">
        <v>3</v>
      </c>
      <c r="D184" s="21" t="s">
        <v>56</v>
      </c>
      <c r="E184" s="21"/>
      <c r="F184" s="69" t="s">
        <v>4</v>
      </c>
      <c r="G184" s="9">
        <v>31048</v>
      </c>
      <c r="H184" s="26">
        <v>166.5</v>
      </c>
      <c r="I184" s="17">
        <v>0</v>
      </c>
      <c r="J184" s="17">
        <v>0</v>
      </c>
      <c r="K184" s="17">
        <f t="shared" si="16"/>
        <v>166.5</v>
      </c>
      <c r="L184" s="23">
        <f t="shared" si="22"/>
        <v>8.3250000000000011</v>
      </c>
      <c r="M184" s="23">
        <v>30</v>
      </c>
      <c r="N184" s="18">
        <f t="shared" si="19"/>
        <v>36.273972602739725</v>
      </c>
      <c r="O184" s="23">
        <v>3163.5</v>
      </c>
      <c r="P184" s="18">
        <f t="shared" si="20"/>
        <v>36.775342465753425</v>
      </c>
      <c r="Q184" s="18">
        <v>0</v>
      </c>
      <c r="R184" s="18">
        <f t="shared" si="17"/>
        <v>3163.5</v>
      </c>
      <c r="S184" s="18">
        <f t="shared" si="23"/>
        <v>8.3250000000000011</v>
      </c>
    </row>
    <row r="185" spans="1:19" ht="18.75" customHeight="1" x14ac:dyDescent="0.25">
      <c r="A185" s="14">
        <f t="shared" si="21"/>
        <v>182</v>
      </c>
      <c r="B185" s="21" t="s">
        <v>198</v>
      </c>
      <c r="C185" s="15" t="s">
        <v>3</v>
      </c>
      <c r="D185" s="21" t="s">
        <v>56</v>
      </c>
      <c r="E185" s="21"/>
      <c r="F185" s="69" t="s">
        <v>4</v>
      </c>
      <c r="G185" s="9">
        <v>31048</v>
      </c>
      <c r="H185" s="26">
        <v>135.34999999999991</v>
      </c>
      <c r="I185" s="17">
        <v>0</v>
      </c>
      <c r="J185" s="17">
        <v>0</v>
      </c>
      <c r="K185" s="17">
        <f t="shared" si="16"/>
        <v>135.34999999999991</v>
      </c>
      <c r="L185" s="23">
        <f t="shared" si="22"/>
        <v>6.7674999999999956</v>
      </c>
      <c r="M185" s="23">
        <v>30</v>
      </c>
      <c r="N185" s="18">
        <f t="shared" si="19"/>
        <v>36.273972602739725</v>
      </c>
      <c r="O185" s="23">
        <v>2571.65</v>
      </c>
      <c r="P185" s="18">
        <f t="shared" si="20"/>
        <v>36.775342465753425</v>
      </c>
      <c r="Q185" s="18">
        <v>0</v>
      </c>
      <c r="R185" s="18">
        <f t="shared" si="17"/>
        <v>2571.65</v>
      </c>
      <c r="S185" s="18">
        <f t="shared" si="23"/>
        <v>6.7674999999999956</v>
      </c>
    </row>
    <row r="186" spans="1:19" ht="18.75" customHeight="1" x14ac:dyDescent="0.25">
      <c r="A186" s="14">
        <f t="shared" si="21"/>
        <v>183</v>
      </c>
      <c r="B186" s="21" t="s">
        <v>199</v>
      </c>
      <c r="C186" s="15" t="s">
        <v>3</v>
      </c>
      <c r="D186" s="21" t="s">
        <v>56</v>
      </c>
      <c r="E186" s="21"/>
      <c r="F186" s="69" t="s">
        <v>4</v>
      </c>
      <c r="G186" s="9">
        <v>31048</v>
      </c>
      <c r="H186" s="26">
        <v>26.600000000000023</v>
      </c>
      <c r="I186" s="17">
        <v>0</v>
      </c>
      <c r="J186" s="17">
        <v>0</v>
      </c>
      <c r="K186" s="17">
        <f t="shared" si="16"/>
        <v>26.600000000000023</v>
      </c>
      <c r="L186" s="23">
        <f t="shared" si="22"/>
        <v>1.3300000000000012</v>
      </c>
      <c r="M186" s="23">
        <v>30</v>
      </c>
      <c r="N186" s="18">
        <f t="shared" si="19"/>
        <v>36.273972602739725</v>
      </c>
      <c r="O186" s="23">
        <v>505.4</v>
      </c>
      <c r="P186" s="18">
        <f t="shared" si="20"/>
        <v>36.775342465753425</v>
      </c>
      <c r="Q186" s="18">
        <v>0</v>
      </c>
      <c r="R186" s="18">
        <f t="shared" si="17"/>
        <v>505.4</v>
      </c>
      <c r="S186" s="18">
        <f t="shared" si="23"/>
        <v>1.3300000000000012</v>
      </c>
    </row>
    <row r="187" spans="1:19" ht="18.75" customHeight="1" x14ac:dyDescent="0.25">
      <c r="A187" s="14">
        <f t="shared" si="21"/>
        <v>184</v>
      </c>
      <c r="B187" s="21" t="s">
        <v>200</v>
      </c>
      <c r="C187" s="15" t="s">
        <v>3</v>
      </c>
      <c r="D187" s="21" t="s">
        <v>56</v>
      </c>
      <c r="E187" s="21"/>
      <c r="F187" s="69" t="s">
        <v>4</v>
      </c>
      <c r="G187" s="9">
        <v>30696</v>
      </c>
      <c r="H187" s="26">
        <v>377.80000000000018</v>
      </c>
      <c r="I187" s="17">
        <v>0</v>
      </c>
      <c r="J187" s="17">
        <v>0</v>
      </c>
      <c r="K187" s="17">
        <f t="shared" si="16"/>
        <v>377.80000000000018</v>
      </c>
      <c r="L187" s="23">
        <f t="shared" si="22"/>
        <v>18.890000000000011</v>
      </c>
      <c r="M187" s="23">
        <v>30</v>
      </c>
      <c r="N187" s="18">
        <f t="shared" si="19"/>
        <v>37.238356164383561</v>
      </c>
      <c r="O187" s="23">
        <v>7178.2</v>
      </c>
      <c r="P187" s="18">
        <f t="shared" si="20"/>
        <v>37.739726027397261</v>
      </c>
      <c r="Q187" s="18">
        <v>0</v>
      </c>
      <c r="R187" s="18">
        <f t="shared" si="17"/>
        <v>7178.2</v>
      </c>
      <c r="S187" s="18">
        <f t="shared" si="23"/>
        <v>18.890000000000011</v>
      </c>
    </row>
    <row r="188" spans="1:19" ht="18.75" customHeight="1" x14ac:dyDescent="0.25">
      <c r="A188" s="14">
        <f t="shared" si="21"/>
        <v>185</v>
      </c>
      <c r="B188" s="21" t="s">
        <v>201</v>
      </c>
      <c r="C188" s="15" t="s">
        <v>3</v>
      </c>
      <c r="D188" s="21" t="s">
        <v>56</v>
      </c>
      <c r="E188" s="21"/>
      <c r="F188" s="70" t="s">
        <v>8</v>
      </c>
      <c r="G188" s="9">
        <v>30682</v>
      </c>
      <c r="H188" s="26">
        <v>9583.1000000000058</v>
      </c>
      <c r="I188" s="17">
        <v>0</v>
      </c>
      <c r="J188" s="17">
        <v>0</v>
      </c>
      <c r="K188" s="17">
        <f t="shared" si="16"/>
        <v>9583.1000000000058</v>
      </c>
      <c r="L188" s="23">
        <f t="shared" si="22"/>
        <v>479.15500000000031</v>
      </c>
      <c r="M188" s="23">
        <v>30</v>
      </c>
      <c r="N188" s="18">
        <f t="shared" si="19"/>
        <v>37.276712328767125</v>
      </c>
      <c r="O188" s="23">
        <v>182078.9</v>
      </c>
      <c r="P188" s="18">
        <f t="shared" si="20"/>
        <v>37.778082191780825</v>
      </c>
      <c r="Q188" s="18">
        <v>0</v>
      </c>
      <c r="R188" s="18">
        <f t="shared" si="17"/>
        <v>182078.9</v>
      </c>
      <c r="S188" s="18">
        <f t="shared" si="23"/>
        <v>479.15500000000031</v>
      </c>
    </row>
    <row r="189" spans="1:19" ht="18.75" customHeight="1" x14ac:dyDescent="0.25">
      <c r="A189" s="14">
        <f t="shared" si="21"/>
        <v>186</v>
      </c>
      <c r="B189" s="21" t="s">
        <v>202</v>
      </c>
      <c r="C189" s="15" t="s">
        <v>3</v>
      </c>
      <c r="D189" s="21" t="s">
        <v>56</v>
      </c>
      <c r="E189" s="21"/>
      <c r="F189" s="69" t="s">
        <v>4</v>
      </c>
      <c r="G189" s="9">
        <v>30682</v>
      </c>
      <c r="H189" s="26">
        <v>4255.1999999999971</v>
      </c>
      <c r="I189" s="17">
        <v>0</v>
      </c>
      <c r="J189" s="17">
        <v>0</v>
      </c>
      <c r="K189" s="17">
        <f t="shared" si="16"/>
        <v>4255.1999999999971</v>
      </c>
      <c r="L189" s="23">
        <f t="shared" si="22"/>
        <v>212.75999999999988</v>
      </c>
      <c r="M189" s="23">
        <v>30</v>
      </c>
      <c r="N189" s="18">
        <f t="shared" si="19"/>
        <v>37.276712328767125</v>
      </c>
      <c r="O189" s="23">
        <v>80848.800000000003</v>
      </c>
      <c r="P189" s="18">
        <f t="shared" si="20"/>
        <v>37.778082191780825</v>
      </c>
      <c r="Q189" s="18">
        <v>0</v>
      </c>
      <c r="R189" s="18">
        <f t="shared" si="17"/>
        <v>80848.800000000003</v>
      </c>
      <c r="S189" s="18">
        <f t="shared" si="23"/>
        <v>212.75999999999988</v>
      </c>
    </row>
    <row r="190" spans="1:19" ht="18.75" customHeight="1" x14ac:dyDescent="0.25">
      <c r="A190" s="14">
        <f t="shared" si="21"/>
        <v>187</v>
      </c>
      <c r="B190" s="21" t="s">
        <v>203</v>
      </c>
      <c r="C190" s="15" t="s">
        <v>3</v>
      </c>
      <c r="D190" s="21" t="s">
        <v>56</v>
      </c>
      <c r="E190" s="21"/>
      <c r="F190" s="69" t="s">
        <v>4</v>
      </c>
      <c r="G190" s="9">
        <v>30682</v>
      </c>
      <c r="H190" s="26">
        <v>1085.6500000000015</v>
      </c>
      <c r="I190" s="17">
        <v>0</v>
      </c>
      <c r="J190" s="17">
        <v>0</v>
      </c>
      <c r="K190" s="17">
        <f t="shared" si="16"/>
        <v>1085.6500000000015</v>
      </c>
      <c r="L190" s="23">
        <f t="shared" si="22"/>
        <v>54.282500000000077</v>
      </c>
      <c r="M190" s="23">
        <v>30</v>
      </c>
      <c r="N190" s="18">
        <f t="shared" si="19"/>
        <v>37.276712328767125</v>
      </c>
      <c r="O190" s="23">
        <v>20627.349999999999</v>
      </c>
      <c r="P190" s="18">
        <f t="shared" si="20"/>
        <v>37.778082191780825</v>
      </c>
      <c r="Q190" s="18">
        <v>0</v>
      </c>
      <c r="R190" s="18">
        <f t="shared" si="17"/>
        <v>20627.349999999999</v>
      </c>
      <c r="S190" s="18">
        <f t="shared" si="23"/>
        <v>54.282500000000077</v>
      </c>
    </row>
    <row r="191" spans="1:19" ht="18.75" customHeight="1" x14ac:dyDescent="0.25">
      <c r="A191" s="14">
        <f t="shared" si="21"/>
        <v>188</v>
      </c>
      <c r="B191" s="21" t="s">
        <v>204</v>
      </c>
      <c r="C191" s="15" t="s">
        <v>3</v>
      </c>
      <c r="D191" s="21" t="s">
        <v>56</v>
      </c>
      <c r="E191" s="21"/>
      <c r="F191" s="69" t="s">
        <v>4</v>
      </c>
      <c r="G191" s="9">
        <v>30682</v>
      </c>
      <c r="H191" s="26">
        <v>1068</v>
      </c>
      <c r="I191" s="17">
        <v>0</v>
      </c>
      <c r="J191" s="17">
        <v>0</v>
      </c>
      <c r="K191" s="17">
        <f t="shared" si="16"/>
        <v>1068</v>
      </c>
      <c r="L191" s="23">
        <f t="shared" si="22"/>
        <v>53.400000000000006</v>
      </c>
      <c r="M191" s="23">
        <v>30</v>
      </c>
      <c r="N191" s="18">
        <f t="shared" si="19"/>
        <v>37.276712328767125</v>
      </c>
      <c r="O191" s="23">
        <v>20292</v>
      </c>
      <c r="P191" s="18">
        <f t="shared" si="20"/>
        <v>37.778082191780825</v>
      </c>
      <c r="Q191" s="18">
        <v>0</v>
      </c>
      <c r="R191" s="18">
        <f t="shared" si="17"/>
        <v>20292</v>
      </c>
      <c r="S191" s="18">
        <f t="shared" si="23"/>
        <v>53.400000000000006</v>
      </c>
    </row>
    <row r="192" spans="1:19" ht="18.75" customHeight="1" x14ac:dyDescent="0.25">
      <c r="A192" s="14">
        <f t="shared" si="21"/>
        <v>189</v>
      </c>
      <c r="B192" s="21" t="s">
        <v>205</v>
      </c>
      <c r="C192" s="15" t="s">
        <v>3</v>
      </c>
      <c r="D192" s="21" t="s">
        <v>56</v>
      </c>
      <c r="E192" s="21"/>
      <c r="F192" s="70" t="s">
        <v>7</v>
      </c>
      <c r="G192" s="9">
        <v>30682</v>
      </c>
      <c r="H192" s="26">
        <v>337.30000000000018</v>
      </c>
      <c r="I192" s="17">
        <v>0</v>
      </c>
      <c r="J192" s="17">
        <v>0</v>
      </c>
      <c r="K192" s="17">
        <f t="shared" si="16"/>
        <v>337.30000000000018</v>
      </c>
      <c r="L192" s="23">
        <f t="shared" si="22"/>
        <v>16.865000000000009</v>
      </c>
      <c r="M192" s="23">
        <v>30</v>
      </c>
      <c r="N192" s="18">
        <f t="shared" si="19"/>
        <v>37.276712328767125</v>
      </c>
      <c r="O192" s="23">
        <v>6408.7</v>
      </c>
      <c r="P192" s="18">
        <f t="shared" si="20"/>
        <v>37.778082191780825</v>
      </c>
      <c r="Q192" s="18">
        <v>0</v>
      </c>
      <c r="R192" s="18">
        <f t="shared" si="17"/>
        <v>6408.7</v>
      </c>
      <c r="S192" s="18">
        <f t="shared" si="23"/>
        <v>16.865000000000009</v>
      </c>
    </row>
    <row r="193" spans="1:19" ht="18.75" customHeight="1" x14ac:dyDescent="0.25">
      <c r="A193" s="14">
        <f t="shared" si="21"/>
        <v>190</v>
      </c>
      <c r="B193" s="21" t="s">
        <v>206</v>
      </c>
      <c r="C193" s="15" t="s">
        <v>3</v>
      </c>
      <c r="D193" s="21" t="s">
        <v>56</v>
      </c>
      <c r="E193" s="21"/>
      <c r="F193" s="69" t="s">
        <v>4</v>
      </c>
      <c r="G193" s="9">
        <v>30682</v>
      </c>
      <c r="H193" s="26">
        <v>311.55000000000018</v>
      </c>
      <c r="I193" s="17">
        <v>0</v>
      </c>
      <c r="J193" s="17">
        <v>0</v>
      </c>
      <c r="K193" s="17">
        <f t="shared" si="16"/>
        <v>311.55000000000018</v>
      </c>
      <c r="L193" s="23">
        <f t="shared" si="22"/>
        <v>15.577500000000009</v>
      </c>
      <c r="M193" s="23">
        <v>30</v>
      </c>
      <c r="N193" s="18">
        <f t="shared" si="19"/>
        <v>37.276712328767125</v>
      </c>
      <c r="O193" s="23">
        <v>5919.45</v>
      </c>
      <c r="P193" s="18">
        <f t="shared" si="20"/>
        <v>37.778082191780825</v>
      </c>
      <c r="Q193" s="18">
        <v>0</v>
      </c>
      <c r="R193" s="18">
        <f t="shared" si="17"/>
        <v>5919.45</v>
      </c>
      <c r="S193" s="18">
        <f t="shared" si="23"/>
        <v>15.577500000000009</v>
      </c>
    </row>
    <row r="194" spans="1:19" ht="18.75" customHeight="1" x14ac:dyDescent="0.25">
      <c r="A194" s="14">
        <f t="shared" si="21"/>
        <v>191</v>
      </c>
      <c r="B194" s="21" t="s">
        <v>207</v>
      </c>
      <c r="C194" s="15" t="s">
        <v>3</v>
      </c>
      <c r="D194" s="21" t="s">
        <v>56</v>
      </c>
      <c r="E194" s="21"/>
      <c r="F194" s="70" t="s">
        <v>7</v>
      </c>
      <c r="G194" s="9">
        <v>30682</v>
      </c>
      <c r="H194" s="26">
        <v>279.89999999999964</v>
      </c>
      <c r="I194" s="17">
        <v>0</v>
      </c>
      <c r="J194" s="17">
        <v>0</v>
      </c>
      <c r="K194" s="17">
        <f t="shared" si="16"/>
        <v>279.89999999999964</v>
      </c>
      <c r="L194" s="23">
        <f t="shared" si="22"/>
        <v>13.994999999999983</v>
      </c>
      <c r="M194" s="23">
        <v>30</v>
      </c>
      <c r="N194" s="18">
        <f t="shared" si="19"/>
        <v>37.276712328767125</v>
      </c>
      <c r="O194" s="23">
        <v>5318.1</v>
      </c>
      <c r="P194" s="18">
        <f t="shared" si="20"/>
        <v>37.778082191780825</v>
      </c>
      <c r="Q194" s="18">
        <v>0</v>
      </c>
      <c r="R194" s="18">
        <f t="shared" si="17"/>
        <v>5318.1</v>
      </c>
      <c r="S194" s="18">
        <f t="shared" si="23"/>
        <v>13.994999999999983</v>
      </c>
    </row>
    <row r="195" spans="1:19" ht="18.75" customHeight="1" x14ac:dyDescent="0.25">
      <c r="A195" s="14">
        <f t="shared" si="21"/>
        <v>192</v>
      </c>
      <c r="B195" s="21" t="s">
        <v>208</v>
      </c>
      <c r="C195" s="15" t="s">
        <v>3</v>
      </c>
      <c r="D195" s="21" t="s">
        <v>56</v>
      </c>
      <c r="E195" s="21"/>
      <c r="F195" s="69" t="s">
        <v>4</v>
      </c>
      <c r="G195" s="9">
        <v>30682</v>
      </c>
      <c r="H195" s="26">
        <v>241.30000000000018</v>
      </c>
      <c r="I195" s="17">
        <v>0</v>
      </c>
      <c r="J195" s="17">
        <v>0</v>
      </c>
      <c r="K195" s="17">
        <f t="shared" si="16"/>
        <v>241.30000000000018</v>
      </c>
      <c r="L195" s="23">
        <f t="shared" si="22"/>
        <v>12.06500000000001</v>
      </c>
      <c r="M195" s="23">
        <v>30</v>
      </c>
      <c r="N195" s="18">
        <f t="shared" si="19"/>
        <v>37.276712328767125</v>
      </c>
      <c r="O195" s="23">
        <v>4584.7</v>
      </c>
      <c r="P195" s="18">
        <f t="shared" si="20"/>
        <v>37.778082191780825</v>
      </c>
      <c r="Q195" s="18">
        <v>0</v>
      </c>
      <c r="R195" s="18">
        <f t="shared" si="17"/>
        <v>4584.7</v>
      </c>
      <c r="S195" s="18">
        <f t="shared" si="23"/>
        <v>12.06500000000001</v>
      </c>
    </row>
    <row r="196" spans="1:19" ht="18.75" customHeight="1" x14ac:dyDescent="0.25">
      <c r="A196" s="14">
        <f t="shared" si="21"/>
        <v>193</v>
      </c>
      <c r="B196" s="21" t="s">
        <v>209</v>
      </c>
      <c r="C196" s="15" t="s">
        <v>3</v>
      </c>
      <c r="D196" s="21" t="s">
        <v>56</v>
      </c>
      <c r="E196" s="21"/>
      <c r="F196" s="69" t="s">
        <v>4</v>
      </c>
      <c r="G196" s="9">
        <v>30682</v>
      </c>
      <c r="H196" s="26">
        <v>155.5</v>
      </c>
      <c r="I196" s="17">
        <v>0</v>
      </c>
      <c r="J196" s="17">
        <v>0</v>
      </c>
      <c r="K196" s="17">
        <f t="shared" ref="K196:K259" si="24">H196+I196-J196</f>
        <v>155.5</v>
      </c>
      <c r="L196" s="23">
        <f t="shared" si="22"/>
        <v>7.7750000000000004</v>
      </c>
      <c r="M196" s="23">
        <v>30</v>
      </c>
      <c r="N196" s="18">
        <f t="shared" si="19"/>
        <v>37.276712328767125</v>
      </c>
      <c r="O196" s="23">
        <v>2954.5</v>
      </c>
      <c r="P196" s="18">
        <f t="shared" si="20"/>
        <v>37.778082191780825</v>
      </c>
      <c r="Q196" s="18">
        <v>0</v>
      </c>
      <c r="R196" s="18">
        <f t="shared" ref="R196:R259" si="25">Q196+O196</f>
        <v>2954.5</v>
      </c>
      <c r="S196" s="18">
        <f t="shared" si="23"/>
        <v>7.7750000000000004</v>
      </c>
    </row>
    <row r="197" spans="1:19" ht="18.75" customHeight="1" x14ac:dyDescent="0.25">
      <c r="A197" s="14">
        <f t="shared" si="21"/>
        <v>194</v>
      </c>
      <c r="B197" s="21" t="s">
        <v>210</v>
      </c>
      <c r="C197" s="15" t="s">
        <v>3</v>
      </c>
      <c r="D197" s="21" t="s">
        <v>56</v>
      </c>
      <c r="E197" s="21"/>
      <c r="F197" s="69" t="s">
        <v>4</v>
      </c>
      <c r="G197" s="9">
        <v>30682</v>
      </c>
      <c r="H197" s="26">
        <v>124</v>
      </c>
      <c r="I197" s="17">
        <v>0</v>
      </c>
      <c r="J197" s="17">
        <v>0</v>
      </c>
      <c r="K197" s="17">
        <f t="shared" si="24"/>
        <v>124</v>
      </c>
      <c r="L197" s="23">
        <f t="shared" si="22"/>
        <v>6.2</v>
      </c>
      <c r="M197" s="23">
        <v>30</v>
      </c>
      <c r="N197" s="18">
        <f t="shared" ref="N197:N260" si="26">IF(($N$2-G197+1)/365&gt;0,($N$2-G197+1)/365,0)</f>
        <v>37.276712328767125</v>
      </c>
      <c r="O197" s="23">
        <v>2356</v>
      </c>
      <c r="P197" s="18">
        <f t="shared" ref="P197:P260" si="27">($P$2-G197+1)/365</f>
        <v>37.778082191780825</v>
      </c>
      <c r="Q197" s="18">
        <v>0</v>
      </c>
      <c r="R197" s="18">
        <f t="shared" si="25"/>
        <v>2356</v>
      </c>
      <c r="S197" s="18">
        <f t="shared" si="23"/>
        <v>6.2</v>
      </c>
    </row>
    <row r="198" spans="1:19" ht="18.75" customHeight="1" x14ac:dyDescent="0.25">
      <c r="A198" s="14">
        <f t="shared" ref="A198:A261" si="28">+A197+1</f>
        <v>195</v>
      </c>
      <c r="B198" s="21" t="s">
        <v>211</v>
      </c>
      <c r="C198" s="15" t="s">
        <v>3</v>
      </c>
      <c r="D198" s="21" t="s">
        <v>56</v>
      </c>
      <c r="E198" s="21"/>
      <c r="F198" s="69" t="s">
        <v>4</v>
      </c>
      <c r="G198" s="9">
        <v>30682</v>
      </c>
      <c r="H198" s="26">
        <v>93.700000000000045</v>
      </c>
      <c r="I198" s="17">
        <v>0</v>
      </c>
      <c r="J198" s="17">
        <v>0</v>
      </c>
      <c r="K198" s="17">
        <f t="shared" si="24"/>
        <v>93.700000000000045</v>
      </c>
      <c r="L198" s="23">
        <f t="shared" si="22"/>
        <v>4.6850000000000023</v>
      </c>
      <c r="M198" s="23">
        <v>30</v>
      </c>
      <c r="N198" s="18">
        <f t="shared" si="26"/>
        <v>37.276712328767125</v>
      </c>
      <c r="O198" s="23">
        <v>1780.3</v>
      </c>
      <c r="P198" s="18">
        <f t="shared" si="27"/>
        <v>37.778082191780825</v>
      </c>
      <c r="Q198" s="18">
        <v>0</v>
      </c>
      <c r="R198" s="18">
        <f t="shared" si="25"/>
        <v>1780.3</v>
      </c>
      <c r="S198" s="18">
        <f t="shared" si="23"/>
        <v>4.6850000000000023</v>
      </c>
    </row>
    <row r="199" spans="1:19" ht="18.75" customHeight="1" x14ac:dyDescent="0.25">
      <c r="A199" s="14">
        <f t="shared" si="28"/>
        <v>196</v>
      </c>
      <c r="B199" s="21" t="s">
        <v>212</v>
      </c>
      <c r="C199" s="15" t="s">
        <v>3</v>
      </c>
      <c r="D199" s="21" t="s">
        <v>56</v>
      </c>
      <c r="E199" s="21"/>
      <c r="F199" s="69" t="s">
        <v>6</v>
      </c>
      <c r="G199" s="9">
        <v>19725</v>
      </c>
      <c r="H199" s="26">
        <v>1774.25</v>
      </c>
      <c r="I199" s="17">
        <v>0</v>
      </c>
      <c r="J199" s="17">
        <v>0</v>
      </c>
      <c r="K199" s="17">
        <f t="shared" si="24"/>
        <v>1774.25</v>
      </c>
      <c r="L199" s="23">
        <f t="shared" si="22"/>
        <v>88.712500000000006</v>
      </c>
      <c r="M199" s="23">
        <v>60</v>
      </c>
      <c r="N199" s="18">
        <f t="shared" si="26"/>
        <v>67.295890410958904</v>
      </c>
      <c r="O199" s="23">
        <v>33710.75</v>
      </c>
      <c r="P199" s="18">
        <f t="shared" si="27"/>
        <v>67.797260273972597</v>
      </c>
      <c r="Q199" s="18">
        <v>0</v>
      </c>
      <c r="R199" s="18">
        <f t="shared" si="25"/>
        <v>33710.75</v>
      </c>
      <c r="S199" s="18">
        <f t="shared" si="23"/>
        <v>88.712500000000006</v>
      </c>
    </row>
    <row r="200" spans="1:19" ht="18.75" customHeight="1" x14ac:dyDescent="0.25">
      <c r="A200" s="14">
        <f t="shared" si="28"/>
        <v>197</v>
      </c>
      <c r="B200" s="21" t="s">
        <v>213</v>
      </c>
      <c r="C200" s="15" t="s">
        <v>3</v>
      </c>
      <c r="D200" s="21" t="s">
        <v>56</v>
      </c>
      <c r="E200" s="21"/>
      <c r="F200" s="69" t="s">
        <v>4</v>
      </c>
      <c r="G200" s="9">
        <v>39779</v>
      </c>
      <c r="H200" s="26">
        <v>53162.10149999999</v>
      </c>
      <c r="I200" s="17">
        <v>0</v>
      </c>
      <c r="J200" s="17">
        <v>0</v>
      </c>
      <c r="K200" s="17">
        <f t="shared" si="24"/>
        <v>53162.10149999999</v>
      </c>
      <c r="L200" s="23">
        <f t="shared" si="22"/>
        <v>2658.1050749999995</v>
      </c>
      <c r="M200" s="23">
        <v>5</v>
      </c>
      <c r="N200" s="18">
        <f t="shared" si="26"/>
        <v>12.353424657534246</v>
      </c>
      <c r="O200" s="23">
        <v>1010079.9285</v>
      </c>
      <c r="P200" s="18">
        <f t="shared" si="27"/>
        <v>12.854794520547944</v>
      </c>
      <c r="Q200" s="18">
        <v>0</v>
      </c>
      <c r="R200" s="18">
        <f t="shared" si="25"/>
        <v>1010079.9285</v>
      </c>
      <c r="S200" s="18">
        <f t="shared" si="23"/>
        <v>2658.1050749999995</v>
      </c>
    </row>
    <row r="201" spans="1:19" ht="18.75" customHeight="1" x14ac:dyDescent="0.25">
      <c r="A201" s="14">
        <f t="shared" si="28"/>
        <v>198</v>
      </c>
      <c r="B201" s="21" t="s">
        <v>214</v>
      </c>
      <c r="C201" s="15" t="s">
        <v>3</v>
      </c>
      <c r="D201" s="21" t="s">
        <v>56</v>
      </c>
      <c r="E201" s="21"/>
      <c r="F201" s="69" t="s">
        <v>4</v>
      </c>
      <c r="G201" s="9">
        <v>30317</v>
      </c>
      <c r="H201" s="26">
        <v>2610.1500000000015</v>
      </c>
      <c r="I201" s="17">
        <v>0</v>
      </c>
      <c r="J201" s="17">
        <v>0</v>
      </c>
      <c r="K201" s="17">
        <f t="shared" si="24"/>
        <v>2610.1500000000015</v>
      </c>
      <c r="L201" s="23">
        <f t="shared" si="22"/>
        <v>130.50750000000008</v>
      </c>
      <c r="M201" s="23">
        <v>30</v>
      </c>
      <c r="N201" s="18">
        <f t="shared" si="26"/>
        <v>38.276712328767125</v>
      </c>
      <c r="O201" s="23">
        <v>49592.85</v>
      </c>
      <c r="P201" s="18">
        <f t="shared" si="27"/>
        <v>38.778082191780825</v>
      </c>
      <c r="Q201" s="18">
        <v>0</v>
      </c>
      <c r="R201" s="18">
        <f t="shared" si="25"/>
        <v>49592.85</v>
      </c>
      <c r="S201" s="18">
        <f t="shared" si="23"/>
        <v>130.50750000000008</v>
      </c>
    </row>
    <row r="202" spans="1:19" ht="18.75" customHeight="1" x14ac:dyDescent="0.25">
      <c r="A202" s="14">
        <f t="shared" si="28"/>
        <v>199</v>
      </c>
      <c r="B202" s="21" t="s">
        <v>215</v>
      </c>
      <c r="C202" s="15" t="s">
        <v>3</v>
      </c>
      <c r="D202" s="21" t="s">
        <v>56</v>
      </c>
      <c r="E202" s="21"/>
      <c r="F202" s="70" t="s">
        <v>7</v>
      </c>
      <c r="G202" s="9">
        <v>30317</v>
      </c>
      <c r="H202" s="26">
        <v>1906.5</v>
      </c>
      <c r="I202" s="17">
        <v>0</v>
      </c>
      <c r="J202" s="17">
        <v>0</v>
      </c>
      <c r="K202" s="17">
        <f t="shared" si="24"/>
        <v>1906.5</v>
      </c>
      <c r="L202" s="23">
        <f t="shared" si="22"/>
        <v>95.325000000000003</v>
      </c>
      <c r="M202" s="23">
        <v>30</v>
      </c>
      <c r="N202" s="18">
        <f t="shared" si="26"/>
        <v>38.276712328767125</v>
      </c>
      <c r="O202" s="23">
        <v>36223.5</v>
      </c>
      <c r="P202" s="18">
        <f t="shared" si="27"/>
        <v>38.778082191780825</v>
      </c>
      <c r="Q202" s="18">
        <v>0</v>
      </c>
      <c r="R202" s="18">
        <f t="shared" si="25"/>
        <v>36223.5</v>
      </c>
      <c r="S202" s="18">
        <f t="shared" si="23"/>
        <v>95.325000000000003</v>
      </c>
    </row>
    <row r="203" spans="1:19" ht="18.75" customHeight="1" x14ac:dyDescent="0.25">
      <c r="A203" s="14">
        <f t="shared" si="28"/>
        <v>200</v>
      </c>
      <c r="B203" s="21" t="s">
        <v>216</v>
      </c>
      <c r="C203" s="15" t="s">
        <v>3</v>
      </c>
      <c r="D203" s="21" t="s">
        <v>56</v>
      </c>
      <c r="E203" s="21"/>
      <c r="F203" s="69" t="s">
        <v>4</v>
      </c>
      <c r="G203" s="9">
        <v>30317</v>
      </c>
      <c r="H203" s="26">
        <v>69.849999999999909</v>
      </c>
      <c r="I203" s="17">
        <v>0</v>
      </c>
      <c r="J203" s="17">
        <v>0</v>
      </c>
      <c r="K203" s="17">
        <f t="shared" si="24"/>
        <v>69.849999999999909</v>
      </c>
      <c r="L203" s="23">
        <f t="shared" si="22"/>
        <v>3.4924999999999957</v>
      </c>
      <c r="M203" s="23">
        <v>30</v>
      </c>
      <c r="N203" s="18">
        <f t="shared" si="26"/>
        <v>38.276712328767125</v>
      </c>
      <c r="O203" s="23">
        <v>1327.15</v>
      </c>
      <c r="P203" s="18">
        <f t="shared" si="27"/>
        <v>38.778082191780825</v>
      </c>
      <c r="Q203" s="18">
        <v>0</v>
      </c>
      <c r="R203" s="18">
        <f t="shared" si="25"/>
        <v>1327.15</v>
      </c>
      <c r="S203" s="18">
        <f t="shared" si="23"/>
        <v>3.4924999999999957</v>
      </c>
    </row>
    <row r="204" spans="1:19" ht="18.75" customHeight="1" x14ac:dyDescent="0.25">
      <c r="A204" s="14">
        <f t="shared" si="28"/>
        <v>201</v>
      </c>
      <c r="B204" s="21" t="s">
        <v>212</v>
      </c>
      <c r="C204" s="15" t="s">
        <v>3</v>
      </c>
      <c r="D204" s="21" t="s">
        <v>56</v>
      </c>
      <c r="E204" s="21"/>
      <c r="F204" s="69" t="s">
        <v>6</v>
      </c>
      <c r="G204" s="9">
        <v>19360</v>
      </c>
      <c r="H204" s="26">
        <v>744.60000000000036</v>
      </c>
      <c r="I204" s="17">
        <v>0</v>
      </c>
      <c r="J204" s="17">
        <v>0</v>
      </c>
      <c r="K204" s="17">
        <f t="shared" si="24"/>
        <v>744.60000000000036</v>
      </c>
      <c r="L204" s="23">
        <f t="shared" si="22"/>
        <v>37.230000000000018</v>
      </c>
      <c r="M204" s="23">
        <v>60</v>
      </c>
      <c r="N204" s="18">
        <f t="shared" si="26"/>
        <v>68.295890410958904</v>
      </c>
      <c r="O204" s="23">
        <v>14147.4</v>
      </c>
      <c r="P204" s="18">
        <f t="shared" si="27"/>
        <v>68.797260273972597</v>
      </c>
      <c r="Q204" s="18">
        <v>0</v>
      </c>
      <c r="R204" s="18">
        <f t="shared" si="25"/>
        <v>14147.4</v>
      </c>
      <c r="S204" s="18">
        <f t="shared" si="23"/>
        <v>37.230000000000018</v>
      </c>
    </row>
    <row r="205" spans="1:19" ht="18.75" customHeight="1" x14ac:dyDescent="0.25">
      <c r="A205" s="14">
        <f t="shared" si="28"/>
        <v>202</v>
      </c>
      <c r="B205" s="21" t="s">
        <v>217</v>
      </c>
      <c r="C205" s="15" t="s">
        <v>3</v>
      </c>
      <c r="D205" s="21" t="s">
        <v>56</v>
      </c>
      <c r="E205" s="21"/>
      <c r="F205" s="69" t="s">
        <v>4</v>
      </c>
      <c r="G205" s="9">
        <v>29952</v>
      </c>
      <c r="H205" s="26">
        <v>264.39999999999964</v>
      </c>
      <c r="I205" s="17">
        <v>0</v>
      </c>
      <c r="J205" s="17">
        <v>0</v>
      </c>
      <c r="K205" s="17">
        <f t="shared" si="24"/>
        <v>264.39999999999964</v>
      </c>
      <c r="L205" s="23">
        <f t="shared" si="22"/>
        <v>13.219999999999983</v>
      </c>
      <c r="M205" s="23">
        <v>30</v>
      </c>
      <c r="N205" s="18">
        <f t="shared" si="26"/>
        <v>39.276712328767125</v>
      </c>
      <c r="O205" s="23">
        <v>5023.6000000000004</v>
      </c>
      <c r="P205" s="18">
        <f t="shared" si="27"/>
        <v>39.778082191780825</v>
      </c>
      <c r="Q205" s="18">
        <v>0</v>
      </c>
      <c r="R205" s="18">
        <f t="shared" si="25"/>
        <v>5023.6000000000004</v>
      </c>
      <c r="S205" s="18">
        <f t="shared" si="23"/>
        <v>13.219999999999983</v>
      </c>
    </row>
    <row r="206" spans="1:19" ht="18.75" customHeight="1" x14ac:dyDescent="0.25">
      <c r="A206" s="14">
        <f t="shared" si="28"/>
        <v>203</v>
      </c>
      <c r="B206" s="21" t="s">
        <v>218</v>
      </c>
      <c r="C206" s="15" t="s">
        <v>3</v>
      </c>
      <c r="D206" s="21" t="s">
        <v>56</v>
      </c>
      <c r="E206" s="21"/>
      <c r="F206" s="69" t="s">
        <v>4</v>
      </c>
      <c r="G206" s="9">
        <v>29952</v>
      </c>
      <c r="H206" s="26">
        <v>262.35000000000036</v>
      </c>
      <c r="I206" s="17">
        <v>0</v>
      </c>
      <c r="J206" s="17">
        <v>0</v>
      </c>
      <c r="K206" s="17">
        <f t="shared" si="24"/>
        <v>262.35000000000036</v>
      </c>
      <c r="L206" s="23">
        <f t="shared" si="22"/>
        <v>13.117500000000019</v>
      </c>
      <c r="M206" s="23">
        <v>30</v>
      </c>
      <c r="N206" s="18">
        <f t="shared" si="26"/>
        <v>39.276712328767125</v>
      </c>
      <c r="O206" s="23">
        <v>4984.6499999999996</v>
      </c>
      <c r="P206" s="18">
        <f t="shared" si="27"/>
        <v>39.778082191780825</v>
      </c>
      <c r="Q206" s="18">
        <v>0</v>
      </c>
      <c r="R206" s="18">
        <f t="shared" si="25"/>
        <v>4984.6499999999996</v>
      </c>
      <c r="S206" s="18">
        <f t="shared" si="23"/>
        <v>13.117500000000019</v>
      </c>
    </row>
    <row r="207" spans="1:19" ht="18.75" customHeight="1" x14ac:dyDescent="0.25">
      <c r="A207" s="14">
        <f t="shared" si="28"/>
        <v>204</v>
      </c>
      <c r="B207" s="21" t="s">
        <v>219</v>
      </c>
      <c r="C207" s="15" t="s">
        <v>3</v>
      </c>
      <c r="D207" s="21" t="s">
        <v>56</v>
      </c>
      <c r="E207" s="21"/>
      <c r="F207" s="69" t="s">
        <v>4</v>
      </c>
      <c r="G207" s="9">
        <v>29952</v>
      </c>
      <c r="H207" s="26">
        <v>175.5</v>
      </c>
      <c r="I207" s="17">
        <v>0</v>
      </c>
      <c r="J207" s="17">
        <v>0</v>
      </c>
      <c r="K207" s="17">
        <f t="shared" si="24"/>
        <v>175.5</v>
      </c>
      <c r="L207" s="23">
        <f t="shared" si="22"/>
        <v>8.7750000000000004</v>
      </c>
      <c r="M207" s="23">
        <v>30</v>
      </c>
      <c r="N207" s="18">
        <f t="shared" si="26"/>
        <v>39.276712328767125</v>
      </c>
      <c r="O207" s="23">
        <v>3334.5</v>
      </c>
      <c r="P207" s="18">
        <f t="shared" si="27"/>
        <v>39.778082191780825</v>
      </c>
      <c r="Q207" s="18">
        <v>0</v>
      </c>
      <c r="R207" s="18">
        <f t="shared" si="25"/>
        <v>3334.5</v>
      </c>
      <c r="S207" s="18">
        <f t="shared" si="23"/>
        <v>8.7750000000000004</v>
      </c>
    </row>
    <row r="208" spans="1:19" ht="18.75" customHeight="1" x14ac:dyDescent="0.25">
      <c r="A208" s="14">
        <f t="shared" si="28"/>
        <v>205</v>
      </c>
      <c r="B208" s="21" t="s">
        <v>220</v>
      </c>
      <c r="C208" s="15" t="s">
        <v>3</v>
      </c>
      <c r="D208" s="21" t="s">
        <v>56</v>
      </c>
      <c r="E208" s="21"/>
      <c r="F208" s="69" t="s">
        <v>4</v>
      </c>
      <c r="G208" s="9">
        <v>29952</v>
      </c>
      <c r="H208" s="26">
        <v>86.25</v>
      </c>
      <c r="I208" s="17">
        <v>0</v>
      </c>
      <c r="J208" s="17">
        <v>0</v>
      </c>
      <c r="K208" s="17">
        <f t="shared" si="24"/>
        <v>86.25</v>
      </c>
      <c r="L208" s="23">
        <f t="shared" si="22"/>
        <v>4.3125</v>
      </c>
      <c r="M208" s="23">
        <v>30</v>
      </c>
      <c r="N208" s="18">
        <f t="shared" si="26"/>
        <v>39.276712328767125</v>
      </c>
      <c r="O208" s="23">
        <v>1638.75</v>
      </c>
      <c r="P208" s="18">
        <f t="shared" si="27"/>
        <v>39.778082191780825</v>
      </c>
      <c r="Q208" s="18">
        <v>0</v>
      </c>
      <c r="R208" s="18">
        <f t="shared" si="25"/>
        <v>1638.75</v>
      </c>
      <c r="S208" s="18">
        <f t="shared" si="23"/>
        <v>4.3125</v>
      </c>
    </row>
    <row r="209" spans="1:19" ht="18.75" customHeight="1" x14ac:dyDescent="0.25">
      <c r="A209" s="14">
        <f t="shared" si="28"/>
        <v>206</v>
      </c>
      <c r="B209" s="21" t="s">
        <v>221</v>
      </c>
      <c r="C209" s="15" t="s">
        <v>3</v>
      </c>
      <c r="D209" s="21" t="s">
        <v>56</v>
      </c>
      <c r="E209" s="21"/>
      <c r="F209" s="69" t="s">
        <v>4</v>
      </c>
      <c r="G209" s="9">
        <v>29587</v>
      </c>
      <c r="H209" s="26">
        <v>5507.6999999999971</v>
      </c>
      <c r="I209" s="17">
        <v>0</v>
      </c>
      <c r="J209" s="17">
        <v>0</v>
      </c>
      <c r="K209" s="17">
        <f t="shared" si="24"/>
        <v>5507.6999999999971</v>
      </c>
      <c r="L209" s="23">
        <f t="shared" si="22"/>
        <v>275.38499999999988</v>
      </c>
      <c r="M209" s="23">
        <v>30</v>
      </c>
      <c r="N209" s="18">
        <f t="shared" si="26"/>
        <v>40.276712328767125</v>
      </c>
      <c r="O209" s="23">
        <v>104646.3</v>
      </c>
      <c r="P209" s="18">
        <f t="shared" si="27"/>
        <v>40.778082191780825</v>
      </c>
      <c r="Q209" s="18">
        <v>0</v>
      </c>
      <c r="R209" s="18">
        <f t="shared" si="25"/>
        <v>104646.3</v>
      </c>
      <c r="S209" s="18">
        <f t="shared" si="23"/>
        <v>275.38499999999988</v>
      </c>
    </row>
    <row r="210" spans="1:19" ht="18.75" customHeight="1" x14ac:dyDescent="0.25">
      <c r="A210" s="14">
        <f t="shared" si="28"/>
        <v>207</v>
      </c>
      <c r="B210" s="21" t="s">
        <v>222</v>
      </c>
      <c r="C210" s="15" t="s">
        <v>3</v>
      </c>
      <c r="D210" s="21" t="s">
        <v>56</v>
      </c>
      <c r="E210" s="21"/>
      <c r="F210" s="69" t="s">
        <v>4</v>
      </c>
      <c r="G210" s="9">
        <v>29587</v>
      </c>
      <c r="H210" s="26">
        <v>904</v>
      </c>
      <c r="I210" s="17">
        <v>0</v>
      </c>
      <c r="J210" s="17">
        <v>0</v>
      </c>
      <c r="K210" s="17">
        <f t="shared" si="24"/>
        <v>904</v>
      </c>
      <c r="L210" s="23">
        <f t="shared" si="22"/>
        <v>45.2</v>
      </c>
      <c r="M210" s="23">
        <v>30</v>
      </c>
      <c r="N210" s="18">
        <f t="shared" si="26"/>
        <v>40.276712328767125</v>
      </c>
      <c r="O210" s="23">
        <v>17176</v>
      </c>
      <c r="P210" s="18">
        <f t="shared" si="27"/>
        <v>40.778082191780825</v>
      </c>
      <c r="Q210" s="18">
        <v>0</v>
      </c>
      <c r="R210" s="18">
        <f t="shared" si="25"/>
        <v>17176</v>
      </c>
      <c r="S210" s="18">
        <f t="shared" si="23"/>
        <v>45.2</v>
      </c>
    </row>
    <row r="211" spans="1:19" ht="18.75" customHeight="1" x14ac:dyDescent="0.25">
      <c r="A211" s="14">
        <f t="shared" si="28"/>
        <v>208</v>
      </c>
      <c r="B211" s="21" t="s">
        <v>166</v>
      </c>
      <c r="C211" s="15" t="s">
        <v>3</v>
      </c>
      <c r="D211" s="21" t="s">
        <v>56</v>
      </c>
      <c r="E211" s="21"/>
      <c r="F211" s="70" t="s">
        <v>7</v>
      </c>
      <c r="G211" s="9">
        <v>29587</v>
      </c>
      <c r="H211" s="26">
        <v>468.64999999999964</v>
      </c>
      <c r="I211" s="17">
        <v>0</v>
      </c>
      <c r="J211" s="17">
        <v>0</v>
      </c>
      <c r="K211" s="17">
        <f t="shared" si="24"/>
        <v>468.64999999999964</v>
      </c>
      <c r="L211" s="23">
        <f t="shared" si="22"/>
        <v>23.432499999999983</v>
      </c>
      <c r="M211" s="23">
        <v>30</v>
      </c>
      <c r="N211" s="18">
        <f t="shared" si="26"/>
        <v>40.276712328767125</v>
      </c>
      <c r="O211" s="23">
        <v>8904.35</v>
      </c>
      <c r="P211" s="18">
        <f t="shared" si="27"/>
        <v>40.778082191780825</v>
      </c>
      <c r="Q211" s="18">
        <v>0</v>
      </c>
      <c r="R211" s="18">
        <f t="shared" si="25"/>
        <v>8904.35</v>
      </c>
      <c r="S211" s="18">
        <f t="shared" si="23"/>
        <v>23.432499999999983</v>
      </c>
    </row>
    <row r="212" spans="1:19" ht="18.75" customHeight="1" x14ac:dyDescent="0.25">
      <c r="A212" s="14">
        <f t="shared" si="28"/>
        <v>209</v>
      </c>
      <c r="B212" s="21" t="s">
        <v>223</v>
      </c>
      <c r="C212" s="15" t="s">
        <v>3</v>
      </c>
      <c r="D212" s="21" t="s">
        <v>56</v>
      </c>
      <c r="E212" s="21"/>
      <c r="F212" s="69" t="s">
        <v>6</v>
      </c>
      <c r="G212" s="9">
        <v>29587</v>
      </c>
      <c r="H212" s="26">
        <v>358.64999999999964</v>
      </c>
      <c r="I212" s="17">
        <v>0</v>
      </c>
      <c r="J212" s="17">
        <v>0</v>
      </c>
      <c r="K212" s="17">
        <f t="shared" si="24"/>
        <v>358.64999999999964</v>
      </c>
      <c r="L212" s="23">
        <f t="shared" si="22"/>
        <v>17.932499999999983</v>
      </c>
      <c r="M212" s="23">
        <v>30</v>
      </c>
      <c r="N212" s="18">
        <f t="shared" si="26"/>
        <v>40.276712328767125</v>
      </c>
      <c r="O212" s="23">
        <v>6814.35</v>
      </c>
      <c r="P212" s="18">
        <f t="shared" si="27"/>
        <v>40.778082191780825</v>
      </c>
      <c r="Q212" s="18">
        <v>0</v>
      </c>
      <c r="R212" s="18">
        <f t="shared" si="25"/>
        <v>6814.35</v>
      </c>
      <c r="S212" s="18">
        <f t="shared" si="23"/>
        <v>17.932499999999983</v>
      </c>
    </row>
    <row r="213" spans="1:19" ht="18.75" customHeight="1" x14ac:dyDescent="0.25">
      <c r="A213" s="14">
        <f t="shared" si="28"/>
        <v>210</v>
      </c>
      <c r="B213" s="21" t="s">
        <v>224</v>
      </c>
      <c r="C213" s="15" t="s">
        <v>3</v>
      </c>
      <c r="D213" s="21" t="s">
        <v>56</v>
      </c>
      <c r="E213" s="21"/>
      <c r="F213" s="70" t="s">
        <v>7</v>
      </c>
      <c r="G213" s="9">
        <v>29587</v>
      </c>
      <c r="H213" s="26">
        <v>348.75</v>
      </c>
      <c r="I213" s="17">
        <v>0</v>
      </c>
      <c r="J213" s="17">
        <v>0</v>
      </c>
      <c r="K213" s="17">
        <f t="shared" si="24"/>
        <v>348.75</v>
      </c>
      <c r="L213" s="23">
        <f t="shared" si="22"/>
        <v>17.4375</v>
      </c>
      <c r="M213" s="23">
        <v>30</v>
      </c>
      <c r="N213" s="18">
        <f t="shared" si="26"/>
        <v>40.276712328767125</v>
      </c>
      <c r="O213" s="23">
        <v>6626.25</v>
      </c>
      <c r="P213" s="18">
        <f t="shared" si="27"/>
        <v>40.778082191780825</v>
      </c>
      <c r="Q213" s="18">
        <v>0</v>
      </c>
      <c r="R213" s="18">
        <f t="shared" si="25"/>
        <v>6626.25</v>
      </c>
      <c r="S213" s="18">
        <f t="shared" si="23"/>
        <v>17.4375</v>
      </c>
    </row>
    <row r="214" spans="1:19" ht="18.75" customHeight="1" x14ac:dyDescent="0.25">
      <c r="A214" s="14">
        <f t="shared" si="28"/>
        <v>211</v>
      </c>
      <c r="B214" s="21" t="s">
        <v>225</v>
      </c>
      <c r="C214" s="15" t="s">
        <v>3</v>
      </c>
      <c r="D214" s="21" t="s">
        <v>56</v>
      </c>
      <c r="E214" s="21"/>
      <c r="F214" s="69" t="s">
        <v>4</v>
      </c>
      <c r="G214" s="9">
        <v>29587</v>
      </c>
      <c r="H214" s="26">
        <v>303.5</v>
      </c>
      <c r="I214" s="17">
        <v>0</v>
      </c>
      <c r="J214" s="17">
        <v>0</v>
      </c>
      <c r="K214" s="17">
        <f t="shared" si="24"/>
        <v>303.5</v>
      </c>
      <c r="L214" s="23">
        <f t="shared" si="22"/>
        <v>15.175000000000001</v>
      </c>
      <c r="M214" s="23">
        <v>30</v>
      </c>
      <c r="N214" s="18">
        <f t="shared" si="26"/>
        <v>40.276712328767125</v>
      </c>
      <c r="O214" s="23">
        <v>5766.5</v>
      </c>
      <c r="P214" s="18">
        <f t="shared" si="27"/>
        <v>40.778082191780825</v>
      </c>
      <c r="Q214" s="18">
        <v>0</v>
      </c>
      <c r="R214" s="18">
        <f t="shared" si="25"/>
        <v>5766.5</v>
      </c>
      <c r="S214" s="18">
        <f t="shared" si="23"/>
        <v>15.175000000000001</v>
      </c>
    </row>
    <row r="215" spans="1:19" ht="18.75" customHeight="1" x14ac:dyDescent="0.25">
      <c r="A215" s="14">
        <f t="shared" si="28"/>
        <v>212</v>
      </c>
      <c r="B215" s="21" t="s">
        <v>226</v>
      </c>
      <c r="C215" s="15" t="s">
        <v>3</v>
      </c>
      <c r="D215" s="21" t="s">
        <v>56</v>
      </c>
      <c r="E215" s="21"/>
      <c r="F215" s="69" t="s">
        <v>4</v>
      </c>
      <c r="G215" s="9">
        <v>29587</v>
      </c>
      <c r="H215" s="26">
        <v>242.80000000000018</v>
      </c>
      <c r="I215" s="17">
        <v>0</v>
      </c>
      <c r="J215" s="17">
        <v>0</v>
      </c>
      <c r="K215" s="17">
        <f t="shared" si="24"/>
        <v>242.80000000000018</v>
      </c>
      <c r="L215" s="23">
        <f t="shared" ref="L215:L278" si="29">H215*0.05</f>
        <v>12.140000000000009</v>
      </c>
      <c r="M215" s="23">
        <v>30</v>
      </c>
      <c r="N215" s="18">
        <f t="shared" si="26"/>
        <v>40.276712328767125</v>
      </c>
      <c r="O215" s="23">
        <v>4613.2</v>
      </c>
      <c r="P215" s="18">
        <f t="shared" si="27"/>
        <v>40.778082191780825</v>
      </c>
      <c r="Q215" s="18">
        <v>0</v>
      </c>
      <c r="R215" s="18">
        <f t="shared" si="25"/>
        <v>4613.2</v>
      </c>
      <c r="S215" s="18">
        <f t="shared" ref="S215:S278" si="30">L215</f>
        <v>12.140000000000009</v>
      </c>
    </row>
    <row r="216" spans="1:19" ht="18.75" customHeight="1" x14ac:dyDescent="0.25">
      <c r="A216" s="14">
        <f t="shared" si="28"/>
        <v>213</v>
      </c>
      <c r="B216" s="21" t="s">
        <v>227</v>
      </c>
      <c r="C216" s="15" t="s">
        <v>3</v>
      </c>
      <c r="D216" s="21" t="s">
        <v>56</v>
      </c>
      <c r="E216" s="21"/>
      <c r="F216" s="69" t="s">
        <v>12</v>
      </c>
      <c r="G216" s="9">
        <v>29587</v>
      </c>
      <c r="H216" s="26">
        <v>60.25</v>
      </c>
      <c r="I216" s="17">
        <v>0</v>
      </c>
      <c r="J216" s="17">
        <v>0</v>
      </c>
      <c r="K216" s="17">
        <f t="shared" si="24"/>
        <v>60.25</v>
      </c>
      <c r="L216" s="23">
        <f t="shared" si="29"/>
        <v>3.0125000000000002</v>
      </c>
      <c r="M216" s="23">
        <v>30</v>
      </c>
      <c r="N216" s="18">
        <f t="shared" si="26"/>
        <v>40.276712328767125</v>
      </c>
      <c r="O216" s="23">
        <v>1144.75</v>
      </c>
      <c r="P216" s="18">
        <f t="shared" si="27"/>
        <v>40.778082191780825</v>
      </c>
      <c r="Q216" s="18">
        <v>0</v>
      </c>
      <c r="R216" s="18">
        <f t="shared" si="25"/>
        <v>1144.75</v>
      </c>
      <c r="S216" s="18">
        <f t="shared" si="30"/>
        <v>3.0125000000000002</v>
      </c>
    </row>
    <row r="217" spans="1:19" ht="18.75" customHeight="1" x14ac:dyDescent="0.25">
      <c r="A217" s="14">
        <f t="shared" si="28"/>
        <v>214</v>
      </c>
      <c r="B217" s="21" t="s">
        <v>228</v>
      </c>
      <c r="C217" s="15" t="s">
        <v>3</v>
      </c>
      <c r="D217" s="21" t="s">
        <v>56</v>
      </c>
      <c r="E217" s="21"/>
      <c r="F217" s="69" t="s">
        <v>6</v>
      </c>
      <c r="G217" s="9">
        <v>38533</v>
      </c>
      <c r="H217" s="26">
        <v>20653.313499999989</v>
      </c>
      <c r="I217" s="17">
        <v>0</v>
      </c>
      <c r="J217" s="17">
        <v>0</v>
      </c>
      <c r="K217" s="17">
        <f t="shared" si="24"/>
        <v>20653.313499999989</v>
      </c>
      <c r="L217" s="23">
        <f t="shared" si="29"/>
        <v>1032.6656749999995</v>
      </c>
      <c r="M217" s="23">
        <v>5</v>
      </c>
      <c r="N217" s="18">
        <f t="shared" si="26"/>
        <v>15.767123287671232</v>
      </c>
      <c r="O217" s="23">
        <v>392412.95650000003</v>
      </c>
      <c r="P217" s="18">
        <f t="shared" si="27"/>
        <v>16.268493150684932</v>
      </c>
      <c r="Q217" s="18">
        <v>0</v>
      </c>
      <c r="R217" s="18">
        <f t="shared" si="25"/>
        <v>392412.95650000003</v>
      </c>
      <c r="S217" s="18">
        <f t="shared" si="30"/>
        <v>1032.6656749999995</v>
      </c>
    </row>
    <row r="218" spans="1:19" ht="18.75" customHeight="1" x14ac:dyDescent="0.25">
      <c r="A218" s="14">
        <f t="shared" si="28"/>
        <v>215</v>
      </c>
      <c r="B218" s="21" t="s">
        <v>229</v>
      </c>
      <c r="C218" s="15" t="s">
        <v>3</v>
      </c>
      <c r="D218" s="21" t="s">
        <v>56</v>
      </c>
      <c r="E218" s="21"/>
      <c r="F218" s="69" t="s">
        <v>4</v>
      </c>
      <c r="G218" s="9">
        <v>38442</v>
      </c>
      <c r="H218" s="26">
        <v>36443.697000000044</v>
      </c>
      <c r="I218" s="17">
        <v>0</v>
      </c>
      <c r="J218" s="17">
        <v>0</v>
      </c>
      <c r="K218" s="17">
        <f t="shared" si="24"/>
        <v>36443.697000000044</v>
      </c>
      <c r="L218" s="23">
        <f t="shared" si="29"/>
        <v>1822.1848500000024</v>
      </c>
      <c r="M218" s="23">
        <v>5</v>
      </c>
      <c r="N218" s="18">
        <f t="shared" si="26"/>
        <v>16.016438356164382</v>
      </c>
      <c r="O218" s="23">
        <v>692430.2429999999</v>
      </c>
      <c r="P218" s="18">
        <f t="shared" si="27"/>
        <v>16.517808219178082</v>
      </c>
      <c r="Q218" s="18">
        <v>0</v>
      </c>
      <c r="R218" s="18">
        <f t="shared" si="25"/>
        <v>692430.2429999999</v>
      </c>
      <c r="S218" s="18">
        <f t="shared" si="30"/>
        <v>1822.1848500000024</v>
      </c>
    </row>
    <row r="219" spans="1:19" ht="18.75" customHeight="1" x14ac:dyDescent="0.25">
      <c r="A219" s="14">
        <f t="shared" si="28"/>
        <v>216</v>
      </c>
      <c r="B219" s="21" t="s">
        <v>230</v>
      </c>
      <c r="C219" s="15" t="s">
        <v>3</v>
      </c>
      <c r="D219" s="21" t="s">
        <v>56</v>
      </c>
      <c r="E219" s="21"/>
      <c r="F219" s="69" t="s">
        <v>12</v>
      </c>
      <c r="G219" s="9">
        <v>29221</v>
      </c>
      <c r="H219" s="26">
        <v>1073.75</v>
      </c>
      <c r="I219" s="17">
        <v>0</v>
      </c>
      <c r="J219" s="17">
        <v>0</v>
      </c>
      <c r="K219" s="17">
        <f t="shared" si="24"/>
        <v>1073.75</v>
      </c>
      <c r="L219" s="23">
        <f t="shared" si="29"/>
        <v>53.6875</v>
      </c>
      <c r="M219" s="23">
        <v>30</v>
      </c>
      <c r="N219" s="18">
        <f t="shared" si="26"/>
        <v>41.279452054794518</v>
      </c>
      <c r="O219" s="23">
        <v>20401.25</v>
      </c>
      <c r="P219" s="18">
        <f t="shared" si="27"/>
        <v>41.780821917808218</v>
      </c>
      <c r="Q219" s="18">
        <v>0</v>
      </c>
      <c r="R219" s="18">
        <f t="shared" si="25"/>
        <v>20401.25</v>
      </c>
      <c r="S219" s="18">
        <f t="shared" si="30"/>
        <v>53.6875</v>
      </c>
    </row>
    <row r="220" spans="1:19" ht="18.75" customHeight="1" x14ac:dyDescent="0.25">
      <c r="A220" s="14">
        <f t="shared" si="28"/>
        <v>217</v>
      </c>
      <c r="B220" s="21" t="s">
        <v>231</v>
      </c>
      <c r="C220" s="15" t="s">
        <v>3</v>
      </c>
      <c r="D220" s="21" t="s">
        <v>56</v>
      </c>
      <c r="E220" s="21"/>
      <c r="F220" s="70" t="s">
        <v>7</v>
      </c>
      <c r="G220" s="9">
        <v>29221</v>
      </c>
      <c r="H220" s="26">
        <v>666.45000000000073</v>
      </c>
      <c r="I220" s="17">
        <v>0</v>
      </c>
      <c r="J220" s="17">
        <v>0</v>
      </c>
      <c r="K220" s="17">
        <f t="shared" si="24"/>
        <v>666.45000000000073</v>
      </c>
      <c r="L220" s="23">
        <f t="shared" si="29"/>
        <v>33.322500000000041</v>
      </c>
      <c r="M220" s="23">
        <v>30</v>
      </c>
      <c r="N220" s="18">
        <f t="shared" si="26"/>
        <v>41.279452054794518</v>
      </c>
      <c r="O220" s="23">
        <v>12662.55</v>
      </c>
      <c r="P220" s="18">
        <f t="shared" si="27"/>
        <v>41.780821917808218</v>
      </c>
      <c r="Q220" s="18">
        <v>0</v>
      </c>
      <c r="R220" s="18">
        <f t="shared" si="25"/>
        <v>12662.55</v>
      </c>
      <c r="S220" s="18">
        <f t="shared" si="30"/>
        <v>33.322500000000041</v>
      </c>
    </row>
    <row r="221" spans="1:19" ht="18.75" customHeight="1" x14ac:dyDescent="0.25">
      <c r="A221" s="14">
        <f t="shared" si="28"/>
        <v>218</v>
      </c>
      <c r="B221" s="21" t="s">
        <v>232</v>
      </c>
      <c r="C221" s="15" t="s">
        <v>3</v>
      </c>
      <c r="D221" s="21" t="s">
        <v>56</v>
      </c>
      <c r="E221" s="21"/>
      <c r="F221" s="69" t="s">
        <v>4</v>
      </c>
      <c r="G221" s="9">
        <v>29221</v>
      </c>
      <c r="H221" s="26">
        <v>475.95000000000073</v>
      </c>
      <c r="I221" s="17">
        <v>0</v>
      </c>
      <c r="J221" s="17">
        <v>0</v>
      </c>
      <c r="K221" s="17">
        <f t="shared" si="24"/>
        <v>475.95000000000073</v>
      </c>
      <c r="L221" s="23">
        <f t="shared" si="29"/>
        <v>23.797500000000039</v>
      </c>
      <c r="M221" s="23">
        <v>30</v>
      </c>
      <c r="N221" s="18">
        <f t="shared" si="26"/>
        <v>41.279452054794518</v>
      </c>
      <c r="O221" s="23">
        <v>9043.0499999999993</v>
      </c>
      <c r="P221" s="18">
        <f t="shared" si="27"/>
        <v>41.780821917808218</v>
      </c>
      <c r="Q221" s="18">
        <v>0</v>
      </c>
      <c r="R221" s="18">
        <f t="shared" si="25"/>
        <v>9043.0499999999993</v>
      </c>
      <c r="S221" s="18">
        <f t="shared" si="30"/>
        <v>23.797500000000039</v>
      </c>
    </row>
    <row r="222" spans="1:19" ht="18.75" customHeight="1" x14ac:dyDescent="0.25">
      <c r="A222" s="14">
        <f t="shared" si="28"/>
        <v>219</v>
      </c>
      <c r="B222" s="21" t="s">
        <v>233</v>
      </c>
      <c r="C222" s="15" t="s">
        <v>3</v>
      </c>
      <c r="D222" s="21" t="s">
        <v>56</v>
      </c>
      <c r="E222" s="21"/>
      <c r="F222" s="69" t="s">
        <v>4</v>
      </c>
      <c r="G222" s="9">
        <v>29221</v>
      </c>
      <c r="H222" s="26">
        <v>380.94999999999982</v>
      </c>
      <c r="I222" s="17">
        <v>0</v>
      </c>
      <c r="J222" s="17">
        <v>0</v>
      </c>
      <c r="K222" s="17">
        <f t="shared" si="24"/>
        <v>380.94999999999982</v>
      </c>
      <c r="L222" s="23">
        <f t="shared" si="29"/>
        <v>19.047499999999992</v>
      </c>
      <c r="M222" s="23">
        <v>30</v>
      </c>
      <c r="N222" s="18">
        <f t="shared" si="26"/>
        <v>41.279452054794518</v>
      </c>
      <c r="O222" s="23">
        <v>7238.05</v>
      </c>
      <c r="P222" s="18">
        <f t="shared" si="27"/>
        <v>41.780821917808218</v>
      </c>
      <c r="Q222" s="18">
        <v>0</v>
      </c>
      <c r="R222" s="18">
        <f t="shared" si="25"/>
        <v>7238.05</v>
      </c>
      <c r="S222" s="18">
        <f t="shared" si="30"/>
        <v>19.047499999999992</v>
      </c>
    </row>
    <row r="223" spans="1:19" ht="18.75" customHeight="1" x14ac:dyDescent="0.25">
      <c r="A223" s="14">
        <f t="shared" si="28"/>
        <v>220</v>
      </c>
      <c r="B223" s="21" t="s">
        <v>225</v>
      </c>
      <c r="C223" s="15" t="s">
        <v>3</v>
      </c>
      <c r="D223" s="21" t="s">
        <v>56</v>
      </c>
      <c r="E223" s="21"/>
      <c r="F223" s="69" t="s">
        <v>4</v>
      </c>
      <c r="G223" s="9">
        <v>29221</v>
      </c>
      <c r="H223" s="26">
        <v>87.799999999999955</v>
      </c>
      <c r="I223" s="17">
        <v>0</v>
      </c>
      <c r="J223" s="17">
        <v>0</v>
      </c>
      <c r="K223" s="17">
        <f t="shared" si="24"/>
        <v>87.799999999999955</v>
      </c>
      <c r="L223" s="23">
        <f t="shared" si="29"/>
        <v>4.3899999999999979</v>
      </c>
      <c r="M223" s="23">
        <v>30</v>
      </c>
      <c r="N223" s="18">
        <f t="shared" si="26"/>
        <v>41.279452054794518</v>
      </c>
      <c r="O223" s="23">
        <v>1668.2</v>
      </c>
      <c r="P223" s="18">
        <f t="shared" si="27"/>
        <v>41.780821917808218</v>
      </c>
      <c r="Q223" s="18">
        <v>0</v>
      </c>
      <c r="R223" s="18">
        <f t="shared" si="25"/>
        <v>1668.2</v>
      </c>
      <c r="S223" s="18">
        <f t="shared" si="30"/>
        <v>4.3899999999999979</v>
      </c>
    </row>
    <row r="224" spans="1:19" ht="18.75" customHeight="1" x14ac:dyDescent="0.25">
      <c r="A224" s="14">
        <f t="shared" si="28"/>
        <v>221</v>
      </c>
      <c r="B224" s="21" t="s">
        <v>234</v>
      </c>
      <c r="C224" s="15" t="s">
        <v>3</v>
      </c>
      <c r="D224" s="21" t="s">
        <v>56</v>
      </c>
      <c r="E224" s="21"/>
      <c r="F224" s="69" t="s">
        <v>11</v>
      </c>
      <c r="G224" s="9">
        <v>29221</v>
      </c>
      <c r="H224" s="26">
        <v>78</v>
      </c>
      <c r="I224" s="17">
        <v>0</v>
      </c>
      <c r="J224" s="17">
        <v>0</v>
      </c>
      <c r="K224" s="17">
        <f t="shared" si="24"/>
        <v>78</v>
      </c>
      <c r="L224" s="23">
        <f t="shared" si="29"/>
        <v>3.9000000000000004</v>
      </c>
      <c r="M224" s="23">
        <v>30</v>
      </c>
      <c r="N224" s="18">
        <f t="shared" si="26"/>
        <v>41.279452054794518</v>
      </c>
      <c r="O224" s="23">
        <v>1482</v>
      </c>
      <c r="P224" s="18">
        <f t="shared" si="27"/>
        <v>41.780821917808218</v>
      </c>
      <c r="Q224" s="18">
        <v>0</v>
      </c>
      <c r="R224" s="18">
        <f t="shared" si="25"/>
        <v>1482</v>
      </c>
      <c r="S224" s="18">
        <f t="shared" si="30"/>
        <v>3.9000000000000004</v>
      </c>
    </row>
    <row r="225" spans="1:19" ht="18.75" customHeight="1" x14ac:dyDescent="0.25">
      <c r="A225" s="14">
        <f t="shared" si="28"/>
        <v>222</v>
      </c>
      <c r="B225" s="21" t="s">
        <v>235</v>
      </c>
      <c r="C225" s="15" t="s">
        <v>3</v>
      </c>
      <c r="D225" s="21" t="s">
        <v>56</v>
      </c>
      <c r="E225" s="21"/>
      <c r="F225" s="69" t="s">
        <v>6</v>
      </c>
      <c r="G225" s="9">
        <v>28856</v>
      </c>
      <c r="H225" s="26">
        <v>688.29999999999927</v>
      </c>
      <c r="I225" s="17">
        <v>0</v>
      </c>
      <c r="J225" s="17">
        <v>0</v>
      </c>
      <c r="K225" s="17">
        <f t="shared" si="24"/>
        <v>688.29999999999927</v>
      </c>
      <c r="L225" s="23">
        <f t="shared" si="29"/>
        <v>34.414999999999964</v>
      </c>
      <c r="M225" s="23">
        <v>30</v>
      </c>
      <c r="N225" s="18">
        <f t="shared" si="26"/>
        <v>42.279452054794518</v>
      </c>
      <c r="O225" s="23">
        <v>13077.7</v>
      </c>
      <c r="P225" s="18">
        <f t="shared" si="27"/>
        <v>42.780821917808218</v>
      </c>
      <c r="Q225" s="18">
        <v>0</v>
      </c>
      <c r="R225" s="18">
        <f t="shared" si="25"/>
        <v>13077.7</v>
      </c>
      <c r="S225" s="18">
        <f t="shared" si="30"/>
        <v>34.414999999999964</v>
      </c>
    </row>
    <row r="226" spans="1:19" ht="18.75" customHeight="1" x14ac:dyDescent="0.25">
      <c r="A226" s="14">
        <f t="shared" si="28"/>
        <v>223</v>
      </c>
      <c r="B226" s="21" t="s">
        <v>236</v>
      </c>
      <c r="C226" s="15" t="s">
        <v>3</v>
      </c>
      <c r="D226" s="21" t="s">
        <v>56</v>
      </c>
      <c r="E226" s="21"/>
      <c r="F226" s="70" t="s">
        <v>7</v>
      </c>
      <c r="G226" s="9">
        <v>28856</v>
      </c>
      <c r="H226" s="26">
        <v>411.89999999999964</v>
      </c>
      <c r="I226" s="17">
        <v>0</v>
      </c>
      <c r="J226" s="17">
        <v>0</v>
      </c>
      <c r="K226" s="17">
        <f t="shared" si="24"/>
        <v>411.89999999999964</v>
      </c>
      <c r="L226" s="23">
        <f t="shared" si="29"/>
        <v>20.594999999999985</v>
      </c>
      <c r="M226" s="23">
        <v>30</v>
      </c>
      <c r="N226" s="18">
        <f t="shared" si="26"/>
        <v>42.279452054794518</v>
      </c>
      <c r="O226" s="23">
        <v>7826.1</v>
      </c>
      <c r="P226" s="18">
        <f t="shared" si="27"/>
        <v>42.780821917808218</v>
      </c>
      <c r="Q226" s="18">
        <v>0</v>
      </c>
      <c r="R226" s="18">
        <f t="shared" si="25"/>
        <v>7826.1</v>
      </c>
      <c r="S226" s="18">
        <f t="shared" si="30"/>
        <v>20.594999999999985</v>
      </c>
    </row>
    <row r="227" spans="1:19" ht="18.75" customHeight="1" x14ac:dyDescent="0.25">
      <c r="A227" s="14">
        <f t="shared" si="28"/>
        <v>224</v>
      </c>
      <c r="B227" s="21" t="s">
        <v>237</v>
      </c>
      <c r="C227" s="15" t="s">
        <v>3</v>
      </c>
      <c r="D227" s="21" t="s">
        <v>56</v>
      </c>
      <c r="E227" s="21"/>
      <c r="F227" s="69" t="s">
        <v>6</v>
      </c>
      <c r="G227" s="9">
        <v>28491</v>
      </c>
      <c r="H227" s="26">
        <v>1172.0499999999993</v>
      </c>
      <c r="I227" s="17">
        <v>0</v>
      </c>
      <c r="J227" s="17">
        <v>0</v>
      </c>
      <c r="K227" s="17">
        <f t="shared" si="24"/>
        <v>1172.0499999999993</v>
      </c>
      <c r="L227" s="23">
        <f t="shared" si="29"/>
        <v>58.602499999999964</v>
      </c>
      <c r="M227" s="23">
        <v>30</v>
      </c>
      <c r="N227" s="18">
        <f t="shared" si="26"/>
        <v>43.279452054794518</v>
      </c>
      <c r="O227" s="23">
        <v>22268.95</v>
      </c>
      <c r="P227" s="18">
        <f t="shared" si="27"/>
        <v>43.780821917808218</v>
      </c>
      <c r="Q227" s="18">
        <v>0</v>
      </c>
      <c r="R227" s="18">
        <f t="shared" si="25"/>
        <v>22268.95</v>
      </c>
      <c r="S227" s="18">
        <f t="shared" si="30"/>
        <v>58.602499999999964</v>
      </c>
    </row>
    <row r="228" spans="1:19" ht="18.75" customHeight="1" x14ac:dyDescent="0.25">
      <c r="A228" s="14">
        <f t="shared" si="28"/>
        <v>225</v>
      </c>
      <c r="B228" s="21" t="s">
        <v>238</v>
      </c>
      <c r="C228" s="15" t="s">
        <v>3</v>
      </c>
      <c r="D228" s="21" t="s">
        <v>56</v>
      </c>
      <c r="E228" s="21"/>
      <c r="F228" s="70" t="s">
        <v>7</v>
      </c>
      <c r="G228" s="9">
        <v>28491</v>
      </c>
      <c r="H228" s="26">
        <v>250.05000000000018</v>
      </c>
      <c r="I228" s="17">
        <v>0</v>
      </c>
      <c r="J228" s="17">
        <v>0</v>
      </c>
      <c r="K228" s="17">
        <f t="shared" si="24"/>
        <v>250.05000000000018</v>
      </c>
      <c r="L228" s="23">
        <f t="shared" si="29"/>
        <v>12.50250000000001</v>
      </c>
      <c r="M228" s="23">
        <v>30</v>
      </c>
      <c r="N228" s="18">
        <f t="shared" si="26"/>
        <v>43.279452054794518</v>
      </c>
      <c r="O228" s="23">
        <v>4750.95</v>
      </c>
      <c r="P228" s="18">
        <f t="shared" si="27"/>
        <v>43.780821917808218</v>
      </c>
      <c r="Q228" s="18">
        <v>0</v>
      </c>
      <c r="R228" s="18">
        <f t="shared" si="25"/>
        <v>4750.95</v>
      </c>
      <c r="S228" s="18">
        <f t="shared" si="30"/>
        <v>12.50250000000001</v>
      </c>
    </row>
    <row r="229" spans="1:19" ht="18.75" customHeight="1" x14ac:dyDescent="0.25">
      <c r="A229" s="14">
        <f t="shared" si="28"/>
        <v>226</v>
      </c>
      <c r="B229" s="21" t="s">
        <v>239</v>
      </c>
      <c r="C229" s="15" t="s">
        <v>3</v>
      </c>
      <c r="D229" s="21" t="s">
        <v>56</v>
      </c>
      <c r="E229" s="21"/>
      <c r="F229" s="69" t="s">
        <v>11</v>
      </c>
      <c r="G229" s="9">
        <v>28126</v>
      </c>
      <c r="H229" s="26">
        <v>7518.0499999999884</v>
      </c>
      <c r="I229" s="17">
        <v>0</v>
      </c>
      <c r="J229" s="17">
        <v>0</v>
      </c>
      <c r="K229" s="17">
        <f t="shared" si="24"/>
        <v>7518.0499999999884</v>
      </c>
      <c r="L229" s="23">
        <f t="shared" si="29"/>
        <v>375.90249999999946</v>
      </c>
      <c r="M229" s="23">
        <v>30</v>
      </c>
      <c r="N229" s="18">
        <f t="shared" si="26"/>
        <v>44.279452054794518</v>
      </c>
      <c r="O229" s="23">
        <v>142842.95000000001</v>
      </c>
      <c r="P229" s="18">
        <f t="shared" si="27"/>
        <v>44.780821917808218</v>
      </c>
      <c r="Q229" s="18">
        <v>0</v>
      </c>
      <c r="R229" s="18">
        <f t="shared" si="25"/>
        <v>142842.95000000001</v>
      </c>
      <c r="S229" s="18">
        <f t="shared" si="30"/>
        <v>375.90249999999946</v>
      </c>
    </row>
    <row r="230" spans="1:19" ht="18.75" customHeight="1" x14ac:dyDescent="0.25">
      <c r="A230" s="14">
        <f t="shared" si="28"/>
        <v>227</v>
      </c>
      <c r="B230" s="21" t="s">
        <v>240</v>
      </c>
      <c r="C230" s="15" t="s">
        <v>3</v>
      </c>
      <c r="D230" s="21" t="s">
        <v>56</v>
      </c>
      <c r="E230" s="21"/>
      <c r="F230" s="69" t="s">
        <v>12</v>
      </c>
      <c r="G230" s="9">
        <v>28126</v>
      </c>
      <c r="H230" s="26">
        <v>4965</v>
      </c>
      <c r="I230" s="17">
        <v>0</v>
      </c>
      <c r="J230" s="17">
        <v>0</v>
      </c>
      <c r="K230" s="17">
        <f t="shared" si="24"/>
        <v>4965</v>
      </c>
      <c r="L230" s="23">
        <f t="shared" si="29"/>
        <v>248.25</v>
      </c>
      <c r="M230" s="23">
        <v>30</v>
      </c>
      <c r="N230" s="18">
        <f t="shared" si="26"/>
        <v>44.279452054794518</v>
      </c>
      <c r="O230" s="23">
        <v>94335</v>
      </c>
      <c r="P230" s="18">
        <f t="shared" si="27"/>
        <v>44.780821917808218</v>
      </c>
      <c r="Q230" s="18">
        <v>0</v>
      </c>
      <c r="R230" s="18">
        <f t="shared" si="25"/>
        <v>94335</v>
      </c>
      <c r="S230" s="18">
        <f t="shared" si="30"/>
        <v>248.25</v>
      </c>
    </row>
    <row r="231" spans="1:19" ht="18.75" customHeight="1" x14ac:dyDescent="0.25">
      <c r="A231" s="14">
        <f t="shared" si="28"/>
        <v>228</v>
      </c>
      <c r="B231" s="21" t="s">
        <v>241</v>
      </c>
      <c r="C231" s="15" t="s">
        <v>3</v>
      </c>
      <c r="D231" s="21" t="s">
        <v>56</v>
      </c>
      <c r="E231" s="21"/>
      <c r="F231" s="69" t="s">
        <v>4</v>
      </c>
      <c r="G231" s="9">
        <v>28126</v>
      </c>
      <c r="H231" s="26">
        <v>1990.0500000000029</v>
      </c>
      <c r="I231" s="17">
        <v>0</v>
      </c>
      <c r="J231" s="17">
        <v>0</v>
      </c>
      <c r="K231" s="17">
        <f t="shared" si="24"/>
        <v>1990.0500000000029</v>
      </c>
      <c r="L231" s="23">
        <f t="shared" si="29"/>
        <v>99.502500000000154</v>
      </c>
      <c r="M231" s="23">
        <v>30</v>
      </c>
      <c r="N231" s="18">
        <f t="shared" si="26"/>
        <v>44.279452054794518</v>
      </c>
      <c r="O231" s="23">
        <v>37810.949999999997</v>
      </c>
      <c r="P231" s="18">
        <f t="shared" si="27"/>
        <v>44.780821917808218</v>
      </c>
      <c r="Q231" s="18">
        <v>0</v>
      </c>
      <c r="R231" s="18">
        <f t="shared" si="25"/>
        <v>37810.949999999997</v>
      </c>
      <c r="S231" s="18">
        <f t="shared" si="30"/>
        <v>99.502500000000154</v>
      </c>
    </row>
    <row r="232" spans="1:19" ht="18.75" customHeight="1" x14ac:dyDescent="0.25">
      <c r="A232" s="14">
        <f t="shared" si="28"/>
        <v>229</v>
      </c>
      <c r="B232" s="21" t="s">
        <v>242</v>
      </c>
      <c r="C232" s="15" t="s">
        <v>3</v>
      </c>
      <c r="D232" s="21" t="s">
        <v>56</v>
      </c>
      <c r="E232" s="21"/>
      <c r="F232" s="69" t="s">
        <v>10</v>
      </c>
      <c r="G232" s="9">
        <v>28126</v>
      </c>
      <c r="H232" s="26">
        <v>1931.4000000000015</v>
      </c>
      <c r="I232" s="17">
        <v>0</v>
      </c>
      <c r="J232" s="17">
        <v>0</v>
      </c>
      <c r="K232" s="17">
        <f t="shared" si="24"/>
        <v>1931.4000000000015</v>
      </c>
      <c r="L232" s="23">
        <f t="shared" si="29"/>
        <v>96.570000000000078</v>
      </c>
      <c r="M232" s="23">
        <v>30</v>
      </c>
      <c r="N232" s="18">
        <f t="shared" si="26"/>
        <v>44.279452054794518</v>
      </c>
      <c r="O232" s="23">
        <v>36696.6</v>
      </c>
      <c r="P232" s="18">
        <f t="shared" si="27"/>
        <v>44.780821917808218</v>
      </c>
      <c r="Q232" s="18">
        <v>0</v>
      </c>
      <c r="R232" s="18">
        <f t="shared" si="25"/>
        <v>36696.6</v>
      </c>
      <c r="S232" s="18">
        <f t="shared" si="30"/>
        <v>96.570000000000078</v>
      </c>
    </row>
    <row r="233" spans="1:19" ht="18.75" customHeight="1" x14ac:dyDescent="0.25">
      <c r="A233" s="14">
        <f t="shared" si="28"/>
        <v>230</v>
      </c>
      <c r="B233" s="21" t="s">
        <v>243</v>
      </c>
      <c r="C233" s="15" t="s">
        <v>3</v>
      </c>
      <c r="D233" s="21" t="s">
        <v>56</v>
      </c>
      <c r="E233" s="21"/>
      <c r="F233" s="69" t="s">
        <v>11</v>
      </c>
      <c r="G233" s="9">
        <v>28126</v>
      </c>
      <c r="H233" s="26">
        <v>1250.3499999999985</v>
      </c>
      <c r="I233" s="17">
        <v>0</v>
      </c>
      <c r="J233" s="17">
        <v>0</v>
      </c>
      <c r="K233" s="17">
        <f t="shared" si="24"/>
        <v>1250.3499999999985</v>
      </c>
      <c r="L233" s="23">
        <f t="shared" si="29"/>
        <v>62.517499999999927</v>
      </c>
      <c r="M233" s="23">
        <v>30</v>
      </c>
      <c r="N233" s="18">
        <f t="shared" si="26"/>
        <v>44.279452054794518</v>
      </c>
      <c r="O233" s="23">
        <v>23756.65</v>
      </c>
      <c r="P233" s="18">
        <f t="shared" si="27"/>
        <v>44.780821917808218</v>
      </c>
      <c r="Q233" s="18">
        <v>0</v>
      </c>
      <c r="R233" s="18">
        <f t="shared" si="25"/>
        <v>23756.65</v>
      </c>
      <c r="S233" s="18">
        <f t="shared" si="30"/>
        <v>62.517499999999927</v>
      </c>
    </row>
    <row r="234" spans="1:19" ht="18.75" customHeight="1" x14ac:dyDescent="0.25">
      <c r="A234" s="14">
        <f t="shared" si="28"/>
        <v>231</v>
      </c>
      <c r="B234" s="21" t="s">
        <v>244</v>
      </c>
      <c r="C234" s="15" t="s">
        <v>3</v>
      </c>
      <c r="D234" s="21" t="s">
        <v>56</v>
      </c>
      <c r="E234" s="21"/>
      <c r="F234" s="69" t="s">
        <v>4</v>
      </c>
      <c r="G234" s="9">
        <v>28126</v>
      </c>
      <c r="H234" s="26">
        <v>172.09999999999991</v>
      </c>
      <c r="I234" s="17">
        <v>0</v>
      </c>
      <c r="J234" s="17">
        <v>0</v>
      </c>
      <c r="K234" s="17">
        <f t="shared" si="24"/>
        <v>172.09999999999991</v>
      </c>
      <c r="L234" s="23">
        <f t="shared" si="29"/>
        <v>8.6049999999999951</v>
      </c>
      <c r="M234" s="23">
        <v>30</v>
      </c>
      <c r="N234" s="18">
        <f t="shared" si="26"/>
        <v>44.279452054794518</v>
      </c>
      <c r="O234" s="23">
        <v>3269.9</v>
      </c>
      <c r="P234" s="18">
        <f t="shared" si="27"/>
        <v>44.780821917808218</v>
      </c>
      <c r="Q234" s="18">
        <v>0</v>
      </c>
      <c r="R234" s="18">
        <f t="shared" si="25"/>
        <v>3269.9</v>
      </c>
      <c r="S234" s="18">
        <f t="shared" si="30"/>
        <v>8.6049999999999951</v>
      </c>
    </row>
    <row r="235" spans="1:19" ht="18.75" customHeight="1" x14ac:dyDescent="0.25">
      <c r="A235" s="14">
        <f t="shared" si="28"/>
        <v>232</v>
      </c>
      <c r="B235" s="21" t="s">
        <v>245</v>
      </c>
      <c r="C235" s="15" t="s">
        <v>3</v>
      </c>
      <c r="D235" s="21" t="s">
        <v>56</v>
      </c>
      <c r="E235" s="21"/>
      <c r="F235" s="70" t="s">
        <v>7</v>
      </c>
      <c r="G235" s="9">
        <v>28126</v>
      </c>
      <c r="H235" s="26">
        <v>158.19999999999982</v>
      </c>
      <c r="I235" s="17">
        <v>0</v>
      </c>
      <c r="J235" s="17">
        <v>0</v>
      </c>
      <c r="K235" s="17">
        <f t="shared" si="24"/>
        <v>158.19999999999982</v>
      </c>
      <c r="L235" s="23">
        <f t="shared" si="29"/>
        <v>7.9099999999999913</v>
      </c>
      <c r="M235" s="23">
        <v>30</v>
      </c>
      <c r="N235" s="18">
        <f t="shared" si="26"/>
        <v>44.279452054794518</v>
      </c>
      <c r="O235" s="23">
        <v>3005.8</v>
      </c>
      <c r="P235" s="18">
        <f t="shared" si="27"/>
        <v>44.780821917808218</v>
      </c>
      <c r="Q235" s="18">
        <v>0</v>
      </c>
      <c r="R235" s="18">
        <f t="shared" si="25"/>
        <v>3005.8</v>
      </c>
      <c r="S235" s="18">
        <f t="shared" si="30"/>
        <v>7.9099999999999913</v>
      </c>
    </row>
    <row r="236" spans="1:19" ht="18.75" customHeight="1" x14ac:dyDescent="0.25">
      <c r="A236" s="14">
        <f t="shared" si="28"/>
        <v>233</v>
      </c>
      <c r="B236" s="21" t="s">
        <v>246</v>
      </c>
      <c r="C236" s="15" t="s">
        <v>3</v>
      </c>
      <c r="D236" s="21" t="s">
        <v>56</v>
      </c>
      <c r="E236" s="21"/>
      <c r="F236" s="69" t="s">
        <v>4</v>
      </c>
      <c r="G236" s="9">
        <v>28126</v>
      </c>
      <c r="H236" s="26">
        <v>136.5</v>
      </c>
      <c r="I236" s="17">
        <v>0</v>
      </c>
      <c r="J236" s="17">
        <v>0</v>
      </c>
      <c r="K236" s="17">
        <f t="shared" si="24"/>
        <v>136.5</v>
      </c>
      <c r="L236" s="23">
        <f t="shared" si="29"/>
        <v>6.8250000000000002</v>
      </c>
      <c r="M236" s="23">
        <v>30</v>
      </c>
      <c r="N236" s="18">
        <f t="shared" si="26"/>
        <v>44.279452054794518</v>
      </c>
      <c r="O236" s="23">
        <v>2593.5</v>
      </c>
      <c r="P236" s="18">
        <f t="shared" si="27"/>
        <v>44.780821917808218</v>
      </c>
      <c r="Q236" s="18">
        <v>0</v>
      </c>
      <c r="R236" s="18">
        <f t="shared" si="25"/>
        <v>2593.5</v>
      </c>
      <c r="S236" s="18">
        <f t="shared" si="30"/>
        <v>6.8250000000000002</v>
      </c>
    </row>
    <row r="237" spans="1:19" ht="18.75" customHeight="1" x14ac:dyDescent="0.25">
      <c r="A237" s="14">
        <f t="shared" si="28"/>
        <v>234</v>
      </c>
      <c r="B237" s="21" t="s">
        <v>144</v>
      </c>
      <c r="C237" s="15" t="s">
        <v>3</v>
      </c>
      <c r="D237" s="21" t="s">
        <v>56</v>
      </c>
      <c r="E237" s="21"/>
      <c r="F237" s="69" t="s">
        <v>4</v>
      </c>
      <c r="G237" s="9">
        <v>28126</v>
      </c>
      <c r="H237" s="26">
        <v>130.15000000000009</v>
      </c>
      <c r="I237" s="17">
        <v>0</v>
      </c>
      <c r="J237" s="17">
        <v>0</v>
      </c>
      <c r="K237" s="17">
        <f t="shared" si="24"/>
        <v>130.15000000000009</v>
      </c>
      <c r="L237" s="23">
        <f t="shared" si="29"/>
        <v>6.5075000000000047</v>
      </c>
      <c r="M237" s="23">
        <v>30</v>
      </c>
      <c r="N237" s="18">
        <f t="shared" si="26"/>
        <v>44.279452054794518</v>
      </c>
      <c r="O237" s="23">
        <v>2472.85</v>
      </c>
      <c r="P237" s="18">
        <f t="shared" si="27"/>
        <v>44.780821917808218</v>
      </c>
      <c r="Q237" s="18">
        <v>0</v>
      </c>
      <c r="R237" s="18">
        <f t="shared" si="25"/>
        <v>2472.85</v>
      </c>
      <c r="S237" s="18">
        <f t="shared" si="30"/>
        <v>6.5075000000000047</v>
      </c>
    </row>
    <row r="238" spans="1:19" ht="18.75" customHeight="1" x14ac:dyDescent="0.25">
      <c r="A238" s="14">
        <f t="shared" si="28"/>
        <v>235</v>
      </c>
      <c r="B238" s="21" t="s">
        <v>247</v>
      </c>
      <c r="C238" s="15" t="s">
        <v>3</v>
      </c>
      <c r="D238" s="21" t="s">
        <v>56</v>
      </c>
      <c r="E238" s="21"/>
      <c r="F238" s="69" t="s">
        <v>4</v>
      </c>
      <c r="G238" s="9">
        <v>28126</v>
      </c>
      <c r="H238" s="26">
        <v>51.5</v>
      </c>
      <c r="I238" s="17">
        <v>0</v>
      </c>
      <c r="J238" s="17">
        <v>0</v>
      </c>
      <c r="K238" s="17">
        <f t="shared" si="24"/>
        <v>51.5</v>
      </c>
      <c r="L238" s="23">
        <f t="shared" si="29"/>
        <v>2.5750000000000002</v>
      </c>
      <c r="M238" s="23">
        <v>30</v>
      </c>
      <c r="N238" s="18">
        <f t="shared" si="26"/>
        <v>44.279452054794518</v>
      </c>
      <c r="O238" s="23">
        <v>978.5</v>
      </c>
      <c r="P238" s="18">
        <f t="shared" si="27"/>
        <v>44.780821917808218</v>
      </c>
      <c r="Q238" s="18">
        <v>0</v>
      </c>
      <c r="R238" s="18">
        <f t="shared" si="25"/>
        <v>978.5</v>
      </c>
      <c r="S238" s="18">
        <f t="shared" si="30"/>
        <v>2.5750000000000002</v>
      </c>
    </row>
    <row r="239" spans="1:19" ht="18.75" customHeight="1" x14ac:dyDescent="0.25">
      <c r="A239" s="14">
        <f t="shared" si="28"/>
        <v>236</v>
      </c>
      <c r="B239" s="21" t="s">
        <v>109</v>
      </c>
      <c r="C239" s="15" t="s">
        <v>3</v>
      </c>
      <c r="D239" s="21" t="s">
        <v>56</v>
      </c>
      <c r="E239" s="21"/>
      <c r="F239" s="69" t="s">
        <v>8</v>
      </c>
      <c r="G239" s="9">
        <v>27760</v>
      </c>
      <c r="H239" s="26">
        <v>24532.549999999988</v>
      </c>
      <c r="I239" s="17">
        <v>0</v>
      </c>
      <c r="J239" s="17">
        <v>0</v>
      </c>
      <c r="K239" s="17">
        <f t="shared" si="24"/>
        <v>24532.549999999988</v>
      </c>
      <c r="L239" s="23">
        <f t="shared" si="29"/>
        <v>1226.6274999999994</v>
      </c>
      <c r="M239" s="23">
        <v>30</v>
      </c>
      <c r="N239" s="18">
        <f t="shared" si="26"/>
        <v>45.282191780821918</v>
      </c>
      <c r="O239" s="23">
        <v>466118.45</v>
      </c>
      <c r="P239" s="18">
        <f t="shared" si="27"/>
        <v>45.783561643835618</v>
      </c>
      <c r="Q239" s="18">
        <v>0</v>
      </c>
      <c r="R239" s="18">
        <f t="shared" si="25"/>
        <v>466118.45</v>
      </c>
      <c r="S239" s="18">
        <f t="shared" si="30"/>
        <v>1226.6274999999994</v>
      </c>
    </row>
    <row r="240" spans="1:19" ht="18.75" customHeight="1" x14ac:dyDescent="0.25">
      <c r="A240" s="14">
        <f t="shared" si="28"/>
        <v>237</v>
      </c>
      <c r="B240" s="21" t="s">
        <v>248</v>
      </c>
      <c r="C240" s="15" t="s">
        <v>3</v>
      </c>
      <c r="D240" s="21" t="s">
        <v>56</v>
      </c>
      <c r="E240" s="21"/>
      <c r="F240" s="69" t="s">
        <v>8</v>
      </c>
      <c r="G240" s="9">
        <v>27760</v>
      </c>
      <c r="H240" s="26">
        <v>2032.0999999999985</v>
      </c>
      <c r="I240" s="17">
        <v>0</v>
      </c>
      <c r="J240" s="17">
        <v>0</v>
      </c>
      <c r="K240" s="17">
        <f t="shared" si="24"/>
        <v>2032.0999999999985</v>
      </c>
      <c r="L240" s="23">
        <f t="shared" si="29"/>
        <v>101.60499999999993</v>
      </c>
      <c r="M240" s="23">
        <v>30</v>
      </c>
      <c r="N240" s="18">
        <f t="shared" si="26"/>
        <v>45.282191780821918</v>
      </c>
      <c r="O240" s="23">
        <v>38609.9</v>
      </c>
      <c r="P240" s="18">
        <f t="shared" si="27"/>
        <v>45.783561643835618</v>
      </c>
      <c r="Q240" s="18">
        <v>0</v>
      </c>
      <c r="R240" s="18">
        <f t="shared" si="25"/>
        <v>38609.9</v>
      </c>
      <c r="S240" s="18">
        <f t="shared" si="30"/>
        <v>101.60499999999993</v>
      </c>
    </row>
    <row r="241" spans="1:19" ht="18.75" customHeight="1" x14ac:dyDescent="0.25">
      <c r="A241" s="14">
        <f t="shared" si="28"/>
        <v>238</v>
      </c>
      <c r="B241" s="21" t="s">
        <v>165</v>
      </c>
      <c r="C241" s="15" t="s">
        <v>3</v>
      </c>
      <c r="D241" s="21" t="s">
        <v>56</v>
      </c>
      <c r="E241" s="21"/>
      <c r="F241" s="69" t="s">
        <v>4</v>
      </c>
      <c r="G241" s="9">
        <v>27760</v>
      </c>
      <c r="H241" s="26">
        <v>329.30000000000018</v>
      </c>
      <c r="I241" s="17">
        <v>0</v>
      </c>
      <c r="J241" s="17">
        <v>0</v>
      </c>
      <c r="K241" s="17">
        <f t="shared" si="24"/>
        <v>329.30000000000018</v>
      </c>
      <c r="L241" s="23">
        <f t="shared" si="29"/>
        <v>16.465000000000011</v>
      </c>
      <c r="M241" s="23">
        <v>30</v>
      </c>
      <c r="N241" s="18">
        <f t="shared" si="26"/>
        <v>45.282191780821918</v>
      </c>
      <c r="O241" s="23">
        <v>6256.7</v>
      </c>
      <c r="P241" s="18">
        <f t="shared" si="27"/>
        <v>45.783561643835618</v>
      </c>
      <c r="Q241" s="18">
        <v>0</v>
      </c>
      <c r="R241" s="18">
        <f t="shared" si="25"/>
        <v>6256.7</v>
      </c>
      <c r="S241" s="18">
        <f t="shared" si="30"/>
        <v>16.465000000000011</v>
      </c>
    </row>
    <row r="242" spans="1:19" ht="18.75" customHeight="1" x14ac:dyDescent="0.25">
      <c r="A242" s="14">
        <f t="shared" si="28"/>
        <v>239</v>
      </c>
      <c r="B242" s="21" t="s">
        <v>249</v>
      </c>
      <c r="C242" s="15" t="s">
        <v>3</v>
      </c>
      <c r="D242" s="21" t="s">
        <v>56</v>
      </c>
      <c r="E242" s="21"/>
      <c r="F242" s="69" t="s">
        <v>4</v>
      </c>
      <c r="G242" s="9">
        <v>27760</v>
      </c>
      <c r="H242" s="26">
        <v>245.89999999999964</v>
      </c>
      <c r="I242" s="17">
        <v>0</v>
      </c>
      <c r="J242" s="17">
        <v>0</v>
      </c>
      <c r="K242" s="17">
        <f t="shared" si="24"/>
        <v>245.89999999999964</v>
      </c>
      <c r="L242" s="23">
        <f t="shared" si="29"/>
        <v>12.294999999999982</v>
      </c>
      <c r="M242" s="23">
        <v>30</v>
      </c>
      <c r="N242" s="18">
        <f t="shared" si="26"/>
        <v>45.282191780821918</v>
      </c>
      <c r="O242" s="23">
        <v>4672.1000000000004</v>
      </c>
      <c r="P242" s="18">
        <f t="shared" si="27"/>
        <v>45.783561643835618</v>
      </c>
      <c r="Q242" s="18">
        <v>0</v>
      </c>
      <c r="R242" s="18">
        <f t="shared" si="25"/>
        <v>4672.1000000000004</v>
      </c>
      <c r="S242" s="18">
        <f t="shared" si="30"/>
        <v>12.294999999999982</v>
      </c>
    </row>
    <row r="243" spans="1:19" ht="18.75" customHeight="1" x14ac:dyDescent="0.25">
      <c r="A243" s="14">
        <f t="shared" si="28"/>
        <v>240</v>
      </c>
      <c r="B243" s="21" t="s">
        <v>250</v>
      </c>
      <c r="C243" s="15" t="s">
        <v>3</v>
      </c>
      <c r="D243" s="21" t="s">
        <v>56</v>
      </c>
      <c r="E243" s="21"/>
      <c r="F243" s="69" t="s">
        <v>4</v>
      </c>
      <c r="G243" s="9">
        <v>27760</v>
      </c>
      <c r="H243" s="26">
        <v>169.84999999999991</v>
      </c>
      <c r="I243" s="17">
        <v>0</v>
      </c>
      <c r="J243" s="17">
        <v>0</v>
      </c>
      <c r="K243" s="17">
        <f t="shared" si="24"/>
        <v>169.84999999999991</v>
      </c>
      <c r="L243" s="23">
        <f t="shared" si="29"/>
        <v>8.4924999999999962</v>
      </c>
      <c r="M243" s="23">
        <v>30</v>
      </c>
      <c r="N243" s="18">
        <f t="shared" si="26"/>
        <v>45.282191780821918</v>
      </c>
      <c r="O243" s="23">
        <v>3227.15</v>
      </c>
      <c r="P243" s="18">
        <f t="shared" si="27"/>
        <v>45.783561643835618</v>
      </c>
      <c r="Q243" s="18">
        <v>0</v>
      </c>
      <c r="R243" s="18">
        <f t="shared" si="25"/>
        <v>3227.15</v>
      </c>
      <c r="S243" s="18">
        <f t="shared" si="30"/>
        <v>8.4924999999999962</v>
      </c>
    </row>
    <row r="244" spans="1:19" ht="18.75" customHeight="1" x14ac:dyDescent="0.25">
      <c r="A244" s="14">
        <f t="shared" si="28"/>
        <v>241</v>
      </c>
      <c r="B244" s="21" t="s">
        <v>251</v>
      </c>
      <c r="C244" s="15" t="s">
        <v>3</v>
      </c>
      <c r="D244" s="21" t="s">
        <v>56</v>
      </c>
      <c r="E244" s="21"/>
      <c r="F244" s="69" t="s">
        <v>4</v>
      </c>
      <c r="G244" s="9">
        <v>27760</v>
      </c>
      <c r="H244" s="26">
        <v>101.29999999999995</v>
      </c>
      <c r="I244" s="17">
        <v>0</v>
      </c>
      <c r="J244" s="17">
        <v>0</v>
      </c>
      <c r="K244" s="17">
        <f t="shared" si="24"/>
        <v>101.29999999999995</v>
      </c>
      <c r="L244" s="23">
        <f t="shared" si="29"/>
        <v>5.0649999999999977</v>
      </c>
      <c r="M244" s="23">
        <v>30</v>
      </c>
      <c r="N244" s="18">
        <f t="shared" si="26"/>
        <v>45.282191780821918</v>
      </c>
      <c r="O244" s="23">
        <v>1924.7</v>
      </c>
      <c r="P244" s="18">
        <f t="shared" si="27"/>
        <v>45.783561643835618</v>
      </c>
      <c r="Q244" s="18">
        <v>0</v>
      </c>
      <c r="R244" s="18">
        <f t="shared" si="25"/>
        <v>1924.7</v>
      </c>
      <c r="S244" s="18">
        <f t="shared" si="30"/>
        <v>5.0649999999999977</v>
      </c>
    </row>
    <row r="245" spans="1:19" ht="18.75" customHeight="1" x14ac:dyDescent="0.25">
      <c r="A245" s="14">
        <f t="shared" si="28"/>
        <v>242</v>
      </c>
      <c r="B245" s="21" t="s">
        <v>252</v>
      </c>
      <c r="C245" s="15" t="s">
        <v>3</v>
      </c>
      <c r="D245" s="21" t="s">
        <v>56</v>
      </c>
      <c r="E245" s="21"/>
      <c r="F245" s="69" t="s">
        <v>4</v>
      </c>
      <c r="G245" s="9">
        <v>27760</v>
      </c>
      <c r="H245" s="26">
        <v>68.650000000000091</v>
      </c>
      <c r="I245" s="17">
        <v>0</v>
      </c>
      <c r="J245" s="17">
        <v>0</v>
      </c>
      <c r="K245" s="17">
        <f t="shared" si="24"/>
        <v>68.650000000000091</v>
      </c>
      <c r="L245" s="23">
        <f t="shared" si="29"/>
        <v>3.4325000000000045</v>
      </c>
      <c r="M245" s="23">
        <v>30</v>
      </c>
      <c r="N245" s="18">
        <f t="shared" si="26"/>
        <v>45.282191780821918</v>
      </c>
      <c r="O245" s="23">
        <v>1304.3499999999999</v>
      </c>
      <c r="P245" s="18">
        <f t="shared" si="27"/>
        <v>45.783561643835618</v>
      </c>
      <c r="Q245" s="18">
        <v>0</v>
      </c>
      <c r="R245" s="18">
        <f t="shared" si="25"/>
        <v>1304.3499999999999</v>
      </c>
      <c r="S245" s="18">
        <f t="shared" si="30"/>
        <v>3.4325000000000045</v>
      </c>
    </row>
    <row r="246" spans="1:19" ht="18.75" customHeight="1" x14ac:dyDescent="0.25">
      <c r="A246" s="14">
        <f t="shared" si="28"/>
        <v>243</v>
      </c>
      <c r="B246" s="21" t="s">
        <v>253</v>
      </c>
      <c r="C246" s="15" t="s">
        <v>3</v>
      </c>
      <c r="D246" s="21" t="s">
        <v>56</v>
      </c>
      <c r="E246" s="21"/>
      <c r="F246" s="69" t="s">
        <v>4</v>
      </c>
      <c r="G246" s="9">
        <v>27760</v>
      </c>
      <c r="H246" s="26">
        <v>68.5</v>
      </c>
      <c r="I246" s="17">
        <v>0</v>
      </c>
      <c r="J246" s="17">
        <v>0</v>
      </c>
      <c r="K246" s="17">
        <f t="shared" si="24"/>
        <v>68.5</v>
      </c>
      <c r="L246" s="23">
        <f t="shared" si="29"/>
        <v>3.4250000000000003</v>
      </c>
      <c r="M246" s="23">
        <v>30</v>
      </c>
      <c r="N246" s="18">
        <f t="shared" si="26"/>
        <v>45.282191780821918</v>
      </c>
      <c r="O246" s="23">
        <v>1301.5</v>
      </c>
      <c r="P246" s="18">
        <f t="shared" si="27"/>
        <v>45.783561643835618</v>
      </c>
      <c r="Q246" s="18">
        <v>0</v>
      </c>
      <c r="R246" s="18">
        <f t="shared" si="25"/>
        <v>1301.5</v>
      </c>
      <c r="S246" s="18">
        <f t="shared" si="30"/>
        <v>3.4250000000000003</v>
      </c>
    </row>
    <row r="247" spans="1:19" ht="18.75" customHeight="1" x14ac:dyDescent="0.25">
      <c r="A247" s="14">
        <f t="shared" si="28"/>
        <v>244</v>
      </c>
      <c r="B247" s="21" t="s">
        <v>254</v>
      </c>
      <c r="C247" s="15" t="s">
        <v>3</v>
      </c>
      <c r="D247" s="21" t="s">
        <v>56</v>
      </c>
      <c r="E247" s="21"/>
      <c r="F247" s="69" t="s">
        <v>4</v>
      </c>
      <c r="G247" s="9">
        <v>27760</v>
      </c>
      <c r="H247" s="26">
        <v>52.450000000000045</v>
      </c>
      <c r="I247" s="17">
        <v>0</v>
      </c>
      <c r="J247" s="17">
        <v>0</v>
      </c>
      <c r="K247" s="17">
        <f t="shared" si="24"/>
        <v>52.450000000000045</v>
      </c>
      <c r="L247" s="23">
        <f t="shared" si="29"/>
        <v>2.6225000000000023</v>
      </c>
      <c r="M247" s="23">
        <v>30</v>
      </c>
      <c r="N247" s="18">
        <f t="shared" si="26"/>
        <v>45.282191780821918</v>
      </c>
      <c r="O247" s="23">
        <v>996.55</v>
      </c>
      <c r="P247" s="18">
        <f t="shared" si="27"/>
        <v>45.783561643835618</v>
      </c>
      <c r="Q247" s="18">
        <v>0</v>
      </c>
      <c r="R247" s="18">
        <f t="shared" si="25"/>
        <v>996.55</v>
      </c>
      <c r="S247" s="18">
        <f t="shared" si="30"/>
        <v>2.6225000000000023</v>
      </c>
    </row>
    <row r="248" spans="1:19" ht="18.75" customHeight="1" x14ac:dyDescent="0.25">
      <c r="A248" s="14">
        <f t="shared" si="28"/>
        <v>245</v>
      </c>
      <c r="B248" s="21" t="s">
        <v>255</v>
      </c>
      <c r="C248" s="15" t="s">
        <v>3</v>
      </c>
      <c r="D248" s="21" t="s">
        <v>56</v>
      </c>
      <c r="E248" s="21"/>
      <c r="F248" s="69" t="s">
        <v>11</v>
      </c>
      <c r="G248" s="9">
        <v>27395</v>
      </c>
      <c r="H248" s="26">
        <v>4485.6499999999942</v>
      </c>
      <c r="I248" s="17">
        <v>0</v>
      </c>
      <c r="J248" s="17">
        <v>0</v>
      </c>
      <c r="K248" s="17">
        <f t="shared" si="24"/>
        <v>4485.6499999999942</v>
      </c>
      <c r="L248" s="23">
        <f t="shared" si="29"/>
        <v>224.28249999999971</v>
      </c>
      <c r="M248" s="23">
        <v>30</v>
      </c>
      <c r="N248" s="18">
        <f t="shared" si="26"/>
        <v>46.282191780821918</v>
      </c>
      <c r="O248" s="23">
        <v>85227.35</v>
      </c>
      <c r="P248" s="18">
        <f t="shared" si="27"/>
        <v>46.783561643835618</v>
      </c>
      <c r="Q248" s="18">
        <v>0</v>
      </c>
      <c r="R248" s="18">
        <f t="shared" si="25"/>
        <v>85227.35</v>
      </c>
      <c r="S248" s="18">
        <f t="shared" si="30"/>
        <v>224.28249999999971</v>
      </c>
    </row>
    <row r="249" spans="1:19" ht="18.75" customHeight="1" x14ac:dyDescent="0.25">
      <c r="A249" s="14">
        <f t="shared" si="28"/>
        <v>246</v>
      </c>
      <c r="B249" s="21" t="s">
        <v>256</v>
      </c>
      <c r="C249" s="15" t="s">
        <v>3</v>
      </c>
      <c r="D249" s="21" t="s">
        <v>56</v>
      </c>
      <c r="E249" s="21"/>
      <c r="F249" s="69" t="s">
        <v>4</v>
      </c>
      <c r="G249" s="9">
        <v>27395</v>
      </c>
      <c r="H249" s="26">
        <v>1785.0999999999985</v>
      </c>
      <c r="I249" s="17">
        <v>0</v>
      </c>
      <c r="J249" s="17">
        <v>0</v>
      </c>
      <c r="K249" s="17">
        <f t="shared" si="24"/>
        <v>1785.0999999999985</v>
      </c>
      <c r="L249" s="23">
        <f t="shared" si="29"/>
        <v>89.254999999999939</v>
      </c>
      <c r="M249" s="23">
        <v>30</v>
      </c>
      <c r="N249" s="18">
        <f t="shared" si="26"/>
        <v>46.282191780821918</v>
      </c>
      <c r="O249" s="23">
        <v>33916.9</v>
      </c>
      <c r="P249" s="18">
        <f t="shared" si="27"/>
        <v>46.783561643835618</v>
      </c>
      <c r="Q249" s="18">
        <v>0</v>
      </c>
      <c r="R249" s="18">
        <f t="shared" si="25"/>
        <v>33916.9</v>
      </c>
      <c r="S249" s="18">
        <f t="shared" si="30"/>
        <v>89.254999999999939</v>
      </c>
    </row>
    <row r="250" spans="1:19" ht="18.75" customHeight="1" x14ac:dyDescent="0.25">
      <c r="A250" s="14">
        <f t="shared" si="28"/>
        <v>247</v>
      </c>
      <c r="B250" s="21" t="s">
        <v>257</v>
      </c>
      <c r="C250" s="15" t="s">
        <v>3</v>
      </c>
      <c r="D250" s="21" t="s">
        <v>56</v>
      </c>
      <c r="E250" s="21"/>
      <c r="F250" s="69" t="s">
        <v>7</v>
      </c>
      <c r="G250" s="9">
        <v>27395</v>
      </c>
      <c r="H250" s="26">
        <v>348.25</v>
      </c>
      <c r="I250" s="17">
        <v>0</v>
      </c>
      <c r="J250" s="17">
        <v>0</v>
      </c>
      <c r="K250" s="17">
        <f t="shared" si="24"/>
        <v>348.25</v>
      </c>
      <c r="L250" s="23">
        <f t="shared" si="29"/>
        <v>17.412500000000001</v>
      </c>
      <c r="M250" s="23">
        <v>30</v>
      </c>
      <c r="N250" s="18">
        <f t="shared" si="26"/>
        <v>46.282191780821918</v>
      </c>
      <c r="O250" s="23">
        <v>6616.75</v>
      </c>
      <c r="P250" s="18">
        <f t="shared" si="27"/>
        <v>46.783561643835618</v>
      </c>
      <c r="Q250" s="18">
        <v>0</v>
      </c>
      <c r="R250" s="18">
        <f t="shared" si="25"/>
        <v>6616.75</v>
      </c>
      <c r="S250" s="18">
        <f t="shared" si="30"/>
        <v>17.412500000000001</v>
      </c>
    </row>
    <row r="251" spans="1:19" ht="18.75" customHeight="1" x14ac:dyDescent="0.25">
      <c r="A251" s="14">
        <f t="shared" si="28"/>
        <v>248</v>
      </c>
      <c r="B251" s="21" t="s">
        <v>102</v>
      </c>
      <c r="C251" s="15" t="s">
        <v>3</v>
      </c>
      <c r="D251" s="21" t="s">
        <v>56</v>
      </c>
      <c r="E251" s="21"/>
      <c r="F251" s="69" t="s">
        <v>4</v>
      </c>
      <c r="G251" s="9">
        <v>27395</v>
      </c>
      <c r="H251" s="26">
        <v>207.69999999999982</v>
      </c>
      <c r="I251" s="17">
        <v>0</v>
      </c>
      <c r="J251" s="17">
        <v>0</v>
      </c>
      <c r="K251" s="17">
        <f t="shared" si="24"/>
        <v>207.69999999999982</v>
      </c>
      <c r="L251" s="23">
        <f t="shared" si="29"/>
        <v>10.384999999999991</v>
      </c>
      <c r="M251" s="23">
        <v>30</v>
      </c>
      <c r="N251" s="18">
        <f t="shared" si="26"/>
        <v>46.282191780821918</v>
      </c>
      <c r="O251" s="23">
        <v>3946.3</v>
      </c>
      <c r="P251" s="18">
        <f t="shared" si="27"/>
        <v>46.783561643835618</v>
      </c>
      <c r="Q251" s="18">
        <v>0</v>
      </c>
      <c r="R251" s="18">
        <f t="shared" si="25"/>
        <v>3946.3</v>
      </c>
      <c r="S251" s="18">
        <f t="shared" si="30"/>
        <v>10.384999999999991</v>
      </c>
    </row>
    <row r="252" spans="1:19" ht="18.75" customHeight="1" x14ac:dyDescent="0.25">
      <c r="A252" s="14">
        <f t="shared" si="28"/>
        <v>249</v>
      </c>
      <c r="B252" s="21" t="s">
        <v>258</v>
      </c>
      <c r="C252" s="15" t="s">
        <v>3</v>
      </c>
      <c r="D252" s="21" t="s">
        <v>56</v>
      </c>
      <c r="E252" s="21"/>
      <c r="F252" s="69" t="s">
        <v>4</v>
      </c>
      <c r="G252" s="9">
        <v>27395</v>
      </c>
      <c r="H252" s="26">
        <v>168.44999999999982</v>
      </c>
      <c r="I252" s="17">
        <v>0</v>
      </c>
      <c r="J252" s="17">
        <v>0</v>
      </c>
      <c r="K252" s="17">
        <f t="shared" si="24"/>
        <v>168.44999999999982</v>
      </c>
      <c r="L252" s="23">
        <f t="shared" si="29"/>
        <v>8.4224999999999905</v>
      </c>
      <c r="M252" s="23">
        <v>30</v>
      </c>
      <c r="N252" s="18">
        <f t="shared" si="26"/>
        <v>46.282191780821918</v>
      </c>
      <c r="O252" s="23">
        <v>3200.55</v>
      </c>
      <c r="P252" s="18">
        <f t="shared" si="27"/>
        <v>46.783561643835618</v>
      </c>
      <c r="Q252" s="18">
        <v>0</v>
      </c>
      <c r="R252" s="18">
        <f t="shared" si="25"/>
        <v>3200.55</v>
      </c>
      <c r="S252" s="18">
        <f t="shared" si="30"/>
        <v>8.4224999999999905</v>
      </c>
    </row>
    <row r="253" spans="1:19" ht="18.75" customHeight="1" x14ac:dyDescent="0.25">
      <c r="A253" s="14">
        <f t="shared" si="28"/>
        <v>250</v>
      </c>
      <c r="B253" s="21" t="s">
        <v>259</v>
      </c>
      <c r="C253" s="15" t="s">
        <v>3</v>
      </c>
      <c r="D253" s="21" t="s">
        <v>56</v>
      </c>
      <c r="E253" s="21"/>
      <c r="F253" s="69" t="s">
        <v>4</v>
      </c>
      <c r="G253" s="9">
        <v>27395</v>
      </c>
      <c r="H253" s="26">
        <v>156.19999999999982</v>
      </c>
      <c r="I253" s="17">
        <v>0</v>
      </c>
      <c r="J253" s="17">
        <v>0</v>
      </c>
      <c r="K253" s="17">
        <f t="shared" si="24"/>
        <v>156.19999999999982</v>
      </c>
      <c r="L253" s="23">
        <f t="shared" si="29"/>
        <v>7.8099999999999916</v>
      </c>
      <c r="M253" s="23">
        <v>30</v>
      </c>
      <c r="N253" s="18">
        <f t="shared" si="26"/>
        <v>46.282191780821918</v>
      </c>
      <c r="O253" s="23">
        <v>2967.8</v>
      </c>
      <c r="P253" s="18">
        <f t="shared" si="27"/>
        <v>46.783561643835618</v>
      </c>
      <c r="Q253" s="18">
        <v>0</v>
      </c>
      <c r="R253" s="18">
        <f t="shared" si="25"/>
        <v>2967.8</v>
      </c>
      <c r="S253" s="18">
        <f t="shared" si="30"/>
        <v>7.8099999999999916</v>
      </c>
    </row>
    <row r="254" spans="1:19" ht="18.75" customHeight="1" x14ac:dyDescent="0.25">
      <c r="A254" s="14">
        <f t="shared" si="28"/>
        <v>251</v>
      </c>
      <c r="B254" s="21" t="s">
        <v>260</v>
      </c>
      <c r="C254" s="15" t="s">
        <v>3</v>
      </c>
      <c r="D254" s="21" t="s">
        <v>56</v>
      </c>
      <c r="E254" s="21"/>
      <c r="F254" s="69" t="s">
        <v>4</v>
      </c>
      <c r="G254" s="9">
        <v>27395</v>
      </c>
      <c r="H254" s="26">
        <v>142.65000000000009</v>
      </c>
      <c r="I254" s="17">
        <v>0</v>
      </c>
      <c r="J254" s="17">
        <v>0</v>
      </c>
      <c r="K254" s="17">
        <f t="shared" si="24"/>
        <v>142.65000000000009</v>
      </c>
      <c r="L254" s="23">
        <f t="shared" si="29"/>
        <v>7.1325000000000047</v>
      </c>
      <c r="M254" s="23">
        <v>30</v>
      </c>
      <c r="N254" s="18">
        <f t="shared" si="26"/>
        <v>46.282191780821918</v>
      </c>
      <c r="O254" s="23">
        <v>2710.35</v>
      </c>
      <c r="P254" s="18">
        <f t="shared" si="27"/>
        <v>46.783561643835618</v>
      </c>
      <c r="Q254" s="18">
        <v>0</v>
      </c>
      <c r="R254" s="18">
        <f t="shared" si="25"/>
        <v>2710.35</v>
      </c>
      <c r="S254" s="18">
        <f t="shared" si="30"/>
        <v>7.1325000000000047</v>
      </c>
    </row>
    <row r="255" spans="1:19" ht="18.75" customHeight="1" x14ac:dyDescent="0.25">
      <c r="A255" s="14">
        <f t="shared" si="28"/>
        <v>252</v>
      </c>
      <c r="B255" s="21" t="s">
        <v>261</v>
      </c>
      <c r="C255" s="15" t="s">
        <v>3</v>
      </c>
      <c r="D255" s="21" t="s">
        <v>56</v>
      </c>
      <c r="E255" s="21"/>
      <c r="F255" s="69" t="s">
        <v>4</v>
      </c>
      <c r="G255" s="9">
        <v>27395</v>
      </c>
      <c r="H255" s="26">
        <v>119</v>
      </c>
      <c r="I255" s="17">
        <v>0</v>
      </c>
      <c r="J255" s="17">
        <v>0</v>
      </c>
      <c r="K255" s="17">
        <f t="shared" si="24"/>
        <v>119</v>
      </c>
      <c r="L255" s="23">
        <f t="shared" si="29"/>
        <v>5.95</v>
      </c>
      <c r="M255" s="23">
        <v>30</v>
      </c>
      <c r="N255" s="18">
        <f t="shared" si="26"/>
        <v>46.282191780821918</v>
      </c>
      <c r="O255" s="23">
        <v>2261</v>
      </c>
      <c r="P255" s="18">
        <f t="shared" si="27"/>
        <v>46.783561643835618</v>
      </c>
      <c r="Q255" s="18">
        <v>0</v>
      </c>
      <c r="R255" s="18">
        <f t="shared" si="25"/>
        <v>2261</v>
      </c>
      <c r="S255" s="18">
        <f t="shared" si="30"/>
        <v>5.95</v>
      </c>
    </row>
    <row r="256" spans="1:19" ht="18.75" customHeight="1" x14ac:dyDescent="0.25">
      <c r="A256" s="14">
        <f t="shared" si="28"/>
        <v>253</v>
      </c>
      <c r="B256" s="21" t="s">
        <v>262</v>
      </c>
      <c r="C256" s="15" t="s">
        <v>3</v>
      </c>
      <c r="D256" s="21" t="s">
        <v>56</v>
      </c>
      <c r="E256" s="21"/>
      <c r="F256" s="69" t="s">
        <v>4</v>
      </c>
      <c r="G256" s="9">
        <v>27395</v>
      </c>
      <c r="H256" s="26">
        <v>101.59999999999991</v>
      </c>
      <c r="I256" s="17">
        <v>0</v>
      </c>
      <c r="J256" s="17">
        <v>0</v>
      </c>
      <c r="K256" s="17">
        <f t="shared" si="24"/>
        <v>101.59999999999991</v>
      </c>
      <c r="L256" s="23">
        <f t="shared" si="29"/>
        <v>5.0799999999999956</v>
      </c>
      <c r="M256" s="23">
        <v>30</v>
      </c>
      <c r="N256" s="18">
        <f t="shared" si="26"/>
        <v>46.282191780821918</v>
      </c>
      <c r="O256" s="23">
        <v>1930.4</v>
      </c>
      <c r="P256" s="18">
        <f t="shared" si="27"/>
        <v>46.783561643835618</v>
      </c>
      <c r="Q256" s="18">
        <v>0</v>
      </c>
      <c r="R256" s="18">
        <f t="shared" si="25"/>
        <v>1930.4</v>
      </c>
      <c r="S256" s="18">
        <f t="shared" si="30"/>
        <v>5.0799999999999956</v>
      </c>
    </row>
    <row r="257" spans="1:19" ht="18.75" customHeight="1" x14ac:dyDescent="0.25">
      <c r="A257" s="14">
        <f t="shared" si="28"/>
        <v>254</v>
      </c>
      <c r="B257" s="21" t="s">
        <v>263</v>
      </c>
      <c r="C257" s="15" t="s">
        <v>3</v>
      </c>
      <c r="D257" s="21" t="s">
        <v>56</v>
      </c>
      <c r="E257" s="21"/>
      <c r="F257" s="69" t="s">
        <v>4</v>
      </c>
      <c r="G257" s="9">
        <v>27395</v>
      </c>
      <c r="H257" s="26">
        <v>59.099999999999909</v>
      </c>
      <c r="I257" s="17">
        <v>0</v>
      </c>
      <c r="J257" s="17">
        <v>0</v>
      </c>
      <c r="K257" s="17">
        <f t="shared" si="24"/>
        <v>59.099999999999909</v>
      </c>
      <c r="L257" s="23">
        <f t="shared" si="29"/>
        <v>2.9549999999999956</v>
      </c>
      <c r="M257" s="23">
        <v>30</v>
      </c>
      <c r="N257" s="18">
        <f t="shared" si="26"/>
        <v>46.282191780821918</v>
      </c>
      <c r="O257" s="23">
        <v>1122.9000000000001</v>
      </c>
      <c r="P257" s="18">
        <f t="shared" si="27"/>
        <v>46.783561643835618</v>
      </c>
      <c r="Q257" s="18">
        <v>0</v>
      </c>
      <c r="R257" s="18">
        <f t="shared" si="25"/>
        <v>1122.9000000000001</v>
      </c>
      <c r="S257" s="18">
        <f t="shared" si="30"/>
        <v>2.9549999999999956</v>
      </c>
    </row>
    <row r="258" spans="1:19" ht="18.75" customHeight="1" x14ac:dyDescent="0.25">
      <c r="A258" s="14">
        <f t="shared" si="28"/>
        <v>255</v>
      </c>
      <c r="B258" s="21" t="s">
        <v>264</v>
      </c>
      <c r="C258" s="15" t="s">
        <v>3</v>
      </c>
      <c r="D258" s="21" t="s">
        <v>56</v>
      </c>
      <c r="E258" s="21"/>
      <c r="F258" s="70" t="s">
        <v>7</v>
      </c>
      <c r="G258" s="9">
        <v>27395</v>
      </c>
      <c r="H258" s="26">
        <v>42.5</v>
      </c>
      <c r="I258" s="17">
        <v>0</v>
      </c>
      <c r="J258" s="17">
        <v>0</v>
      </c>
      <c r="K258" s="17">
        <f t="shared" si="24"/>
        <v>42.5</v>
      </c>
      <c r="L258" s="23">
        <f t="shared" si="29"/>
        <v>2.125</v>
      </c>
      <c r="M258" s="23">
        <v>30</v>
      </c>
      <c r="N258" s="18">
        <f t="shared" si="26"/>
        <v>46.282191780821918</v>
      </c>
      <c r="O258" s="23">
        <v>807.5</v>
      </c>
      <c r="P258" s="18">
        <f t="shared" si="27"/>
        <v>46.783561643835618</v>
      </c>
      <c r="Q258" s="18">
        <v>0</v>
      </c>
      <c r="R258" s="18">
        <f t="shared" si="25"/>
        <v>807.5</v>
      </c>
      <c r="S258" s="18">
        <f t="shared" si="30"/>
        <v>2.125</v>
      </c>
    </row>
    <row r="259" spans="1:19" ht="18.75" customHeight="1" x14ac:dyDescent="0.25">
      <c r="A259" s="14">
        <f t="shared" si="28"/>
        <v>256</v>
      </c>
      <c r="B259" s="21" t="s">
        <v>265</v>
      </c>
      <c r="C259" s="15" t="s">
        <v>3</v>
      </c>
      <c r="D259" s="21" t="s">
        <v>56</v>
      </c>
      <c r="E259" s="21"/>
      <c r="F259" s="70" t="s">
        <v>7</v>
      </c>
      <c r="G259" s="9">
        <v>27395</v>
      </c>
      <c r="H259" s="26">
        <v>34.350000000000023</v>
      </c>
      <c r="I259" s="17">
        <v>0</v>
      </c>
      <c r="J259" s="17">
        <v>0</v>
      </c>
      <c r="K259" s="17">
        <f t="shared" si="24"/>
        <v>34.350000000000023</v>
      </c>
      <c r="L259" s="23">
        <f t="shared" si="29"/>
        <v>1.7175000000000011</v>
      </c>
      <c r="M259" s="23">
        <v>30</v>
      </c>
      <c r="N259" s="18">
        <f t="shared" si="26"/>
        <v>46.282191780821918</v>
      </c>
      <c r="O259" s="23">
        <v>652.65</v>
      </c>
      <c r="P259" s="18">
        <f t="shared" si="27"/>
        <v>46.783561643835618</v>
      </c>
      <c r="Q259" s="18">
        <v>0</v>
      </c>
      <c r="R259" s="18">
        <f t="shared" si="25"/>
        <v>652.65</v>
      </c>
      <c r="S259" s="18">
        <f t="shared" si="30"/>
        <v>1.7175000000000011</v>
      </c>
    </row>
    <row r="260" spans="1:19" ht="18.75" customHeight="1" x14ac:dyDescent="0.25">
      <c r="A260" s="14">
        <f t="shared" si="28"/>
        <v>257</v>
      </c>
      <c r="B260" s="21" t="s">
        <v>266</v>
      </c>
      <c r="C260" s="15" t="s">
        <v>3</v>
      </c>
      <c r="D260" s="21" t="s">
        <v>56</v>
      </c>
      <c r="E260" s="21"/>
      <c r="F260" s="69" t="s">
        <v>4</v>
      </c>
      <c r="G260" s="9">
        <v>36250</v>
      </c>
      <c r="H260" s="26">
        <v>212.19999999999982</v>
      </c>
      <c r="I260" s="17">
        <v>0</v>
      </c>
      <c r="J260" s="17">
        <v>0</v>
      </c>
      <c r="K260" s="17">
        <f t="shared" ref="K260:K323" si="31">H260+I260-J260</f>
        <v>212.19999999999982</v>
      </c>
      <c r="L260" s="23">
        <f t="shared" si="29"/>
        <v>10.609999999999992</v>
      </c>
      <c r="M260" s="23">
        <v>5</v>
      </c>
      <c r="N260" s="18">
        <f t="shared" si="26"/>
        <v>22.021917808219179</v>
      </c>
      <c r="O260" s="23">
        <v>4031.8</v>
      </c>
      <c r="P260" s="18">
        <f t="shared" si="27"/>
        <v>22.523287671232875</v>
      </c>
      <c r="Q260" s="18">
        <v>0</v>
      </c>
      <c r="R260" s="18">
        <f t="shared" ref="R260:R323" si="32">Q260+O260</f>
        <v>4031.8</v>
      </c>
      <c r="S260" s="18">
        <f t="shared" si="30"/>
        <v>10.609999999999992</v>
      </c>
    </row>
    <row r="261" spans="1:19" ht="18.75" customHeight="1" x14ac:dyDescent="0.25">
      <c r="A261" s="14">
        <f t="shared" si="28"/>
        <v>258</v>
      </c>
      <c r="B261" s="21" t="s">
        <v>267</v>
      </c>
      <c r="C261" s="15" t="s">
        <v>3</v>
      </c>
      <c r="D261" s="21" t="s">
        <v>56</v>
      </c>
      <c r="E261" s="21"/>
      <c r="F261" s="69" t="s">
        <v>4</v>
      </c>
      <c r="G261" s="9">
        <v>27030</v>
      </c>
      <c r="H261" s="26">
        <v>1693</v>
      </c>
      <c r="I261" s="17">
        <v>0</v>
      </c>
      <c r="J261" s="17">
        <v>0</v>
      </c>
      <c r="K261" s="17">
        <f t="shared" si="31"/>
        <v>1693</v>
      </c>
      <c r="L261" s="23">
        <f t="shared" si="29"/>
        <v>84.65</v>
      </c>
      <c r="M261" s="23">
        <v>30</v>
      </c>
      <c r="N261" s="18">
        <f t="shared" ref="N261:N324" si="33">IF(($N$2-G261+1)/365&gt;0,($N$2-G261+1)/365,0)</f>
        <v>47.282191780821918</v>
      </c>
      <c r="O261" s="23">
        <v>32167</v>
      </c>
      <c r="P261" s="18">
        <f t="shared" ref="P261:P324" si="34">($P$2-G261+1)/365</f>
        <v>47.783561643835618</v>
      </c>
      <c r="Q261" s="18">
        <v>0</v>
      </c>
      <c r="R261" s="18">
        <f t="shared" si="32"/>
        <v>32167</v>
      </c>
      <c r="S261" s="18">
        <f t="shared" si="30"/>
        <v>84.65</v>
      </c>
    </row>
    <row r="262" spans="1:19" ht="18.75" customHeight="1" x14ac:dyDescent="0.25">
      <c r="A262" s="14">
        <f t="shared" ref="A262:A325" si="35">+A261+1</f>
        <v>259</v>
      </c>
      <c r="B262" s="21" t="s">
        <v>268</v>
      </c>
      <c r="C262" s="15" t="s">
        <v>3</v>
      </c>
      <c r="D262" s="21" t="s">
        <v>56</v>
      </c>
      <c r="E262" s="21"/>
      <c r="F262" s="69" t="s">
        <v>4</v>
      </c>
      <c r="G262" s="9">
        <v>27030</v>
      </c>
      <c r="H262" s="26">
        <v>1526.5999999999985</v>
      </c>
      <c r="I262" s="17">
        <v>0</v>
      </c>
      <c r="J262" s="17">
        <v>0</v>
      </c>
      <c r="K262" s="17">
        <f t="shared" si="31"/>
        <v>1526.5999999999985</v>
      </c>
      <c r="L262" s="23">
        <f t="shared" si="29"/>
        <v>76.329999999999927</v>
      </c>
      <c r="M262" s="23">
        <v>30</v>
      </c>
      <c r="N262" s="18">
        <f t="shared" si="33"/>
        <v>47.282191780821918</v>
      </c>
      <c r="O262" s="23">
        <v>29005.4</v>
      </c>
      <c r="P262" s="18">
        <f t="shared" si="34"/>
        <v>47.783561643835618</v>
      </c>
      <c r="Q262" s="18">
        <v>0</v>
      </c>
      <c r="R262" s="18">
        <f t="shared" si="32"/>
        <v>29005.4</v>
      </c>
      <c r="S262" s="18">
        <f t="shared" si="30"/>
        <v>76.329999999999927</v>
      </c>
    </row>
    <row r="263" spans="1:19" ht="18.75" customHeight="1" x14ac:dyDescent="0.25">
      <c r="A263" s="14">
        <f t="shared" si="35"/>
        <v>260</v>
      </c>
      <c r="B263" s="21" t="s">
        <v>269</v>
      </c>
      <c r="C263" s="15" t="s">
        <v>3</v>
      </c>
      <c r="D263" s="21" t="s">
        <v>56</v>
      </c>
      <c r="E263" s="21"/>
      <c r="F263" s="69" t="s">
        <v>4</v>
      </c>
      <c r="G263" s="9">
        <v>27030</v>
      </c>
      <c r="H263" s="26">
        <v>458.35000000000036</v>
      </c>
      <c r="I263" s="17">
        <v>0</v>
      </c>
      <c r="J263" s="17">
        <v>0</v>
      </c>
      <c r="K263" s="17">
        <f t="shared" si="31"/>
        <v>458.35000000000036</v>
      </c>
      <c r="L263" s="23">
        <f t="shared" si="29"/>
        <v>22.917500000000018</v>
      </c>
      <c r="M263" s="23">
        <v>30</v>
      </c>
      <c r="N263" s="18">
        <f t="shared" si="33"/>
        <v>47.282191780821918</v>
      </c>
      <c r="O263" s="23">
        <v>8708.65</v>
      </c>
      <c r="P263" s="18">
        <f t="shared" si="34"/>
        <v>47.783561643835618</v>
      </c>
      <c r="Q263" s="18">
        <v>0</v>
      </c>
      <c r="R263" s="18">
        <f t="shared" si="32"/>
        <v>8708.65</v>
      </c>
      <c r="S263" s="18">
        <f t="shared" si="30"/>
        <v>22.917500000000018</v>
      </c>
    </row>
    <row r="264" spans="1:19" ht="18.75" customHeight="1" x14ac:dyDescent="0.25">
      <c r="A264" s="14">
        <f t="shared" si="35"/>
        <v>261</v>
      </c>
      <c r="B264" s="21" t="s">
        <v>270</v>
      </c>
      <c r="C264" s="15" t="s">
        <v>3</v>
      </c>
      <c r="D264" s="21" t="s">
        <v>56</v>
      </c>
      <c r="E264" s="21"/>
      <c r="F264" s="69" t="s">
        <v>4</v>
      </c>
      <c r="G264" s="9">
        <v>27030</v>
      </c>
      <c r="H264" s="26">
        <v>292.39999999999964</v>
      </c>
      <c r="I264" s="17">
        <v>0</v>
      </c>
      <c r="J264" s="17">
        <v>0</v>
      </c>
      <c r="K264" s="17">
        <f t="shared" si="31"/>
        <v>292.39999999999964</v>
      </c>
      <c r="L264" s="23">
        <f t="shared" si="29"/>
        <v>14.619999999999983</v>
      </c>
      <c r="M264" s="23">
        <v>30</v>
      </c>
      <c r="N264" s="18">
        <f t="shared" si="33"/>
        <v>47.282191780821918</v>
      </c>
      <c r="O264" s="23">
        <v>5555.6</v>
      </c>
      <c r="P264" s="18">
        <f t="shared" si="34"/>
        <v>47.783561643835618</v>
      </c>
      <c r="Q264" s="18">
        <v>0</v>
      </c>
      <c r="R264" s="18">
        <f t="shared" si="32"/>
        <v>5555.6</v>
      </c>
      <c r="S264" s="18">
        <f t="shared" si="30"/>
        <v>14.619999999999983</v>
      </c>
    </row>
    <row r="265" spans="1:19" ht="18.75" customHeight="1" x14ac:dyDescent="0.25">
      <c r="A265" s="14">
        <f t="shared" si="35"/>
        <v>262</v>
      </c>
      <c r="B265" s="21" t="s">
        <v>271</v>
      </c>
      <c r="C265" s="15" t="s">
        <v>3</v>
      </c>
      <c r="D265" s="21" t="s">
        <v>56</v>
      </c>
      <c r="E265" s="21"/>
      <c r="F265" s="69" t="s">
        <v>4</v>
      </c>
      <c r="G265" s="9">
        <v>27030</v>
      </c>
      <c r="H265" s="26">
        <v>274</v>
      </c>
      <c r="I265" s="17">
        <v>0</v>
      </c>
      <c r="J265" s="17">
        <v>0</v>
      </c>
      <c r="K265" s="17">
        <f t="shared" si="31"/>
        <v>274</v>
      </c>
      <c r="L265" s="23">
        <f t="shared" si="29"/>
        <v>13.700000000000001</v>
      </c>
      <c r="M265" s="23">
        <v>30</v>
      </c>
      <c r="N265" s="18">
        <f t="shared" si="33"/>
        <v>47.282191780821918</v>
      </c>
      <c r="O265" s="23">
        <v>5206</v>
      </c>
      <c r="P265" s="18">
        <f t="shared" si="34"/>
        <v>47.783561643835618</v>
      </c>
      <c r="Q265" s="18">
        <v>0</v>
      </c>
      <c r="R265" s="18">
        <f t="shared" si="32"/>
        <v>5206</v>
      </c>
      <c r="S265" s="18">
        <f t="shared" si="30"/>
        <v>13.700000000000001</v>
      </c>
    </row>
    <row r="266" spans="1:19" ht="18.75" customHeight="1" x14ac:dyDescent="0.25">
      <c r="A266" s="14">
        <f t="shared" si="35"/>
        <v>263</v>
      </c>
      <c r="B266" s="21" t="s">
        <v>272</v>
      </c>
      <c r="C266" s="15" t="s">
        <v>3</v>
      </c>
      <c r="D266" s="21" t="s">
        <v>56</v>
      </c>
      <c r="E266" s="21"/>
      <c r="F266" s="69" t="s">
        <v>4</v>
      </c>
      <c r="G266" s="9">
        <v>27030</v>
      </c>
      <c r="H266" s="26">
        <v>81.650000000000091</v>
      </c>
      <c r="I266" s="17">
        <v>0</v>
      </c>
      <c r="J266" s="17">
        <v>0</v>
      </c>
      <c r="K266" s="17">
        <f t="shared" si="31"/>
        <v>81.650000000000091</v>
      </c>
      <c r="L266" s="23">
        <f t="shared" si="29"/>
        <v>4.0825000000000049</v>
      </c>
      <c r="M266" s="23">
        <v>30</v>
      </c>
      <c r="N266" s="18">
        <f t="shared" si="33"/>
        <v>47.282191780821918</v>
      </c>
      <c r="O266" s="23">
        <v>1551.35</v>
      </c>
      <c r="P266" s="18">
        <f t="shared" si="34"/>
        <v>47.783561643835618</v>
      </c>
      <c r="Q266" s="18">
        <v>0</v>
      </c>
      <c r="R266" s="18">
        <f t="shared" si="32"/>
        <v>1551.35</v>
      </c>
      <c r="S266" s="18">
        <f t="shared" si="30"/>
        <v>4.0825000000000049</v>
      </c>
    </row>
    <row r="267" spans="1:19" ht="18.75" customHeight="1" x14ac:dyDescent="0.25">
      <c r="A267" s="14">
        <f t="shared" si="35"/>
        <v>264</v>
      </c>
      <c r="B267" s="21" t="s">
        <v>273</v>
      </c>
      <c r="C267" s="15" t="s">
        <v>3</v>
      </c>
      <c r="D267" s="21" t="s">
        <v>56</v>
      </c>
      <c r="E267" s="21"/>
      <c r="F267" s="69" t="s">
        <v>4</v>
      </c>
      <c r="G267" s="9">
        <v>27030</v>
      </c>
      <c r="H267" s="26">
        <v>75.200000000000045</v>
      </c>
      <c r="I267" s="17">
        <v>0</v>
      </c>
      <c r="J267" s="17">
        <v>0</v>
      </c>
      <c r="K267" s="17">
        <f t="shared" si="31"/>
        <v>75.200000000000045</v>
      </c>
      <c r="L267" s="23">
        <f t="shared" si="29"/>
        <v>3.7600000000000025</v>
      </c>
      <c r="M267" s="23">
        <v>30</v>
      </c>
      <c r="N267" s="18">
        <f t="shared" si="33"/>
        <v>47.282191780821918</v>
      </c>
      <c r="O267" s="23">
        <v>1428.8</v>
      </c>
      <c r="P267" s="18">
        <f t="shared" si="34"/>
        <v>47.783561643835618</v>
      </c>
      <c r="Q267" s="18">
        <v>0</v>
      </c>
      <c r="R267" s="18">
        <f t="shared" si="32"/>
        <v>1428.8</v>
      </c>
      <c r="S267" s="18">
        <f t="shared" si="30"/>
        <v>3.7600000000000025</v>
      </c>
    </row>
    <row r="268" spans="1:19" ht="18.75" customHeight="1" x14ac:dyDescent="0.25">
      <c r="A268" s="14">
        <f t="shared" si="35"/>
        <v>265</v>
      </c>
      <c r="B268" s="21" t="s">
        <v>274</v>
      </c>
      <c r="C268" s="15" t="s">
        <v>3</v>
      </c>
      <c r="D268" s="21" t="s">
        <v>56</v>
      </c>
      <c r="E268" s="21"/>
      <c r="F268" s="69" t="s">
        <v>4</v>
      </c>
      <c r="G268" s="9">
        <v>27030</v>
      </c>
      <c r="H268" s="26">
        <v>50.649999999999977</v>
      </c>
      <c r="I268" s="17">
        <v>0</v>
      </c>
      <c r="J268" s="17">
        <v>0</v>
      </c>
      <c r="K268" s="17">
        <f t="shared" si="31"/>
        <v>50.649999999999977</v>
      </c>
      <c r="L268" s="23">
        <f t="shared" si="29"/>
        <v>2.5324999999999989</v>
      </c>
      <c r="M268" s="23">
        <v>30</v>
      </c>
      <c r="N268" s="18">
        <f t="shared" si="33"/>
        <v>47.282191780821918</v>
      </c>
      <c r="O268" s="23">
        <v>962.35</v>
      </c>
      <c r="P268" s="18">
        <f t="shared" si="34"/>
        <v>47.783561643835618</v>
      </c>
      <c r="Q268" s="18">
        <v>0</v>
      </c>
      <c r="R268" s="18">
        <f t="shared" si="32"/>
        <v>962.35</v>
      </c>
      <c r="S268" s="18">
        <f t="shared" si="30"/>
        <v>2.5324999999999989</v>
      </c>
    </row>
    <row r="269" spans="1:19" ht="18.75" customHeight="1" x14ac:dyDescent="0.25">
      <c r="A269" s="14">
        <f t="shared" si="35"/>
        <v>266</v>
      </c>
      <c r="B269" s="21" t="s">
        <v>233</v>
      </c>
      <c r="C269" s="15" t="s">
        <v>3</v>
      </c>
      <c r="D269" s="21" t="s">
        <v>56</v>
      </c>
      <c r="E269" s="21"/>
      <c r="F269" s="69" t="s">
        <v>4</v>
      </c>
      <c r="G269" s="9">
        <v>27030</v>
      </c>
      <c r="H269" s="26">
        <v>47.149999999999977</v>
      </c>
      <c r="I269" s="17">
        <v>0</v>
      </c>
      <c r="J269" s="17">
        <v>0</v>
      </c>
      <c r="K269" s="17">
        <f t="shared" si="31"/>
        <v>47.149999999999977</v>
      </c>
      <c r="L269" s="23">
        <f t="shared" si="29"/>
        <v>2.357499999999999</v>
      </c>
      <c r="M269" s="23">
        <v>30</v>
      </c>
      <c r="N269" s="18">
        <f t="shared" si="33"/>
        <v>47.282191780821918</v>
      </c>
      <c r="O269" s="23">
        <v>895.85</v>
      </c>
      <c r="P269" s="18">
        <f t="shared" si="34"/>
        <v>47.783561643835618</v>
      </c>
      <c r="Q269" s="18">
        <v>0</v>
      </c>
      <c r="R269" s="18">
        <f t="shared" si="32"/>
        <v>895.85</v>
      </c>
      <c r="S269" s="18">
        <f t="shared" si="30"/>
        <v>2.357499999999999</v>
      </c>
    </row>
    <row r="270" spans="1:19" ht="18.75" customHeight="1" x14ac:dyDescent="0.25">
      <c r="A270" s="14">
        <f t="shared" si="35"/>
        <v>267</v>
      </c>
      <c r="B270" s="21" t="s">
        <v>275</v>
      </c>
      <c r="C270" s="15" t="s">
        <v>3</v>
      </c>
      <c r="D270" s="21" t="s">
        <v>56</v>
      </c>
      <c r="E270" s="21"/>
      <c r="F270" s="69" t="s">
        <v>4</v>
      </c>
      <c r="G270" s="9">
        <v>27030</v>
      </c>
      <c r="H270" s="26">
        <v>30.850000000000023</v>
      </c>
      <c r="I270" s="17">
        <v>0</v>
      </c>
      <c r="J270" s="17">
        <v>0</v>
      </c>
      <c r="K270" s="17">
        <f t="shared" si="31"/>
        <v>30.850000000000023</v>
      </c>
      <c r="L270" s="23">
        <f t="shared" si="29"/>
        <v>1.5425000000000013</v>
      </c>
      <c r="M270" s="23">
        <v>30</v>
      </c>
      <c r="N270" s="18">
        <f t="shared" si="33"/>
        <v>47.282191780821918</v>
      </c>
      <c r="O270" s="23">
        <v>586.15</v>
      </c>
      <c r="P270" s="18">
        <f t="shared" si="34"/>
        <v>47.783561643835618</v>
      </c>
      <c r="Q270" s="18">
        <v>0</v>
      </c>
      <c r="R270" s="18">
        <f t="shared" si="32"/>
        <v>586.15</v>
      </c>
      <c r="S270" s="18">
        <f t="shared" si="30"/>
        <v>1.5425000000000013</v>
      </c>
    </row>
    <row r="271" spans="1:19" ht="18.75" customHeight="1" x14ac:dyDescent="0.25">
      <c r="A271" s="14">
        <f t="shared" si="35"/>
        <v>268</v>
      </c>
      <c r="B271" s="21" t="s">
        <v>229</v>
      </c>
      <c r="C271" s="15" t="s">
        <v>3</v>
      </c>
      <c r="D271" s="21" t="s">
        <v>56</v>
      </c>
      <c r="E271" s="21"/>
      <c r="F271" s="69" t="s">
        <v>4</v>
      </c>
      <c r="G271" s="9">
        <v>36128</v>
      </c>
      <c r="H271" s="26">
        <v>55623.649999999907</v>
      </c>
      <c r="I271" s="17">
        <v>0</v>
      </c>
      <c r="J271" s="17">
        <v>0</v>
      </c>
      <c r="K271" s="17">
        <f t="shared" si="31"/>
        <v>55623.649999999907</v>
      </c>
      <c r="L271" s="23">
        <f t="shared" si="29"/>
        <v>2781.1824999999953</v>
      </c>
      <c r="M271" s="23">
        <v>5</v>
      </c>
      <c r="N271" s="18">
        <f t="shared" si="33"/>
        <v>22.356164383561644</v>
      </c>
      <c r="O271" s="23">
        <v>1056849.3500000001</v>
      </c>
      <c r="P271" s="18">
        <f t="shared" si="34"/>
        <v>22.857534246575341</v>
      </c>
      <c r="Q271" s="18">
        <v>0</v>
      </c>
      <c r="R271" s="18">
        <f t="shared" si="32"/>
        <v>1056849.3500000001</v>
      </c>
      <c r="S271" s="18">
        <f t="shared" si="30"/>
        <v>2781.1824999999953</v>
      </c>
    </row>
    <row r="272" spans="1:19" ht="18.75" customHeight="1" x14ac:dyDescent="0.25">
      <c r="A272" s="14">
        <f t="shared" si="35"/>
        <v>269</v>
      </c>
      <c r="B272" s="21" t="s">
        <v>276</v>
      </c>
      <c r="C272" s="15" t="s">
        <v>3</v>
      </c>
      <c r="D272" s="21" t="s">
        <v>56</v>
      </c>
      <c r="E272" s="21"/>
      <c r="F272" s="69" t="s">
        <v>7</v>
      </c>
      <c r="G272" s="9">
        <v>26665</v>
      </c>
      <c r="H272" s="26">
        <v>1130.4000000000015</v>
      </c>
      <c r="I272" s="17">
        <v>0</v>
      </c>
      <c r="J272" s="17">
        <v>0</v>
      </c>
      <c r="K272" s="17">
        <f t="shared" si="31"/>
        <v>1130.4000000000015</v>
      </c>
      <c r="L272" s="23">
        <f t="shared" si="29"/>
        <v>56.520000000000074</v>
      </c>
      <c r="M272" s="23">
        <v>30</v>
      </c>
      <c r="N272" s="18">
        <f t="shared" si="33"/>
        <v>48.282191780821918</v>
      </c>
      <c r="O272" s="23">
        <v>21477.599999999999</v>
      </c>
      <c r="P272" s="18">
        <f t="shared" si="34"/>
        <v>48.783561643835618</v>
      </c>
      <c r="Q272" s="18">
        <v>0</v>
      </c>
      <c r="R272" s="18">
        <f t="shared" si="32"/>
        <v>21477.599999999999</v>
      </c>
      <c r="S272" s="18">
        <f t="shared" si="30"/>
        <v>56.520000000000074</v>
      </c>
    </row>
    <row r="273" spans="1:19" ht="18.75" customHeight="1" x14ac:dyDescent="0.25">
      <c r="A273" s="14">
        <f t="shared" si="35"/>
        <v>270</v>
      </c>
      <c r="B273" s="21" t="s">
        <v>277</v>
      </c>
      <c r="C273" s="15" t="s">
        <v>3</v>
      </c>
      <c r="D273" s="21" t="s">
        <v>56</v>
      </c>
      <c r="E273" s="21"/>
      <c r="F273" s="69" t="s">
        <v>7</v>
      </c>
      <c r="G273" s="9">
        <v>26665</v>
      </c>
      <c r="H273" s="26">
        <v>415.35000000000036</v>
      </c>
      <c r="I273" s="17">
        <v>0</v>
      </c>
      <c r="J273" s="17">
        <v>0</v>
      </c>
      <c r="K273" s="17">
        <f t="shared" si="31"/>
        <v>415.35000000000036</v>
      </c>
      <c r="L273" s="23">
        <f t="shared" si="29"/>
        <v>20.76750000000002</v>
      </c>
      <c r="M273" s="23">
        <v>30</v>
      </c>
      <c r="N273" s="18">
        <f t="shared" si="33"/>
        <v>48.282191780821918</v>
      </c>
      <c r="O273" s="23">
        <v>7891.65</v>
      </c>
      <c r="P273" s="18">
        <f t="shared" si="34"/>
        <v>48.783561643835618</v>
      </c>
      <c r="Q273" s="18">
        <v>0</v>
      </c>
      <c r="R273" s="18">
        <f t="shared" si="32"/>
        <v>7891.65</v>
      </c>
      <c r="S273" s="18">
        <f t="shared" si="30"/>
        <v>20.76750000000002</v>
      </c>
    </row>
    <row r="274" spans="1:19" ht="18.75" customHeight="1" x14ac:dyDescent="0.25">
      <c r="A274" s="14">
        <f t="shared" si="35"/>
        <v>271</v>
      </c>
      <c r="B274" s="21" t="s">
        <v>278</v>
      </c>
      <c r="C274" s="15" t="s">
        <v>3</v>
      </c>
      <c r="D274" s="21" t="s">
        <v>56</v>
      </c>
      <c r="E274" s="21"/>
      <c r="F274" s="70" t="s">
        <v>7</v>
      </c>
      <c r="G274" s="9">
        <v>26665</v>
      </c>
      <c r="H274" s="26">
        <v>309.30000000000018</v>
      </c>
      <c r="I274" s="17">
        <v>0</v>
      </c>
      <c r="J274" s="17">
        <v>0</v>
      </c>
      <c r="K274" s="17">
        <f t="shared" si="31"/>
        <v>309.30000000000018</v>
      </c>
      <c r="L274" s="23">
        <f t="shared" si="29"/>
        <v>15.465000000000011</v>
      </c>
      <c r="M274" s="23">
        <v>30</v>
      </c>
      <c r="N274" s="18">
        <f t="shared" si="33"/>
        <v>48.282191780821918</v>
      </c>
      <c r="O274" s="23">
        <v>5876.7</v>
      </c>
      <c r="P274" s="18">
        <f t="shared" si="34"/>
        <v>48.783561643835618</v>
      </c>
      <c r="Q274" s="18">
        <v>0</v>
      </c>
      <c r="R274" s="18">
        <f t="shared" si="32"/>
        <v>5876.7</v>
      </c>
      <c r="S274" s="18">
        <f t="shared" si="30"/>
        <v>15.465000000000011</v>
      </c>
    </row>
    <row r="275" spans="1:19" ht="18.75" customHeight="1" x14ac:dyDescent="0.25">
      <c r="A275" s="14">
        <f t="shared" si="35"/>
        <v>272</v>
      </c>
      <c r="B275" s="21" t="s">
        <v>279</v>
      </c>
      <c r="C275" s="15" t="s">
        <v>3</v>
      </c>
      <c r="D275" s="21" t="s">
        <v>56</v>
      </c>
      <c r="E275" s="21"/>
      <c r="F275" s="69" t="s">
        <v>8</v>
      </c>
      <c r="G275" s="9">
        <v>26665</v>
      </c>
      <c r="H275" s="26">
        <v>309.30000000000018</v>
      </c>
      <c r="I275" s="17">
        <v>0</v>
      </c>
      <c r="J275" s="17">
        <v>0</v>
      </c>
      <c r="K275" s="17">
        <f t="shared" si="31"/>
        <v>309.30000000000018</v>
      </c>
      <c r="L275" s="23">
        <f t="shared" si="29"/>
        <v>15.465000000000011</v>
      </c>
      <c r="M275" s="23">
        <v>30</v>
      </c>
      <c r="N275" s="18">
        <f t="shared" si="33"/>
        <v>48.282191780821918</v>
      </c>
      <c r="O275" s="23">
        <v>5876.7</v>
      </c>
      <c r="P275" s="18">
        <f t="shared" si="34"/>
        <v>48.783561643835618</v>
      </c>
      <c r="Q275" s="18">
        <v>0</v>
      </c>
      <c r="R275" s="18">
        <f t="shared" si="32"/>
        <v>5876.7</v>
      </c>
      <c r="S275" s="18">
        <f t="shared" si="30"/>
        <v>15.465000000000011</v>
      </c>
    </row>
    <row r="276" spans="1:19" ht="18.75" customHeight="1" x14ac:dyDescent="0.25">
      <c r="A276" s="14">
        <f t="shared" si="35"/>
        <v>273</v>
      </c>
      <c r="B276" s="21" t="s">
        <v>280</v>
      </c>
      <c r="C276" s="15" t="s">
        <v>3</v>
      </c>
      <c r="D276" s="21" t="s">
        <v>56</v>
      </c>
      <c r="E276" s="21"/>
      <c r="F276" s="69" t="s">
        <v>4</v>
      </c>
      <c r="G276" s="9">
        <v>26665</v>
      </c>
      <c r="H276" s="26">
        <v>257.75</v>
      </c>
      <c r="I276" s="17">
        <v>0</v>
      </c>
      <c r="J276" s="17">
        <v>0</v>
      </c>
      <c r="K276" s="17">
        <f t="shared" si="31"/>
        <v>257.75</v>
      </c>
      <c r="L276" s="23">
        <f t="shared" si="29"/>
        <v>12.887500000000001</v>
      </c>
      <c r="M276" s="23">
        <v>30</v>
      </c>
      <c r="N276" s="18">
        <f t="shared" si="33"/>
        <v>48.282191780821918</v>
      </c>
      <c r="O276" s="23">
        <v>4897.25</v>
      </c>
      <c r="P276" s="18">
        <f t="shared" si="34"/>
        <v>48.783561643835618</v>
      </c>
      <c r="Q276" s="18">
        <v>0</v>
      </c>
      <c r="R276" s="18">
        <f t="shared" si="32"/>
        <v>4897.25</v>
      </c>
      <c r="S276" s="18">
        <f t="shared" si="30"/>
        <v>12.887500000000001</v>
      </c>
    </row>
    <row r="277" spans="1:19" ht="18.75" customHeight="1" x14ac:dyDescent="0.25">
      <c r="A277" s="14">
        <f t="shared" si="35"/>
        <v>274</v>
      </c>
      <c r="B277" s="21" t="s">
        <v>281</v>
      </c>
      <c r="C277" s="15" t="s">
        <v>3</v>
      </c>
      <c r="D277" s="21" t="s">
        <v>56</v>
      </c>
      <c r="E277" s="21"/>
      <c r="F277" s="70" t="s">
        <v>7</v>
      </c>
      <c r="G277" s="9">
        <v>26665</v>
      </c>
      <c r="H277" s="26">
        <v>176.05000000000018</v>
      </c>
      <c r="I277" s="17">
        <v>0</v>
      </c>
      <c r="J277" s="17">
        <v>0</v>
      </c>
      <c r="K277" s="17">
        <f t="shared" si="31"/>
        <v>176.05000000000018</v>
      </c>
      <c r="L277" s="23">
        <f t="shared" si="29"/>
        <v>8.8025000000000091</v>
      </c>
      <c r="M277" s="23">
        <v>30</v>
      </c>
      <c r="N277" s="18">
        <f t="shared" si="33"/>
        <v>48.282191780821918</v>
      </c>
      <c r="O277" s="23">
        <v>3344.95</v>
      </c>
      <c r="P277" s="18">
        <f t="shared" si="34"/>
        <v>48.783561643835618</v>
      </c>
      <c r="Q277" s="18">
        <v>0</v>
      </c>
      <c r="R277" s="18">
        <f t="shared" si="32"/>
        <v>3344.95</v>
      </c>
      <c r="S277" s="18">
        <f t="shared" si="30"/>
        <v>8.8025000000000091</v>
      </c>
    </row>
    <row r="278" spans="1:19" ht="18.75" customHeight="1" x14ac:dyDescent="0.25">
      <c r="A278" s="14">
        <f t="shared" si="35"/>
        <v>275</v>
      </c>
      <c r="B278" s="21" t="s">
        <v>282</v>
      </c>
      <c r="C278" s="15" t="s">
        <v>3</v>
      </c>
      <c r="D278" s="21" t="s">
        <v>56</v>
      </c>
      <c r="E278" s="21"/>
      <c r="F278" s="69" t="s">
        <v>4</v>
      </c>
      <c r="G278" s="9">
        <v>26665</v>
      </c>
      <c r="H278" s="26">
        <v>74.799999999999955</v>
      </c>
      <c r="I278" s="17">
        <v>0</v>
      </c>
      <c r="J278" s="17">
        <v>0</v>
      </c>
      <c r="K278" s="17">
        <f t="shared" si="31"/>
        <v>74.799999999999955</v>
      </c>
      <c r="L278" s="23">
        <f t="shared" si="29"/>
        <v>3.739999999999998</v>
      </c>
      <c r="M278" s="23">
        <v>30</v>
      </c>
      <c r="N278" s="18">
        <f t="shared" si="33"/>
        <v>48.282191780821918</v>
      </c>
      <c r="O278" s="23">
        <v>1421.2</v>
      </c>
      <c r="P278" s="18">
        <f t="shared" si="34"/>
        <v>48.783561643835618</v>
      </c>
      <c r="Q278" s="18">
        <v>0</v>
      </c>
      <c r="R278" s="18">
        <f t="shared" si="32"/>
        <v>1421.2</v>
      </c>
      <c r="S278" s="18">
        <f t="shared" si="30"/>
        <v>3.739999999999998</v>
      </c>
    </row>
    <row r="279" spans="1:19" ht="18.75" customHeight="1" x14ac:dyDescent="0.25">
      <c r="A279" s="14">
        <f t="shared" si="35"/>
        <v>276</v>
      </c>
      <c r="B279" s="21" t="s">
        <v>283</v>
      </c>
      <c r="C279" s="15" t="s">
        <v>3</v>
      </c>
      <c r="D279" s="21" t="s">
        <v>56</v>
      </c>
      <c r="E279" s="21"/>
      <c r="F279" s="69" t="s">
        <v>4</v>
      </c>
      <c r="G279" s="9">
        <v>26665</v>
      </c>
      <c r="H279" s="26">
        <v>51.350000000000023</v>
      </c>
      <c r="I279" s="17">
        <v>0</v>
      </c>
      <c r="J279" s="17">
        <v>0</v>
      </c>
      <c r="K279" s="17">
        <f t="shared" si="31"/>
        <v>51.350000000000023</v>
      </c>
      <c r="L279" s="23">
        <f t="shared" ref="L279:L342" si="36">H279*0.05</f>
        <v>2.5675000000000012</v>
      </c>
      <c r="M279" s="23">
        <v>30</v>
      </c>
      <c r="N279" s="18">
        <f t="shared" si="33"/>
        <v>48.282191780821918</v>
      </c>
      <c r="O279" s="23">
        <v>975.65</v>
      </c>
      <c r="P279" s="18">
        <f t="shared" si="34"/>
        <v>48.783561643835618</v>
      </c>
      <c r="Q279" s="18">
        <v>0</v>
      </c>
      <c r="R279" s="18">
        <f t="shared" si="32"/>
        <v>975.65</v>
      </c>
      <c r="S279" s="18">
        <f t="shared" ref="S279:S342" si="37">L279</f>
        <v>2.5675000000000012</v>
      </c>
    </row>
    <row r="280" spans="1:19" ht="18.75" customHeight="1" x14ac:dyDescent="0.25">
      <c r="A280" s="14">
        <f t="shared" si="35"/>
        <v>277</v>
      </c>
      <c r="B280" s="21" t="s">
        <v>284</v>
      </c>
      <c r="C280" s="15" t="s">
        <v>3</v>
      </c>
      <c r="D280" s="21" t="s">
        <v>56</v>
      </c>
      <c r="E280" s="21"/>
      <c r="F280" s="69" t="s">
        <v>8</v>
      </c>
      <c r="G280" s="9">
        <v>26665</v>
      </c>
      <c r="H280" s="26">
        <v>26.800000000000011</v>
      </c>
      <c r="I280" s="17">
        <v>0</v>
      </c>
      <c r="J280" s="17">
        <v>0</v>
      </c>
      <c r="K280" s="17">
        <f t="shared" si="31"/>
        <v>26.800000000000011</v>
      </c>
      <c r="L280" s="23">
        <f t="shared" si="36"/>
        <v>1.3400000000000007</v>
      </c>
      <c r="M280" s="23">
        <v>30</v>
      </c>
      <c r="N280" s="18">
        <f t="shared" si="33"/>
        <v>48.282191780821918</v>
      </c>
      <c r="O280" s="23">
        <v>509.2</v>
      </c>
      <c r="P280" s="18">
        <f t="shared" si="34"/>
        <v>48.783561643835618</v>
      </c>
      <c r="Q280" s="18">
        <v>0</v>
      </c>
      <c r="R280" s="18">
        <f t="shared" si="32"/>
        <v>509.2</v>
      </c>
      <c r="S280" s="18">
        <f t="shared" si="37"/>
        <v>1.3400000000000007</v>
      </c>
    </row>
    <row r="281" spans="1:19" ht="18.75" customHeight="1" x14ac:dyDescent="0.25">
      <c r="A281" s="14">
        <f t="shared" si="35"/>
        <v>278</v>
      </c>
      <c r="B281" s="21" t="s">
        <v>133</v>
      </c>
      <c r="C281" s="15" t="s">
        <v>3</v>
      </c>
      <c r="D281" s="21" t="s">
        <v>56</v>
      </c>
      <c r="E281" s="21"/>
      <c r="F281" s="69" t="s">
        <v>11</v>
      </c>
      <c r="G281" s="9">
        <v>26665</v>
      </c>
      <c r="H281" s="26">
        <v>25.649999999999977</v>
      </c>
      <c r="I281" s="17">
        <v>0</v>
      </c>
      <c r="J281" s="17">
        <v>0</v>
      </c>
      <c r="K281" s="17">
        <f t="shared" si="31"/>
        <v>25.649999999999977</v>
      </c>
      <c r="L281" s="23">
        <f t="shared" si="36"/>
        <v>1.2824999999999989</v>
      </c>
      <c r="M281" s="23">
        <v>30</v>
      </c>
      <c r="N281" s="18">
        <f t="shared" si="33"/>
        <v>48.282191780821918</v>
      </c>
      <c r="O281" s="23">
        <v>487.35</v>
      </c>
      <c r="P281" s="18">
        <f t="shared" si="34"/>
        <v>48.783561643835618</v>
      </c>
      <c r="Q281" s="18">
        <v>0</v>
      </c>
      <c r="R281" s="18">
        <f t="shared" si="32"/>
        <v>487.35</v>
      </c>
      <c r="S281" s="18">
        <f t="shared" si="37"/>
        <v>1.2824999999999989</v>
      </c>
    </row>
    <row r="282" spans="1:19" ht="18.75" customHeight="1" x14ac:dyDescent="0.25">
      <c r="A282" s="14">
        <f t="shared" si="35"/>
        <v>279</v>
      </c>
      <c r="B282" s="21" t="s">
        <v>285</v>
      </c>
      <c r="C282" s="15" t="s">
        <v>3</v>
      </c>
      <c r="D282" s="21" t="s">
        <v>56</v>
      </c>
      <c r="E282" s="21"/>
      <c r="F282" s="69" t="s">
        <v>4</v>
      </c>
      <c r="G282" s="9">
        <v>26665</v>
      </c>
      <c r="H282" s="26">
        <v>18.899999999999977</v>
      </c>
      <c r="I282" s="17">
        <v>0</v>
      </c>
      <c r="J282" s="17">
        <v>0</v>
      </c>
      <c r="K282" s="17">
        <f t="shared" si="31"/>
        <v>18.899999999999977</v>
      </c>
      <c r="L282" s="23">
        <f t="shared" si="36"/>
        <v>0.94499999999999895</v>
      </c>
      <c r="M282" s="23">
        <v>30</v>
      </c>
      <c r="N282" s="18">
        <f t="shared" si="33"/>
        <v>48.282191780821918</v>
      </c>
      <c r="O282" s="23">
        <v>359.1</v>
      </c>
      <c r="P282" s="18">
        <f t="shared" si="34"/>
        <v>48.783561643835618</v>
      </c>
      <c r="Q282" s="18">
        <v>0</v>
      </c>
      <c r="R282" s="18">
        <f t="shared" si="32"/>
        <v>359.1</v>
      </c>
      <c r="S282" s="18">
        <f t="shared" si="37"/>
        <v>0.94499999999999895</v>
      </c>
    </row>
    <row r="283" spans="1:19" ht="18.75" customHeight="1" x14ac:dyDescent="0.25">
      <c r="A283" s="14">
        <f t="shared" si="35"/>
        <v>280</v>
      </c>
      <c r="B283" s="21" t="s">
        <v>266</v>
      </c>
      <c r="C283" s="15" t="s">
        <v>3</v>
      </c>
      <c r="D283" s="21" t="s">
        <v>56</v>
      </c>
      <c r="E283" s="21"/>
      <c r="F283" s="69" t="s">
        <v>4</v>
      </c>
      <c r="G283" s="9">
        <v>35657</v>
      </c>
      <c r="H283" s="26">
        <v>246.55000000000018</v>
      </c>
      <c r="I283" s="17">
        <v>0</v>
      </c>
      <c r="J283" s="17">
        <v>0</v>
      </c>
      <c r="K283" s="17">
        <f t="shared" si="31"/>
        <v>246.55000000000018</v>
      </c>
      <c r="L283" s="23">
        <f t="shared" si="36"/>
        <v>12.327500000000009</v>
      </c>
      <c r="M283" s="23">
        <v>5</v>
      </c>
      <c r="N283" s="18">
        <f t="shared" si="33"/>
        <v>23.646575342465752</v>
      </c>
      <c r="O283" s="23">
        <v>4684.45</v>
      </c>
      <c r="P283" s="18">
        <f t="shared" si="34"/>
        <v>24.147945205479452</v>
      </c>
      <c r="Q283" s="18">
        <v>0</v>
      </c>
      <c r="R283" s="18">
        <f t="shared" si="32"/>
        <v>4684.45</v>
      </c>
      <c r="S283" s="18">
        <f t="shared" si="37"/>
        <v>12.327500000000009</v>
      </c>
    </row>
    <row r="284" spans="1:19" ht="18.75" customHeight="1" x14ac:dyDescent="0.25">
      <c r="A284" s="14">
        <f t="shared" si="35"/>
        <v>281</v>
      </c>
      <c r="B284" s="21" t="s">
        <v>286</v>
      </c>
      <c r="C284" s="15" t="s">
        <v>3</v>
      </c>
      <c r="D284" s="21" t="s">
        <v>56</v>
      </c>
      <c r="E284" s="21"/>
      <c r="F284" s="69" t="s">
        <v>8</v>
      </c>
      <c r="G284" s="9">
        <v>26299</v>
      </c>
      <c r="H284" s="26">
        <v>236.19999999999982</v>
      </c>
      <c r="I284" s="17">
        <v>0</v>
      </c>
      <c r="J284" s="17">
        <v>0</v>
      </c>
      <c r="K284" s="17">
        <f t="shared" si="31"/>
        <v>236.19999999999982</v>
      </c>
      <c r="L284" s="23">
        <f t="shared" si="36"/>
        <v>11.809999999999992</v>
      </c>
      <c r="M284" s="23">
        <v>30</v>
      </c>
      <c r="N284" s="18">
        <f t="shared" si="33"/>
        <v>49.284931506849318</v>
      </c>
      <c r="O284" s="23">
        <v>4487.8</v>
      </c>
      <c r="P284" s="18">
        <f t="shared" si="34"/>
        <v>49.786301369863011</v>
      </c>
      <c r="Q284" s="18">
        <v>0</v>
      </c>
      <c r="R284" s="18">
        <f t="shared" si="32"/>
        <v>4487.8</v>
      </c>
      <c r="S284" s="18">
        <f t="shared" si="37"/>
        <v>11.809999999999992</v>
      </c>
    </row>
    <row r="285" spans="1:19" ht="18.75" customHeight="1" x14ac:dyDescent="0.25">
      <c r="A285" s="14">
        <f t="shared" si="35"/>
        <v>282</v>
      </c>
      <c r="B285" s="21" t="s">
        <v>287</v>
      </c>
      <c r="C285" s="15" t="s">
        <v>3</v>
      </c>
      <c r="D285" s="21" t="s">
        <v>56</v>
      </c>
      <c r="E285" s="21"/>
      <c r="F285" s="69" t="s">
        <v>4</v>
      </c>
      <c r="G285" s="9">
        <v>26299</v>
      </c>
      <c r="H285" s="26">
        <v>142.90000000000009</v>
      </c>
      <c r="I285" s="17">
        <v>0</v>
      </c>
      <c r="J285" s="17">
        <v>0</v>
      </c>
      <c r="K285" s="17">
        <f t="shared" si="31"/>
        <v>142.90000000000009</v>
      </c>
      <c r="L285" s="23">
        <f t="shared" si="36"/>
        <v>7.1450000000000049</v>
      </c>
      <c r="M285" s="23">
        <v>30</v>
      </c>
      <c r="N285" s="18">
        <f t="shared" si="33"/>
        <v>49.284931506849318</v>
      </c>
      <c r="O285" s="23">
        <v>2715.1</v>
      </c>
      <c r="P285" s="18">
        <f t="shared" si="34"/>
        <v>49.786301369863011</v>
      </c>
      <c r="Q285" s="18">
        <v>0</v>
      </c>
      <c r="R285" s="18">
        <f t="shared" si="32"/>
        <v>2715.1</v>
      </c>
      <c r="S285" s="18">
        <f t="shared" si="37"/>
        <v>7.1450000000000049</v>
      </c>
    </row>
    <row r="286" spans="1:19" ht="18.75" customHeight="1" x14ac:dyDescent="0.25">
      <c r="A286" s="14">
        <f t="shared" si="35"/>
        <v>283</v>
      </c>
      <c r="B286" s="21" t="s">
        <v>288</v>
      </c>
      <c r="C286" s="15" t="s">
        <v>3</v>
      </c>
      <c r="D286" s="21" t="s">
        <v>56</v>
      </c>
      <c r="E286" s="21"/>
      <c r="F286" s="69" t="s">
        <v>4</v>
      </c>
      <c r="G286" s="9">
        <v>26299</v>
      </c>
      <c r="H286" s="26">
        <v>124.34999999999991</v>
      </c>
      <c r="I286" s="17">
        <v>0</v>
      </c>
      <c r="J286" s="17">
        <v>0</v>
      </c>
      <c r="K286" s="17">
        <f t="shared" si="31"/>
        <v>124.34999999999991</v>
      </c>
      <c r="L286" s="23">
        <f t="shared" si="36"/>
        <v>6.2174999999999958</v>
      </c>
      <c r="M286" s="23">
        <v>30</v>
      </c>
      <c r="N286" s="18">
        <f t="shared" si="33"/>
        <v>49.284931506849318</v>
      </c>
      <c r="O286" s="23">
        <v>2362.65</v>
      </c>
      <c r="P286" s="18">
        <f t="shared" si="34"/>
        <v>49.786301369863011</v>
      </c>
      <c r="Q286" s="18">
        <v>0</v>
      </c>
      <c r="R286" s="18">
        <f t="shared" si="32"/>
        <v>2362.65</v>
      </c>
      <c r="S286" s="18">
        <f t="shared" si="37"/>
        <v>6.2174999999999958</v>
      </c>
    </row>
    <row r="287" spans="1:19" ht="18.75" customHeight="1" x14ac:dyDescent="0.25">
      <c r="A287" s="14">
        <f t="shared" si="35"/>
        <v>284</v>
      </c>
      <c r="B287" s="21" t="s">
        <v>289</v>
      </c>
      <c r="C287" s="15" t="s">
        <v>3</v>
      </c>
      <c r="D287" s="21" t="s">
        <v>56</v>
      </c>
      <c r="E287" s="21"/>
      <c r="F287" s="69" t="s">
        <v>4</v>
      </c>
      <c r="G287" s="9">
        <v>26299</v>
      </c>
      <c r="H287" s="26">
        <v>104.40000000000009</v>
      </c>
      <c r="I287" s="17">
        <v>0</v>
      </c>
      <c r="J287" s="17">
        <v>0</v>
      </c>
      <c r="K287" s="17">
        <f t="shared" si="31"/>
        <v>104.40000000000009</v>
      </c>
      <c r="L287" s="23">
        <f t="shared" si="36"/>
        <v>5.2200000000000051</v>
      </c>
      <c r="M287" s="23">
        <v>30</v>
      </c>
      <c r="N287" s="18">
        <f t="shared" si="33"/>
        <v>49.284931506849318</v>
      </c>
      <c r="O287" s="23">
        <v>1983.6</v>
      </c>
      <c r="P287" s="18">
        <f t="shared" si="34"/>
        <v>49.786301369863011</v>
      </c>
      <c r="Q287" s="18">
        <v>0</v>
      </c>
      <c r="R287" s="18">
        <f t="shared" si="32"/>
        <v>1983.6</v>
      </c>
      <c r="S287" s="18">
        <f t="shared" si="37"/>
        <v>5.2200000000000051</v>
      </c>
    </row>
    <row r="288" spans="1:19" ht="18.75" customHeight="1" x14ac:dyDescent="0.25">
      <c r="A288" s="14">
        <f t="shared" si="35"/>
        <v>285</v>
      </c>
      <c r="B288" s="21" t="s">
        <v>290</v>
      </c>
      <c r="C288" s="15" t="s">
        <v>3</v>
      </c>
      <c r="D288" s="21" t="s">
        <v>56</v>
      </c>
      <c r="E288" s="21"/>
      <c r="F288" s="69" t="s">
        <v>4</v>
      </c>
      <c r="G288" s="9">
        <v>26299</v>
      </c>
      <c r="H288" s="26">
        <v>69.950000000000045</v>
      </c>
      <c r="I288" s="17">
        <v>0</v>
      </c>
      <c r="J288" s="17">
        <v>0</v>
      </c>
      <c r="K288" s="17">
        <f t="shared" si="31"/>
        <v>69.950000000000045</v>
      </c>
      <c r="L288" s="23">
        <f t="shared" si="36"/>
        <v>3.4975000000000023</v>
      </c>
      <c r="M288" s="23">
        <v>30</v>
      </c>
      <c r="N288" s="18">
        <f t="shared" si="33"/>
        <v>49.284931506849318</v>
      </c>
      <c r="O288" s="23">
        <v>1329.05</v>
      </c>
      <c r="P288" s="18">
        <f t="shared" si="34"/>
        <v>49.786301369863011</v>
      </c>
      <c r="Q288" s="18">
        <v>0</v>
      </c>
      <c r="R288" s="18">
        <f t="shared" si="32"/>
        <v>1329.05</v>
      </c>
      <c r="S288" s="18">
        <f t="shared" si="37"/>
        <v>3.4975000000000023</v>
      </c>
    </row>
    <row r="289" spans="1:19" ht="18.75" customHeight="1" x14ac:dyDescent="0.25">
      <c r="A289" s="14">
        <f t="shared" si="35"/>
        <v>286</v>
      </c>
      <c r="B289" s="21" t="s">
        <v>291</v>
      </c>
      <c r="C289" s="15" t="s">
        <v>3</v>
      </c>
      <c r="D289" s="21" t="s">
        <v>56</v>
      </c>
      <c r="E289" s="21"/>
      <c r="F289" s="69" t="s">
        <v>4</v>
      </c>
      <c r="G289" s="9">
        <v>26299</v>
      </c>
      <c r="H289" s="26">
        <v>62.950000000000045</v>
      </c>
      <c r="I289" s="17">
        <v>0</v>
      </c>
      <c r="J289" s="17">
        <v>0</v>
      </c>
      <c r="K289" s="17">
        <f t="shared" si="31"/>
        <v>62.950000000000045</v>
      </c>
      <c r="L289" s="23">
        <f t="shared" si="36"/>
        <v>3.1475000000000026</v>
      </c>
      <c r="M289" s="23">
        <v>30</v>
      </c>
      <c r="N289" s="18">
        <f t="shared" si="33"/>
        <v>49.284931506849318</v>
      </c>
      <c r="O289" s="23">
        <v>1196.05</v>
      </c>
      <c r="P289" s="18">
        <f t="shared" si="34"/>
        <v>49.786301369863011</v>
      </c>
      <c r="Q289" s="18">
        <v>0</v>
      </c>
      <c r="R289" s="18">
        <f t="shared" si="32"/>
        <v>1196.05</v>
      </c>
      <c r="S289" s="18">
        <f t="shared" si="37"/>
        <v>3.1475000000000026</v>
      </c>
    </row>
    <row r="290" spans="1:19" ht="18.75" customHeight="1" x14ac:dyDescent="0.25">
      <c r="A290" s="14">
        <f t="shared" si="35"/>
        <v>287</v>
      </c>
      <c r="B290" s="21" t="s">
        <v>292</v>
      </c>
      <c r="C290" s="15" t="s">
        <v>3</v>
      </c>
      <c r="D290" s="21" t="s">
        <v>56</v>
      </c>
      <c r="E290" s="21"/>
      <c r="F290" s="69" t="s">
        <v>4</v>
      </c>
      <c r="G290" s="9">
        <v>26299</v>
      </c>
      <c r="H290" s="26">
        <v>53.100000000000023</v>
      </c>
      <c r="I290" s="17">
        <v>0</v>
      </c>
      <c r="J290" s="17">
        <v>0</v>
      </c>
      <c r="K290" s="17">
        <f t="shared" si="31"/>
        <v>53.100000000000023</v>
      </c>
      <c r="L290" s="23">
        <f t="shared" si="36"/>
        <v>2.6550000000000011</v>
      </c>
      <c r="M290" s="23">
        <v>30</v>
      </c>
      <c r="N290" s="18">
        <f t="shared" si="33"/>
        <v>49.284931506849318</v>
      </c>
      <c r="O290" s="23">
        <v>1008.9</v>
      </c>
      <c r="P290" s="18">
        <f t="shared" si="34"/>
        <v>49.786301369863011</v>
      </c>
      <c r="Q290" s="18">
        <v>0</v>
      </c>
      <c r="R290" s="18">
        <f t="shared" si="32"/>
        <v>1008.9</v>
      </c>
      <c r="S290" s="18">
        <f t="shared" si="37"/>
        <v>2.6550000000000011</v>
      </c>
    </row>
    <row r="291" spans="1:19" ht="18.75" customHeight="1" x14ac:dyDescent="0.25">
      <c r="A291" s="14">
        <f t="shared" si="35"/>
        <v>288</v>
      </c>
      <c r="B291" s="21" t="s">
        <v>293</v>
      </c>
      <c r="C291" s="15" t="s">
        <v>3</v>
      </c>
      <c r="D291" s="21" t="s">
        <v>56</v>
      </c>
      <c r="E291" s="21"/>
      <c r="F291" s="69" t="s">
        <v>4</v>
      </c>
      <c r="G291" s="9">
        <v>26299</v>
      </c>
      <c r="H291" s="26">
        <v>51.850000000000023</v>
      </c>
      <c r="I291" s="17">
        <v>0</v>
      </c>
      <c r="J291" s="17">
        <v>0</v>
      </c>
      <c r="K291" s="17">
        <f t="shared" si="31"/>
        <v>51.850000000000023</v>
      </c>
      <c r="L291" s="23">
        <f t="shared" si="36"/>
        <v>2.5925000000000011</v>
      </c>
      <c r="M291" s="23">
        <v>30</v>
      </c>
      <c r="N291" s="18">
        <f t="shared" si="33"/>
        <v>49.284931506849318</v>
      </c>
      <c r="O291" s="23">
        <v>985.15</v>
      </c>
      <c r="P291" s="18">
        <f t="shared" si="34"/>
        <v>49.786301369863011</v>
      </c>
      <c r="Q291" s="18">
        <v>0</v>
      </c>
      <c r="R291" s="18">
        <f t="shared" si="32"/>
        <v>985.15</v>
      </c>
      <c r="S291" s="18">
        <f t="shared" si="37"/>
        <v>2.5925000000000011</v>
      </c>
    </row>
    <row r="292" spans="1:19" ht="18.75" customHeight="1" x14ac:dyDescent="0.25">
      <c r="A292" s="14">
        <f t="shared" si="35"/>
        <v>289</v>
      </c>
      <c r="B292" s="21" t="s">
        <v>294</v>
      </c>
      <c r="C292" s="15" t="s">
        <v>3</v>
      </c>
      <c r="D292" s="21" t="s">
        <v>56</v>
      </c>
      <c r="E292" s="21"/>
      <c r="F292" s="69" t="s">
        <v>4</v>
      </c>
      <c r="G292" s="9">
        <v>26299</v>
      </c>
      <c r="H292" s="26">
        <v>41.75</v>
      </c>
      <c r="I292" s="17">
        <v>0</v>
      </c>
      <c r="J292" s="17">
        <v>0</v>
      </c>
      <c r="K292" s="17">
        <f t="shared" si="31"/>
        <v>41.75</v>
      </c>
      <c r="L292" s="23">
        <f t="shared" si="36"/>
        <v>2.0874999999999999</v>
      </c>
      <c r="M292" s="23">
        <v>30</v>
      </c>
      <c r="N292" s="18">
        <f t="shared" si="33"/>
        <v>49.284931506849318</v>
      </c>
      <c r="O292" s="23">
        <v>793.25</v>
      </c>
      <c r="P292" s="18">
        <f t="shared" si="34"/>
        <v>49.786301369863011</v>
      </c>
      <c r="Q292" s="18">
        <v>0</v>
      </c>
      <c r="R292" s="18">
        <f t="shared" si="32"/>
        <v>793.25</v>
      </c>
      <c r="S292" s="18">
        <f t="shared" si="37"/>
        <v>2.0874999999999999</v>
      </c>
    </row>
    <row r="293" spans="1:19" ht="18.75" customHeight="1" x14ac:dyDescent="0.25">
      <c r="A293" s="14">
        <f t="shared" si="35"/>
        <v>290</v>
      </c>
      <c r="B293" s="21" t="s">
        <v>295</v>
      </c>
      <c r="C293" s="15" t="s">
        <v>3</v>
      </c>
      <c r="D293" s="21" t="s">
        <v>56</v>
      </c>
      <c r="E293" s="21"/>
      <c r="F293" s="69" t="s">
        <v>4</v>
      </c>
      <c r="G293" s="9">
        <v>26299</v>
      </c>
      <c r="H293" s="26">
        <v>34.299999999999955</v>
      </c>
      <c r="I293" s="17">
        <v>0</v>
      </c>
      <c r="J293" s="17">
        <v>0</v>
      </c>
      <c r="K293" s="17">
        <f t="shared" si="31"/>
        <v>34.299999999999955</v>
      </c>
      <c r="L293" s="23">
        <f t="shared" si="36"/>
        <v>1.7149999999999979</v>
      </c>
      <c r="M293" s="23">
        <v>30</v>
      </c>
      <c r="N293" s="18">
        <f t="shared" si="33"/>
        <v>49.284931506849318</v>
      </c>
      <c r="O293" s="23">
        <v>651.70000000000005</v>
      </c>
      <c r="P293" s="18">
        <f t="shared" si="34"/>
        <v>49.786301369863011</v>
      </c>
      <c r="Q293" s="18">
        <v>0</v>
      </c>
      <c r="R293" s="18">
        <f t="shared" si="32"/>
        <v>651.70000000000005</v>
      </c>
      <c r="S293" s="18">
        <f t="shared" si="37"/>
        <v>1.7149999999999979</v>
      </c>
    </row>
    <row r="294" spans="1:19" ht="18.75" customHeight="1" x14ac:dyDescent="0.25">
      <c r="A294" s="14">
        <f t="shared" si="35"/>
        <v>291</v>
      </c>
      <c r="B294" s="21" t="s">
        <v>296</v>
      </c>
      <c r="C294" s="15" t="s">
        <v>3</v>
      </c>
      <c r="D294" s="21" t="s">
        <v>56</v>
      </c>
      <c r="E294" s="21"/>
      <c r="F294" s="69" t="s">
        <v>4</v>
      </c>
      <c r="G294" s="9">
        <v>26299</v>
      </c>
      <c r="H294" s="26">
        <v>31.450000000000045</v>
      </c>
      <c r="I294" s="17">
        <v>0</v>
      </c>
      <c r="J294" s="17">
        <v>0</v>
      </c>
      <c r="K294" s="17">
        <f t="shared" si="31"/>
        <v>31.450000000000045</v>
      </c>
      <c r="L294" s="23">
        <f t="shared" si="36"/>
        <v>1.5725000000000025</v>
      </c>
      <c r="M294" s="23">
        <v>30</v>
      </c>
      <c r="N294" s="18">
        <f t="shared" si="33"/>
        <v>49.284931506849318</v>
      </c>
      <c r="O294" s="23">
        <v>597.54999999999995</v>
      </c>
      <c r="P294" s="18">
        <f t="shared" si="34"/>
        <v>49.786301369863011</v>
      </c>
      <c r="Q294" s="18">
        <v>0</v>
      </c>
      <c r="R294" s="18">
        <f t="shared" si="32"/>
        <v>597.54999999999995</v>
      </c>
      <c r="S294" s="18">
        <f t="shared" si="37"/>
        <v>1.5725000000000025</v>
      </c>
    </row>
    <row r="295" spans="1:19" ht="18.75" customHeight="1" x14ac:dyDescent="0.25">
      <c r="A295" s="14">
        <f t="shared" si="35"/>
        <v>292</v>
      </c>
      <c r="B295" s="21" t="s">
        <v>297</v>
      </c>
      <c r="C295" s="15" t="s">
        <v>3</v>
      </c>
      <c r="D295" s="21" t="s">
        <v>56</v>
      </c>
      <c r="E295" s="21"/>
      <c r="F295" s="70" t="s">
        <v>7</v>
      </c>
      <c r="G295" s="9">
        <v>26299</v>
      </c>
      <c r="H295" s="26">
        <v>18.449999999999989</v>
      </c>
      <c r="I295" s="17">
        <v>0</v>
      </c>
      <c r="J295" s="17">
        <v>0</v>
      </c>
      <c r="K295" s="17">
        <f t="shared" si="31"/>
        <v>18.449999999999989</v>
      </c>
      <c r="L295" s="23">
        <f t="shared" si="36"/>
        <v>0.92249999999999943</v>
      </c>
      <c r="M295" s="23">
        <v>30</v>
      </c>
      <c r="N295" s="18">
        <f t="shared" si="33"/>
        <v>49.284931506849318</v>
      </c>
      <c r="O295" s="23">
        <v>350.55</v>
      </c>
      <c r="P295" s="18">
        <f t="shared" si="34"/>
        <v>49.786301369863011</v>
      </c>
      <c r="Q295" s="18">
        <v>0</v>
      </c>
      <c r="R295" s="18">
        <f t="shared" si="32"/>
        <v>350.55</v>
      </c>
      <c r="S295" s="18">
        <f t="shared" si="37"/>
        <v>0.92249999999999943</v>
      </c>
    </row>
    <row r="296" spans="1:19" ht="18.75" customHeight="1" x14ac:dyDescent="0.25">
      <c r="A296" s="14">
        <f t="shared" si="35"/>
        <v>293</v>
      </c>
      <c r="B296" s="21" t="s">
        <v>298</v>
      </c>
      <c r="C296" s="15" t="s">
        <v>3</v>
      </c>
      <c r="D296" s="21" t="s">
        <v>56</v>
      </c>
      <c r="E296" s="21"/>
      <c r="F296" s="69" t="s">
        <v>4</v>
      </c>
      <c r="G296" s="9">
        <v>26299</v>
      </c>
      <c r="H296" s="26">
        <v>13.25</v>
      </c>
      <c r="I296" s="17">
        <v>0</v>
      </c>
      <c r="J296" s="17">
        <v>0</v>
      </c>
      <c r="K296" s="17">
        <f t="shared" si="31"/>
        <v>13.25</v>
      </c>
      <c r="L296" s="23">
        <f t="shared" si="36"/>
        <v>0.66250000000000009</v>
      </c>
      <c r="M296" s="23">
        <v>30</v>
      </c>
      <c r="N296" s="18">
        <f t="shared" si="33"/>
        <v>49.284931506849318</v>
      </c>
      <c r="O296" s="23">
        <v>251.75</v>
      </c>
      <c r="P296" s="18">
        <f t="shared" si="34"/>
        <v>49.786301369863011</v>
      </c>
      <c r="Q296" s="18">
        <v>0</v>
      </c>
      <c r="R296" s="18">
        <f t="shared" si="32"/>
        <v>251.75</v>
      </c>
      <c r="S296" s="18">
        <f t="shared" si="37"/>
        <v>0.66250000000000009</v>
      </c>
    </row>
    <row r="297" spans="1:19" ht="18.75" customHeight="1" x14ac:dyDescent="0.25">
      <c r="A297" s="14">
        <f t="shared" si="35"/>
        <v>294</v>
      </c>
      <c r="B297" s="21" t="s">
        <v>299</v>
      </c>
      <c r="C297" s="15" t="s">
        <v>3</v>
      </c>
      <c r="D297" s="21" t="s">
        <v>56</v>
      </c>
      <c r="E297" s="21"/>
      <c r="F297" s="69" t="s">
        <v>8</v>
      </c>
      <c r="G297" s="9">
        <v>25934</v>
      </c>
      <c r="H297" s="26">
        <v>4191.25</v>
      </c>
      <c r="I297" s="17">
        <v>0</v>
      </c>
      <c r="J297" s="17">
        <v>0</v>
      </c>
      <c r="K297" s="17">
        <f t="shared" si="31"/>
        <v>4191.25</v>
      </c>
      <c r="L297" s="23">
        <f t="shared" si="36"/>
        <v>209.5625</v>
      </c>
      <c r="M297" s="23">
        <v>30</v>
      </c>
      <c r="N297" s="18">
        <f t="shared" si="33"/>
        <v>50.284931506849318</v>
      </c>
      <c r="O297" s="23">
        <v>79633.75</v>
      </c>
      <c r="P297" s="18">
        <f t="shared" si="34"/>
        <v>50.786301369863011</v>
      </c>
      <c r="Q297" s="18">
        <v>0</v>
      </c>
      <c r="R297" s="18">
        <f t="shared" si="32"/>
        <v>79633.75</v>
      </c>
      <c r="S297" s="18">
        <f t="shared" si="37"/>
        <v>209.5625</v>
      </c>
    </row>
    <row r="298" spans="1:19" ht="18.75" customHeight="1" x14ac:dyDescent="0.25">
      <c r="A298" s="14">
        <f t="shared" si="35"/>
        <v>295</v>
      </c>
      <c r="B298" s="21" t="s">
        <v>300</v>
      </c>
      <c r="C298" s="15" t="s">
        <v>3</v>
      </c>
      <c r="D298" s="21" t="s">
        <v>56</v>
      </c>
      <c r="E298" s="21"/>
      <c r="F298" s="69" t="s">
        <v>4</v>
      </c>
      <c r="G298" s="9">
        <v>25934</v>
      </c>
      <c r="H298" s="26">
        <v>798.14999999999964</v>
      </c>
      <c r="I298" s="17">
        <v>0</v>
      </c>
      <c r="J298" s="17">
        <v>0</v>
      </c>
      <c r="K298" s="17">
        <f t="shared" si="31"/>
        <v>798.14999999999964</v>
      </c>
      <c r="L298" s="23">
        <f t="shared" si="36"/>
        <v>39.907499999999985</v>
      </c>
      <c r="M298" s="23">
        <v>30</v>
      </c>
      <c r="N298" s="18">
        <f t="shared" si="33"/>
        <v>50.284931506849318</v>
      </c>
      <c r="O298" s="23">
        <v>15164.85</v>
      </c>
      <c r="P298" s="18">
        <f t="shared" si="34"/>
        <v>50.786301369863011</v>
      </c>
      <c r="Q298" s="18">
        <v>0</v>
      </c>
      <c r="R298" s="18">
        <f t="shared" si="32"/>
        <v>15164.85</v>
      </c>
      <c r="S298" s="18">
        <f t="shared" si="37"/>
        <v>39.907499999999985</v>
      </c>
    </row>
    <row r="299" spans="1:19" ht="18.75" customHeight="1" x14ac:dyDescent="0.25">
      <c r="A299" s="14">
        <f t="shared" si="35"/>
        <v>296</v>
      </c>
      <c r="B299" s="21" t="s">
        <v>301</v>
      </c>
      <c r="C299" s="15" t="s">
        <v>3</v>
      </c>
      <c r="D299" s="21" t="s">
        <v>56</v>
      </c>
      <c r="E299" s="21"/>
      <c r="F299" s="69" t="s">
        <v>4</v>
      </c>
      <c r="G299" s="9">
        <v>25934</v>
      </c>
      <c r="H299" s="26">
        <v>675.39999999999964</v>
      </c>
      <c r="I299" s="17">
        <v>0</v>
      </c>
      <c r="J299" s="17">
        <v>0</v>
      </c>
      <c r="K299" s="17">
        <f t="shared" si="31"/>
        <v>675.39999999999964</v>
      </c>
      <c r="L299" s="23">
        <f t="shared" si="36"/>
        <v>33.769999999999982</v>
      </c>
      <c r="M299" s="23">
        <v>30</v>
      </c>
      <c r="N299" s="18">
        <f t="shared" si="33"/>
        <v>50.284931506849318</v>
      </c>
      <c r="O299" s="23">
        <v>12832.6</v>
      </c>
      <c r="P299" s="18">
        <f t="shared" si="34"/>
        <v>50.786301369863011</v>
      </c>
      <c r="Q299" s="18">
        <v>0</v>
      </c>
      <c r="R299" s="18">
        <f t="shared" si="32"/>
        <v>12832.6</v>
      </c>
      <c r="S299" s="18">
        <f t="shared" si="37"/>
        <v>33.769999999999982</v>
      </c>
    </row>
    <row r="300" spans="1:19" ht="18.75" customHeight="1" x14ac:dyDescent="0.25">
      <c r="A300" s="14">
        <f t="shared" si="35"/>
        <v>297</v>
      </c>
      <c r="B300" s="21" t="s">
        <v>302</v>
      </c>
      <c r="C300" s="15" t="s">
        <v>3</v>
      </c>
      <c r="D300" s="21" t="s">
        <v>56</v>
      </c>
      <c r="E300" s="21"/>
      <c r="F300" s="69" t="s">
        <v>4</v>
      </c>
      <c r="G300" s="9">
        <v>25934</v>
      </c>
      <c r="H300" s="26">
        <v>292.19999999999982</v>
      </c>
      <c r="I300" s="17">
        <v>0</v>
      </c>
      <c r="J300" s="17">
        <v>0</v>
      </c>
      <c r="K300" s="17">
        <f t="shared" si="31"/>
        <v>292.19999999999982</v>
      </c>
      <c r="L300" s="23">
        <f t="shared" si="36"/>
        <v>14.609999999999992</v>
      </c>
      <c r="M300" s="23">
        <v>30</v>
      </c>
      <c r="N300" s="18">
        <f t="shared" si="33"/>
        <v>50.284931506849318</v>
      </c>
      <c r="O300" s="23">
        <v>5551.8</v>
      </c>
      <c r="P300" s="18">
        <f t="shared" si="34"/>
        <v>50.786301369863011</v>
      </c>
      <c r="Q300" s="18">
        <v>0</v>
      </c>
      <c r="R300" s="18">
        <f t="shared" si="32"/>
        <v>5551.8</v>
      </c>
      <c r="S300" s="18">
        <f t="shared" si="37"/>
        <v>14.609999999999992</v>
      </c>
    </row>
    <row r="301" spans="1:19" ht="18.75" customHeight="1" x14ac:dyDescent="0.25">
      <c r="A301" s="14">
        <f t="shared" si="35"/>
        <v>298</v>
      </c>
      <c r="B301" s="21" t="s">
        <v>303</v>
      </c>
      <c r="C301" s="15" t="s">
        <v>3</v>
      </c>
      <c r="D301" s="21" t="s">
        <v>56</v>
      </c>
      <c r="E301" s="21"/>
      <c r="F301" s="69" t="s">
        <v>4</v>
      </c>
      <c r="G301" s="9">
        <v>25934</v>
      </c>
      <c r="H301" s="26">
        <v>292.10000000000036</v>
      </c>
      <c r="I301" s="17">
        <v>0</v>
      </c>
      <c r="J301" s="17">
        <v>0</v>
      </c>
      <c r="K301" s="17">
        <f t="shared" si="31"/>
        <v>292.10000000000036</v>
      </c>
      <c r="L301" s="23">
        <f t="shared" si="36"/>
        <v>14.605000000000018</v>
      </c>
      <c r="M301" s="23">
        <v>30</v>
      </c>
      <c r="N301" s="18">
        <f t="shared" si="33"/>
        <v>50.284931506849318</v>
      </c>
      <c r="O301" s="23">
        <v>5549.9</v>
      </c>
      <c r="P301" s="18">
        <f t="shared" si="34"/>
        <v>50.786301369863011</v>
      </c>
      <c r="Q301" s="18">
        <v>0</v>
      </c>
      <c r="R301" s="18">
        <f t="shared" si="32"/>
        <v>5549.9</v>
      </c>
      <c r="S301" s="18">
        <f t="shared" si="37"/>
        <v>14.605000000000018</v>
      </c>
    </row>
    <row r="302" spans="1:19" ht="18.75" customHeight="1" x14ac:dyDescent="0.25">
      <c r="A302" s="14">
        <f t="shared" si="35"/>
        <v>299</v>
      </c>
      <c r="B302" s="21" t="s">
        <v>304</v>
      </c>
      <c r="C302" s="15" t="s">
        <v>3</v>
      </c>
      <c r="D302" s="21" t="s">
        <v>56</v>
      </c>
      <c r="E302" s="21"/>
      <c r="F302" s="69" t="s">
        <v>4</v>
      </c>
      <c r="G302" s="9">
        <v>25934</v>
      </c>
      <c r="H302" s="26">
        <v>196.09999999999991</v>
      </c>
      <c r="I302" s="17">
        <v>0</v>
      </c>
      <c r="J302" s="17">
        <v>0</v>
      </c>
      <c r="K302" s="17">
        <f t="shared" si="31"/>
        <v>196.09999999999991</v>
      </c>
      <c r="L302" s="23">
        <f t="shared" si="36"/>
        <v>9.8049999999999962</v>
      </c>
      <c r="M302" s="23">
        <v>30</v>
      </c>
      <c r="N302" s="18">
        <f t="shared" si="33"/>
        <v>50.284931506849318</v>
      </c>
      <c r="O302" s="23">
        <v>3725.9</v>
      </c>
      <c r="P302" s="18">
        <f t="shared" si="34"/>
        <v>50.786301369863011</v>
      </c>
      <c r="Q302" s="18">
        <v>0</v>
      </c>
      <c r="R302" s="18">
        <f t="shared" si="32"/>
        <v>3725.9</v>
      </c>
      <c r="S302" s="18">
        <f t="shared" si="37"/>
        <v>9.8049999999999962</v>
      </c>
    </row>
    <row r="303" spans="1:19" ht="18.75" customHeight="1" x14ac:dyDescent="0.25">
      <c r="A303" s="14">
        <f t="shared" si="35"/>
        <v>300</v>
      </c>
      <c r="B303" s="21" t="s">
        <v>217</v>
      </c>
      <c r="C303" s="15" t="s">
        <v>3</v>
      </c>
      <c r="D303" s="21" t="s">
        <v>56</v>
      </c>
      <c r="E303" s="21"/>
      <c r="F303" s="69" t="s">
        <v>4</v>
      </c>
      <c r="G303" s="9">
        <v>25934</v>
      </c>
      <c r="H303" s="26">
        <v>121.30000000000018</v>
      </c>
      <c r="I303" s="17">
        <v>0</v>
      </c>
      <c r="J303" s="17">
        <v>0</v>
      </c>
      <c r="K303" s="17">
        <f t="shared" si="31"/>
        <v>121.30000000000018</v>
      </c>
      <c r="L303" s="23">
        <f t="shared" si="36"/>
        <v>6.0650000000000093</v>
      </c>
      <c r="M303" s="23">
        <v>30</v>
      </c>
      <c r="N303" s="18">
        <f t="shared" si="33"/>
        <v>50.284931506849318</v>
      </c>
      <c r="O303" s="23">
        <v>2304.6999999999998</v>
      </c>
      <c r="P303" s="18">
        <f t="shared" si="34"/>
        <v>50.786301369863011</v>
      </c>
      <c r="Q303" s="18">
        <v>0</v>
      </c>
      <c r="R303" s="18">
        <f t="shared" si="32"/>
        <v>2304.6999999999998</v>
      </c>
      <c r="S303" s="18">
        <f t="shared" si="37"/>
        <v>6.0650000000000093</v>
      </c>
    </row>
    <row r="304" spans="1:19" ht="18.75" customHeight="1" x14ac:dyDescent="0.25">
      <c r="A304" s="14">
        <f t="shared" si="35"/>
        <v>301</v>
      </c>
      <c r="B304" s="21" t="s">
        <v>305</v>
      </c>
      <c r="C304" s="15" t="s">
        <v>3</v>
      </c>
      <c r="D304" s="21" t="s">
        <v>56</v>
      </c>
      <c r="E304" s="21"/>
      <c r="F304" s="69" t="s">
        <v>11</v>
      </c>
      <c r="G304" s="9">
        <v>25934</v>
      </c>
      <c r="H304" s="26">
        <v>94.400000000000091</v>
      </c>
      <c r="I304" s="17">
        <v>0</v>
      </c>
      <c r="J304" s="17">
        <v>0</v>
      </c>
      <c r="K304" s="17">
        <f t="shared" si="31"/>
        <v>94.400000000000091</v>
      </c>
      <c r="L304" s="23">
        <f t="shared" si="36"/>
        <v>4.7200000000000051</v>
      </c>
      <c r="M304" s="23">
        <v>30</v>
      </c>
      <c r="N304" s="18">
        <f t="shared" si="33"/>
        <v>50.284931506849318</v>
      </c>
      <c r="O304" s="23">
        <v>1793.6</v>
      </c>
      <c r="P304" s="18">
        <f t="shared" si="34"/>
        <v>50.786301369863011</v>
      </c>
      <c r="Q304" s="18">
        <v>0</v>
      </c>
      <c r="R304" s="18">
        <f t="shared" si="32"/>
        <v>1793.6</v>
      </c>
      <c r="S304" s="18">
        <f t="shared" si="37"/>
        <v>4.7200000000000051</v>
      </c>
    </row>
    <row r="305" spans="1:19" ht="18.75" customHeight="1" x14ac:dyDescent="0.25">
      <c r="A305" s="14">
        <f t="shared" si="35"/>
        <v>302</v>
      </c>
      <c r="B305" s="21" t="s">
        <v>306</v>
      </c>
      <c r="C305" s="15" t="s">
        <v>3</v>
      </c>
      <c r="D305" s="21" t="s">
        <v>56</v>
      </c>
      <c r="E305" s="21"/>
      <c r="F305" s="69" t="s">
        <v>4</v>
      </c>
      <c r="G305" s="9">
        <v>25934</v>
      </c>
      <c r="H305" s="26">
        <v>86.549999999999955</v>
      </c>
      <c r="I305" s="17">
        <v>0</v>
      </c>
      <c r="J305" s="17">
        <v>0</v>
      </c>
      <c r="K305" s="17">
        <f t="shared" si="31"/>
        <v>86.549999999999955</v>
      </c>
      <c r="L305" s="23">
        <f t="shared" si="36"/>
        <v>4.3274999999999979</v>
      </c>
      <c r="M305" s="23">
        <v>30</v>
      </c>
      <c r="N305" s="18">
        <f t="shared" si="33"/>
        <v>50.284931506849318</v>
      </c>
      <c r="O305" s="23">
        <v>1644.45</v>
      </c>
      <c r="P305" s="18">
        <f t="shared" si="34"/>
        <v>50.786301369863011</v>
      </c>
      <c r="Q305" s="18">
        <v>0</v>
      </c>
      <c r="R305" s="18">
        <f t="shared" si="32"/>
        <v>1644.45</v>
      </c>
      <c r="S305" s="18">
        <f t="shared" si="37"/>
        <v>4.3274999999999979</v>
      </c>
    </row>
    <row r="306" spans="1:19" ht="18.75" customHeight="1" x14ac:dyDescent="0.25">
      <c r="A306" s="14">
        <f t="shared" si="35"/>
        <v>303</v>
      </c>
      <c r="B306" s="21" t="s">
        <v>307</v>
      </c>
      <c r="C306" s="15" t="s">
        <v>3</v>
      </c>
      <c r="D306" s="21" t="s">
        <v>56</v>
      </c>
      <c r="E306" s="21"/>
      <c r="F306" s="69" t="s">
        <v>4</v>
      </c>
      <c r="G306" s="9">
        <v>25934</v>
      </c>
      <c r="H306" s="26">
        <v>78.75</v>
      </c>
      <c r="I306" s="17">
        <v>0</v>
      </c>
      <c r="J306" s="17">
        <v>0</v>
      </c>
      <c r="K306" s="17">
        <f t="shared" si="31"/>
        <v>78.75</v>
      </c>
      <c r="L306" s="23">
        <f t="shared" si="36"/>
        <v>3.9375</v>
      </c>
      <c r="M306" s="23">
        <v>30</v>
      </c>
      <c r="N306" s="18">
        <f t="shared" si="33"/>
        <v>50.284931506849318</v>
      </c>
      <c r="O306" s="23">
        <v>1496.25</v>
      </c>
      <c r="P306" s="18">
        <f t="shared" si="34"/>
        <v>50.786301369863011</v>
      </c>
      <c r="Q306" s="18">
        <v>0</v>
      </c>
      <c r="R306" s="18">
        <f t="shared" si="32"/>
        <v>1496.25</v>
      </c>
      <c r="S306" s="18">
        <f t="shared" si="37"/>
        <v>3.9375</v>
      </c>
    </row>
    <row r="307" spans="1:19" ht="18.75" customHeight="1" x14ac:dyDescent="0.25">
      <c r="A307" s="14">
        <f t="shared" si="35"/>
        <v>304</v>
      </c>
      <c r="B307" s="21" t="s">
        <v>308</v>
      </c>
      <c r="C307" s="15" t="s">
        <v>3</v>
      </c>
      <c r="D307" s="21" t="s">
        <v>56</v>
      </c>
      <c r="E307" s="21"/>
      <c r="F307" s="69" t="s">
        <v>4</v>
      </c>
      <c r="G307" s="9">
        <v>25934</v>
      </c>
      <c r="H307" s="26">
        <v>65.349999999999909</v>
      </c>
      <c r="I307" s="17">
        <v>0</v>
      </c>
      <c r="J307" s="17">
        <v>0</v>
      </c>
      <c r="K307" s="17">
        <f t="shared" si="31"/>
        <v>65.349999999999909</v>
      </c>
      <c r="L307" s="23">
        <f t="shared" si="36"/>
        <v>3.2674999999999956</v>
      </c>
      <c r="M307" s="23">
        <v>30</v>
      </c>
      <c r="N307" s="18">
        <f t="shared" si="33"/>
        <v>50.284931506849318</v>
      </c>
      <c r="O307" s="23">
        <v>1241.6500000000001</v>
      </c>
      <c r="P307" s="18">
        <f t="shared" si="34"/>
        <v>50.786301369863011</v>
      </c>
      <c r="Q307" s="18">
        <v>0</v>
      </c>
      <c r="R307" s="18">
        <f t="shared" si="32"/>
        <v>1241.6500000000001</v>
      </c>
      <c r="S307" s="18">
        <f t="shared" si="37"/>
        <v>3.2674999999999956</v>
      </c>
    </row>
    <row r="308" spans="1:19" ht="18.75" customHeight="1" x14ac:dyDescent="0.25">
      <c r="A308" s="14">
        <f t="shared" si="35"/>
        <v>305</v>
      </c>
      <c r="B308" s="21" t="s">
        <v>309</v>
      </c>
      <c r="C308" s="15" t="s">
        <v>3</v>
      </c>
      <c r="D308" s="21" t="s">
        <v>56</v>
      </c>
      <c r="E308" s="21"/>
      <c r="F308" s="69" t="s">
        <v>4</v>
      </c>
      <c r="G308" s="9">
        <v>25934</v>
      </c>
      <c r="H308" s="26">
        <v>56.75</v>
      </c>
      <c r="I308" s="17">
        <v>0</v>
      </c>
      <c r="J308" s="17">
        <v>0</v>
      </c>
      <c r="K308" s="17">
        <f t="shared" si="31"/>
        <v>56.75</v>
      </c>
      <c r="L308" s="23">
        <f t="shared" si="36"/>
        <v>2.8375000000000004</v>
      </c>
      <c r="M308" s="23">
        <v>30</v>
      </c>
      <c r="N308" s="18">
        <f t="shared" si="33"/>
        <v>50.284931506849318</v>
      </c>
      <c r="O308" s="23">
        <v>1078.25</v>
      </c>
      <c r="P308" s="18">
        <f t="shared" si="34"/>
        <v>50.786301369863011</v>
      </c>
      <c r="Q308" s="18">
        <v>0</v>
      </c>
      <c r="R308" s="18">
        <f t="shared" si="32"/>
        <v>1078.25</v>
      </c>
      <c r="S308" s="18">
        <f t="shared" si="37"/>
        <v>2.8375000000000004</v>
      </c>
    </row>
    <row r="309" spans="1:19" ht="18.75" customHeight="1" x14ac:dyDescent="0.25">
      <c r="A309" s="14">
        <f t="shared" si="35"/>
        <v>306</v>
      </c>
      <c r="B309" s="21" t="s">
        <v>310</v>
      </c>
      <c r="C309" s="15" t="s">
        <v>3</v>
      </c>
      <c r="D309" s="21" t="s">
        <v>56</v>
      </c>
      <c r="E309" s="21"/>
      <c r="F309" s="69" t="s">
        <v>6</v>
      </c>
      <c r="G309" s="9">
        <v>25934</v>
      </c>
      <c r="H309" s="26">
        <v>55.549999999999955</v>
      </c>
      <c r="I309" s="17">
        <v>0</v>
      </c>
      <c r="J309" s="17">
        <v>0</v>
      </c>
      <c r="K309" s="17">
        <f t="shared" si="31"/>
        <v>55.549999999999955</v>
      </c>
      <c r="L309" s="23">
        <f t="shared" si="36"/>
        <v>2.7774999999999981</v>
      </c>
      <c r="M309" s="23">
        <v>30</v>
      </c>
      <c r="N309" s="18">
        <f t="shared" si="33"/>
        <v>50.284931506849318</v>
      </c>
      <c r="O309" s="23">
        <v>1055.45</v>
      </c>
      <c r="P309" s="18">
        <f t="shared" si="34"/>
        <v>50.786301369863011</v>
      </c>
      <c r="Q309" s="18">
        <v>0</v>
      </c>
      <c r="R309" s="18">
        <f t="shared" si="32"/>
        <v>1055.45</v>
      </c>
      <c r="S309" s="18">
        <f t="shared" si="37"/>
        <v>2.7774999999999981</v>
      </c>
    </row>
    <row r="310" spans="1:19" ht="18.75" customHeight="1" x14ac:dyDescent="0.25">
      <c r="A310" s="14">
        <f t="shared" si="35"/>
        <v>307</v>
      </c>
      <c r="B310" s="21" t="s">
        <v>311</v>
      </c>
      <c r="C310" s="15" t="s">
        <v>3</v>
      </c>
      <c r="D310" s="21" t="s">
        <v>56</v>
      </c>
      <c r="E310" s="21"/>
      <c r="F310" s="69" t="s">
        <v>4</v>
      </c>
      <c r="G310" s="9">
        <v>25934</v>
      </c>
      <c r="H310" s="26">
        <v>53.549999999999955</v>
      </c>
      <c r="I310" s="17">
        <v>0</v>
      </c>
      <c r="J310" s="17">
        <v>0</v>
      </c>
      <c r="K310" s="17">
        <f t="shared" si="31"/>
        <v>53.549999999999955</v>
      </c>
      <c r="L310" s="23">
        <f t="shared" si="36"/>
        <v>2.677499999999998</v>
      </c>
      <c r="M310" s="23">
        <v>30</v>
      </c>
      <c r="N310" s="18">
        <f t="shared" si="33"/>
        <v>50.284931506849318</v>
      </c>
      <c r="O310" s="23">
        <v>1017.45</v>
      </c>
      <c r="P310" s="18">
        <f t="shared" si="34"/>
        <v>50.786301369863011</v>
      </c>
      <c r="Q310" s="18">
        <v>0</v>
      </c>
      <c r="R310" s="18">
        <f t="shared" si="32"/>
        <v>1017.45</v>
      </c>
      <c r="S310" s="18">
        <f t="shared" si="37"/>
        <v>2.677499999999998</v>
      </c>
    </row>
    <row r="311" spans="1:19" ht="18.75" customHeight="1" x14ac:dyDescent="0.25">
      <c r="A311" s="14">
        <f t="shared" si="35"/>
        <v>308</v>
      </c>
      <c r="B311" s="21" t="s">
        <v>312</v>
      </c>
      <c r="C311" s="15" t="s">
        <v>3</v>
      </c>
      <c r="D311" s="21" t="s">
        <v>56</v>
      </c>
      <c r="E311" s="21"/>
      <c r="F311" s="69" t="s">
        <v>11</v>
      </c>
      <c r="G311" s="9">
        <v>25934</v>
      </c>
      <c r="H311" s="26">
        <v>53.200000000000045</v>
      </c>
      <c r="I311" s="17">
        <v>0</v>
      </c>
      <c r="J311" s="17">
        <v>0</v>
      </c>
      <c r="K311" s="17">
        <f t="shared" si="31"/>
        <v>53.200000000000045</v>
      </c>
      <c r="L311" s="23">
        <f t="shared" si="36"/>
        <v>2.6600000000000024</v>
      </c>
      <c r="M311" s="23">
        <v>30</v>
      </c>
      <c r="N311" s="18">
        <f t="shared" si="33"/>
        <v>50.284931506849318</v>
      </c>
      <c r="O311" s="23">
        <v>1010.8</v>
      </c>
      <c r="P311" s="18">
        <f t="shared" si="34"/>
        <v>50.786301369863011</v>
      </c>
      <c r="Q311" s="18">
        <v>0</v>
      </c>
      <c r="R311" s="18">
        <f t="shared" si="32"/>
        <v>1010.8</v>
      </c>
      <c r="S311" s="18">
        <f t="shared" si="37"/>
        <v>2.6600000000000024</v>
      </c>
    </row>
    <row r="312" spans="1:19" ht="18.75" customHeight="1" x14ac:dyDescent="0.25">
      <c r="A312" s="14">
        <f t="shared" si="35"/>
        <v>309</v>
      </c>
      <c r="B312" s="21" t="s">
        <v>313</v>
      </c>
      <c r="C312" s="15" t="s">
        <v>3</v>
      </c>
      <c r="D312" s="21" t="s">
        <v>56</v>
      </c>
      <c r="E312" s="21"/>
      <c r="F312" s="69" t="s">
        <v>4</v>
      </c>
      <c r="G312" s="9">
        <v>25934</v>
      </c>
      <c r="H312" s="26">
        <v>24.949999999999989</v>
      </c>
      <c r="I312" s="17">
        <v>0</v>
      </c>
      <c r="J312" s="17">
        <v>0</v>
      </c>
      <c r="K312" s="17">
        <f t="shared" si="31"/>
        <v>24.949999999999989</v>
      </c>
      <c r="L312" s="23">
        <f t="shared" si="36"/>
        <v>1.2474999999999996</v>
      </c>
      <c r="M312" s="23">
        <v>30</v>
      </c>
      <c r="N312" s="18">
        <f t="shared" si="33"/>
        <v>50.284931506849318</v>
      </c>
      <c r="O312" s="23">
        <v>474.05</v>
      </c>
      <c r="P312" s="18">
        <f t="shared" si="34"/>
        <v>50.786301369863011</v>
      </c>
      <c r="Q312" s="18">
        <v>0</v>
      </c>
      <c r="R312" s="18">
        <f t="shared" si="32"/>
        <v>474.05</v>
      </c>
      <c r="S312" s="18">
        <f t="shared" si="37"/>
        <v>1.2474999999999996</v>
      </c>
    </row>
    <row r="313" spans="1:19" ht="18.75" customHeight="1" x14ac:dyDescent="0.25">
      <c r="A313" s="14">
        <f t="shared" si="35"/>
        <v>310</v>
      </c>
      <c r="B313" s="21" t="s">
        <v>314</v>
      </c>
      <c r="C313" s="15" t="s">
        <v>3</v>
      </c>
      <c r="D313" s="21" t="s">
        <v>56</v>
      </c>
      <c r="E313" s="21"/>
      <c r="F313" s="69" t="s">
        <v>12</v>
      </c>
      <c r="G313" s="9">
        <v>25934</v>
      </c>
      <c r="H313" s="26">
        <v>20.699999999999989</v>
      </c>
      <c r="I313" s="17">
        <v>0</v>
      </c>
      <c r="J313" s="17">
        <v>0</v>
      </c>
      <c r="K313" s="17">
        <f t="shared" si="31"/>
        <v>20.699999999999989</v>
      </c>
      <c r="L313" s="23">
        <f t="shared" si="36"/>
        <v>1.0349999999999995</v>
      </c>
      <c r="M313" s="23">
        <v>30</v>
      </c>
      <c r="N313" s="18">
        <f t="shared" si="33"/>
        <v>50.284931506849318</v>
      </c>
      <c r="O313" s="23">
        <v>393.3</v>
      </c>
      <c r="P313" s="18">
        <f t="shared" si="34"/>
        <v>50.786301369863011</v>
      </c>
      <c r="Q313" s="18">
        <v>0</v>
      </c>
      <c r="R313" s="18">
        <f t="shared" si="32"/>
        <v>393.3</v>
      </c>
      <c r="S313" s="18">
        <f t="shared" si="37"/>
        <v>1.0349999999999995</v>
      </c>
    </row>
    <row r="314" spans="1:19" ht="18.75" customHeight="1" x14ac:dyDescent="0.25">
      <c r="A314" s="14">
        <f t="shared" si="35"/>
        <v>311</v>
      </c>
      <c r="B314" s="21" t="s">
        <v>315</v>
      </c>
      <c r="C314" s="15" t="s">
        <v>3</v>
      </c>
      <c r="D314" s="21" t="s">
        <v>56</v>
      </c>
      <c r="E314" s="21"/>
      <c r="F314" s="69" t="s">
        <v>4</v>
      </c>
      <c r="G314" s="9">
        <v>25934</v>
      </c>
      <c r="H314" s="26">
        <v>18.25</v>
      </c>
      <c r="I314" s="17">
        <v>0</v>
      </c>
      <c r="J314" s="17">
        <v>0</v>
      </c>
      <c r="K314" s="17">
        <f t="shared" si="31"/>
        <v>18.25</v>
      </c>
      <c r="L314" s="23">
        <f t="shared" si="36"/>
        <v>0.91250000000000009</v>
      </c>
      <c r="M314" s="23">
        <v>30</v>
      </c>
      <c r="N314" s="18">
        <f t="shared" si="33"/>
        <v>50.284931506849318</v>
      </c>
      <c r="O314" s="23">
        <v>346.75</v>
      </c>
      <c r="P314" s="18">
        <f t="shared" si="34"/>
        <v>50.786301369863011</v>
      </c>
      <c r="Q314" s="18">
        <v>0</v>
      </c>
      <c r="R314" s="18">
        <f t="shared" si="32"/>
        <v>346.75</v>
      </c>
      <c r="S314" s="18">
        <f t="shared" si="37"/>
        <v>0.91250000000000009</v>
      </c>
    </row>
    <row r="315" spans="1:19" ht="18.75" customHeight="1" x14ac:dyDescent="0.25">
      <c r="A315" s="14">
        <f t="shared" si="35"/>
        <v>312</v>
      </c>
      <c r="B315" s="21" t="s">
        <v>316</v>
      </c>
      <c r="C315" s="15" t="s">
        <v>3</v>
      </c>
      <c r="D315" s="21" t="s">
        <v>56</v>
      </c>
      <c r="E315" s="21"/>
      <c r="F315" s="69" t="s">
        <v>4</v>
      </c>
      <c r="G315" s="9">
        <v>25934</v>
      </c>
      <c r="H315" s="26">
        <v>14.850000000000023</v>
      </c>
      <c r="I315" s="17">
        <v>0</v>
      </c>
      <c r="J315" s="17">
        <v>0</v>
      </c>
      <c r="K315" s="17">
        <f t="shared" si="31"/>
        <v>14.850000000000023</v>
      </c>
      <c r="L315" s="23">
        <f t="shared" si="36"/>
        <v>0.74250000000000116</v>
      </c>
      <c r="M315" s="23">
        <v>30</v>
      </c>
      <c r="N315" s="18">
        <f t="shared" si="33"/>
        <v>50.284931506849318</v>
      </c>
      <c r="O315" s="23">
        <v>282.14999999999998</v>
      </c>
      <c r="P315" s="18">
        <f t="shared" si="34"/>
        <v>50.786301369863011</v>
      </c>
      <c r="Q315" s="18">
        <v>0</v>
      </c>
      <c r="R315" s="18">
        <f t="shared" si="32"/>
        <v>282.14999999999998</v>
      </c>
      <c r="S315" s="18">
        <f t="shared" si="37"/>
        <v>0.74250000000000116</v>
      </c>
    </row>
    <row r="316" spans="1:19" ht="18.75" customHeight="1" x14ac:dyDescent="0.25">
      <c r="A316" s="14">
        <f t="shared" si="35"/>
        <v>313</v>
      </c>
      <c r="B316" s="21" t="s">
        <v>317</v>
      </c>
      <c r="C316" s="15" t="s">
        <v>3</v>
      </c>
      <c r="D316" s="21" t="s">
        <v>56</v>
      </c>
      <c r="E316" s="21"/>
      <c r="F316" s="69" t="s">
        <v>4</v>
      </c>
      <c r="G316" s="9">
        <v>25934</v>
      </c>
      <c r="H316" s="26">
        <v>12.800000000000011</v>
      </c>
      <c r="I316" s="17">
        <v>0</v>
      </c>
      <c r="J316" s="17">
        <v>0</v>
      </c>
      <c r="K316" s="17">
        <f t="shared" si="31"/>
        <v>12.800000000000011</v>
      </c>
      <c r="L316" s="23">
        <f t="shared" si="36"/>
        <v>0.64000000000000057</v>
      </c>
      <c r="M316" s="23">
        <v>30</v>
      </c>
      <c r="N316" s="18">
        <f t="shared" si="33"/>
        <v>50.284931506849318</v>
      </c>
      <c r="O316" s="23">
        <v>243.2</v>
      </c>
      <c r="P316" s="18">
        <f t="shared" si="34"/>
        <v>50.786301369863011</v>
      </c>
      <c r="Q316" s="18">
        <v>0</v>
      </c>
      <c r="R316" s="18">
        <f t="shared" si="32"/>
        <v>243.2</v>
      </c>
      <c r="S316" s="18">
        <f t="shared" si="37"/>
        <v>0.64000000000000057</v>
      </c>
    </row>
    <row r="317" spans="1:19" ht="18.75" customHeight="1" x14ac:dyDescent="0.25">
      <c r="A317" s="14">
        <f t="shared" si="35"/>
        <v>314</v>
      </c>
      <c r="B317" s="21" t="s">
        <v>318</v>
      </c>
      <c r="C317" s="15" t="s">
        <v>3</v>
      </c>
      <c r="D317" s="21" t="s">
        <v>56</v>
      </c>
      <c r="E317" s="21"/>
      <c r="F317" s="69" t="s">
        <v>4</v>
      </c>
      <c r="G317" s="9">
        <v>34748</v>
      </c>
      <c r="H317" s="26">
        <v>17043.950000000012</v>
      </c>
      <c r="I317" s="17">
        <v>0</v>
      </c>
      <c r="J317" s="17">
        <v>0</v>
      </c>
      <c r="K317" s="17">
        <f t="shared" si="31"/>
        <v>17043.950000000012</v>
      </c>
      <c r="L317" s="23">
        <f t="shared" si="36"/>
        <v>852.19750000000067</v>
      </c>
      <c r="M317" s="23">
        <v>5</v>
      </c>
      <c r="N317" s="18">
        <f t="shared" si="33"/>
        <v>26.136986301369863</v>
      </c>
      <c r="O317" s="23">
        <v>323835.05</v>
      </c>
      <c r="P317" s="18">
        <f t="shared" si="34"/>
        <v>26.638356164383563</v>
      </c>
      <c r="Q317" s="18">
        <v>0</v>
      </c>
      <c r="R317" s="18">
        <f t="shared" si="32"/>
        <v>323835.05</v>
      </c>
      <c r="S317" s="18">
        <f t="shared" si="37"/>
        <v>852.19750000000067</v>
      </c>
    </row>
    <row r="318" spans="1:19" ht="18.75" customHeight="1" x14ac:dyDescent="0.25">
      <c r="A318" s="14">
        <f t="shared" si="35"/>
        <v>315</v>
      </c>
      <c r="B318" s="21" t="s">
        <v>319</v>
      </c>
      <c r="C318" s="15" t="s">
        <v>3</v>
      </c>
      <c r="D318" s="21" t="s">
        <v>56</v>
      </c>
      <c r="E318" s="21"/>
      <c r="F318" s="69" t="s">
        <v>4</v>
      </c>
      <c r="G318" s="9">
        <v>34714</v>
      </c>
      <c r="H318" s="26">
        <v>28079.25</v>
      </c>
      <c r="I318" s="17">
        <v>0</v>
      </c>
      <c r="J318" s="17">
        <v>0</v>
      </c>
      <c r="K318" s="17">
        <f t="shared" si="31"/>
        <v>28079.25</v>
      </c>
      <c r="L318" s="23">
        <f t="shared" si="36"/>
        <v>1403.9625000000001</v>
      </c>
      <c r="M318" s="23">
        <v>5</v>
      </c>
      <c r="N318" s="18">
        <f t="shared" si="33"/>
        <v>26.230136986301371</v>
      </c>
      <c r="O318" s="23">
        <v>533505.75</v>
      </c>
      <c r="P318" s="18">
        <f t="shared" si="34"/>
        <v>26.731506849315068</v>
      </c>
      <c r="Q318" s="18">
        <v>0</v>
      </c>
      <c r="R318" s="18">
        <f t="shared" si="32"/>
        <v>533505.75</v>
      </c>
      <c r="S318" s="18">
        <f t="shared" si="37"/>
        <v>1403.9625000000001</v>
      </c>
    </row>
    <row r="319" spans="1:19" ht="18.75" customHeight="1" x14ac:dyDescent="0.25">
      <c r="A319" s="14">
        <f t="shared" si="35"/>
        <v>316</v>
      </c>
      <c r="B319" s="21" t="s">
        <v>320</v>
      </c>
      <c r="C319" s="15" t="s">
        <v>3</v>
      </c>
      <c r="D319" s="21" t="s">
        <v>56</v>
      </c>
      <c r="E319" s="21"/>
      <c r="F319" s="69" t="s">
        <v>4</v>
      </c>
      <c r="G319" s="9">
        <v>25569</v>
      </c>
      <c r="H319" s="26">
        <v>1564.2999999999993</v>
      </c>
      <c r="I319" s="17">
        <v>0</v>
      </c>
      <c r="J319" s="17">
        <v>0</v>
      </c>
      <c r="K319" s="17">
        <f t="shared" si="31"/>
        <v>1564.2999999999993</v>
      </c>
      <c r="L319" s="23">
        <f t="shared" si="36"/>
        <v>78.214999999999975</v>
      </c>
      <c r="M319" s="23">
        <v>30</v>
      </c>
      <c r="N319" s="18">
        <f t="shared" si="33"/>
        <v>51.284931506849318</v>
      </c>
      <c r="O319" s="23">
        <v>29721.7</v>
      </c>
      <c r="P319" s="18">
        <f t="shared" si="34"/>
        <v>51.786301369863011</v>
      </c>
      <c r="Q319" s="18">
        <v>0</v>
      </c>
      <c r="R319" s="18">
        <f t="shared" si="32"/>
        <v>29721.7</v>
      </c>
      <c r="S319" s="18">
        <f t="shared" si="37"/>
        <v>78.214999999999975</v>
      </c>
    </row>
    <row r="320" spans="1:19" ht="18.75" customHeight="1" x14ac:dyDescent="0.25">
      <c r="A320" s="14">
        <f t="shared" si="35"/>
        <v>317</v>
      </c>
      <c r="B320" s="21" t="s">
        <v>321</v>
      </c>
      <c r="C320" s="15" t="s">
        <v>3</v>
      </c>
      <c r="D320" s="21" t="s">
        <v>56</v>
      </c>
      <c r="E320" s="21"/>
      <c r="F320" s="69" t="s">
        <v>4</v>
      </c>
      <c r="G320" s="9">
        <v>25569</v>
      </c>
      <c r="H320" s="26">
        <v>817.54999999999927</v>
      </c>
      <c r="I320" s="17">
        <v>0</v>
      </c>
      <c r="J320" s="17">
        <v>0</v>
      </c>
      <c r="K320" s="17">
        <f t="shared" si="31"/>
        <v>817.54999999999927</v>
      </c>
      <c r="L320" s="23">
        <f t="shared" si="36"/>
        <v>40.877499999999969</v>
      </c>
      <c r="M320" s="23">
        <v>30</v>
      </c>
      <c r="N320" s="18">
        <f t="shared" si="33"/>
        <v>51.284931506849318</v>
      </c>
      <c r="O320" s="23">
        <v>15533.45</v>
      </c>
      <c r="P320" s="18">
        <f t="shared" si="34"/>
        <v>51.786301369863011</v>
      </c>
      <c r="Q320" s="18">
        <v>0</v>
      </c>
      <c r="R320" s="18">
        <f t="shared" si="32"/>
        <v>15533.45</v>
      </c>
      <c r="S320" s="18">
        <f t="shared" si="37"/>
        <v>40.877499999999969</v>
      </c>
    </row>
    <row r="321" spans="1:19" ht="18.75" customHeight="1" x14ac:dyDescent="0.25">
      <c r="A321" s="14">
        <f t="shared" si="35"/>
        <v>318</v>
      </c>
      <c r="B321" s="21" t="s">
        <v>322</v>
      </c>
      <c r="C321" s="15" t="s">
        <v>3</v>
      </c>
      <c r="D321" s="21" t="s">
        <v>56</v>
      </c>
      <c r="E321" s="21"/>
      <c r="F321" s="69" t="s">
        <v>11</v>
      </c>
      <c r="G321" s="9">
        <v>25569</v>
      </c>
      <c r="H321" s="26">
        <v>657.70000000000073</v>
      </c>
      <c r="I321" s="17">
        <v>0</v>
      </c>
      <c r="J321" s="17">
        <v>0</v>
      </c>
      <c r="K321" s="17">
        <f t="shared" si="31"/>
        <v>657.70000000000073</v>
      </c>
      <c r="L321" s="23">
        <f t="shared" si="36"/>
        <v>32.885000000000041</v>
      </c>
      <c r="M321" s="23">
        <v>30</v>
      </c>
      <c r="N321" s="18">
        <f t="shared" si="33"/>
        <v>51.284931506849318</v>
      </c>
      <c r="O321" s="23">
        <v>12496.3</v>
      </c>
      <c r="P321" s="18">
        <f t="shared" si="34"/>
        <v>51.786301369863011</v>
      </c>
      <c r="Q321" s="18">
        <v>0</v>
      </c>
      <c r="R321" s="18">
        <f t="shared" si="32"/>
        <v>12496.3</v>
      </c>
      <c r="S321" s="18">
        <f t="shared" si="37"/>
        <v>32.885000000000041</v>
      </c>
    </row>
    <row r="322" spans="1:19" ht="18.75" customHeight="1" x14ac:dyDescent="0.25">
      <c r="A322" s="14">
        <f t="shared" si="35"/>
        <v>319</v>
      </c>
      <c r="B322" s="21" t="s">
        <v>323</v>
      </c>
      <c r="C322" s="15" t="s">
        <v>3</v>
      </c>
      <c r="D322" s="21" t="s">
        <v>56</v>
      </c>
      <c r="E322" s="21"/>
      <c r="F322" s="69" t="s">
        <v>4</v>
      </c>
      <c r="G322" s="9">
        <v>25569</v>
      </c>
      <c r="H322" s="26">
        <v>655.39999999999964</v>
      </c>
      <c r="I322" s="17">
        <v>0</v>
      </c>
      <c r="J322" s="17">
        <v>0</v>
      </c>
      <c r="K322" s="17">
        <f t="shared" si="31"/>
        <v>655.39999999999964</v>
      </c>
      <c r="L322" s="23">
        <f t="shared" si="36"/>
        <v>32.769999999999982</v>
      </c>
      <c r="M322" s="23">
        <v>30</v>
      </c>
      <c r="N322" s="18">
        <f t="shared" si="33"/>
        <v>51.284931506849318</v>
      </c>
      <c r="O322" s="23">
        <v>12452.6</v>
      </c>
      <c r="P322" s="18">
        <f t="shared" si="34"/>
        <v>51.786301369863011</v>
      </c>
      <c r="Q322" s="18">
        <v>0</v>
      </c>
      <c r="R322" s="18">
        <f t="shared" si="32"/>
        <v>12452.6</v>
      </c>
      <c r="S322" s="18">
        <f t="shared" si="37"/>
        <v>32.769999999999982</v>
      </c>
    </row>
    <row r="323" spans="1:19" ht="18.75" customHeight="1" x14ac:dyDescent="0.25">
      <c r="A323" s="14">
        <f t="shared" si="35"/>
        <v>320</v>
      </c>
      <c r="B323" s="21" t="s">
        <v>324</v>
      </c>
      <c r="C323" s="15" t="s">
        <v>3</v>
      </c>
      <c r="D323" s="21" t="s">
        <v>56</v>
      </c>
      <c r="E323" s="21"/>
      <c r="F323" s="69" t="s">
        <v>4</v>
      </c>
      <c r="G323" s="9">
        <v>25569</v>
      </c>
      <c r="H323" s="26">
        <v>337.89999999999964</v>
      </c>
      <c r="I323" s="17">
        <v>0</v>
      </c>
      <c r="J323" s="17">
        <v>0</v>
      </c>
      <c r="K323" s="17">
        <f t="shared" si="31"/>
        <v>337.89999999999964</v>
      </c>
      <c r="L323" s="23">
        <f t="shared" si="36"/>
        <v>16.894999999999982</v>
      </c>
      <c r="M323" s="23">
        <v>30</v>
      </c>
      <c r="N323" s="18">
        <f t="shared" si="33"/>
        <v>51.284931506849318</v>
      </c>
      <c r="O323" s="23">
        <v>6420.1</v>
      </c>
      <c r="P323" s="18">
        <f t="shared" si="34"/>
        <v>51.786301369863011</v>
      </c>
      <c r="Q323" s="18">
        <v>0</v>
      </c>
      <c r="R323" s="18">
        <f t="shared" si="32"/>
        <v>6420.1</v>
      </c>
      <c r="S323" s="18">
        <f t="shared" si="37"/>
        <v>16.894999999999982</v>
      </c>
    </row>
    <row r="324" spans="1:19" ht="18.75" customHeight="1" x14ac:dyDescent="0.25">
      <c r="A324" s="14">
        <f t="shared" si="35"/>
        <v>321</v>
      </c>
      <c r="B324" s="30" t="s">
        <v>325</v>
      </c>
      <c r="C324" s="15" t="s">
        <v>3</v>
      </c>
      <c r="D324" s="21" t="s">
        <v>56</v>
      </c>
      <c r="E324" s="21"/>
      <c r="F324" s="71" t="s">
        <v>14</v>
      </c>
      <c r="G324" s="9">
        <v>25569</v>
      </c>
      <c r="H324" s="26">
        <v>275.30000000000018</v>
      </c>
      <c r="I324" s="17">
        <v>0</v>
      </c>
      <c r="J324" s="17">
        <v>0</v>
      </c>
      <c r="K324" s="17">
        <f t="shared" ref="K324:K387" si="38">H324+I324-J324</f>
        <v>275.30000000000018</v>
      </c>
      <c r="L324" s="23">
        <f t="shared" si="36"/>
        <v>13.765000000000009</v>
      </c>
      <c r="M324" s="23">
        <v>30</v>
      </c>
      <c r="N324" s="18">
        <f t="shared" si="33"/>
        <v>51.284931506849318</v>
      </c>
      <c r="O324" s="23">
        <v>5230.7</v>
      </c>
      <c r="P324" s="18">
        <f t="shared" si="34"/>
        <v>51.786301369863011</v>
      </c>
      <c r="Q324" s="18">
        <v>0</v>
      </c>
      <c r="R324" s="18">
        <f t="shared" ref="R324:R387" si="39">Q324+O324</f>
        <v>5230.7</v>
      </c>
      <c r="S324" s="18">
        <f t="shared" si="37"/>
        <v>13.765000000000009</v>
      </c>
    </row>
    <row r="325" spans="1:19" ht="18.75" customHeight="1" x14ac:dyDescent="0.25">
      <c r="A325" s="14">
        <f t="shared" si="35"/>
        <v>322</v>
      </c>
      <c r="B325" s="21" t="s">
        <v>326</v>
      </c>
      <c r="C325" s="15" t="s">
        <v>3</v>
      </c>
      <c r="D325" s="21" t="s">
        <v>56</v>
      </c>
      <c r="E325" s="21"/>
      <c r="F325" s="69" t="s">
        <v>4</v>
      </c>
      <c r="G325" s="9">
        <v>25569</v>
      </c>
      <c r="H325" s="26">
        <v>273</v>
      </c>
      <c r="I325" s="17">
        <v>0</v>
      </c>
      <c r="J325" s="17">
        <v>0</v>
      </c>
      <c r="K325" s="17">
        <f t="shared" si="38"/>
        <v>273</v>
      </c>
      <c r="L325" s="23">
        <f t="shared" si="36"/>
        <v>13.65</v>
      </c>
      <c r="M325" s="23">
        <v>30</v>
      </c>
      <c r="N325" s="18">
        <f t="shared" ref="N325:N388" si="40">IF(($N$2-G325+1)/365&gt;0,($N$2-G325+1)/365,0)</f>
        <v>51.284931506849318</v>
      </c>
      <c r="O325" s="23">
        <v>5187</v>
      </c>
      <c r="P325" s="18">
        <f t="shared" ref="P325:P388" si="41">($P$2-G325+1)/365</f>
        <v>51.786301369863011</v>
      </c>
      <c r="Q325" s="18">
        <v>0</v>
      </c>
      <c r="R325" s="18">
        <f t="shared" si="39"/>
        <v>5187</v>
      </c>
      <c r="S325" s="18">
        <f t="shared" si="37"/>
        <v>13.65</v>
      </c>
    </row>
    <row r="326" spans="1:19" ht="18.75" customHeight="1" x14ac:dyDescent="0.25">
      <c r="A326" s="14">
        <f t="shared" ref="A326:A389" si="42">+A325+1</f>
        <v>323</v>
      </c>
      <c r="B326" s="21" t="s">
        <v>327</v>
      </c>
      <c r="C326" s="15" t="s">
        <v>3</v>
      </c>
      <c r="D326" s="21" t="s">
        <v>56</v>
      </c>
      <c r="E326" s="21"/>
      <c r="F326" s="69" t="s">
        <v>4</v>
      </c>
      <c r="G326" s="9">
        <v>25569</v>
      </c>
      <c r="H326" s="26">
        <v>137.25</v>
      </c>
      <c r="I326" s="17">
        <v>0</v>
      </c>
      <c r="J326" s="17">
        <v>0</v>
      </c>
      <c r="K326" s="17">
        <f t="shared" si="38"/>
        <v>137.25</v>
      </c>
      <c r="L326" s="23">
        <f t="shared" si="36"/>
        <v>6.8625000000000007</v>
      </c>
      <c r="M326" s="23">
        <v>30</v>
      </c>
      <c r="N326" s="18">
        <f t="shared" si="40"/>
        <v>51.284931506849318</v>
      </c>
      <c r="O326" s="23">
        <v>2607.75</v>
      </c>
      <c r="P326" s="18">
        <f t="shared" si="41"/>
        <v>51.786301369863011</v>
      </c>
      <c r="Q326" s="18">
        <v>0</v>
      </c>
      <c r="R326" s="18">
        <f t="shared" si="39"/>
        <v>2607.75</v>
      </c>
      <c r="S326" s="18">
        <f t="shared" si="37"/>
        <v>6.8625000000000007</v>
      </c>
    </row>
    <row r="327" spans="1:19" ht="18.75" customHeight="1" x14ac:dyDescent="0.25">
      <c r="A327" s="14">
        <f t="shared" si="42"/>
        <v>324</v>
      </c>
      <c r="B327" s="21" t="s">
        <v>328</v>
      </c>
      <c r="C327" s="15" t="s">
        <v>3</v>
      </c>
      <c r="D327" s="21" t="s">
        <v>56</v>
      </c>
      <c r="E327" s="21"/>
      <c r="F327" s="69" t="s">
        <v>4</v>
      </c>
      <c r="G327" s="9">
        <v>25569</v>
      </c>
      <c r="H327" s="26">
        <v>75.349999999999909</v>
      </c>
      <c r="I327" s="17">
        <v>0</v>
      </c>
      <c r="J327" s="17">
        <v>0</v>
      </c>
      <c r="K327" s="17">
        <f t="shared" si="38"/>
        <v>75.349999999999909</v>
      </c>
      <c r="L327" s="23">
        <f t="shared" si="36"/>
        <v>3.7674999999999956</v>
      </c>
      <c r="M327" s="23">
        <v>30</v>
      </c>
      <c r="N327" s="18">
        <f t="shared" si="40"/>
        <v>51.284931506849318</v>
      </c>
      <c r="O327" s="23">
        <v>1431.65</v>
      </c>
      <c r="P327" s="18">
        <f t="shared" si="41"/>
        <v>51.786301369863011</v>
      </c>
      <c r="Q327" s="18">
        <v>0</v>
      </c>
      <c r="R327" s="18">
        <f t="shared" si="39"/>
        <v>1431.65</v>
      </c>
      <c r="S327" s="18">
        <f t="shared" si="37"/>
        <v>3.7674999999999956</v>
      </c>
    </row>
    <row r="328" spans="1:19" ht="18.75" customHeight="1" x14ac:dyDescent="0.25">
      <c r="A328" s="14">
        <f t="shared" si="42"/>
        <v>325</v>
      </c>
      <c r="B328" s="21" t="s">
        <v>329</v>
      </c>
      <c r="C328" s="15" t="s">
        <v>3</v>
      </c>
      <c r="D328" s="21" t="s">
        <v>56</v>
      </c>
      <c r="E328" s="21"/>
      <c r="F328" s="69" t="s">
        <v>6</v>
      </c>
      <c r="G328" s="9">
        <v>25569</v>
      </c>
      <c r="H328" s="26">
        <v>72.049999999999955</v>
      </c>
      <c r="I328" s="17">
        <v>0</v>
      </c>
      <c r="J328" s="17">
        <v>0</v>
      </c>
      <c r="K328" s="17">
        <f t="shared" si="38"/>
        <v>72.049999999999955</v>
      </c>
      <c r="L328" s="23">
        <f t="shared" si="36"/>
        <v>3.6024999999999978</v>
      </c>
      <c r="M328" s="23">
        <v>30</v>
      </c>
      <c r="N328" s="18">
        <f t="shared" si="40"/>
        <v>51.284931506849318</v>
      </c>
      <c r="O328" s="23">
        <v>1368.95</v>
      </c>
      <c r="P328" s="18">
        <f t="shared" si="41"/>
        <v>51.786301369863011</v>
      </c>
      <c r="Q328" s="18">
        <v>0</v>
      </c>
      <c r="R328" s="18">
        <f t="shared" si="39"/>
        <v>1368.95</v>
      </c>
      <c r="S328" s="18">
        <f t="shared" si="37"/>
        <v>3.6024999999999978</v>
      </c>
    </row>
    <row r="329" spans="1:19" ht="18.75" customHeight="1" x14ac:dyDescent="0.25">
      <c r="A329" s="14">
        <f t="shared" si="42"/>
        <v>326</v>
      </c>
      <c r="B329" s="21" t="s">
        <v>330</v>
      </c>
      <c r="C329" s="15" t="s">
        <v>3</v>
      </c>
      <c r="D329" s="21" t="s">
        <v>56</v>
      </c>
      <c r="E329" s="21"/>
      <c r="F329" s="69" t="s">
        <v>4</v>
      </c>
      <c r="G329" s="9">
        <v>25569</v>
      </c>
      <c r="H329" s="26">
        <v>69.200000000000045</v>
      </c>
      <c r="I329" s="17">
        <v>0</v>
      </c>
      <c r="J329" s="17">
        <v>0</v>
      </c>
      <c r="K329" s="17">
        <f t="shared" si="38"/>
        <v>69.200000000000045</v>
      </c>
      <c r="L329" s="23">
        <f t="shared" si="36"/>
        <v>3.4600000000000026</v>
      </c>
      <c r="M329" s="23">
        <v>30</v>
      </c>
      <c r="N329" s="18">
        <f t="shared" si="40"/>
        <v>51.284931506849318</v>
      </c>
      <c r="O329" s="23">
        <v>1314.8</v>
      </c>
      <c r="P329" s="18">
        <f t="shared" si="41"/>
        <v>51.786301369863011</v>
      </c>
      <c r="Q329" s="18">
        <v>0</v>
      </c>
      <c r="R329" s="18">
        <f t="shared" si="39"/>
        <v>1314.8</v>
      </c>
      <c r="S329" s="18">
        <f t="shared" si="37"/>
        <v>3.4600000000000026</v>
      </c>
    </row>
    <row r="330" spans="1:19" ht="18.75" customHeight="1" x14ac:dyDescent="0.25">
      <c r="A330" s="14">
        <f t="shared" si="42"/>
        <v>327</v>
      </c>
      <c r="B330" s="21" t="s">
        <v>331</v>
      </c>
      <c r="C330" s="15" t="s">
        <v>3</v>
      </c>
      <c r="D330" s="21" t="s">
        <v>56</v>
      </c>
      <c r="E330" s="21"/>
      <c r="F330" s="69" t="s">
        <v>4</v>
      </c>
      <c r="G330" s="9">
        <v>25569</v>
      </c>
      <c r="H330" s="26">
        <v>64.900000000000091</v>
      </c>
      <c r="I330" s="17">
        <v>0</v>
      </c>
      <c r="J330" s="17">
        <v>0</v>
      </c>
      <c r="K330" s="17">
        <f t="shared" si="38"/>
        <v>64.900000000000091</v>
      </c>
      <c r="L330" s="23">
        <f t="shared" si="36"/>
        <v>3.2450000000000045</v>
      </c>
      <c r="M330" s="23">
        <v>30</v>
      </c>
      <c r="N330" s="18">
        <f t="shared" si="40"/>
        <v>51.284931506849318</v>
      </c>
      <c r="O330" s="23">
        <v>1233.0999999999999</v>
      </c>
      <c r="P330" s="18">
        <f t="shared" si="41"/>
        <v>51.786301369863011</v>
      </c>
      <c r="Q330" s="18">
        <v>0</v>
      </c>
      <c r="R330" s="18">
        <f t="shared" si="39"/>
        <v>1233.0999999999999</v>
      </c>
      <c r="S330" s="18">
        <f t="shared" si="37"/>
        <v>3.2450000000000045</v>
      </c>
    </row>
    <row r="331" spans="1:19" ht="18.75" customHeight="1" x14ac:dyDescent="0.25">
      <c r="A331" s="14">
        <f t="shared" si="42"/>
        <v>328</v>
      </c>
      <c r="B331" s="21" t="s">
        <v>332</v>
      </c>
      <c r="C331" s="15" t="s">
        <v>3</v>
      </c>
      <c r="D331" s="21" t="s">
        <v>56</v>
      </c>
      <c r="E331" s="21"/>
      <c r="F331" s="69" t="s">
        <v>4</v>
      </c>
      <c r="G331" s="9">
        <v>25569</v>
      </c>
      <c r="H331" s="26">
        <v>64.700000000000045</v>
      </c>
      <c r="I331" s="17">
        <v>0</v>
      </c>
      <c r="J331" s="17">
        <v>0</v>
      </c>
      <c r="K331" s="17">
        <f t="shared" si="38"/>
        <v>64.700000000000045</v>
      </c>
      <c r="L331" s="23">
        <f t="shared" si="36"/>
        <v>3.2350000000000025</v>
      </c>
      <c r="M331" s="23">
        <v>30</v>
      </c>
      <c r="N331" s="18">
        <f t="shared" si="40"/>
        <v>51.284931506849318</v>
      </c>
      <c r="O331" s="23">
        <v>1229.3</v>
      </c>
      <c r="P331" s="18">
        <f t="shared" si="41"/>
        <v>51.786301369863011</v>
      </c>
      <c r="Q331" s="18">
        <v>0</v>
      </c>
      <c r="R331" s="18">
        <f t="shared" si="39"/>
        <v>1229.3</v>
      </c>
      <c r="S331" s="18">
        <f t="shared" si="37"/>
        <v>3.2350000000000025</v>
      </c>
    </row>
    <row r="332" spans="1:19" ht="18.75" customHeight="1" x14ac:dyDescent="0.25">
      <c r="A332" s="14">
        <f t="shared" si="42"/>
        <v>329</v>
      </c>
      <c r="B332" s="21" t="s">
        <v>333</v>
      </c>
      <c r="C332" s="15" t="s">
        <v>3</v>
      </c>
      <c r="D332" s="21" t="s">
        <v>56</v>
      </c>
      <c r="E332" s="21"/>
      <c r="F332" s="69" t="s">
        <v>4</v>
      </c>
      <c r="G332" s="9">
        <v>25569</v>
      </c>
      <c r="H332" s="26">
        <v>54.799999999999955</v>
      </c>
      <c r="I332" s="17">
        <v>0</v>
      </c>
      <c r="J332" s="17">
        <v>0</v>
      </c>
      <c r="K332" s="17">
        <f t="shared" si="38"/>
        <v>54.799999999999955</v>
      </c>
      <c r="L332" s="23">
        <f t="shared" si="36"/>
        <v>2.739999999999998</v>
      </c>
      <c r="M332" s="23">
        <v>30</v>
      </c>
      <c r="N332" s="18">
        <f t="shared" si="40"/>
        <v>51.284931506849318</v>
      </c>
      <c r="O332" s="23">
        <v>1041.2</v>
      </c>
      <c r="P332" s="18">
        <f t="shared" si="41"/>
        <v>51.786301369863011</v>
      </c>
      <c r="Q332" s="18">
        <v>0</v>
      </c>
      <c r="R332" s="18">
        <f t="shared" si="39"/>
        <v>1041.2</v>
      </c>
      <c r="S332" s="18">
        <f t="shared" si="37"/>
        <v>2.739999999999998</v>
      </c>
    </row>
    <row r="333" spans="1:19" ht="18.75" customHeight="1" x14ac:dyDescent="0.25">
      <c r="A333" s="14">
        <f t="shared" si="42"/>
        <v>330</v>
      </c>
      <c r="B333" s="21" t="s">
        <v>334</v>
      </c>
      <c r="C333" s="15" t="s">
        <v>3</v>
      </c>
      <c r="D333" s="21" t="s">
        <v>56</v>
      </c>
      <c r="E333" s="21"/>
      <c r="F333" s="69" t="s">
        <v>4</v>
      </c>
      <c r="G333" s="9">
        <v>25569</v>
      </c>
      <c r="H333" s="26">
        <v>50.649999999999977</v>
      </c>
      <c r="I333" s="17">
        <v>0</v>
      </c>
      <c r="J333" s="17">
        <v>0</v>
      </c>
      <c r="K333" s="17">
        <f t="shared" si="38"/>
        <v>50.649999999999977</v>
      </c>
      <c r="L333" s="23">
        <f t="shared" si="36"/>
        <v>2.5324999999999989</v>
      </c>
      <c r="M333" s="23">
        <v>30</v>
      </c>
      <c r="N333" s="18">
        <f t="shared" si="40"/>
        <v>51.284931506849318</v>
      </c>
      <c r="O333" s="23">
        <v>962.35</v>
      </c>
      <c r="P333" s="18">
        <f t="shared" si="41"/>
        <v>51.786301369863011</v>
      </c>
      <c r="Q333" s="18">
        <v>0</v>
      </c>
      <c r="R333" s="18">
        <f t="shared" si="39"/>
        <v>962.35</v>
      </c>
      <c r="S333" s="18">
        <f t="shared" si="37"/>
        <v>2.5324999999999989</v>
      </c>
    </row>
    <row r="334" spans="1:19" ht="18.75" customHeight="1" x14ac:dyDescent="0.25">
      <c r="A334" s="14">
        <f t="shared" si="42"/>
        <v>331</v>
      </c>
      <c r="B334" s="21" t="s">
        <v>335</v>
      </c>
      <c r="C334" s="15" t="s">
        <v>3</v>
      </c>
      <c r="D334" s="21" t="s">
        <v>56</v>
      </c>
      <c r="E334" s="21"/>
      <c r="F334" s="69" t="s">
        <v>7</v>
      </c>
      <c r="G334" s="9">
        <v>25569</v>
      </c>
      <c r="H334" s="26">
        <v>47.350000000000023</v>
      </c>
      <c r="I334" s="17">
        <v>0</v>
      </c>
      <c r="J334" s="17">
        <v>0</v>
      </c>
      <c r="K334" s="17">
        <f t="shared" si="38"/>
        <v>47.350000000000023</v>
      </c>
      <c r="L334" s="23">
        <f t="shared" si="36"/>
        <v>2.367500000000001</v>
      </c>
      <c r="M334" s="23">
        <v>30</v>
      </c>
      <c r="N334" s="18">
        <f t="shared" si="40"/>
        <v>51.284931506849318</v>
      </c>
      <c r="O334" s="23">
        <v>899.65</v>
      </c>
      <c r="P334" s="18">
        <f t="shared" si="41"/>
        <v>51.786301369863011</v>
      </c>
      <c r="Q334" s="18">
        <v>0</v>
      </c>
      <c r="R334" s="18">
        <f t="shared" si="39"/>
        <v>899.65</v>
      </c>
      <c r="S334" s="18">
        <f t="shared" si="37"/>
        <v>2.367500000000001</v>
      </c>
    </row>
    <row r="335" spans="1:19" ht="18.75" customHeight="1" x14ac:dyDescent="0.25">
      <c r="A335" s="14">
        <f t="shared" si="42"/>
        <v>332</v>
      </c>
      <c r="B335" s="21" t="s">
        <v>336</v>
      </c>
      <c r="C335" s="15" t="s">
        <v>3</v>
      </c>
      <c r="D335" s="21" t="s">
        <v>56</v>
      </c>
      <c r="E335" s="21"/>
      <c r="F335" s="70" t="s">
        <v>7</v>
      </c>
      <c r="G335" s="9">
        <v>25569</v>
      </c>
      <c r="H335" s="26">
        <v>39.399999999999977</v>
      </c>
      <c r="I335" s="17">
        <v>0</v>
      </c>
      <c r="J335" s="17">
        <v>0</v>
      </c>
      <c r="K335" s="17">
        <f t="shared" si="38"/>
        <v>39.399999999999977</v>
      </c>
      <c r="L335" s="23">
        <f t="shared" si="36"/>
        <v>1.9699999999999989</v>
      </c>
      <c r="M335" s="23">
        <v>30</v>
      </c>
      <c r="N335" s="18">
        <f t="shared" si="40"/>
        <v>51.284931506849318</v>
      </c>
      <c r="O335" s="23">
        <v>748.6</v>
      </c>
      <c r="P335" s="18">
        <f t="shared" si="41"/>
        <v>51.786301369863011</v>
      </c>
      <c r="Q335" s="18">
        <v>0</v>
      </c>
      <c r="R335" s="18">
        <f t="shared" si="39"/>
        <v>748.6</v>
      </c>
      <c r="S335" s="18">
        <f t="shared" si="37"/>
        <v>1.9699999999999989</v>
      </c>
    </row>
    <row r="336" spans="1:19" ht="18.75" customHeight="1" x14ac:dyDescent="0.25">
      <c r="A336" s="14">
        <f t="shared" si="42"/>
        <v>333</v>
      </c>
      <c r="B336" s="21" t="s">
        <v>337</v>
      </c>
      <c r="C336" s="15" t="s">
        <v>3</v>
      </c>
      <c r="D336" s="21" t="s">
        <v>56</v>
      </c>
      <c r="E336" s="21"/>
      <c r="F336" s="69" t="s">
        <v>4</v>
      </c>
      <c r="G336" s="9">
        <v>25569</v>
      </c>
      <c r="H336" s="26">
        <v>38.399999999999977</v>
      </c>
      <c r="I336" s="17">
        <v>0</v>
      </c>
      <c r="J336" s="17">
        <v>0</v>
      </c>
      <c r="K336" s="17">
        <f t="shared" si="38"/>
        <v>38.399999999999977</v>
      </c>
      <c r="L336" s="23">
        <f t="shared" si="36"/>
        <v>1.919999999999999</v>
      </c>
      <c r="M336" s="23">
        <v>30</v>
      </c>
      <c r="N336" s="18">
        <f t="shared" si="40"/>
        <v>51.284931506849318</v>
      </c>
      <c r="O336" s="23">
        <v>729.6</v>
      </c>
      <c r="P336" s="18">
        <f t="shared" si="41"/>
        <v>51.786301369863011</v>
      </c>
      <c r="Q336" s="18">
        <v>0</v>
      </c>
      <c r="R336" s="18">
        <f t="shared" si="39"/>
        <v>729.6</v>
      </c>
      <c r="S336" s="18">
        <f t="shared" si="37"/>
        <v>1.919999999999999</v>
      </c>
    </row>
    <row r="337" spans="1:19" ht="18.75" customHeight="1" x14ac:dyDescent="0.25">
      <c r="A337" s="14">
        <f t="shared" si="42"/>
        <v>334</v>
      </c>
      <c r="B337" s="21" t="s">
        <v>338</v>
      </c>
      <c r="C337" s="15" t="s">
        <v>3</v>
      </c>
      <c r="D337" s="21" t="s">
        <v>56</v>
      </c>
      <c r="E337" s="21"/>
      <c r="F337" s="69" t="s">
        <v>4</v>
      </c>
      <c r="G337" s="9">
        <v>25569</v>
      </c>
      <c r="H337" s="26">
        <v>37.399999999999977</v>
      </c>
      <c r="I337" s="17">
        <v>0</v>
      </c>
      <c r="J337" s="17">
        <v>0</v>
      </c>
      <c r="K337" s="17">
        <f t="shared" si="38"/>
        <v>37.399999999999977</v>
      </c>
      <c r="L337" s="23">
        <f t="shared" si="36"/>
        <v>1.869999999999999</v>
      </c>
      <c r="M337" s="23">
        <v>30</v>
      </c>
      <c r="N337" s="18">
        <f t="shared" si="40"/>
        <v>51.284931506849318</v>
      </c>
      <c r="O337" s="23">
        <v>710.6</v>
      </c>
      <c r="P337" s="18">
        <f t="shared" si="41"/>
        <v>51.786301369863011</v>
      </c>
      <c r="Q337" s="18">
        <v>0</v>
      </c>
      <c r="R337" s="18">
        <f t="shared" si="39"/>
        <v>710.6</v>
      </c>
      <c r="S337" s="18">
        <f t="shared" si="37"/>
        <v>1.869999999999999</v>
      </c>
    </row>
    <row r="338" spans="1:19" ht="18.75" customHeight="1" x14ac:dyDescent="0.25">
      <c r="A338" s="14">
        <f t="shared" si="42"/>
        <v>335</v>
      </c>
      <c r="B338" s="21" t="s">
        <v>339</v>
      </c>
      <c r="C338" s="15" t="s">
        <v>3</v>
      </c>
      <c r="D338" s="21" t="s">
        <v>56</v>
      </c>
      <c r="E338" s="21"/>
      <c r="F338" s="69" t="s">
        <v>4</v>
      </c>
      <c r="G338" s="9">
        <v>25569</v>
      </c>
      <c r="H338" s="26">
        <v>35.600000000000023</v>
      </c>
      <c r="I338" s="17">
        <v>0</v>
      </c>
      <c r="J338" s="17">
        <v>0</v>
      </c>
      <c r="K338" s="17">
        <f t="shared" si="38"/>
        <v>35.600000000000023</v>
      </c>
      <c r="L338" s="23">
        <f t="shared" si="36"/>
        <v>1.7800000000000011</v>
      </c>
      <c r="M338" s="23">
        <v>30</v>
      </c>
      <c r="N338" s="18">
        <f t="shared" si="40"/>
        <v>51.284931506849318</v>
      </c>
      <c r="O338" s="23">
        <v>676.4</v>
      </c>
      <c r="P338" s="18">
        <f t="shared" si="41"/>
        <v>51.786301369863011</v>
      </c>
      <c r="Q338" s="18">
        <v>0</v>
      </c>
      <c r="R338" s="18">
        <f t="shared" si="39"/>
        <v>676.4</v>
      </c>
      <c r="S338" s="18">
        <f t="shared" si="37"/>
        <v>1.7800000000000011</v>
      </c>
    </row>
    <row r="339" spans="1:19" ht="18.75" customHeight="1" x14ac:dyDescent="0.25">
      <c r="A339" s="14">
        <f t="shared" si="42"/>
        <v>336</v>
      </c>
      <c r="B339" s="21" t="s">
        <v>340</v>
      </c>
      <c r="C339" s="15" t="s">
        <v>3</v>
      </c>
      <c r="D339" s="21" t="s">
        <v>56</v>
      </c>
      <c r="E339" s="21"/>
      <c r="F339" s="69" t="s">
        <v>4</v>
      </c>
      <c r="G339" s="9">
        <v>25569</v>
      </c>
      <c r="H339" s="26">
        <v>23.5</v>
      </c>
      <c r="I339" s="17">
        <v>0</v>
      </c>
      <c r="J339" s="17">
        <v>0</v>
      </c>
      <c r="K339" s="17">
        <f t="shared" si="38"/>
        <v>23.5</v>
      </c>
      <c r="L339" s="23">
        <f t="shared" si="36"/>
        <v>1.175</v>
      </c>
      <c r="M339" s="23">
        <v>30</v>
      </c>
      <c r="N339" s="18">
        <f t="shared" si="40"/>
        <v>51.284931506849318</v>
      </c>
      <c r="O339" s="23">
        <v>446.5</v>
      </c>
      <c r="P339" s="18">
        <f t="shared" si="41"/>
        <v>51.786301369863011</v>
      </c>
      <c r="Q339" s="18">
        <v>0</v>
      </c>
      <c r="R339" s="18">
        <f t="shared" si="39"/>
        <v>446.5</v>
      </c>
      <c r="S339" s="18">
        <f t="shared" si="37"/>
        <v>1.175</v>
      </c>
    </row>
    <row r="340" spans="1:19" ht="18.75" customHeight="1" x14ac:dyDescent="0.25">
      <c r="A340" s="14">
        <f t="shared" si="42"/>
        <v>337</v>
      </c>
      <c r="B340" s="21" t="s">
        <v>341</v>
      </c>
      <c r="C340" s="15" t="s">
        <v>3</v>
      </c>
      <c r="D340" s="21" t="s">
        <v>56</v>
      </c>
      <c r="E340" s="21"/>
      <c r="F340" s="69" t="s">
        <v>4</v>
      </c>
      <c r="G340" s="9">
        <v>25569</v>
      </c>
      <c r="H340" s="26">
        <v>9.8000000000000114</v>
      </c>
      <c r="I340" s="17">
        <v>0</v>
      </c>
      <c r="J340" s="17">
        <v>0</v>
      </c>
      <c r="K340" s="17">
        <f t="shared" si="38"/>
        <v>9.8000000000000114</v>
      </c>
      <c r="L340" s="23">
        <f t="shared" si="36"/>
        <v>0.4900000000000006</v>
      </c>
      <c r="M340" s="23">
        <v>30</v>
      </c>
      <c r="N340" s="18">
        <f t="shared" si="40"/>
        <v>51.284931506849318</v>
      </c>
      <c r="O340" s="23">
        <v>186.2</v>
      </c>
      <c r="P340" s="18">
        <f t="shared" si="41"/>
        <v>51.786301369863011</v>
      </c>
      <c r="Q340" s="18">
        <v>0</v>
      </c>
      <c r="R340" s="18">
        <f t="shared" si="39"/>
        <v>186.2</v>
      </c>
      <c r="S340" s="18">
        <f t="shared" si="37"/>
        <v>0.4900000000000006</v>
      </c>
    </row>
    <row r="341" spans="1:19" ht="18.75" customHeight="1" x14ac:dyDescent="0.25">
      <c r="A341" s="14">
        <f t="shared" si="42"/>
        <v>338</v>
      </c>
      <c r="B341" s="21" t="s">
        <v>342</v>
      </c>
      <c r="C341" s="15" t="s">
        <v>3</v>
      </c>
      <c r="D341" s="21" t="s">
        <v>56</v>
      </c>
      <c r="E341" s="21"/>
      <c r="F341" s="69" t="s">
        <v>4</v>
      </c>
      <c r="G341" s="9">
        <v>25569</v>
      </c>
      <c r="H341" s="26">
        <v>4.5</v>
      </c>
      <c r="I341" s="17">
        <v>0</v>
      </c>
      <c r="J341" s="17">
        <v>0</v>
      </c>
      <c r="K341" s="17">
        <f t="shared" si="38"/>
        <v>4.5</v>
      </c>
      <c r="L341" s="23">
        <f t="shared" si="36"/>
        <v>0.22500000000000001</v>
      </c>
      <c r="M341" s="23">
        <v>30</v>
      </c>
      <c r="N341" s="18">
        <f t="shared" si="40"/>
        <v>51.284931506849318</v>
      </c>
      <c r="O341" s="23">
        <v>85.5</v>
      </c>
      <c r="P341" s="18">
        <f t="shared" si="41"/>
        <v>51.786301369863011</v>
      </c>
      <c r="Q341" s="18">
        <v>0</v>
      </c>
      <c r="R341" s="18">
        <f t="shared" si="39"/>
        <v>85.5</v>
      </c>
      <c r="S341" s="18">
        <f t="shared" si="37"/>
        <v>0.22500000000000001</v>
      </c>
    </row>
    <row r="342" spans="1:19" ht="18.75" customHeight="1" x14ac:dyDescent="0.25">
      <c r="A342" s="14">
        <f t="shared" si="42"/>
        <v>339</v>
      </c>
      <c r="B342" s="21" t="s">
        <v>343</v>
      </c>
      <c r="C342" s="15" t="s">
        <v>3</v>
      </c>
      <c r="D342" s="21" t="s">
        <v>56</v>
      </c>
      <c r="E342" s="21"/>
      <c r="F342" s="69" t="s">
        <v>7</v>
      </c>
      <c r="G342" s="9">
        <v>25204</v>
      </c>
      <c r="H342" s="26">
        <v>209.69999999999982</v>
      </c>
      <c r="I342" s="17">
        <v>0</v>
      </c>
      <c r="J342" s="17">
        <v>0</v>
      </c>
      <c r="K342" s="17">
        <f t="shared" si="38"/>
        <v>209.69999999999982</v>
      </c>
      <c r="L342" s="23">
        <f t="shared" si="36"/>
        <v>10.484999999999992</v>
      </c>
      <c r="M342" s="23">
        <v>30</v>
      </c>
      <c r="N342" s="18">
        <f t="shared" si="40"/>
        <v>52.284931506849318</v>
      </c>
      <c r="O342" s="23">
        <v>3984.3</v>
      </c>
      <c r="P342" s="18">
        <f t="shared" si="41"/>
        <v>52.786301369863011</v>
      </c>
      <c r="Q342" s="18">
        <v>0</v>
      </c>
      <c r="R342" s="18">
        <f t="shared" si="39"/>
        <v>3984.3</v>
      </c>
      <c r="S342" s="18">
        <f t="shared" si="37"/>
        <v>10.484999999999992</v>
      </c>
    </row>
    <row r="343" spans="1:19" ht="18.75" customHeight="1" x14ac:dyDescent="0.25">
      <c r="A343" s="14">
        <f t="shared" si="42"/>
        <v>340</v>
      </c>
      <c r="B343" s="21" t="s">
        <v>344</v>
      </c>
      <c r="C343" s="15" t="s">
        <v>3</v>
      </c>
      <c r="D343" s="21" t="s">
        <v>56</v>
      </c>
      <c r="E343" s="21"/>
      <c r="F343" s="69" t="s">
        <v>4</v>
      </c>
      <c r="G343" s="9">
        <v>25204</v>
      </c>
      <c r="H343" s="26">
        <v>174.90000000000009</v>
      </c>
      <c r="I343" s="17">
        <v>0</v>
      </c>
      <c r="J343" s="17">
        <v>0</v>
      </c>
      <c r="K343" s="17">
        <f t="shared" si="38"/>
        <v>174.90000000000009</v>
      </c>
      <c r="L343" s="23">
        <f t="shared" ref="L343:L406" si="43">H343*0.05</f>
        <v>8.7450000000000045</v>
      </c>
      <c r="M343" s="23">
        <v>30</v>
      </c>
      <c r="N343" s="18">
        <f t="shared" si="40"/>
        <v>52.284931506849318</v>
      </c>
      <c r="O343" s="23">
        <v>3323.1</v>
      </c>
      <c r="P343" s="18">
        <f t="shared" si="41"/>
        <v>52.786301369863011</v>
      </c>
      <c r="Q343" s="18">
        <v>0</v>
      </c>
      <c r="R343" s="18">
        <f t="shared" si="39"/>
        <v>3323.1</v>
      </c>
      <c r="S343" s="18">
        <f t="shared" ref="S343:S406" si="44">L343</f>
        <v>8.7450000000000045</v>
      </c>
    </row>
    <row r="344" spans="1:19" ht="18.75" customHeight="1" x14ac:dyDescent="0.25">
      <c r="A344" s="14">
        <f t="shared" si="42"/>
        <v>341</v>
      </c>
      <c r="B344" s="21" t="s">
        <v>345</v>
      </c>
      <c r="C344" s="15" t="s">
        <v>3</v>
      </c>
      <c r="D344" s="21" t="s">
        <v>56</v>
      </c>
      <c r="E344" s="21"/>
      <c r="F344" s="69" t="s">
        <v>4</v>
      </c>
      <c r="G344" s="9">
        <v>25204</v>
      </c>
      <c r="H344" s="26">
        <v>155.44999999999982</v>
      </c>
      <c r="I344" s="17">
        <v>0</v>
      </c>
      <c r="J344" s="17">
        <v>0</v>
      </c>
      <c r="K344" s="17">
        <f t="shared" si="38"/>
        <v>155.44999999999982</v>
      </c>
      <c r="L344" s="23">
        <f t="shared" si="43"/>
        <v>7.7724999999999911</v>
      </c>
      <c r="M344" s="23">
        <v>30</v>
      </c>
      <c r="N344" s="18">
        <f t="shared" si="40"/>
        <v>52.284931506849318</v>
      </c>
      <c r="O344" s="23">
        <v>2953.55</v>
      </c>
      <c r="P344" s="18">
        <f t="shared" si="41"/>
        <v>52.786301369863011</v>
      </c>
      <c r="Q344" s="18">
        <v>0</v>
      </c>
      <c r="R344" s="18">
        <f t="shared" si="39"/>
        <v>2953.55</v>
      </c>
      <c r="S344" s="18">
        <f t="shared" si="44"/>
        <v>7.7724999999999911</v>
      </c>
    </row>
    <row r="345" spans="1:19" ht="18.75" customHeight="1" x14ac:dyDescent="0.25">
      <c r="A345" s="14">
        <f t="shared" si="42"/>
        <v>342</v>
      </c>
      <c r="B345" s="21" t="s">
        <v>320</v>
      </c>
      <c r="C345" s="15" t="s">
        <v>3</v>
      </c>
      <c r="D345" s="21" t="s">
        <v>56</v>
      </c>
      <c r="E345" s="21"/>
      <c r="F345" s="69" t="s">
        <v>4</v>
      </c>
      <c r="G345" s="9">
        <v>25204</v>
      </c>
      <c r="H345" s="26">
        <v>142.55000000000018</v>
      </c>
      <c r="I345" s="17">
        <v>0</v>
      </c>
      <c r="J345" s="17">
        <v>0</v>
      </c>
      <c r="K345" s="17">
        <f t="shared" si="38"/>
        <v>142.55000000000018</v>
      </c>
      <c r="L345" s="23">
        <f t="shared" si="43"/>
        <v>7.1275000000000093</v>
      </c>
      <c r="M345" s="23">
        <v>30</v>
      </c>
      <c r="N345" s="18">
        <f t="shared" si="40"/>
        <v>52.284931506849318</v>
      </c>
      <c r="O345" s="23">
        <v>2708.45</v>
      </c>
      <c r="P345" s="18">
        <f t="shared" si="41"/>
        <v>52.786301369863011</v>
      </c>
      <c r="Q345" s="18">
        <v>0</v>
      </c>
      <c r="R345" s="18">
        <f t="shared" si="39"/>
        <v>2708.45</v>
      </c>
      <c r="S345" s="18">
        <f t="shared" si="44"/>
        <v>7.1275000000000093</v>
      </c>
    </row>
    <row r="346" spans="1:19" ht="18.75" customHeight="1" x14ac:dyDescent="0.25">
      <c r="A346" s="14">
        <f t="shared" si="42"/>
        <v>343</v>
      </c>
      <c r="B346" s="21" t="s">
        <v>346</v>
      </c>
      <c r="C346" s="15" t="s">
        <v>3</v>
      </c>
      <c r="D346" s="21" t="s">
        <v>56</v>
      </c>
      <c r="E346" s="21"/>
      <c r="F346" s="69" t="s">
        <v>4</v>
      </c>
      <c r="G346" s="9">
        <v>25204</v>
      </c>
      <c r="H346" s="26">
        <v>133.15000000000009</v>
      </c>
      <c r="I346" s="17">
        <v>0</v>
      </c>
      <c r="J346" s="17">
        <v>0</v>
      </c>
      <c r="K346" s="17">
        <f t="shared" si="38"/>
        <v>133.15000000000009</v>
      </c>
      <c r="L346" s="23">
        <f t="shared" si="43"/>
        <v>6.6575000000000051</v>
      </c>
      <c r="M346" s="23">
        <v>30</v>
      </c>
      <c r="N346" s="18">
        <f t="shared" si="40"/>
        <v>52.284931506849318</v>
      </c>
      <c r="O346" s="23">
        <v>2529.85</v>
      </c>
      <c r="P346" s="18">
        <f t="shared" si="41"/>
        <v>52.786301369863011</v>
      </c>
      <c r="Q346" s="18">
        <v>0</v>
      </c>
      <c r="R346" s="18">
        <f t="shared" si="39"/>
        <v>2529.85</v>
      </c>
      <c r="S346" s="18">
        <f t="shared" si="44"/>
        <v>6.6575000000000051</v>
      </c>
    </row>
    <row r="347" spans="1:19" ht="18.75" customHeight="1" x14ac:dyDescent="0.25">
      <c r="A347" s="14">
        <f t="shared" si="42"/>
        <v>344</v>
      </c>
      <c r="B347" s="21" t="s">
        <v>347</v>
      </c>
      <c r="C347" s="15" t="s">
        <v>3</v>
      </c>
      <c r="D347" s="21" t="s">
        <v>56</v>
      </c>
      <c r="E347" s="21"/>
      <c r="F347" s="69" t="s">
        <v>4</v>
      </c>
      <c r="G347" s="9">
        <v>25204</v>
      </c>
      <c r="H347" s="26">
        <v>118.65000000000009</v>
      </c>
      <c r="I347" s="17">
        <v>0</v>
      </c>
      <c r="J347" s="17">
        <v>0</v>
      </c>
      <c r="K347" s="17">
        <f t="shared" si="38"/>
        <v>118.65000000000009</v>
      </c>
      <c r="L347" s="23">
        <f t="shared" si="43"/>
        <v>5.9325000000000045</v>
      </c>
      <c r="M347" s="23">
        <v>30</v>
      </c>
      <c r="N347" s="18">
        <f t="shared" si="40"/>
        <v>52.284931506849318</v>
      </c>
      <c r="O347" s="23">
        <v>2254.35</v>
      </c>
      <c r="P347" s="18">
        <f t="shared" si="41"/>
        <v>52.786301369863011</v>
      </c>
      <c r="Q347" s="18">
        <v>0</v>
      </c>
      <c r="R347" s="18">
        <f t="shared" si="39"/>
        <v>2254.35</v>
      </c>
      <c r="S347" s="18">
        <f t="shared" si="44"/>
        <v>5.9325000000000045</v>
      </c>
    </row>
    <row r="348" spans="1:19" ht="18.75" customHeight="1" x14ac:dyDescent="0.25">
      <c r="A348" s="14">
        <f t="shared" si="42"/>
        <v>345</v>
      </c>
      <c r="B348" s="21" t="s">
        <v>348</v>
      </c>
      <c r="C348" s="15" t="s">
        <v>3</v>
      </c>
      <c r="D348" s="21" t="s">
        <v>56</v>
      </c>
      <c r="E348" s="21"/>
      <c r="F348" s="69" t="s">
        <v>4</v>
      </c>
      <c r="G348" s="9">
        <v>25204</v>
      </c>
      <c r="H348" s="26">
        <v>97.5</v>
      </c>
      <c r="I348" s="17">
        <v>0</v>
      </c>
      <c r="J348" s="17">
        <v>0</v>
      </c>
      <c r="K348" s="17">
        <f t="shared" si="38"/>
        <v>97.5</v>
      </c>
      <c r="L348" s="23">
        <f t="shared" si="43"/>
        <v>4.875</v>
      </c>
      <c r="M348" s="23">
        <v>30</v>
      </c>
      <c r="N348" s="18">
        <f t="shared" si="40"/>
        <v>52.284931506849318</v>
      </c>
      <c r="O348" s="23">
        <v>1852.5</v>
      </c>
      <c r="P348" s="18">
        <f t="shared" si="41"/>
        <v>52.786301369863011</v>
      </c>
      <c r="Q348" s="18">
        <v>0</v>
      </c>
      <c r="R348" s="18">
        <f t="shared" si="39"/>
        <v>1852.5</v>
      </c>
      <c r="S348" s="18">
        <f t="shared" si="44"/>
        <v>4.875</v>
      </c>
    </row>
    <row r="349" spans="1:19" ht="18.75" customHeight="1" x14ac:dyDescent="0.25">
      <c r="A349" s="14">
        <f t="shared" si="42"/>
        <v>346</v>
      </c>
      <c r="B349" s="21" t="s">
        <v>349</v>
      </c>
      <c r="C349" s="15" t="s">
        <v>3</v>
      </c>
      <c r="D349" s="21" t="s">
        <v>56</v>
      </c>
      <c r="E349" s="21"/>
      <c r="F349" s="69" t="s">
        <v>4</v>
      </c>
      <c r="G349" s="9">
        <v>25204</v>
      </c>
      <c r="H349" s="26">
        <v>82.450000000000045</v>
      </c>
      <c r="I349" s="17">
        <v>0</v>
      </c>
      <c r="J349" s="17">
        <v>0</v>
      </c>
      <c r="K349" s="17">
        <f t="shared" si="38"/>
        <v>82.450000000000045</v>
      </c>
      <c r="L349" s="23">
        <f t="shared" si="43"/>
        <v>4.1225000000000023</v>
      </c>
      <c r="M349" s="23">
        <v>30</v>
      </c>
      <c r="N349" s="18">
        <f t="shared" si="40"/>
        <v>52.284931506849318</v>
      </c>
      <c r="O349" s="23">
        <v>1566.55</v>
      </c>
      <c r="P349" s="18">
        <f t="shared" si="41"/>
        <v>52.786301369863011</v>
      </c>
      <c r="Q349" s="18">
        <v>0</v>
      </c>
      <c r="R349" s="18">
        <f t="shared" si="39"/>
        <v>1566.55</v>
      </c>
      <c r="S349" s="18">
        <f t="shared" si="44"/>
        <v>4.1225000000000023</v>
      </c>
    </row>
    <row r="350" spans="1:19" ht="18.75" customHeight="1" x14ac:dyDescent="0.25">
      <c r="A350" s="14">
        <f t="shared" si="42"/>
        <v>347</v>
      </c>
      <c r="B350" s="21" t="s">
        <v>350</v>
      </c>
      <c r="C350" s="15" t="s">
        <v>3</v>
      </c>
      <c r="D350" s="21" t="s">
        <v>56</v>
      </c>
      <c r="E350" s="21"/>
      <c r="F350" s="69" t="s">
        <v>4</v>
      </c>
      <c r="G350" s="9">
        <v>25204</v>
      </c>
      <c r="H350" s="26">
        <v>27.399999999999977</v>
      </c>
      <c r="I350" s="17">
        <v>0</v>
      </c>
      <c r="J350" s="17">
        <v>0</v>
      </c>
      <c r="K350" s="17">
        <f t="shared" si="38"/>
        <v>27.399999999999977</v>
      </c>
      <c r="L350" s="23">
        <f t="shared" si="43"/>
        <v>1.369999999999999</v>
      </c>
      <c r="M350" s="23">
        <v>30</v>
      </c>
      <c r="N350" s="18">
        <f t="shared" si="40"/>
        <v>52.284931506849318</v>
      </c>
      <c r="O350" s="23">
        <v>520.6</v>
      </c>
      <c r="P350" s="18">
        <f t="shared" si="41"/>
        <v>52.786301369863011</v>
      </c>
      <c r="Q350" s="18">
        <v>0</v>
      </c>
      <c r="R350" s="18">
        <f t="shared" si="39"/>
        <v>520.6</v>
      </c>
      <c r="S350" s="18">
        <f t="shared" si="44"/>
        <v>1.369999999999999</v>
      </c>
    </row>
    <row r="351" spans="1:19" ht="18.75" customHeight="1" x14ac:dyDescent="0.25">
      <c r="A351" s="14">
        <f t="shared" si="42"/>
        <v>348</v>
      </c>
      <c r="B351" s="21" t="s">
        <v>351</v>
      </c>
      <c r="C351" s="15" t="s">
        <v>3</v>
      </c>
      <c r="D351" s="21" t="s">
        <v>56</v>
      </c>
      <c r="E351" s="21"/>
      <c r="F351" s="70" t="s">
        <v>7</v>
      </c>
      <c r="G351" s="9">
        <v>25204</v>
      </c>
      <c r="H351" s="26">
        <v>24.899999999999977</v>
      </c>
      <c r="I351" s="17">
        <v>0</v>
      </c>
      <c r="J351" s="17">
        <v>0</v>
      </c>
      <c r="K351" s="17">
        <f t="shared" si="38"/>
        <v>24.899999999999977</v>
      </c>
      <c r="L351" s="23">
        <f t="shared" si="43"/>
        <v>1.244999999999999</v>
      </c>
      <c r="M351" s="23">
        <v>30</v>
      </c>
      <c r="N351" s="18">
        <f t="shared" si="40"/>
        <v>52.284931506849318</v>
      </c>
      <c r="O351" s="23">
        <v>473.1</v>
      </c>
      <c r="P351" s="18">
        <f t="shared" si="41"/>
        <v>52.786301369863011</v>
      </c>
      <c r="Q351" s="18">
        <v>0</v>
      </c>
      <c r="R351" s="18">
        <f t="shared" si="39"/>
        <v>473.1</v>
      </c>
      <c r="S351" s="18">
        <f t="shared" si="44"/>
        <v>1.244999999999999</v>
      </c>
    </row>
    <row r="352" spans="1:19" ht="18.75" customHeight="1" x14ac:dyDescent="0.25">
      <c r="A352" s="14">
        <f t="shared" si="42"/>
        <v>349</v>
      </c>
      <c r="B352" s="21" t="s">
        <v>352</v>
      </c>
      <c r="C352" s="15" t="s">
        <v>3</v>
      </c>
      <c r="D352" s="21" t="s">
        <v>56</v>
      </c>
      <c r="E352" s="21"/>
      <c r="F352" s="69" t="s">
        <v>4</v>
      </c>
      <c r="G352" s="9">
        <v>25204</v>
      </c>
      <c r="H352" s="26">
        <v>13.550000000000011</v>
      </c>
      <c r="I352" s="17">
        <v>0</v>
      </c>
      <c r="J352" s="17">
        <v>0</v>
      </c>
      <c r="K352" s="17">
        <f t="shared" si="38"/>
        <v>13.550000000000011</v>
      </c>
      <c r="L352" s="23">
        <f t="shared" si="43"/>
        <v>0.67750000000000066</v>
      </c>
      <c r="M352" s="23">
        <v>30</v>
      </c>
      <c r="N352" s="18">
        <f t="shared" si="40"/>
        <v>52.284931506849318</v>
      </c>
      <c r="O352" s="23">
        <v>257.45</v>
      </c>
      <c r="P352" s="18">
        <f t="shared" si="41"/>
        <v>52.786301369863011</v>
      </c>
      <c r="Q352" s="18">
        <v>0</v>
      </c>
      <c r="R352" s="18">
        <f t="shared" si="39"/>
        <v>257.45</v>
      </c>
      <c r="S352" s="18">
        <f t="shared" si="44"/>
        <v>0.67750000000000066</v>
      </c>
    </row>
    <row r="353" spans="1:19" ht="18.75" customHeight="1" x14ac:dyDescent="0.25">
      <c r="A353" s="14">
        <f t="shared" si="42"/>
        <v>350</v>
      </c>
      <c r="B353" s="21" t="s">
        <v>353</v>
      </c>
      <c r="C353" s="15" t="s">
        <v>3</v>
      </c>
      <c r="D353" s="21" t="s">
        <v>56</v>
      </c>
      <c r="E353" s="21"/>
      <c r="F353" s="69" t="s">
        <v>6</v>
      </c>
      <c r="G353" s="9">
        <v>25204</v>
      </c>
      <c r="H353" s="26">
        <v>7</v>
      </c>
      <c r="I353" s="17">
        <v>0</v>
      </c>
      <c r="J353" s="17">
        <v>0</v>
      </c>
      <c r="K353" s="17">
        <f t="shared" si="38"/>
        <v>7</v>
      </c>
      <c r="L353" s="23">
        <f t="shared" si="43"/>
        <v>0.35000000000000003</v>
      </c>
      <c r="M353" s="23">
        <v>30</v>
      </c>
      <c r="N353" s="18">
        <f t="shared" si="40"/>
        <v>52.284931506849318</v>
      </c>
      <c r="O353" s="23">
        <v>133</v>
      </c>
      <c r="P353" s="18">
        <f t="shared" si="41"/>
        <v>52.786301369863011</v>
      </c>
      <c r="Q353" s="18">
        <v>0</v>
      </c>
      <c r="R353" s="18">
        <f t="shared" si="39"/>
        <v>133</v>
      </c>
      <c r="S353" s="18">
        <f t="shared" si="44"/>
        <v>0.35000000000000003</v>
      </c>
    </row>
    <row r="354" spans="1:19" ht="18.75" customHeight="1" x14ac:dyDescent="0.25">
      <c r="A354" s="14">
        <f t="shared" si="42"/>
        <v>351</v>
      </c>
      <c r="B354" s="21" t="s">
        <v>354</v>
      </c>
      <c r="C354" s="15" t="s">
        <v>3</v>
      </c>
      <c r="D354" s="21" t="s">
        <v>56</v>
      </c>
      <c r="E354" s="21"/>
      <c r="F354" s="69" t="s">
        <v>4</v>
      </c>
      <c r="G354" s="9">
        <v>25204</v>
      </c>
      <c r="H354" s="26">
        <v>6.2000000000000028</v>
      </c>
      <c r="I354" s="17">
        <v>0</v>
      </c>
      <c r="J354" s="17">
        <v>0</v>
      </c>
      <c r="K354" s="17">
        <f t="shared" si="38"/>
        <v>6.2000000000000028</v>
      </c>
      <c r="L354" s="23">
        <f t="shared" si="43"/>
        <v>0.31000000000000016</v>
      </c>
      <c r="M354" s="23">
        <v>30</v>
      </c>
      <c r="N354" s="18">
        <f t="shared" si="40"/>
        <v>52.284931506849318</v>
      </c>
      <c r="O354" s="23">
        <v>117.8</v>
      </c>
      <c r="P354" s="18">
        <f t="shared" si="41"/>
        <v>52.786301369863011</v>
      </c>
      <c r="Q354" s="18">
        <v>0</v>
      </c>
      <c r="R354" s="18">
        <f t="shared" si="39"/>
        <v>117.8</v>
      </c>
      <c r="S354" s="18">
        <f t="shared" si="44"/>
        <v>0.31000000000000016</v>
      </c>
    </row>
    <row r="355" spans="1:19" ht="18.75" customHeight="1" x14ac:dyDescent="0.25">
      <c r="A355" s="14">
        <f t="shared" si="42"/>
        <v>352</v>
      </c>
      <c r="B355" s="21" t="s">
        <v>355</v>
      </c>
      <c r="C355" s="15" t="s">
        <v>3</v>
      </c>
      <c r="D355" s="21" t="s">
        <v>56</v>
      </c>
      <c r="E355" s="21"/>
      <c r="F355" s="69" t="s">
        <v>4</v>
      </c>
      <c r="G355" s="9">
        <v>25204</v>
      </c>
      <c r="H355" s="26">
        <v>5.2999999999999972</v>
      </c>
      <c r="I355" s="17">
        <v>0</v>
      </c>
      <c r="J355" s="17">
        <v>0</v>
      </c>
      <c r="K355" s="17">
        <f t="shared" si="38"/>
        <v>5.2999999999999972</v>
      </c>
      <c r="L355" s="23">
        <f t="shared" si="43"/>
        <v>0.26499999999999985</v>
      </c>
      <c r="M355" s="23">
        <v>30</v>
      </c>
      <c r="N355" s="18">
        <f t="shared" si="40"/>
        <v>52.284931506849318</v>
      </c>
      <c r="O355" s="23">
        <v>100.7</v>
      </c>
      <c r="P355" s="18">
        <f t="shared" si="41"/>
        <v>52.786301369863011</v>
      </c>
      <c r="Q355" s="18">
        <v>0</v>
      </c>
      <c r="R355" s="18">
        <f t="shared" si="39"/>
        <v>100.7</v>
      </c>
      <c r="S355" s="18">
        <f t="shared" si="44"/>
        <v>0.26499999999999985</v>
      </c>
    </row>
    <row r="356" spans="1:19" ht="18.75" customHeight="1" x14ac:dyDescent="0.25">
      <c r="A356" s="14">
        <f t="shared" si="42"/>
        <v>353</v>
      </c>
      <c r="B356" s="21" t="s">
        <v>356</v>
      </c>
      <c r="C356" s="15" t="s">
        <v>3</v>
      </c>
      <c r="D356" s="21" t="s">
        <v>56</v>
      </c>
      <c r="E356" s="21"/>
      <c r="F356" s="69" t="s">
        <v>4</v>
      </c>
      <c r="G356" s="9">
        <v>34293</v>
      </c>
      <c r="H356" s="26">
        <v>31985</v>
      </c>
      <c r="I356" s="17">
        <v>0</v>
      </c>
      <c r="J356" s="17">
        <v>0</v>
      </c>
      <c r="K356" s="17">
        <f t="shared" si="38"/>
        <v>31985</v>
      </c>
      <c r="L356" s="23">
        <f t="shared" si="43"/>
        <v>1599.25</v>
      </c>
      <c r="M356" s="23">
        <v>5</v>
      </c>
      <c r="N356" s="18">
        <f t="shared" si="40"/>
        <v>27.383561643835616</v>
      </c>
      <c r="O356" s="23">
        <v>607715</v>
      </c>
      <c r="P356" s="18">
        <f t="shared" si="41"/>
        <v>27.884931506849316</v>
      </c>
      <c r="Q356" s="18">
        <v>0</v>
      </c>
      <c r="R356" s="18">
        <f t="shared" si="39"/>
        <v>607715</v>
      </c>
      <c r="S356" s="18">
        <f t="shared" si="44"/>
        <v>1599.25</v>
      </c>
    </row>
    <row r="357" spans="1:19" ht="18.75" customHeight="1" x14ac:dyDescent="0.25">
      <c r="A357" s="14">
        <f t="shared" si="42"/>
        <v>354</v>
      </c>
      <c r="B357" s="21" t="s">
        <v>200</v>
      </c>
      <c r="C357" s="15" t="s">
        <v>3</v>
      </c>
      <c r="D357" s="21" t="s">
        <v>56</v>
      </c>
      <c r="E357" s="21"/>
      <c r="F357" s="69" t="s">
        <v>4</v>
      </c>
      <c r="G357" s="9">
        <v>24838</v>
      </c>
      <c r="H357" s="26">
        <v>284.35000000000036</v>
      </c>
      <c r="I357" s="17">
        <v>0</v>
      </c>
      <c r="J357" s="17">
        <v>0</v>
      </c>
      <c r="K357" s="17">
        <f t="shared" si="38"/>
        <v>284.35000000000036</v>
      </c>
      <c r="L357" s="23">
        <f t="shared" si="43"/>
        <v>14.217500000000019</v>
      </c>
      <c r="M357" s="23">
        <v>30</v>
      </c>
      <c r="N357" s="18">
        <f t="shared" si="40"/>
        <v>53.287671232876711</v>
      </c>
      <c r="O357" s="23">
        <v>5402.65</v>
      </c>
      <c r="P357" s="18">
        <f t="shared" si="41"/>
        <v>53.789041095890411</v>
      </c>
      <c r="Q357" s="18">
        <v>0</v>
      </c>
      <c r="R357" s="18">
        <f t="shared" si="39"/>
        <v>5402.65</v>
      </c>
      <c r="S357" s="18">
        <f t="shared" si="44"/>
        <v>14.217500000000019</v>
      </c>
    </row>
    <row r="358" spans="1:19" ht="18.75" customHeight="1" x14ac:dyDescent="0.25">
      <c r="A358" s="14">
        <f t="shared" si="42"/>
        <v>355</v>
      </c>
      <c r="B358" s="21" t="s">
        <v>357</v>
      </c>
      <c r="C358" s="15" t="s">
        <v>3</v>
      </c>
      <c r="D358" s="21" t="s">
        <v>56</v>
      </c>
      <c r="E358" s="21"/>
      <c r="F358" s="69" t="s">
        <v>6</v>
      </c>
      <c r="G358" s="9">
        <v>24838</v>
      </c>
      <c r="H358" s="26">
        <v>116.55000000000018</v>
      </c>
      <c r="I358" s="17">
        <v>0</v>
      </c>
      <c r="J358" s="17">
        <v>0</v>
      </c>
      <c r="K358" s="17">
        <f t="shared" si="38"/>
        <v>116.55000000000018</v>
      </c>
      <c r="L358" s="23">
        <f t="shared" si="43"/>
        <v>5.8275000000000095</v>
      </c>
      <c r="M358" s="23">
        <v>30</v>
      </c>
      <c r="N358" s="18">
        <f t="shared" si="40"/>
        <v>53.287671232876711</v>
      </c>
      <c r="O358" s="23">
        <v>2214.4499999999998</v>
      </c>
      <c r="P358" s="18">
        <f t="shared" si="41"/>
        <v>53.789041095890411</v>
      </c>
      <c r="Q358" s="18">
        <v>0</v>
      </c>
      <c r="R358" s="18">
        <f t="shared" si="39"/>
        <v>2214.4499999999998</v>
      </c>
      <c r="S358" s="18">
        <f t="shared" si="44"/>
        <v>5.8275000000000095</v>
      </c>
    </row>
    <row r="359" spans="1:19" ht="18.75" customHeight="1" x14ac:dyDescent="0.25">
      <c r="A359" s="14">
        <f t="shared" si="42"/>
        <v>356</v>
      </c>
      <c r="B359" s="21" t="s">
        <v>358</v>
      </c>
      <c r="C359" s="15" t="s">
        <v>3</v>
      </c>
      <c r="D359" s="21" t="s">
        <v>56</v>
      </c>
      <c r="E359" s="21"/>
      <c r="F359" s="70" t="s">
        <v>7</v>
      </c>
      <c r="G359" s="9">
        <v>24838</v>
      </c>
      <c r="H359" s="26">
        <v>54.849999999999909</v>
      </c>
      <c r="I359" s="17">
        <v>0</v>
      </c>
      <c r="J359" s="17">
        <v>0</v>
      </c>
      <c r="K359" s="17">
        <f t="shared" si="38"/>
        <v>54.849999999999909</v>
      </c>
      <c r="L359" s="23">
        <f t="shared" si="43"/>
        <v>2.7424999999999957</v>
      </c>
      <c r="M359" s="23">
        <v>30</v>
      </c>
      <c r="N359" s="18">
        <f t="shared" si="40"/>
        <v>53.287671232876711</v>
      </c>
      <c r="O359" s="23">
        <v>1042.1500000000001</v>
      </c>
      <c r="P359" s="18">
        <f t="shared" si="41"/>
        <v>53.789041095890411</v>
      </c>
      <c r="Q359" s="18">
        <v>0</v>
      </c>
      <c r="R359" s="18">
        <f t="shared" si="39"/>
        <v>1042.1500000000001</v>
      </c>
      <c r="S359" s="18">
        <f t="shared" si="44"/>
        <v>2.7424999999999957</v>
      </c>
    </row>
    <row r="360" spans="1:19" ht="18.75" customHeight="1" x14ac:dyDescent="0.25">
      <c r="A360" s="14">
        <f t="shared" si="42"/>
        <v>357</v>
      </c>
      <c r="B360" s="21" t="s">
        <v>359</v>
      </c>
      <c r="C360" s="15" t="s">
        <v>3</v>
      </c>
      <c r="D360" s="21" t="s">
        <v>56</v>
      </c>
      <c r="E360" s="21"/>
      <c r="F360" s="69" t="s">
        <v>6</v>
      </c>
      <c r="G360" s="9">
        <v>24838</v>
      </c>
      <c r="H360" s="26">
        <v>44.850000000000023</v>
      </c>
      <c r="I360" s="17">
        <v>0</v>
      </c>
      <c r="J360" s="17">
        <v>0</v>
      </c>
      <c r="K360" s="17">
        <f t="shared" si="38"/>
        <v>44.850000000000023</v>
      </c>
      <c r="L360" s="23">
        <f t="shared" si="43"/>
        <v>2.242500000000001</v>
      </c>
      <c r="M360" s="23">
        <v>30</v>
      </c>
      <c r="N360" s="18">
        <f t="shared" si="40"/>
        <v>53.287671232876711</v>
      </c>
      <c r="O360" s="23">
        <v>852.15</v>
      </c>
      <c r="P360" s="18">
        <f t="shared" si="41"/>
        <v>53.789041095890411</v>
      </c>
      <c r="Q360" s="18">
        <v>0</v>
      </c>
      <c r="R360" s="18">
        <f t="shared" si="39"/>
        <v>852.15</v>
      </c>
      <c r="S360" s="18">
        <f t="shared" si="44"/>
        <v>2.242500000000001</v>
      </c>
    </row>
    <row r="361" spans="1:19" ht="18.75" customHeight="1" x14ac:dyDescent="0.25">
      <c r="A361" s="14">
        <f t="shared" si="42"/>
        <v>358</v>
      </c>
      <c r="B361" s="21" t="s">
        <v>360</v>
      </c>
      <c r="C361" s="15" t="s">
        <v>3</v>
      </c>
      <c r="D361" s="21" t="s">
        <v>56</v>
      </c>
      <c r="E361" s="21"/>
      <c r="F361" s="69" t="s">
        <v>4</v>
      </c>
      <c r="G361" s="9">
        <v>24838</v>
      </c>
      <c r="H361" s="26">
        <v>38.350000000000023</v>
      </c>
      <c r="I361" s="17">
        <v>0</v>
      </c>
      <c r="J361" s="17">
        <v>0</v>
      </c>
      <c r="K361" s="17">
        <f t="shared" si="38"/>
        <v>38.350000000000023</v>
      </c>
      <c r="L361" s="23">
        <f t="shared" si="43"/>
        <v>1.9175000000000013</v>
      </c>
      <c r="M361" s="23">
        <v>30</v>
      </c>
      <c r="N361" s="18">
        <f t="shared" si="40"/>
        <v>53.287671232876711</v>
      </c>
      <c r="O361" s="23">
        <v>728.65</v>
      </c>
      <c r="P361" s="18">
        <f t="shared" si="41"/>
        <v>53.789041095890411</v>
      </c>
      <c r="Q361" s="18">
        <v>0</v>
      </c>
      <c r="R361" s="18">
        <f t="shared" si="39"/>
        <v>728.65</v>
      </c>
      <c r="S361" s="18">
        <f t="shared" si="44"/>
        <v>1.9175000000000013</v>
      </c>
    </row>
    <row r="362" spans="1:19" ht="18.75" customHeight="1" x14ac:dyDescent="0.25">
      <c r="A362" s="14">
        <f t="shared" si="42"/>
        <v>359</v>
      </c>
      <c r="B362" s="21" t="s">
        <v>361</v>
      </c>
      <c r="C362" s="15" t="s">
        <v>3</v>
      </c>
      <c r="D362" s="21" t="s">
        <v>56</v>
      </c>
      <c r="E362" s="21"/>
      <c r="F362" s="69" t="s">
        <v>4</v>
      </c>
      <c r="G362" s="9">
        <v>24838</v>
      </c>
      <c r="H362" s="26">
        <v>31.049999999999955</v>
      </c>
      <c r="I362" s="17">
        <v>0</v>
      </c>
      <c r="J362" s="17">
        <v>0</v>
      </c>
      <c r="K362" s="17">
        <f t="shared" si="38"/>
        <v>31.049999999999955</v>
      </c>
      <c r="L362" s="23">
        <f t="shared" si="43"/>
        <v>1.5524999999999978</v>
      </c>
      <c r="M362" s="23">
        <v>30</v>
      </c>
      <c r="N362" s="18">
        <f t="shared" si="40"/>
        <v>53.287671232876711</v>
      </c>
      <c r="O362" s="23">
        <v>589.95000000000005</v>
      </c>
      <c r="P362" s="18">
        <f t="shared" si="41"/>
        <v>53.789041095890411</v>
      </c>
      <c r="Q362" s="18">
        <v>0</v>
      </c>
      <c r="R362" s="18">
        <f t="shared" si="39"/>
        <v>589.95000000000005</v>
      </c>
      <c r="S362" s="18">
        <f t="shared" si="44"/>
        <v>1.5524999999999978</v>
      </c>
    </row>
    <row r="363" spans="1:19" ht="18.75" customHeight="1" x14ac:dyDescent="0.25">
      <c r="A363" s="14">
        <f t="shared" si="42"/>
        <v>360</v>
      </c>
      <c r="B363" s="21" t="s">
        <v>362</v>
      </c>
      <c r="C363" s="15" t="s">
        <v>3</v>
      </c>
      <c r="D363" s="21" t="s">
        <v>56</v>
      </c>
      <c r="E363" s="21"/>
      <c r="F363" s="69" t="s">
        <v>4</v>
      </c>
      <c r="G363" s="9">
        <v>24838</v>
      </c>
      <c r="H363" s="26">
        <v>25.100000000000023</v>
      </c>
      <c r="I363" s="17">
        <v>0</v>
      </c>
      <c r="J363" s="17">
        <v>0</v>
      </c>
      <c r="K363" s="17">
        <f t="shared" si="38"/>
        <v>25.100000000000023</v>
      </c>
      <c r="L363" s="23">
        <f t="shared" si="43"/>
        <v>1.2550000000000012</v>
      </c>
      <c r="M363" s="23">
        <v>30</v>
      </c>
      <c r="N363" s="18">
        <f t="shared" si="40"/>
        <v>53.287671232876711</v>
      </c>
      <c r="O363" s="23">
        <v>476.9</v>
      </c>
      <c r="P363" s="18">
        <f t="shared" si="41"/>
        <v>53.789041095890411</v>
      </c>
      <c r="Q363" s="18">
        <v>0</v>
      </c>
      <c r="R363" s="18">
        <f t="shared" si="39"/>
        <v>476.9</v>
      </c>
      <c r="S363" s="18">
        <f t="shared" si="44"/>
        <v>1.2550000000000012</v>
      </c>
    </row>
    <row r="364" spans="1:19" ht="18.75" customHeight="1" x14ac:dyDescent="0.25">
      <c r="A364" s="14">
        <f t="shared" si="42"/>
        <v>361</v>
      </c>
      <c r="B364" s="21" t="s">
        <v>363</v>
      </c>
      <c r="C364" s="15" t="s">
        <v>3</v>
      </c>
      <c r="D364" s="21" t="s">
        <v>56</v>
      </c>
      <c r="E364" s="21"/>
      <c r="F364" s="69" t="s">
        <v>4</v>
      </c>
      <c r="G364" s="9">
        <v>24838</v>
      </c>
      <c r="H364" s="26">
        <v>18.550000000000011</v>
      </c>
      <c r="I364" s="17">
        <v>0</v>
      </c>
      <c r="J364" s="17">
        <v>0</v>
      </c>
      <c r="K364" s="17">
        <f t="shared" si="38"/>
        <v>18.550000000000011</v>
      </c>
      <c r="L364" s="23">
        <f t="shared" si="43"/>
        <v>0.92750000000000066</v>
      </c>
      <c r="M364" s="23">
        <v>30</v>
      </c>
      <c r="N364" s="18">
        <f t="shared" si="40"/>
        <v>53.287671232876711</v>
      </c>
      <c r="O364" s="23">
        <v>352.45</v>
      </c>
      <c r="P364" s="18">
        <f t="shared" si="41"/>
        <v>53.789041095890411</v>
      </c>
      <c r="Q364" s="18">
        <v>0</v>
      </c>
      <c r="R364" s="18">
        <f t="shared" si="39"/>
        <v>352.45</v>
      </c>
      <c r="S364" s="18">
        <f t="shared" si="44"/>
        <v>0.92750000000000066</v>
      </c>
    </row>
    <row r="365" spans="1:19" ht="18.75" customHeight="1" x14ac:dyDescent="0.25">
      <c r="A365" s="14">
        <f t="shared" si="42"/>
        <v>362</v>
      </c>
      <c r="B365" s="21" t="s">
        <v>364</v>
      </c>
      <c r="C365" s="15" t="s">
        <v>3</v>
      </c>
      <c r="D365" s="21" t="s">
        <v>56</v>
      </c>
      <c r="E365" s="21"/>
      <c r="F365" s="69" t="s">
        <v>14</v>
      </c>
      <c r="G365" s="9">
        <v>24838</v>
      </c>
      <c r="H365" s="26">
        <v>10.900000000000006</v>
      </c>
      <c r="I365" s="17">
        <v>0</v>
      </c>
      <c r="J365" s="17">
        <v>0</v>
      </c>
      <c r="K365" s="17">
        <f t="shared" si="38"/>
        <v>10.900000000000006</v>
      </c>
      <c r="L365" s="23">
        <f t="shared" si="43"/>
        <v>0.54500000000000026</v>
      </c>
      <c r="M365" s="23">
        <v>30</v>
      </c>
      <c r="N365" s="18">
        <f t="shared" si="40"/>
        <v>53.287671232876711</v>
      </c>
      <c r="O365" s="23">
        <v>207.1</v>
      </c>
      <c r="P365" s="18">
        <f t="shared" si="41"/>
        <v>53.789041095890411</v>
      </c>
      <c r="Q365" s="18">
        <v>0</v>
      </c>
      <c r="R365" s="18">
        <f t="shared" si="39"/>
        <v>207.1</v>
      </c>
      <c r="S365" s="18">
        <f t="shared" si="44"/>
        <v>0.54500000000000026</v>
      </c>
    </row>
    <row r="366" spans="1:19" ht="18.75" customHeight="1" x14ac:dyDescent="0.25">
      <c r="A366" s="14">
        <f t="shared" si="42"/>
        <v>363</v>
      </c>
      <c r="B366" s="21" t="s">
        <v>350</v>
      </c>
      <c r="C366" s="15" t="s">
        <v>3</v>
      </c>
      <c r="D366" s="21" t="s">
        <v>56</v>
      </c>
      <c r="E366" s="21"/>
      <c r="F366" s="69" t="s">
        <v>4</v>
      </c>
      <c r="G366" s="9">
        <v>24838</v>
      </c>
      <c r="H366" s="26">
        <v>10.199999999999989</v>
      </c>
      <c r="I366" s="17">
        <v>0</v>
      </c>
      <c r="J366" s="17">
        <v>0</v>
      </c>
      <c r="K366" s="17">
        <f t="shared" si="38"/>
        <v>10.199999999999989</v>
      </c>
      <c r="L366" s="23">
        <f t="shared" si="43"/>
        <v>0.50999999999999945</v>
      </c>
      <c r="M366" s="23">
        <v>30</v>
      </c>
      <c r="N366" s="18">
        <f t="shared" si="40"/>
        <v>53.287671232876711</v>
      </c>
      <c r="O366" s="23">
        <v>193.8</v>
      </c>
      <c r="P366" s="18">
        <f t="shared" si="41"/>
        <v>53.789041095890411</v>
      </c>
      <c r="Q366" s="18">
        <v>0</v>
      </c>
      <c r="R366" s="18">
        <f t="shared" si="39"/>
        <v>193.8</v>
      </c>
      <c r="S366" s="18">
        <f t="shared" si="44"/>
        <v>0.50999999999999945</v>
      </c>
    </row>
    <row r="367" spans="1:19" ht="18.75" customHeight="1" x14ac:dyDescent="0.25">
      <c r="A367" s="14">
        <f t="shared" si="42"/>
        <v>364</v>
      </c>
      <c r="B367" s="21" t="s">
        <v>365</v>
      </c>
      <c r="C367" s="15" t="s">
        <v>3</v>
      </c>
      <c r="D367" s="21" t="s">
        <v>56</v>
      </c>
      <c r="E367" s="21"/>
      <c r="F367" s="69" t="s">
        <v>4</v>
      </c>
      <c r="G367" s="9">
        <v>24838</v>
      </c>
      <c r="H367" s="26">
        <v>0.34999999999999964</v>
      </c>
      <c r="I367" s="17">
        <v>0</v>
      </c>
      <c r="J367" s="17">
        <v>0</v>
      </c>
      <c r="K367" s="17">
        <f t="shared" si="38"/>
        <v>0.34999999999999964</v>
      </c>
      <c r="L367" s="23">
        <f t="shared" si="43"/>
        <v>1.7499999999999984E-2</v>
      </c>
      <c r="M367" s="23">
        <v>30</v>
      </c>
      <c r="N367" s="18">
        <f t="shared" si="40"/>
        <v>53.287671232876711</v>
      </c>
      <c r="O367" s="23">
        <v>6.65</v>
      </c>
      <c r="P367" s="18">
        <f t="shared" si="41"/>
        <v>53.789041095890411</v>
      </c>
      <c r="Q367" s="18">
        <v>0</v>
      </c>
      <c r="R367" s="18">
        <f t="shared" si="39"/>
        <v>6.65</v>
      </c>
      <c r="S367" s="18">
        <f t="shared" si="44"/>
        <v>1.7499999999999984E-2</v>
      </c>
    </row>
    <row r="368" spans="1:19" ht="18.75" customHeight="1" x14ac:dyDescent="0.25">
      <c r="A368" s="14">
        <f t="shared" si="42"/>
        <v>365</v>
      </c>
      <c r="B368" s="21" t="s">
        <v>266</v>
      </c>
      <c r="C368" s="15" t="s">
        <v>3</v>
      </c>
      <c r="D368" s="21" t="s">
        <v>56</v>
      </c>
      <c r="E368" s="21"/>
      <c r="F368" s="69" t="s">
        <v>4</v>
      </c>
      <c r="G368" s="9">
        <v>33653</v>
      </c>
      <c r="H368" s="26">
        <v>144</v>
      </c>
      <c r="I368" s="17">
        <v>0</v>
      </c>
      <c r="J368" s="17">
        <v>0</v>
      </c>
      <c r="K368" s="17">
        <f t="shared" si="38"/>
        <v>144</v>
      </c>
      <c r="L368" s="23">
        <f t="shared" si="43"/>
        <v>7.2</v>
      </c>
      <c r="M368" s="23">
        <v>5</v>
      </c>
      <c r="N368" s="18">
        <f t="shared" si="40"/>
        <v>29.136986301369863</v>
      </c>
      <c r="O368" s="23">
        <v>2736</v>
      </c>
      <c r="P368" s="18">
        <f t="shared" si="41"/>
        <v>29.638356164383563</v>
      </c>
      <c r="Q368" s="18">
        <v>0</v>
      </c>
      <c r="R368" s="18">
        <f t="shared" si="39"/>
        <v>2736</v>
      </c>
      <c r="S368" s="18">
        <f t="shared" si="44"/>
        <v>7.2</v>
      </c>
    </row>
    <row r="369" spans="1:19" ht="18.75" customHeight="1" x14ac:dyDescent="0.25">
      <c r="A369" s="14">
        <f t="shared" si="42"/>
        <v>366</v>
      </c>
      <c r="B369" s="21" t="s">
        <v>366</v>
      </c>
      <c r="C369" s="15" t="s">
        <v>3</v>
      </c>
      <c r="D369" s="21" t="s">
        <v>56</v>
      </c>
      <c r="E369" s="21"/>
      <c r="F369" s="69" t="s">
        <v>4</v>
      </c>
      <c r="G369" s="9">
        <v>24473</v>
      </c>
      <c r="H369" s="26">
        <v>105.34999999999991</v>
      </c>
      <c r="I369" s="17">
        <v>0</v>
      </c>
      <c r="J369" s="17">
        <v>0</v>
      </c>
      <c r="K369" s="17">
        <f t="shared" si="38"/>
        <v>105.34999999999991</v>
      </c>
      <c r="L369" s="23">
        <f t="shared" si="43"/>
        <v>5.2674999999999956</v>
      </c>
      <c r="M369" s="23">
        <v>30</v>
      </c>
      <c r="N369" s="18">
        <f t="shared" si="40"/>
        <v>54.287671232876711</v>
      </c>
      <c r="O369" s="23">
        <v>2001.65</v>
      </c>
      <c r="P369" s="18">
        <f t="shared" si="41"/>
        <v>54.789041095890411</v>
      </c>
      <c r="Q369" s="18">
        <v>0</v>
      </c>
      <c r="R369" s="18">
        <f t="shared" si="39"/>
        <v>2001.65</v>
      </c>
      <c r="S369" s="18">
        <f t="shared" si="44"/>
        <v>5.2674999999999956</v>
      </c>
    </row>
    <row r="370" spans="1:19" ht="18.75" customHeight="1" x14ac:dyDescent="0.25">
      <c r="A370" s="14">
        <f t="shared" si="42"/>
        <v>367</v>
      </c>
      <c r="B370" s="21" t="s">
        <v>367</v>
      </c>
      <c r="C370" s="15" t="s">
        <v>3</v>
      </c>
      <c r="D370" s="21" t="s">
        <v>56</v>
      </c>
      <c r="E370" s="21"/>
      <c r="F370" s="69" t="s">
        <v>4</v>
      </c>
      <c r="G370" s="9">
        <v>24473</v>
      </c>
      <c r="H370" s="26">
        <v>93.450000000000045</v>
      </c>
      <c r="I370" s="17">
        <v>0</v>
      </c>
      <c r="J370" s="17">
        <v>0</v>
      </c>
      <c r="K370" s="17">
        <f t="shared" si="38"/>
        <v>93.450000000000045</v>
      </c>
      <c r="L370" s="23">
        <f t="shared" si="43"/>
        <v>4.6725000000000021</v>
      </c>
      <c r="M370" s="23">
        <v>30</v>
      </c>
      <c r="N370" s="18">
        <f t="shared" si="40"/>
        <v>54.287671232876711</v>
      </c>
      <c r="O370" s="23">
        <v>1775.55</v>
      </c>
      <c r="P370" s="18">
        <f t="shared" si="41"/>
        <v>54.789041095890411</v>
      </c>
      <c r="Q370" s="18">
        <v>0</v>
      </c>
      <c r="R370" s="18">
        <f t="shared" si="39"/>
        <v>1775.55</v>
      </c>
      <c r="S370" s="18">
        <f t="shared" si="44"/>
        <v>4.6725000000000021</v>
      </c>
    </row>
    <row r="371" spans="1:19" ht="18.75" customHeight="1" x14ac:dyDescent="0.25">
      <c r="A371" s="14">
        <f t="shared" si="42"/>
        <v>368</v>
      </c>
      <c r="B371" s="21" t="s">
        <v>368</v>
      </c>
      <c r="C371" s="15" t="s">
        <v>3</v>
      </c>
      <c r="D371" s="21" t="s">
        <v>56</v>
      </c>
      <c r="E371" s="21"/>
      <c r="F371" s="70" t="s">
        <v>7</v>
      </c>
      <c r="G371" s="9">
        <v>24473</v>
      </c>
      <c r="H371" s="26">
        <v>85.150000000000091</v>
      </c>
      <c r="I371" s="17">
        <v>0</v>
      </c>
      <c r="J371" s="17">
        <v>0</v>
      </c>
      <c r="K371" s="17">
        <f t="shared" si="38"/>
        <v>85.150000000000091</v>
      </c>
      <c r="L371" s="23">
        <f t="shared" si="43"/>
        <v>4.2575000000000047</v>
      </c>
      <c r="M371" s="23">
        <v>30</v>
      </c>
      <c r="N371" s="18">
        <f t="shared" si="40"/>
        <v>54.287671232876711</v>
      </c>
      <c r="O371" s="23">
        <v>1617.85</v>
      </c>
      <c r="P371" s="18">
        <f t="shared" si="41"/>
        <v>54.789041095890411</v>
      </c>
      <c r="Q371" s="18">
        <v>0</v>
      </c>
      <c r="R371" s="18">
        <f t="shared" si="39"/>
        <v>1617.85</v>
      </c>
      <c r="S371" s="18">
        <f t="shared" si="44"/>
        <v>4.2575000000000047</v>
      </c>
    </row>
    <row r="372" spans="1:19" ht="18.75" customHeight="1" x14ac:dyDescent="0.25">
      <c r="A372" s="14">
        <f t="shared" si="42"/>
        <v>369</v>
      </c>
      <c r="B372" s="21" t="s">
        <v>369</v>
      </c>
      <c r="C372" s="15" t="s">
        <v>3</v>
      </c>
      <c r="D372" s="21" t="s">
        <v>56</v>
      </c>
      <c r="E372" s="21"/>
      <c r="F372" s="69" t="s">
        <v>4</v>
      </c>
      <c r="G372" s="9">
        <v>24473</v>
      </c>
      <c r="H372" s="26">
        <v>43.549999999999955</v>
      </c>
      <c r="I372" s="17">
        <v>0</v>
      </c>
      <c r="J372" s="17">
        <v>0</v>
      </c>
      <c r="K372" s="17">
        <f t="shared" si="38"/>
        <v>43.549999999999955</v>
      </c>
      <c r="L372" s="23">
        <f t="shared" si="43"/>
        <v>2.177499999999998</v>
      </c>
      <c r="M372" s="23">
        <v>30</v>
      </c>
      <c r="N372" s="18">
        <f t="shared" si="40"/>
        <v>54.287671232876711</v>
      </c>
      <c r="O372" s="23">
        <v>827.45</v>
      </c>
      <c r="P372" s="18">
        <f t="shared" si="41"/>
        <v>54.789041095890411</v>
      </c>
      <c r="Q372" s="18">
        <v>0</v>
      </c>
      <c r="R372" s="18">
        <f t="shared" si="39"/>
        <v>827.45</v>
      </c>
      <c r="S372" s="18">
        <f t="shared" si="44"/>
        <v>2.177499999999998</v>
      </c>
    </row>
    <row r="373" spans="1:19" ht="18.75" customHeight="1" x14ac:dyDescent="0.25">
      <c r="A373" s="14">
        <f t="shared" si="42"/>
        <v>370</v>
      </c>
      <c r="B373" s="21" t="s">
        <v>370</v>
      </c>
      <c r="C373" s="15" t="s">
        <v>3</v>
      </c>
      <c r="D373" s="21" t="s">
        <v>56</v>
      </c>
      <c r="E373" s="21"/>
      <c r="F373" s="69" t="s">
        <v>4</v>
      </c>
      <c r="G373" s="9">
        <v>24473</v>
      </c>
      <c r="H373" s="26">
        <v>42.149999999999977</v>
      </c>
      <c r="I373" s="17">
        <v>0</v>
      </c>
      <c r="J373" s="17">
        <v>0</v>
      </c>
      <c r="K373" s="17">
        <f t="shared" si="38"/>
        <v>42.149999999999977</v>
      </c>
      <c r="L373" s="23">
        <f t="shared" si="43"/>
        <v>2.107499999999999</v>
      </c>
      <c r="M373" s="23">
        <v>30</v>
      </c>
      <c r="N373" s="18">
        <f t="shared" si="40"/>
        <v>54.287671232876711</v>
      </c>
      <c r="O373" s="23">
        <v>800.85</v>
      </c>
      <c r="P373" s="18">
        <f t="shared" si="41"/>
        <v>54.789041095890411</v>
      </c>
      <c r="Q373" s="18">
        <v>0</v>
      </c>
      <c r="R373" s="18">
        <f t="shared" si="39"/>
        <v>800.85</v>
      </c>
      <c r="S373" s="18">
        <f t="shared" si="44"/>
        <v>2.107499999999999</v>
      </c>
    </row>
    <row r="374" spans="1:19" ht="18.75" customHeight="1" x14ac:dyDescent="0.25">
      <c r="A374" s="14">
        <f t="shared" si="42"/>
        <v>371</v>
      </c>
      <c r="B374" s="21" t="s">
        <v>371</v>
      </c>
      <c r="C374" s="15" t="s">
        <v>3</v>
      </c>
      <c r="D374" s="21" t="s">
        <v>56</v>
      </c>
      <c r="E374" s="21"/>
      <c r="F374" s="69" t="s">
        <v>4</v>
      </c>
      <c r="G374" s="9">
        <v>24473</v>
      </c>
      <c r="H374" s="26">
        <v>24.600000000000023</v>
      </c>
      <c r="I374" s="17">
        <v>0</v>
      </c>
      <c r="J374" s="17">
        <v>0</v>
      </c>
      <c r="K374" s="17">
        <f t="shared" si="38"/>
        <v>24.600000000000023</v>
      </c>
      <c r="L374" s="23">
        <f t="shared" si="43"/>
        <v>1.2300000000000013</v>
      </c>
      <c r="M374" s="23">
        <v>30</v>
      </c>
      <c r="N374" s="18">
        <f t="shared" si="40"/>
        <v>54.287671232876711</v>
      </c>
      <c r="O374" s="23">
        <v>467.4</v>
      </c>
      <c r="P374" s="18">
        <f t="shared" si="41"/>
        <v>54.789041095890411</v>
      </c>
      <c r="Q374" s="18">
        <v>0</v>
      </c>
      <c r="R374" s="18">
        <f t="shared" si="39"/>
        <v>467.4</v>
      </c>
      <c r="S374" s="18">
        <f t="shared" si="44"/>
        <v>1.2300000000000013</v>
      </c>
    </row>
    <row r="375" spans="1:19" ht="18.75" customHeight="1" x14ac:dyDescent="0.25">
      <c r="A375" s="14">
        <f t="shared" si="42"/>
        <v>372</v>
      </c>
      <c r="B375" s="21" t="s">
        <v>372</v>
      </c>
      <c r="C375" s="15" t="s">
        <v>3</v>
      </c>
      <c r="D375" s="21" t="s">
        <v>56</v>
      </c>
      <c r="E375" s="21"/>
      <c r="F375" s="69" t="s">
        <v>11</v>
      </c>
      <c r="G375" s="9">
        <v>24473</v>
      </c>
      <c r="H375" s="26">
        <v>21.75</v>
      </c>
      <c r="I375" s="17">
        <v>0</v>
      </c>
      <c r="J375" s="17">
        <v>0</v>
      </c>
      <c r="K375" s="17">
        <f t="shared" si="38"/>
        <v>21.75</v>
      </c>
      <c r="L375" s="23">
        <f t="shared" si="43"/>
        <v>1.0875000000000001</v>
      </c>
      <c r="M375" s="23">
        <v>30</v>
      </c>
      <c r="N375" s="18">
        <f t="shared" si="40"/>
        <v>54.287671232876711</v>
      </c>
      <c r="O375" s="23">
        <v>413.25</v>
      </c>
      <c r="P375" s="18">
        <f t="shared" si="41"/>
        <v>54.789041095890411</v>
      </c>
      <c r="Q375" s="18">
        <v>0</v>
      </c>
      <c r="R375" s="18">
        <f t="shared" si="39"/>
        <v>413.25</v>
      </c>
      <c r="S375" s="18">
        <f t="shared" si="44"/>
        <v>1.0875000000000001</v>
      </c>
    </row>
    <row r="376" spans="1:19" ht="18.75" customHeight="1" x14ac:dyDescent="0.25">
      <c r="A376" s="14">
        <f t="shared" si="42"/>
        <v>373</v>
      </c>
      <c r="B376" s="21" t="s">
        <v>373</v>
      </c>
      <c r="C376" s="15" t="s">
        <v>3</v>
      </c>
      <c r="D376" s="21" t="s">
        <v>56</v>
      </c>
      <c r="E376" s="21"/>
      <c r="F376" s="69" t="s">
        <v>4</v>
      </c>
      <c r="G376" s="9">
        <v>24473</v>
      </c>
      <c r="H376" s="26">
        <v>11.25</v>
      </c>
      <c r="I376" s="17">
        <v>0</v>
      </c>
      <c r="J376" s="17">
        <v>0</v>
      </c>
      <c r="K376" s="17">
        <f t="shared" si="38"/>
        <v>11.25</v>
      </c>
      <c r="L376" s="23">
        <f t="shared" si="43"/>
        <v>0.5625</v>
      </c>
      <c r="M376" s="23">
        <v>30</v>
      </c>
      <c r="N376" s="18">
        <f t="shared" si="40"/>
        <v>54.287671232876711</v>
      </c>
      <c r="O376" s="23">
        <v>213.75</v>
      </c>
      <c r="P376" s="18">
        <f t="shared" si="41"/>
        <v>54.789041095890411</v>
      </c>
      <c r="Q376" s="18">
        <v>0</v>
      </c>
      <c r="R376" s="18">
        <f t="shared" si="39"/>
        <v>213.75</v>
      </c>
      <c r="S376" s="18">
        <f t="shared" si="44"/>
        <v>0.5625</v>
      </c>
    </row>
    <row r="377" spans="1:19" ht="18.75" customHeight="1" x14ac:dyDescent="0.25">
      <c r="A377" s="14">
        <f t="shared" si="42"/>
        <v>374</v>
      </c>
      <c r="B377" s="21" t="s">
        <v>374</v>
      </c>
      <c r="C377" s="15" t="s">
        <v>3</v>
      </c>
      <c r="D377" s="21" t="s">
        <v>56</v>
      </c>
      <c r="E377" s="21"/>
      <c r="F377" s="69" t="s">
        <v>4</v>
      </c>
      <c r="G377" s="9">
        <v>24473</v>
      </c>
      <c r="H377" s="26">
        <v>10.800000000000011</v>
      </c>
      <c r="I377" s="17">
        <v>0</v>
      </c>
      <c r="J377" s="17">
        <v>0</v>
      </c>
      <c r="K377" s="17">
        <f t="shared" si="38"/>
        <v>10.800000000000011</v>
      </c>
      <c r="L377" s="23">
        <f t="shared" si="43"/>
        <v>0.54000000000000059</v>
      </c>
      <c r="M377" s="23">
        <v>30</v>
      </c>
      <c r="N377" s="18">
        <f t="shared" si="40"/>
        <v>54.287671232876711</v>
      </c>
      <c r="O377" s="23">
        <v>205.2</v>
      </c>
      <c r="P377" s="18">
        <f t="shared" si="41"/>
        <v>54.789041095890411</v>
      </c>
      <c r="Q377" s="18">
        <v>0</v>
      </c>
      <c r="R377" s="18">
        <f t="shared" si="39"/>
        <v>205.2</v>
      </c>
      <c r="S377" s="18">
        <f t="shared" si="44"/>
        <v>0.54000000000000059</v>
      </c>
    </row>
    <row r="378" spans="1:19" ht="18.75" customHeight="1" x14ac:dyDescent="0.25">
      <c r="A378" s="14">
        <f t="shared" si="42"/>
        <v>375</v>
      </c>
      <c r="B378" s="21" t="s">
        <v>266</v>
      </c>
      <c r="C378" s="15" t="s">
        <v>3</v>
      </c>
      <c r="D378" s="21" t="s">
        <v>56</v>
      </c>
      <c r="E378" s="21"/>
      <c r="F378" s="69" t="s">
        <v>4</v>
      </c>
      <c r="G378" s="9">
        <v>33301</v>
      </c>
      <c r="H378" s="26">
        <v>174.80000000000018</v>
      </c>
      <c r="I378" s="17">
        <v>0</v>
      </c>
      <c r="J378" s="17">
        <v>0</v>
      </c>
      <c r="K378" s="17">
        <f t="shared" si="38"/>
        <v>174.80000000000018</v>
      </c>
      <c r="L378" s="23">
        <f t="shared" si="43"/>
        <v>8.7400000000000091</v>
      </c>
      <c r="M378" s="23">
        <v>5</v>
      </c>
      <c r="N378" s="18">
        <f t="shared" si="40"/>
        <v>30.101369863013698</v>
      </c>
      <c r="O378" s="23">
        <v>3321.2</v>
      </c>
      <c r="P378" s="18">
        <f t="shared" si="41"/>
        <v>30.602739726027398</v>
      </c>
      <c r="Q378" s="18">
        <v>0</v>
      </c>
      <c r="R378" s="18">
        <f t="shared" si="39"/>
        <v>3321.2</v>
      </c>
      <c r="S378" s="18">
        <f t="shared" si="44"/>
        <v>8.7400000000000091</v>
      </c>
    </row>
    <row r="379" spans="1:19" ht="18.75" customHeight="1" x14ac:dyDescent="0.25">
      <c r="A379" s="14">
        <f t="shared" si="42"/>
        <v>376</v>
      </c>
      <c r="B379" s="21" t="s">
        <v>375</v>
      </c>
      <c r="C379" s="15" t="s">
        <v>3</v>
      </c>
      <c r="D379" s="21" t="s">
        <v>56</v>
      </c>
      <c r="E379" s="21"/>
      <c r="F379" s="70" t="s">
        <v>7</v>
      </c>
      <c r="G379" s="9">
        <v>33299</v>
      </c>
      <c r="H379" s="26">
        <v>12524.799999999988</v>
      </c>
      <c r="I379" s="17">
        <v>0</v>
      </c>
      <c r="J379" s="17">
        <v>0</v>
      </c>
      <c r="K379" s="17">
        <f t="shared" si="38"/>
        <v>12524.799999999988</v>
      </c>
      <c r="L379" s="23">
        <f t="shared" si="43"/>
        <v>626.23999999999944</v>
      </c>
      <c r="M379" s="23">
        <v>5</v>
      </c>
      <c r="N379" s="18">
        <f t="shared" si="40"/>
        <v>30.106849315068494</v>
      </c>
      <c r="O379" s="23">
        <v>237971.20000000001</v>
      </c>
      <c r="P379" s="18">
        <f t="shared" si="41"/>
        <v>30.608219178082191</v>
      </c>
      <c r="Q379" s="18">
        <v>0</v>
      </c>
      <c r="R379" s="18">
        <f t="shared" si="39"/>
        <v>237971.20000000001</v>
      </c>
      <c r="S379" s="18">
        <f t="shared" si="44"/>
        <v>626.23999999999944</v>
      </c>
    </row>
    <row r="380" spans="1:19" ht="18.75" customHeight="1" x14ac:dyDescent="0.25">
      <c r="A380" s="14">
        <f t="shared" si="42"/>
        <v>377</v>
      </c>
      <c r="B380" s="21" t="s">
        <v>376</v>
      </c>
      <c r="C380" s="15" t="s">
        <v>3</v>
      </c>
      <c r="D380" s="21" t="s">
        <v>56</v>
      </c>
      <c r="E380" s="21"/>
      <c r="F380" s="69" t="s">
        <v>4</v>
      </c>
      <c r="G380" s="9">
        <v>24108</v>
      </c>
      <c r="H380" s="26">
        <v>874.25</v>
      </c>
      <c r="I380" s="17">
        <v>0</v>
      </c>
      <c r="J380" s="17">
        <v>0</v>
      </c>
      <c r="K380" s="17">
        <f t="shared" si="38"/>
        <v>874.25</v>
      </c>
      <c r="L380" s="23">
        <f t="shared" si="43"/>
        <v>43.712500000000006</v>
      </c>
      <c r="M380" s="23">
        <v>30</v>
      </c>
      <c r="N380" s="18">
        <f t="shared" si="40"/>
        <v>55.287671232876711</v>
      </c>
      <c r="O380" s="23">
        <v>16610.75</v>
      </c>
      <c r="P380" s="18">
        <f t="shared" si="41"/>
        <v>55.789041095890411</v>
      </c>
      <c r="Q380" s="18">
        <v>0</v>
      </c>
      <c r="R380" s="18">
        <f t="shared" si="39"/>
        <v>16610.75</v>
      </c>
      <c r="S380" s="18">
        <f t="shared" si="44"/>
        <v>43.712500000000006</v>
      </c>
    </row>
    <row r="381" spans="1:19" ht="18.75" customHeight="1" x14ac:dyDescent="0.25">
      <c r="A381" s="14">
        <f t="shared" si="42"/>
        <v>378</v>
      </c>
      <c r="B381" s="21" t="s">
        <v>377</v>
      </c>
      <c r="C381" s="15" t="s">
        <v>3</v>
      </c>
      <c r="D381" s="21" t="s">
        <v>56</v>
      </c>
      <c r="E381" s="21"/>
      <c r="F381" s="69" t="s">
        <v>4</v>
      </c>
      <c r="G381" s="9">
        <v>24108</v>
      </c>
      <c r="H381" s="26">
        <v>521.60000000000036</v>
      </c>
      <c r="I381" s="17">
        <v>0</v>
      </c>
      <c r="J381" s="17">
        <v>0</v>
      </c>
      <c r="K381" s="17">
        <f t="shared" si="38"/>
        <v>521.60000000000036</v>
      </c>
      <c r="L381" s="23">
        <f t="shared" si="43"/>
        <v>26.08000000000002</v>
      </c>
      <c r="M381" s="23">
        <v>30</v>
      </c>
      <c r="N381" s="18">
        <f t="shared" si="40"/>
        <v>55.287671232876711</v>
      </c>
      <c r="O381" s="23">
        <v>9910.4</v>
      </c>
      <c r="P381" s="18">
        <f t="shared" si="41"/>
        <v>55.789041095890411</v>
      </c>
      <c r="Q381" s="18">
        <v>0</v>
      </c>
      <c r="R381" s="18">
        <f t="shared" si="39"/>
        <v>9910.4</v>
      </c>
      <c r="S381" s="18">
        <f t="shared" si="44"/>
        <v>26.08000000000002</v>
      </c>
    </row>
    <row r="382" spans="1:19" ht="18.75" customHeight="1" x14ac:dyDescent="0.25">
      <c r="A382" s="14">
        <f t="shared" si="42"/>
        <v>379</v>
      </c>
      <c r="B382" s="21" t="s">
        <v>378</v>
      </c>
      <c r="C382" s="15" t="s">
        <v>3</v>
      </c>
      <c r="D382" s="21" t="s">
        <v>56</v>
      </c>
      <c r="E382" s="21"/>
      <c r="F382" s="69" t="s">
        <v>4</v>
      </c>
      <c r="G382" s="9">
        <v>24108</v>
      </c>
      <c r="H382" s="26">
        <v>406.80000000000018</v>
      </c>
      <c r="I382" s="17">
        <v>0</v>
      </c>
      <c r="J382" s="17">
        <v>0</v>
      </c>
      <c r="K382" s="17">
        <f t="shared" si="38"/>
        <v>406.80000000000018</v>
      </c>
      <c r="L382" s="23">
        <f t="shared" si="43"/>
        <v>20.340000000000011</v>
      </c>
      <c r="M382" s="23">
        <v>30</v>
      </c>
      <c r="N382" s="18">
        <f t="shared" si="40"/>
        <v>55.287671232876711</v>
      </c>
      <c r="O382" s="23">
        <v>7729.2</v>
      </c>
      <c r="P382" s="18">
        <f t="shared" si="41"/>
        <v>55.789041095890411</v>
      </c>
      <c r="Q382" s="18">
        <v>0</v>
      </c>
      <c r="R382" s="18">
        <f t="shared" si="39"/>
        <v>7729.2</v>
      </c>
      <c r="S382" s="18">
        <f t="shared" si="44"/>
        <v>20.340000000000011</v>
      </c>
    </row>
    <row r="383" spans="1:19" ht="18.75" customHeight="1" x14ac:dyDescent="0.25">
      <c r="A383" s="14">
        <f t="shared" si="42"/>
        <v>380</v>
      </c>
      <c r="B383" s="21" t="s">
        <v>379</v>
      </c>
      <c r="C383" s="15" t="s">
        <v>3</v>
      </c>
      <c r="D383" s="21" t="s">
        <v>56</v>
      </c>
      <c r="E383" s="21"/>
      <c r="F383" s="69" t="s">
        <v>4</v>
      </c>
      <c r="G383" s="9">
        <v>24108</v>
      </c>
      <c r="H383" s="26">
        <v>185.55000000000018</v>
      </c>
      <c r="I383" s="17">
        <v>0</v>
      </c>
      <c r="J383" s="17">
        <v>0</v>
      </c>
      <c r="K383" s="17">
        <f t="shared" si="38"/>
        <v>185.55000000000018</v>
      </c>
      <c r="L383" s="23">
        <f t="shared" si="43"/>
        <v>9.2775000000000087</v>
      </c>
      <c r="M383" s="23">
        <v>30</v>
      </c>
      <c r="N383" s="18">
        <f t="shared" si="40"/>
        <v>55.287671232876711</v>
      </c>
      <c r="O383" s="23">
        <v>3525.45</v>
      </c>
      <c r="P383" s="18">
        <f t="shared" si="41"/>
        <v>55.789041095890411</v>
      </c>
      <c r="Q383" s="18">
        <v>0</v>
      </c>
      <c r="R383" s="18">
        <f t="shared" si="39"/>
        <v>3525.45</v>
      </c>
      <c r="S383" s="18">
        <f t="shared" si="44"/>
        <v>9.2775000000000087</v>
      </c>
    </row>
    <row r="384" spans="1:19" ht="18.75" customHeight="1" x14ac:dyDescent="0.25">
      <c r="A384" s="14">
        <f t="shared" si="42"/>
        <v>381</v>
      </c>
      <c r="B384" s="21" t="s">
        <v>380</v>
      </c>
      <c r="C384" s="15" t="s">
        <v>3</v>
      </c>
      <c r="D384" s="21" t="s">
        <v>56</v>
      </c>
      <c r="E384" s="21"/>
      <c r="F384" s="69" t="s">
        <v>12</v>
      </c>
      <c r="G384" s="9">
        <v>24108</v>
      </c>
      <c r="H384" s="26">
        <v>158.5</v>
      </c>
      <c r="I384" s="17">
        <v>0</v>
      </c>
      <c r="J384" s="17">
        <v>0</v>
      </c>
      <c r="K384" s="17">
        <f t="shared" si="38"/>
        <v>158.5</v>
      </c>
      <c r="L384" s="23">
        <f t="shared" si="43"/>
        <v>7.9250000000000007</v>
      </c>
      <c r="M384" s="23">
        <v>30</v>
      </c>
      <c r="N384" s="18">
        <f t="shared" si="40"/>
        <v>55.287671232876711</v>
      </c>
      <c r="O384" s="23">
        <v>3011.5</v>
      </c>
      <c r="P384" s="18">
        <f t="shared" si="41"/>
        <v>55.789041095890411</v>
      </c>
      <c r="Q384" s="18">
        <v>0</v>
      </c>
      <c r="R384" s="18">
        <f t="shared" si="39"/>
        <v>3011.5</v>
      </c>
      <c r="S384" s="18">
        <f t="shared" si="44"/>
        <v>7.9250000000000007</v>
      </c>
    </row>
    <row r="385" spans="1:19" ht="18.75" customHeight="1" x14ac:dyDescent="0.25">
      <c r="A385" s="14">
        <f t="shared" si="42"/>
        <v>382</v>
      </c>
      <c r="B385" s="21" t="s">
        <v>381</v>
      </c>
      <c r="C385" s="15" t="s">
        <v>3</v>
      </c>
      <c r="D385" s="21" t="s">
        <v>56</v>
      </c>
      <c r="E385" s="21"/>
      <c r="F385" s="69" t="s">
        <v>4</v>
      </c>
      <c r="G385" s="9">
        <v>24108</v>
      </c>
      <c r="H385" s="26">
        <v>128.40000000000009</v>
      </c>
      <c r="I385" s="17">
        <v>0</v>
      </c>
      <c r="J385" s="17">
        <v>0</v>
      </c>
      <c r="K385" s="17">
        <f t="shared" si="38"/>
        <v>128.40000000000009</v>
      </c>
      <c r="L385" s="23">
        <f t="shared" si="43"/>
        <v>6.4200000000000053</v>
      </c>
      <c r="M385" s="23">
        <v>30</v>
      </c>
      <c r="N385" s="18">
        <f t="shared" si="40"/>
        <v>55.287671232876711</v>
      </c>
      <c r="O385" s="23">
        <v>2439.6</v>
      </c>
      <c r="P385" s="18">
        <f t="shared" si="41"/>
        <v>55.789041095890411</v>
      </c>
      <c r="Q385" s="18">
        <v>0</v>
      </c>
      <c r="R385" s="18">
        <f t="shared" si="39"/>
        <v>2439.6</v>
      </c>
      <c r="S385" s="18">
        <f t="shared" si="44"/>
        <v>6.4200000000000053</v>
      </c>
    </row>
    <row r="386" spans="1:19" ht="18.75" customHeight="1" x14ac:dyDescent="0.25">
      <c r="A386" s="14">
        <f t="shared" si="42"/>
        <v>383</v>
      </c>
      <c r="B386" s="21" t="s">
        <v>382</v>
      </c>
      <c r="C386" s="15" t="s">
        <v>3</v>
      </c>
      <c r="D386" s="21" t="s">
        <v>56</v>
      </c>
      <c r="E386" s="21"/>
      <c r="F386" s="69" t="s">
        <v>4</v>
      </c>
      <c r="G386" s="9">
        <v>24108</v>
      </c>
      <c r="H386" s="26">
        <v>127.05000000000018</v>
      </c>
      <c r="I386" s="17">
        <v>0</v>
      </c>
      <c r="J386" s="17">
        <v>0</v>
      </c>
      <c r="K386" s="17">
        <f t="shared" si="38"/>
        <v>127.05000000000018</v>
      </c>
      <c r="L386" s="23">
        <f t="shared" si="43"/>
        <v>6.3525000000000098</v>
      </c>
      <c r="M386" s="23">
        <v>30</v>
      </c>
      <c r="N386" s="18">
        <f t="shared" si="40"/>
        <v>55.287671232876711</v>
      </c>
      <c r="O386" s="23">
        <v>2413.9499999999998</v>
      </c>
      <c r="P386" s="18">
        <f t="shared" si="41"/>
        <v>55.789041095890411</v>
      </c>
      <c r="Q386" s="18">
        <v>0</v>
      </c>
      <c r="R386" s="18">
        <f t="shared" si="39"/>
        <v>2413.9499999999998</v>
      </c>
      <c r="S386" s="18">
        <f t="shared" si="44"/>
        <v>6.3525000000000098</v>
      </c>
    </row>
    <row r="387" spans="1:19" ht="18.75" customHeight="1" x14ac:dyDescent="0.25">
      <c r="A387" s="14">
        <f t="shared" si="42"/>
        <v>384</v>
      </c>
      <c r="B387" s="21" t="s">
        <v>383</v>
      </c>
      <c r="C387" s="15" t="s">
        <v>3</v>
      </c>
      <c r="D387" s="21" t="s">
        <v>56</v>
      </c>
      <c r="E387" s="21"/>
      <c r="F387" s="69" t="s">
        <v>6</v>
      </c>
      <c r="G387" s="9">
        <v>24108</v>
      </c>
      <c r="H387" s="26">
        <v>103.84999999999991</v>
      </c>
      <c r="I387" s="17">
        <v>0</v>
      </c>
      <c r="J387" s="17">
        <v>0</v>
      </c>
      <c r="K387" s="17">
        <f t="shared" si="38"/>
        <v>103.84999999999991</v>
      </c>
      <c r="L387" s="23">
        <f t="shared" si="43"/>
        <v>5.1924999999999955</v>
      </c>
      <c r="M387" s="23">
        <v>30</v>
      </c>
      <c r="N387" s="18">
        <f t="shared" si="40"/>
        <v>55.287671232876711</v>
      </c>
      <c r="O387" s="23">
        <v>1973.15</v>
      </c>
      <c r="P387" s="18">
        <f t="shared" si="41"/>
        <v>55.789041095890411</v>
      </c>
      <c r="Q387" s="18">
        <v>0</v>
      </c>
      <c r="R387" s="18">
        <f t="shared" si="39"/>
        <v>1973.15</v>
      </c>
      <c r="S387" s="18">
        <f t="shared" si="44"/>
        <v>5.1924999999999955</v>
      </c>
    </row>
    <row r="388" spans="1:19" ht="18.75" customHeight="1" x14ac:dyDescent="0.25">
      <c r="A388" s="14">
        <f t="shared" si="42"/>
        <v>385</v>
      </c>
      <c r="B388" s="21" t="s">
        <v>384</v>
      </c>
      <c r="C388" s="15" t="s">
        <v>3</v>
      </c>
      <c r="D388" s="21" t="s">
        <v>56</v>
      </c>
      <c r="E388" s="21"/>
      <c r="F388" s="69" t="s">
        <v>4</v>
      </c>
      <c r="G388" s="9">
        <v>24108</v>
      </c>
      <c r="H388" s="26">
        <v>90.049999999999955</v>
      </c>
      <c r="I388" s="17">
        <v>0</v>
      </c>
      <c r="J388" s="17">
        <v>0</v>
      </c>
      <c r="K388" s="17">
        <f t="shared" ref="K388:K451" si="45">H388+I388-J388</f>
        <v>90.049999999999955</v>
      </c>
      <c r="L388" s="23">
        <f t="shared" si="43"/>
        <v>4.5024999999999977</v>
      </c>
      <c r="M388" s="23">
        <v>30</v>
      </c>
      <c r="N388" s="18">
        <f t="shared" si="40"/>
        <v>55.287671232876711</v>
      </c>
      <c r="O388" s="23">
        <v>1710.95</v>
      </c>
      <c r="P388" s="18">
        <f t="shared" si="41"/>
        <v>55.789041095890411</v>
      </c>
      <c r="Q388" s="18">
        <v>0</v>
      </c>
      <c r="R388" s="18">
        <f t="shared" ref="R388:R451" si="46">Q388+O388</f>
        <v>1710.95</v>
      </c>
      <c r="S388" s="18">
        <f t="shared" si="44"/>
        <v>4.5024999999999977</v>
      </c>
    </row>
    <row r="389" spans="1:19" ht="18.75" customHeight="1" x14ac:dyDescent="0.25">
      <c r="A389" s="14">
        <f t="shared" si="42"/>
        <v>386</v>
      </c>
      <c r="B389" s="21" t="s">
        <v>385</v>
      </c>
      <c r="C389" s="15" t="s">
        <v>3</v>
      </c>
      <c r="D389" s="21" t="s">
        <v>56</v>
      </c>
      <c r="E389" s="21"/>
      <c r="F389" s="69" t="s">
        <v>4</v>
      </c>
      <c r="G389" s="9">
        <v>24108</v>
      </c>
      <c r="H389" s="26">
        <v>87.799999999999955</v>
      </c>
      <c r="I389" s="17">
        <v>0</v>
      </c>
      <c r="J389" s="17">
        <v>0</v>
      </c>
      <c r="K389" s="17">
        <f t="shared" si="45"/>
        <v>87.799999999999955</v>
      </c>
      <c r="L389" s="23">
        <f t="shared" si="43"/>
        <v>4.3899999999999979</v>
      </c>
      <c r="M389" s="23">
        <v>30</v>
      </c>
      <c r="N389" s="18">
        <f t="shared" ref="N389:N452" si="47">IF(($N$2-G389+1)/365&gt;0,($N$2-G389+1)/365,0)</f>
        <v>55.287671232876711</v>
      </c>
      <c r="O389" s="23">
        <v>1668.2</v>
      </c>
      <c r="P389" s="18">
        <f t="shared" ref="P389:P452" si="48">($P$2-G389+1)/365</f>
        <v>55.789041095890411</v>
      </c>
      <c r="Q389" s="18">
        <v>0</v>
      </c>
      <c r="R389" s="18">
        <f t="shared" si="46"/>
        <v>1668.2</v>
      </c>
      <c r="S389" s="18">
        <f t="shared" si="44"/>
        <v>4.3899999999999979</v>
      </c>
    </row>
    <row r="390" spans="1:19" ht="18.75" customHeight="1" x14ac:dyDescent="0.25">
      <c r="A390" s="14">
        <f t="shared" ref="A390:A453" si="49">+A389+1</f>
        <v>387</v>
      </c>
      <c r="B390" s="21" t="s">
        <v>386</v>
      </c>
      <c r="C390" s="15" t="s">
        <v>3</v>
      </c>
      <c r="D390" s="21" t="s">
        <v>56</v>
      </c>
      <c r="E390" s="21"/>
      <c r="F390" s="70" t="s">
        <v>7</v>
      </c>
      <c r="G390" s="9">
        <v>24108</v>
      </c>
      <c r="H390" s="26">
        <v>84.200000000000045</v>
      </c>
      <c r="I390" s="17">
        <v>0</v>
      </c>
      <c r="J390" s="17">
        <v>0</v>
      </c>
      <c r="K390" s="17">
        <f t="shared" si="45"/>
        <v>84.200000000000045</v>
      </c>
      <c r="L390" s="23">
        <f t="shared" si="43"/>
        <v>4.2100000000000026</v>
      </c>
      <c r="M390" s="23">
        <v>30</v>
      </c>
      <c r="N390" s="18">
        <f t="shared" si="47"/>
        <v>55.287671232876711</v>
      </c>
      <c r="O390" s="23">
        <v>1599.8</v>
      </c>
      <c r="P390" s="18">
        <f t="shared" si="48"/>
        <v>55.789041095890411</v>
      </c>
      <c r="Q390" s="18">
        <v>0</v>
      </c>
      <c r="R390" s="18">
        <f t="shared" si="46"/>
        <v>1599.8</v>
      </c>
      <c r="S390" s="18">
        <f t="shared" si="44"/>
        <v>4.2100000000000026</v>
      </c>
    </row>
    <row r="391" spans="1:19" ht="18.75" customHeight="1" x14ac:dyDescent="0.25">
      <c r="A391" s="14">
        <f t="shared" si="49"/>
        <v>388</v>
      </c>
      <c r="B391" s="21" t="s">
        <v>387</v>
      </c>
      <c r="C391" s="15" t="s">
        <v>3</v>
      </c>
      <c r="D391" s="21" t="s">
        <v>56</v>
      </c>
      <c r="E391" s="21"/>
      <c r="F391" s="69" t="s">
        <v>7</v>
      </c>
      <c r="G391" s="9">
        <v>24108</v>
      </c>
      <c r="H391" s="26">
        <v>61.400000000000091</v>
      </c>
      <c r="I391" s="17">
        <v>0</v>
      </c>
      <c r="J391" s="17">
        <v>0</v>
      </c>
      <c r="K391" s="17">
        <f t="shared" si="45"/>
        <v>61.400000000000091</v>
      </c>
      <c r="L391" s="23">
        <f t="shared" si="43"/>
        <v>3.0700000000000047</v>
      </c>
      <c r="M391" s="23">
        <v>30</v>
      </c>
      <c r="N391" s="18">
        <f t="shared" si="47"/>
        <v>55.287671232876711</v>
      </c>
      <c r="O391" s="23">
        <v>1166.5999999999999</v>
      </c>
      <c r="P391" s="18">
        <f t="shared" si="48"/>
        <v>55.789041095890411</v>
      </c>
      <c r="Q391" s="18">
        <v>0</v>
      </c>
      <c r="R391" s="18">
        <f t="shared" si="46"/>
        <v>1166.5999999999999</v>
      </c>
      <c r="S391" s="18">
        <f t="shared" si="44"/>
        <v>3.0700000000000047</v>
      </c>
    </row>
    <row r="392" spans="1:19" ht="18.75" customHeight="1" x14ac:dyDescent="0.25">
      <c r="A392" s="14">
        <f t="shared" si="49"/>
        <v>389</v>
      </c>
      <c r="B392" s="21" t="s">
        <v>388</v>
      </c>
      <c r="C392" s="15" t="s">
        <v>3</v>
      </c>
      <c r="D392" s="21" t="s">
        <v>56</v>
      </c>
      <c r="E392" s="21"/>
      <c r="F392" s="69" t="s">
        <v>4</v>
      </c>
      <c r="G392" s="9">
        <v>24108</v>
      </c>
      <c r="H392" s="26">
        <v>58.25</v>
      </c>
      <c r="I392" s="17">
        <v>0</v>
      </c>
      <c r="J392" s="17">
        <v>0</v>
      </c>
      <c r="K392" s="17">
        <f t="shared" si="45"/>
        <v>58.25</v>
      </c>
      <c r="L392" s="23">
        <f t="shared" si="43"/>
        <v>2.9125000000000001</v>
      </c>
      <c r="M392" s="23">
        <v>30</v>
      </c>
      <c r="N392" s="18">
        <f t="shared" si="47"/>
        <v>55.287671232876711</v>
      </c>
      <c r="O392" s="23">
        <v>1106.75</v>
      </c>
      <c r="P392" s="18">
        <f t="shared" si="48"/>
        <v>55.789041095890411</v>
      </c>
      <c r="Q392" s="18">
        <v>0</v>
      </c>
      <c r="R392" s="18">
        <f t="shared" si="46"/>
        <v>1106.75</v>
      </c>
      <c r="S392" s="18">
        <f t="shared" si="44"/>
        <v>2.9125000000000001</v>
      </c>
    </row>
    <row r="393" spans="1:19" ht="18.75" customHeight="1" x14ac:dyDescent="0.25">
      <c r="A393" s="14">
        <f t="shared" si="49"/>
        <v>390</v>
      </c>
      <c r="B393" s="21" t="s">
        <v>389</v>
      </c>
      <c r="C393" s="15" t="s">
        <v>3</v>
      </c>
      <c r="D393" s="21" t="s">
        <v>56</v>
      </c>
      <c r="E393" s="21"/>
      <c r="F393" s="69" t="s">
        <v>4</v>
      </c>
      <c r="G393" s="9">
        <v>24108</v>
      </c>
      <c r="H393" s="26">
        <v>55.299999999999955</v>
      </c>
      <c r="I393" s="17">
        <v>0</v>
      </c>
      <c r="J393" s="17">
        <v>0</v>
      </c>
      <c r="K393" s="17">
        <f t="shared" si="45"/>
        <v>55.299999999999955</v>
      </c>
      <c r="L393" s="23">
        <f t="shared" si="43"/>
        <v>2.7649999999999979</v>
      </c>
      <c r="M393" s="23">
        <v>30</v>
      </c>
      <c r="N393" s="18">
        <f t="shared" si="47"/>
        <v>55.287671232876711</v>
      </c>
      <c r="O393" s="23">
        <v>1050.7</v>
      </c>
      <c r="P393" s="18">
        <f t="shared" si="48"/>
        <v>55.789041095890411</v>
      </c>
      <c r="Q393" s="18">
        <v>0</v>
      </c>
      <c r="R393" s="18">
        <f t="shared" si="46"/>
        <v>1050.7</v>
      </c>
      <c r="S393" s="18">
        <f t="shared" si="44"/>
        <v>2.7649999999999979</v>
      </c>
    </row>
    <row r="394" spans="1:19" ht="18.75" customHeight="1" x14ac:dyDescent="0.25">
      <c r="A394" s="14">
        <f t="shared" si="49"/>
        <v>391</v>
      </c>
      <c r="B394" s="21" t="s">
        <v>390</v>
      </c>
      <c r="C394" s="15" t="s">
        <v>3</v>
      </c>
      <c r="D394" s="21" t="s">
        <v>56</v>
      </c>
      <c r="E394" s="21"/>
      <c r="F394" s="69" t="s">
        <v>11</v>
      </c>
      <c r="G394" s="9">
        <v>24108</v>
      </c>
      <c r="H394" s="26">
        <v>43.200000000000045</v>
      </c>
      <c r="I394" s="17">
        <v>0</v>
      </c>
      <c r="J394" s="17">
        <v>0</v>
      </c>
      <c r="K394" s="17">
        <f t="shared" si="45"/>
        <v>43.200000000000045</v>
      </c>
      <c r="L394" s="23">
        <f t="shared" si="43"/>
        <v>2.1600000000000024</v>
      </c>
      <c r="M394" s="23">
        <v>30</v>
      </c>
      <c r="N394" s="18">
        <f t="shared" si="47"/>
        <v>55.287671232876711</v>
      </c>
      <c r="O394" s="23">
        <v>820.8</v>
      </c>
      <c r="P394" s="18">
        <f t="shared" si="48"/>
        <v>55.789041095890411</v>
      </c>
      <c r="Q394" s="18">
        <v>0</v>
      </c>
      <c r="R394" s="18">
        <f t="shared" si="46"/>
        <v>820.8</v>
      </c>
      <c r="S394" s="18">
        <f t="shared" si="44"/>
        <v>2.1600000000000024</v>
      </c>
    </row>
    <row r="395" spans="1:19" ht="18.75" customHeight="1" x14ac:dyDescent="0.25">
      <c r="A395" s="14">
        <f t="shared" si="49"/>
        <v>392</v>
      </c>
      <c r="B395" s="21" t="s">
        <v>391</v>
      </c>
      <c r="C395" s="15" t="s">
        <v>3</v>
      </c>
      <c r="D395" s="21" t="s">
        <v>56</v>
      </c>
      <c r="E395" s="21"/>
      <c r="F395" s="69" t="s">
        <v>4</v>
      </c>
      <c r="G395" s="9">
        <v>24108</v>
      </c>
      <c r="H395" s="26">
        <v>42.299999999999955</v>
      </c>
      <c r="I395" s="17">
        <v>0</v>
      </c>
      <c r="J395" s="17">
        <v>0</v>
      </c>
      <c r="K395" s="17">
        <f t="shared" si="45"/>
        <v>42.299999999999955</v>
      </c>
      <c r="L395" s="23">
        <f t="shared" si="43"/>
        <v>2.114999999999998</v>
      </c>
      <c r="M395" s="23">
        <v>30</v>
      </c>
      <c r="N395" s="18">
        <f t="shared" si="47"/>
        <v>55.287671232876711</v>
      </c>
      <c r="O395" s="23">
        <v>803.7</v>
      </c>
      <c r="P395" s="18">
        <f t="shared" si="48"/>
        <v>55.789041095890411</v>
      </c>
      <c r="Q395" s="18">
        <v>0</v>
      </c>
      <c r="R395" s="18">
        <f t="shared" si="46"/>
        <v>803.7</v>
      </c>
      <c r="S395" s="18">
        <f t="shared" si="44"/>
        <v>2.114999999999998</v>
      </c>
    </row>
    <row r="396" spans="1:19" ht="18.75" customHeight="1" x14ac:dyDescent="0.25">
      <c r="A396" s="14">
        <f t="shared" si="49"/>
        <v>393</v>
      </c>
      <c r="B396" s="21" t="s">
        <v>392</v>
      </c>
      <c r="C396" s="15" t="s">
        <v>3</v>
      </c>
      <c r="D396" s="21" t="s">
        <v>56</v>
      </c>
      <c r="E396" s="21"/>
      <c r="F396" s="69" t="s">
        <v>11</v>
      </c>
      <c r="G396" s="9">
        <v>24108</v>
      </c>
      <c r="H396" s="26">
        <v>21.75</v>
      </c>
      <c r="I396" s="17">
        <v>0</v>
      </c>
      <c r="J396" s="17">
        <v>0</v>
      </c>
      <c r="K396" s="17">
        <f t="shared" si="45"/>
        <v>21.75</v>
      </c>
      <c r="L396" s="23">
        <f t="shared" si="43"/>
        <v>1.0875000000000001</v>
      </c>
      <c r="M396" s="23">
        <v>30</v>
      </c>
      <c r="N396" s="18">
        <f t="shared" si="47"/>
        <v>55.287671232876711</v>
      </c>
      <c r="O396" s="23">
        <v>413.25</v>
      </c>
      <c r="P396" s="18">
        <f t="shared" si="48"/>
        <v>55.789041095890411</v>
      </c>
      <c r="Q396" s="18">
        <v>0</v>
      </c>
      <c r="R396" s="18">
        <f t="shared" si="46"/>
        <v>413.25</v>
      </c>
      <c r="S396" s="18">
        <f t="shared" si="44"/>
        <v>1.0875000000000001</v>
      </c>
    </row>
    <row r="397" spans="1:19" ht="18.75" customHeight="1" x14ac:dyDescent="0.25">
      <c r="A397" s="14">
        <f t="shared" si="49"/>
        <v>394</v>
      </c>
      <c r="B397" s="21" t="s">
        <v>392</v>
      </c>
      <c r="C397" s="15" t="s">
        <v>3</v>
      </c>
      <c r="D397" s="21" t="s">
        <v>56</v>
      </c>
      <c r="E397" s="21"/>
      <c r="F397" s="69" t="s">
        <v>11</v>
      </c>
      <c r="G397" s="9">
        <v>23743</v>
      </c>
      <c r="H397" s="26">
        <v>2425.5</v>
      </c>
      <c r="I397" s="17">
        <v>0</v>
      </c>
      <c r="J397" s="17">
        <v>0</v>
      </c>
      <c r="K397" s="17">
        <f t="shared" si="45"/>
        <v>2425.5</v>
      </c>
      <c r="L397" s="23">
        <f t="shared" si="43"/>
        <v>121.27500000000001</v>
      </c>
      <c r="M397" s="23">
        <v>30</v>
      </c>
      <c r="N397" s="18">
        <f t="shared" si="47"/>
        <v>56.287671232876711</v>
      </c>
      <c r="O397" s="23">
        <v>46084.5</v>
      </c>
      <c r="P397" s="18">
        <f t="shared" si="48"/>
        <v>56.789041095890411</v>
      </c>
      <c r="Q397" s="18">
        <v>0</v>
      </c>
      <c r="R397" s="18">
        <f t="shared" si="46"/>
        <v>46084.5</v>
      </c>
      <c r="S397" s="18">
        <f t="shared" si="44"/>
        <v>121.27500000000001</v>
      </c>
    </row>
    <row r="398" spans="1:19" ht="18.75" customHeight="1" x14ac:dyDescent="0.25">
      <c r="A398" s="14">
        <f t="shared" si="49"/>
        <v>395</v>
      </c>
      <c r="B398" s="21" t="s">
        <v>393</v>
      </c>
      <c r="C398" s="15" t="s">
        <v>3</v>
      </c>
      <c r="D398" s="21" t="s">
        <v>56</v>
      </c>
      <c r="E398" s="21"/>
      <c r="F398" s="69" t="s">
        <v>4</v>
      </c>
      <c r="G398" s="9">
        <v>23743</v>
      </c>
      <c r="H398" s="26">
        <v>315.05000000000018</v>
      </c>
      <c r="I398" s="17">
        <v>0</v>
      </c>
      <c r="J398" s="17">
        <v>0</v>
      </c>
      <c r="K398" s="17">
        <f t="shared" si="45"/>
        <v>315.05000000000018</v>
      </c>
      <c r="L398" s="23">
        <f t="shared" si="43"/>
        <v>15.75250000000001</v>
      </c>
      <c r="M398" s="23">
        <v>30</v>
      </c>
      <c r="N398" s="18">
        <f t="shared" si="47"/>
        <v>56.287671232876711</v>
      </c>
      <c r="O398" s="23">
        <v>5985.95</v>
      </c>
      <c r="P398" s="18">
        <f t="shared" si="48"/>
        <v>56.789041095890411</v>
      </c>
      <c r="Q398" s="18">
        <v>0</v>
      </c>
      <c r="R398" s="18">
        <f t="shared" si="46"/>
        <v>5985.95</v>
      </c>
      <c r="S398" s="18">
        <f t="shared" si="44"/>
        <v>15.75250000000001</v>
      </c>
    </row>
    <row r="399" spans="1:19" ht="18.75" customHeight="1" x14ac:dyDescent="0.25">
      <c r="A399" s="14">
        <f t="shared" si="49"/>
        <v>396</v>
      </c>
      <c r="B399" s="21" t="s">
        <v>384</v>
      </c>
      <c r="C399" s="15" t="s">
        <v>3</v>
      </c>
      <c r="D399" s="21" t="s">
        <v>56</v>
      </c>
      <c r="E399" s="21"/>
      <c r="F399" s="69" t="s">
        <v>4</v>
      </c>
      <c r="G399" s="9">
        <v>23743</v>
      </c>
      <c r="H399" s="26">
        <v>284.69999999999982</v>
      </c>
      <c r="I399" s="17">
        <v>0</v>
      </c>
      <c r="J399" s="17">
        <v>0</v>
      </c>
      <c r="K399" s="17">
        <f t="shared" si="45"/>
        <v>284.69999999999982</v>
      </c>
      <c r="L399" s="23">
        <f t="shared" si="43"/>
        <v>14.234999999999992</v>
      </c>
      <c r="M399" s="23">
        <v>30</v>
      </c>
      <c r="N399" s="18">
        <f t="shared" si="47"/>
        <v>56.287671232876711</v>
      </c>
      <c r="O399" s="23">
        <v>5409.3</v>
      </c>
      <c r="P399" s="18">
        <f t="shared" si="48"/>
        <v>56.789041095890411</v>
      </c>
      <c r="Q399" s="18">
        <v>0</v>
      </c>
      <c r="R399" s="18">
        <f t="shared" si="46"/>
        <v>5409.3</v>
      </c>
      <c r="S399" s="18">
        <f t="shared" si="44"/>
        <v>14.234999999999992</v>
      </c>
    </row>
    <row r="400" spans="1:19" ht="18.75" customHeight="1" x14ac:dyDescent="0.25">
      <c r="A400" s="14">
        <f t="shared" si="49"/>
        <v>397</v>
      </c>
      <c r="B400" s="21" t="s">
        <v>394</v>
      </c>
      <c r="C400" s="15" t="s">
        <v>3</v>
      </c>
      <c r="D400" s="21" t="s">
        <v>56</v>
      </c>
      <c r="E400" s="21"/>
      <c r="F400" s="69" t="s">
        <v>4</v>
      </c>
      <c r="G400" s="9">
        <v>23743</v>
      </c>
      <c r="H400" s="26">
        <v>231</v>
      </c>
      <c r="I400" s="17">
        <v>0</v>
      </c>
      <c r="J400" s="17">
        <v>0</v>
      </c>
      <c r="K400" s="17">
        <f t="shared" si="45"/>
        <v>231</v>
      </c>
      <c r="L400" s="23">
        <f t="shared" si="43"/>
        <v>11.55</v>
      </c>
      <c r="M400" s="23">
        <v>30</v>
      </c>
      <c r="N400" s="18">
        <f t="shared" si="47"/>
        <v>56.287671232876711</v>
      </c>
      <c r="O400" s="23">
        <v>4389</v>
      </c>
      <c r="P400" s="18">
        <f t="shared" si="48"/>
        <v>56.789041095890411</v>
      </c>
      <c r="Q400" s="18">
        <v>0</v>
      </c>
      <c r="R400" s="18">
        <f t="shared" si="46"/>
        <v>4389</v>
      </c>
      <c r="S400" s="18">
        <f t="shared" si="44"/>
        <v>11.55</v>
      </c>
    </row>
    <row r="401" spans="1:19" ht="18.75" customHeight="1" x14ac:dyDescent="0.25">
      <c r="A401" s="14">
        <f t="shared" si="49"/>
        <v>398</v>
      </c>
      <c r="B401" s="21" t="s">
        <v>395</v>
      </c>
      <c r="C401" s="15" t="s">
        <v>3</v>
      </c>
      <c r="D401" s="21" t="s">
        <v>56</v>
      </c>
      <c r="E401" s="21"/>
      <c r="F401" s="69" t="s">
        <v>4</v>
      </c>
      <c r="G401" s="9">
        <v>23743</v>
      </c>
      <c r="H401" s="26">
        <v>191.25</v>
      </c>
      <c r="I401" s="17">
        <v>0</v>
      </c>
      <c r="J401" s="17">
        <v>0</v>
      </c>
      <c r="K401" s="17">
        <f t="shared" si="45"/>
        <v>191.25</v>
      </c>
      <c r="L401" s="23">
        <f t="shared" si="43"/>
        <v>9.5625</v>
      </c>
      <c r="M401" s="23">
        <v>30</v>
      </c>
      <c r="N401" s="18">
        <f t="shared" si="47"/>
        <v>56.287671232876711</v>
      </c>
      <c r="O401" s="23">
        <v>3633.75</v>
      </c>
      <c r="P401" s="18">
        <f t="shared" si="48"/>
        <v>56.789041095890411</v>
      </c>
      <c r="Q401" s="18">
        <v>0</v>
      </c>
      <c r="R401" s="18">
        <f t="shared" si="46"/>
        <v>3633.75</v>
      </c>
      <c r="S401" s="18">
        <f t="shared" si="44"/>
        <v>9.5625</v>
      </c>
    </row>
    <row r="402" spans="1:19" ht="18.75" customHeight="1" x14ac:dyDescent="0.25">
      <c r="A402" s="14">
        <f t="shared" si="49"/>
        <v>399</v>
      </c>
      <c r="B402" s="21" t="s">
        <v>396</v>
      </c>
      <c r="C402" s="15" t="s">
        <v>3</v>
      </c>
      <c r="D402" s="21" t="s">
        <v>56</v>
      </c>
      <c r="E402" s="21"/>
      <c r="F402" s="69" t="s">
        <v>4</v>
      </c>
      <c r="G402" s="9">
        <v>23743</v>
      </c>
      <c r="H402" s="26">
        <v>88.200000000000045</v>
      </c>
      <c r="I402" s="17">
        <v>0</v>
      </c>
      <c r="J402" s="17">
        <v>0</v>
      </c>
      <c r="K402" s="17">
        <f t="shared" si="45"/>
        <v>88.200000000000045</v>
      </c>
      <c r="L402" s="23">
        <f t="shared" si="43"/>
        <v>4.4100000000000028</v>
      </c>
      <c r="M402" s="23">
        <v>30</v>
      </c>
      <c r="N402" s="18">
        <f t="shared" si="47"/>
        <v>56.287671232876711</v>
      </c>
      <c r="O402" s="23">
        <v>1675.8</v>
      </c>
      <c r="P402" s="18">
        <f t="shared" si="48"/>
        <v>56.789041095890411</v>
      </c>
      <c r="Q402" s="18">
        <v>0</v>
      </c>
      <c r="R402" s="18">
        <f t="shared" si="46"/>
        <v>1675.8</v>
      </c>
      <c r="S402" s="18">
        <f t="shared" si="44"/>
        <v>4.4100000000000028</v>
      </c>
    </row>
    <row r="403" spans="1:19" ht="18.75" customHeight="1" x14ac:dyDescent="0.25">
      <c r="A403" s="14">
        <f t="shared" si="49"/>
        <v>400</v>
      </c>
      <c r="B403" s="21" t="s">
        <v>397</v>
      </c>
      <c r="C403" s="15" t="s">
        <v>3</v>
      </c>
      <c r="D403" s="21" t="s">
        <v>56</v>
      </c>
      <c r="E403" s="21"/>
      <c r="F403" s="69" t="s">
        <v>4</v>
      </c>
      <c r="G403" s="9">
        <v>23743</v>
      </c>
      <c r="H403" s="26">
        <v>45.100000000000023</v>
      </c>
      <c r="I403" s="17">
        <v>0</v>
      </c>
      <c r="J403" s="17">
        <v>0</v>
      </c>
      <c r="K403" s="17">
        <f t="shared" si="45"/>
        <v>45.100000000000023</v>
      </c>
      <c r="L403" s="23">
        <f t="shared" si="43"/>
        <v>2.2550000000000012</v>
      </c>
      <c r="M403" s="23">
        <v>30</v>
      </c>
      <c r="N403" s="18">
        <f t="shared" si="47"/>
        <v>56.287671232876711</v>
      </c>
      <c r="O403" s="23">
        <v>856.9</v>
      </c>
      <c r="P403" s="18">
        <f t="shared" si="48"/>
        <v>56.789041095890411</v>
      </c>
      <c r="Q403" s="18">
        <v>0</v>
      </c>
      <c r="R403" s="18">
        <f t="shared" si="46"/>
        <v>856.9</v>
      </c>
      <c r="S403" s="18">
        <f t="shared" si="44"/>
        <v>2.2550000000000012</v>
      </c>
    </row>
    <row r="404" spans="1:19" ht="18.75" customHeight="1" x14ac:dyDescent="0.25">
      <c r="A404" s="14">
        <f t="shared" si="49"/>
        <v>401</v>
      </c>
      <c r="B404" s="21" t="s">
        <v>382</v>
      </c>
      <c r="C404" s="15" t="s">
        <v>3</v>
      </c>
      <c r="D404" s="21" t="s">
        <v>56</v>
      </c>
      <c r="E404" s="21"/>
      <c r="F404" s="69" t="s">
        <v>4</v>
      </c>
      <c r="G404" s="9">
        <v>23743</v>
      </c>
      <c r="H404" s="26">
        <v>30.25</v>
      </c>
      <c r="I404" s="17">
        <v>0</v>
      </c>
      <c r="J404" s="17">
        <v>0</v>
      </c>
      <c r="K404" s="17">
        <f t="shared" si="45"/>
        <v>30.25</v>
      </c>
      <c r="L404" s="23">
        <f t="shared" si="43"/>
        <v>1.5125000000000002</v>
      </c>
      <c r="M404" s="23">
        <v>30</v>
      </c>
      <c r="N404" s="18">
        <f t="shared" si="47"/>
        <v>56.287671232876711</v>
      </c>
      <c r="O404" s="23">
        <v>574.75</v>
      </c>
      <c r="P404" s="18">
        <f t="shared" si="48"/>
        <v>56.789041095890411</v>
      </c>
      <c r="Q404" s="18">
        <v>0</v>
      </c>
      <c r="R404" s="18">
        <f t="shared" si="46"/>
        <v>574.75</v>
      </c>
      <c r="S404" s="18">
        <f t="shared" si="44"/>
        <v>1.5125000000000002</v>
      </c>
    </row>
    <row r="405" spans="1:19" ht="18.75" customHeight="1" x14ac:dyDescent="0.25">
      <c r="A405" s="14">
        <f t="shared" si="49"/>
        <v>402</v>
      </c>
      <c r="B405" s="21" t="s">
        <v>398</v>
      </c>
      <c r="C405" s="15" t="s">
        <v>3</v>
      </c>
      <c r="D405" s="21" t="s">
        <v>56</v>
      </c>
      <c r="E405" s="21"/>
      <c r="F405" s="69" t="s">
        <v>6</v>
      </c>
      <c r="G405" s="9">
        <v>23743</v>
      </c>
      <c r="H405" s="26">
        <v>27.75</v>
      </c>
      <c r="I405" s="17">
        <v>0</v>
      </c>
      <c r="J405" s="17">
        <v>0</v>
      </c>
      <c r="K405" s="17">
        <f t="shared" si="45"/>
        <v>27.75</v>
      </c>
      <c r="L405" s="23">
        <f t="shared" si="43"/>
        <v>1.3875000000000002</v>
      </c>
      <c r="M405" s="23">
        <v>30</v>
      </c>
      <c r="N405" s="18">
        <f t="shared" si="47"/>
        <v>56.287671232876711</v>
      </c>
      <c r="O405" s="23">
        <v>527.25</v>
      </c>
      <c r="P405" s="18">
        <f t="shared" si="48"/>
        <v>56.789041095890411</v>
      </c>
      <c r="Q405" s="18">
        <v>0</v>
      </c>
      <c r="R405" s="18">
        <f t="shared" si="46"/>
        <v>527.25</v>
      </c>
      <c r="S405" s="18">
        <f t="shared" si="44"/>
        <v>1.3875000000000002</v>
      </c>
    </row>
    <row r="406" spans="1:19" ht="18.75" customHeight="1" x14ac:dyDescent="0.25">
      <c r="A406" s="14">
        <f t="shared" si="49"/>
        <v>403</v>
      </c>
      <c r="B406" s="21" t="s">
        <v>200</v>
      </c>
      <c r="C406" s="15" t="s">
        <v>3</v>
      </c>
      <c r="D406" s="21" t="s">
        <v>56</v>
      </c>
      <c r="E406" s="21"/>
      <c r="F406" s="69" t="s">
        <v>4</v>
      </c>
      <c r="G406" s="9">
        <v>23743</v>
      </c>
      <c r="H406" s="26">
        <v>22.699999999999989</v>
      </c>
      <c r="I406" s="17">
        <v>0</v>
      </c>
      <c r="J406" s="17">
        <v>0</v>
      </c>
      <c r="K406" s="17">
        <f t="shared" si="45"/>
        <v>22.699999999999989</v>
      </c>
      <c r="L406" s="23">
        <f t="shared" si="43"/>
        <v>1.1349999999999996</v>
      </c>
      <c r="M406" s="23">
        <v>30</v>
      </c>
      <c r="N406" s="18">
        <f t="shared" si="47"/>
        <v>56.287671232876711</v>
      </c>
      <c r="O406" s="23">
        <v>431.3</v>
      </c>
      <c r="P406" s="18">
        <f t="shared" si="48"/>
        <v>56.789041095890411</v>
      </c>
      <c r="Q406" s="18">
        <v>0</v>
      </c>
      <c r="R406" s="18">
        <f t="shared" si="46"/>
        <v>431.3</v>
      </c>
      <c r="S406" s="18">
        <f t="shared" si="44"/>
        <v>1.1349999999999996</v>
      </c>
    </row>
    <row r="407" spans="1:19" ht="18.75" customHeight="1" x14ac:dyDescent="0.25">
      <c r="A407" s="14">
        <f t="shared" si="49"/>
        <v>404</v>
      </c>
      <c r="B407" s="21" t="s">
        <v>399</v>
      </c>
      <c r="C407" s="15" t="s">
        <v>3</v>
      </c>
      <c r="D407" s="21" t="s">
        <v>56</v>
      </c>
      <c r="E407" s="21"/>
      <c r="F407" s="69" t="s">
        <v>4</v>
      </c>
      <c r="G407" s="9">
        <v>23743</v>
      </c>
      <c r="H407" s="26">
        <v>20.949999999999989</v>
      </c>
      <c r="I407" s="17">
        <v>0</v>
      </c>
      <c r="J407" s="17">
        <v>0</v>
      </c>
      <c r="K407" s="17">
        <f t="shared" si="45"/>
        <v>20.949999999999989</v>
      </c>
      <c r="L407" s="23">
        <f t="shared" ref="L407:L470" si="50">H407*0.05</f>
        <v>1.0474999999999994</v>
      </c>
      <c r="M407" s="23">
        <v>30</v>
      </c>
      <c r="N407" s="18">
        <f t="shared" si="47"/>
        <v>56.287671232876711</v>
      </c>
      <c r="O407" s="23">
        <v>398.05</v>
      </c>
      <c r="P407" s="18">
        <f t="shared" si="48"/>
        <v>56.789041095890411</v>
      </c>
      <c r="Q407" s="18">
        <v>0</v>
      </c>
      <c r="R407" s="18">
        <f t="shared" si="46"/>
        <v>398.05</v>
      </c>
      <c r="S407" s="18">
        <f t="shared" ref="S407:S470" si="51">L407</f>
        <v>1.0474999999999994</v>
      </c>
    </row>
    <row r="408" spans="1:19" ht="18.75" customHeight="1" x14ac:dyDescent="0.25">
      <c r="A408" s="14">
        <f t="shared" si="49"/>
        <v>405</v>
      </c>
      <c r="B408" s="21" t="s">
        <v>400</v>
      </c>
      <c r="C408" s="15" t="s">
        <v>3</v>
      </c>
      <c r="D408" s="21" t="s">
        <v>56</v>
      </c>
      <c r="E408" s="21"/>
      <c r="F408" s="69" t="s">
        <v>4</v>
      </c>
      <c r="G408" s="9">
        <v>23743</v>
      </c>
      <c r="H408" s="26">
        <v>10.800000000000011</v>
      </c>
      <c r="I408" s="17">
        <v>0</v>
      </c>
      <c r="J408" s="17">
        <v>0</v>
      </c>
      <c r="K408" s="17">
        <f t="shared" si="45"/>
        <v>10.800000000000011</v>
      </c>
      <c r="L408" s="23">
        <f t="shared" si="50"/>
        <v>0.54000000000000059</v>
      </c>
      <c r="M408" s="23">
        <v>30</v>
      </c>
      <c r="N408" s="18">
        <f t="shared" si="47"/>
        <v>56.287671232876711</v>
      </c>
      <c r="O408" s="23">
        <v>205.2</v>
      </c>
      <c r="P408" s="18">
        <f t="shared" si="48"/>
        <v>56.789041095890411</v>
      </c>
      <c r="Q408" s="18">
        <v>0</v>
      </c>
      <c r="R408" s="18">
        <f t="shared" si="46"/>
        <v>205.2</v>
      </c>
      <c r="S408" s="18">
        <f t="shared" si="51"/>
        <v>0.54000000000000059</v>
      </c>
    </row>
    <row r="409" spans="1:19" ht="18.75" customHeight="1" x14ac:dyDescent="0.25">
      <c r="A409" s="14">
        <f t="shared" si="49"/>
        <v>406</v>
      </c>
      <c r="B409" s="21" t="s">
        <v>401</v>
      </c>
      <c r="C409" s="15" t="s">
        <v>3</v>
      </c>
      <c r="D409" s="21" t="s">
        <v>56</v>
      </c>
      <c r="E409" s="21"/>
      <c r="F409" s="69" t="s">
        <v>4</v>
      </c>
      <c r="G409" s="9">
        <v>23743</v>
      </c>
      <c r="H409" s="26">
        <v>1.4499999999999993</v>
      </c>
      <c r="I409" s="17">
        <v>0</v>
      </c>
      <c r="J409" s="17">
        <v>0</v>
      </c>
      <c r="K409" s="17">
        <f t="shared" si="45"/>
        <v>1.4499999999999993</v>
      </c>
      <c r="L409" s="23">
        <f t="shared" si="50"/>
        <v>7.2499999999999967E-2</v>
      </c>
      <c r="M409" s="23">
        <v>30</v>
      </c>
      <c r="N409" s="18">
        <f t="shared" si="47"/>
        <v>56.287671232876711</v>
      </c>
      <c r="O409" s="23">
        <v>27.55</v>
      </c>
      <c r="P409" s="18">
        <f t="shared" si="48"/>
        <v>56.789041095890411</v>
      </c>
      <c r="Q409" s="18">
        <v>0</v>
      </c>
      <c r="R409" s="18">
        <f t="shared" si="46"/>
        <v>27.55</v>
      </c>
      <c r="S409" s="18">
        <f t="shared" si="51"/>
        <v>7.2499999999999967E-2</v>
      </c>
    </row>
    <row r="410" spans="1:19" ht="18.75" customHeight="1" x14ac:dyDescent="0.25">
      <c r="A410" s="14">
        <f t="shared" si="49"/>
        <v>407</v>
      </c>
      <c r="B410" s="21" t="s">
        <v>392</v>
      </c>
      <c r="C410" s="15" t="s">
        <v>3</v>
      </c>
      <c r="D410" s="21" t="s">
        <v>56</v>
      </c>
      <c r="E410" s="21"/>
      <c r="F410" s="69" t="s">
        <v>11</v>
      </c>
      <c r="G410" s="9">
        <v>23377</v>
      </c>
      <c r="H410" s="26">
        <v>1430.4000000000015</v>
      </c>
      <c r="I410" s="17">
        <v>0</v>
      </c>
      <c r="J410" s="17">
        <v>0</v>
      </c>
      <c r="K410" s="17">
        <f t="shared" si="45"/>
        <v>1430.4000000000015</v>
      </c>
      <c r="L410" s="23">
        <f t="shared" si="50"/>
        <v>71.520000000000081</v>
      </c>
      <c r="M410" s="23">
        <v>30</v>
      </c>
      <c r="N410" s="18">
        <f t="shared" si="47"/>
        <v>57.290410958904111</v>
      </c>
      <c r="O410" s="23">
        <v>27177.599999999999</v>
      </c>
      <c r="P410" s="18">
        <f t="shared" si="48"/>
        <v>57.791780821917811</v>
      </c>
      <c r="Q410" s="18">
        <v>0</v>
      </c>
      <c r="R410" s="18">
        <f t="shared" si="46"/>
        <v>27177.599999999999</v>
      </c>
      <c r="S410" s="18">
        <f t="shared" si="51"/>
        <v>71.520000000000081</v>
      </c>
    </row>
    <row r="411" spans="1:19" ht="18.75" customHeight="1" x14ac:dyDescent="0.25">
      <c r="A411" s="14">
        <f t="shared" si="49"/>
        <v>408</v>
      </c>
      <c r="B411" s="21" t="s">
        <v>402</v>
      </c>
      <c r="C411" s="15" t="s">
        <v>3</v>
      </c>
      <c r="D411" s="21" t="s">
        <v>56</v>
      </c>
      <c r="E411" s="21"/>
      <c r="F411" s="69" t="s">
        <v>10</v>
      </c>
      <c r="G411" s="9">
        <v>23377</v>
      </c>
      <c r="H411" s="26">
        <v>211.34999999999991</v>
      </c>
      <c r="I411" s="17">
        <v>0</v>
      </c>
      <c r="J411" s="17">
        <v>0</v>
      </c>
      <c r="K411" s="17">
        <f t="shared" si="45"/>
        <v>211.34999999999991</v>
      </c>
      <c r="L411" s="23">
        <f t="shared" si="50"/>
        <v>10.567499999999995</v>
      </c>
      <c r="M411" s="23">
        <v>30</v>
      </c>
      <c r="N411" s="18">
        <f t="shared" si="47"/>
        <v>57.290410958904111</v>
      </c>
      <c r="O411" s="23">
        <v>4015.65</v>
      </c>
      <c r="P411" s="18">
        <f t="shared" si="48"/>
        <v>57.791780821917811</v>
      </c>
      <c r="Q411" s="18">
        <v>0</v>
      </c>
      <c r="R411" s="18">
        <f t="shared" si="46"/>
        <v>4015.65</v>
      </c>
      <c r="S411" s="18">
        <f t="shared" si="51"/>
        <v>10.567499999999995</v>
      </c>
    </row>
    <row r="412" spans="1:19" ht="18.75" customHeight="1" x14ac:dyDescent="0.25">
      <c r="A412" s="14">
        <f t="shared" si="49"/>
        <v>409</v>
      </c>
      <c r="B412" s="21" t="s">
        <v>403</v>
      </c>
      <c r="C412" s="15" t="s">
        <v>3</v>
      </c>
      <c r="D412" s="21" t="s">
        <v>56</v>
      </c>
      <c r="E412" s="21"/>
      <c r="F412" s="69" t="s">
        <v>4</v>
      </c>
      <c r="G412" s="9">
        <v>23377</v>
      </c>
      <c r="H412" s="26">
        <v>200.05000000000018</v>
      </c>
      <c r="I412" s="17">
        <v>0</v>
      </c>
      <c r="J412" s="17">
        <v>0</v>
      </c>
      <c r="K412" s="17">
        <f t="shared" si="45"/>
        <v>200.05000000000018</v>
      </c>
      <c r="L412" s="23">
        <f t="shared" si="50"/>
        <v>10.00250000000001</v>
      </c>
      <c r="M412" s="23">
        <v>30</v>
      </c>
      <c r="N412" s="18">
        <f t="shared" si="47"/>
        <v>57.290410958904111</v>
      </c>
      <c r="O412" s="23">
        <v>3800.95</v>
      </c>
      <c r="P412" s="18">
        <f t="shared" si="48"/>
        <v>57.791780821917811</v>
      </c>
      <c r="Q412" s="18">
        <v>0</v>
      </c>
      <c r="R412" s="18">
        <f t="shared" si="46"/>
        <v>3800.95</v>
      </c>
      <c r="S412" s="18">
        <f t="shared" si="51"/>
        <v>10.00250000000001</v>
      </c>
    </row>
    <row r="413" spans="1:19" ht="18.75" customHeight="1" x14ac:dyDescent="0.25">
      <c r="A413" s="14">
        <f t="shared" si="49"/>
        <v>410</v>
      </c>
      <c r="B413" s="21" t="s">
        <v>353</v>
      </c>
      <c r="C413" s="15" t="s">
        <v>3</v>
      </c>
      <c r="D413" s="21" t="s">
        <v>56</v>
      </c>
      <c r="E413" s="21"/>
      <c r="F413" s="69" t="s">
        <v>6</v>
      </c>
      <c r="G413" s="9">
        <v>23377</v>
      </c>
      <c r="H413" s="26">
        <v>181.75</v>
      </c>
      <c r="I413" s="17">
        <v>0</v>
      </c>
      <c r="J413" s="17">
        <v>0</v>
      </c>
      <c r="K413" s="17">
        <f t="shared" si="45"/>
        <v>181.75</v>
      </c>
      <c r="L413" s="23">
        <f t="shared" si="50"/>
        <v>9.0875000000000004</v>
      </c>
      <c r="M413" s="23">
        <v>30</v>
      </c>
      <c r="N413" s="18">
        <f t="shared" si="47"/>
        <v>57.290410958904111</v>
      </c>
      <c r="O413" s="23">
        <v>3453.25</v>
      </c>
      <c r="P413" s="18">
        <f t="shared" si="48"/>
        <v>57.791780821917811</v>
      </c>
      <c r="Q413" s="18">
        <v>0</v>
      </c>
      <c r="R413" s="18">
        <f t="shared" si="46"/>
        <v>3453.25</v>
      </c>
      <c r="S413" s="18">
        <f t="shared" si="51"/>
        <v>9.0875000000000004</v>
      </c>
    </row>
    <row r="414" spans="1:19" ht="18.75" customHeight="1" x14ac:dyDescent="0.25">
      <c r="A414" s="14">
        <f t="shared" si="49"/>
        <v>411</v>
      </c>
      <c r="B414" s="21" t="s">
        <v>404</v>
      </c>
      <c r="C414" s="15" t="s">
        <v>3</v>
      </c>
      <c r="D414" s="21" t="s">
        <v>56</v>
      </c>
      <c r="E414" s="21"/>
      <c r="F414" s="69" t="s">
        <v>4</v>
      </c>
      <c r="G414" s="9">
        <v>23377</v>
      </c>
      <c r="H414" s="26">
        <v>161.59999999999991</v>
      </c>
      <c r="I414" s="17">
        <v>0</v>
      </c>
      <c r="J414" s="17">
        <v>0</v>
      </c>
      <c r="K414" s="17">
        <f t="shared" si="45"/>
        <v>161.59999999999991</v>
      </c>
      <c r="L414" s="23">
        <f t="shared" si="50"/>
        <v>8.0799999999999965</v>
      </c>
      <c r="M414" s="23">
        <v>30</v>
      </c>
      <c r="N414" s="18">
        <f t="shared" si="47"/>
        <v>57.290410958904111</v>
      </c>
      <c r="O414" s="23">
        <v>3070.4</v>
      </c>
      <c r="P414" s="18">
        <f t="shared" si="48"/>
        <v>57.791780821917811</v>
      </c>
      <c r="Q414" s="18">
        <v>0</v>
      </c>
      <c r="R414" s="18">
        <f t="shared" si="46"/>
        <v>3070.4</v>
      </c>
      <c r="S414" s="18">
        <f t="shared" si="51"/>
        <v>8.0799999999999965</v>
      </c>
    </row>
    <row r="415" spans="1:19" ht="18.75" customHeight="1" x14ac:dyDescent="0.25">
      <c r="A415" s="14">
        <f t="shared" si="49"/>
        <v>412</v>
      </c>
      <c r="B415" s="21" t="s">
        <v>405</v>
      </c>
      <c r="C415" s="15" t="s">
        <v>3</v>
      </c>
      <c r="D415" s="21" t="s">
        <v>56</v>
      </c>
      <c r="E415" s="21"/>
      <c r="F415" s="69" t="s">
        <v>6</v>
      </c>
      <c r="G415" s="9">
        <v>23377</v>
      </c>
      <c r="H415" s="26">
        <v>141.75</v>
      </c>
      <c r="I415" s="17">
        <v>0</v>
      </c>
      <c r="J415" s="17">
        <v>0</v>
      </c>
      <c r="K415" s="17">
        <f t="shared" si="45"/>
        <v>141.75</v>
      </c>
      <c r="L415" s="23">
        <f t="shared" si="50"/>
        <v>7.0875000000000004</v>
      </c>
      <c r="M415" s="23">
        <v>30</v>
      </c>
      <c r="N415" s="18">
        <f t="shared" si="47"/>
        <v>57.290410958904111</v>
      </c>
      <c r="O415" s="23">
        <v>2693.25</v>
      </c>
      <c r="P415" s="18">
        <f t="shared" si="48"/>
        <v>57.791780821917811</v>
      </c>
      <c r="Q415" s="18">
        <v>0</v>
      </c>
      <c r="R415" s="18">
        <f t="shared" si="46"/>
        <v>2693.25</v>
      </c>
      <c r="S415" s="18">
        <f t="shared" si="51"/>
        <v>7.0875000000000004</v>
      </c>
    </row>
    <row r="416" spans="1:19" ht="18.75" customHeight="1" x14ac:dyDescent="0.25">
      <c r="A416" s="14">
        <f t="shared" si="49"/>
        <v>413</v>
      </c>
      <c r="B416" s="21" t="s">
        <v>406</v>
      </c>
      <c r="C416" s="15" t="s">
        <v>3</v>
      </c>
      <c r="D416" s="21" t="s">
        <v>56</v>
      </c>
      <c r="E416" s="21"/>
      <c r="F416" s="69" t="s">
        <v>4</v>
      </c>
      <c r="G416" s="9">
        <v>23377</v>
      </c>
      <c r="H416" s="26">
        <v>141.40000000000009</v>
      </c>
      <c r="I416" s="17">
        <v>0</v>
      </c>
      <c r="J416" s="17">
        <v>0</v>
      </c>
      <c r="K416" s="17">
        <f t="shared" si="45"/>
        <v>141.40000000000009</v>
      </c>
      <c r="L416" s="23">
        <f t="shared" si="50"/>
        <v>7.0700000000000047</v>
      </c>
      <c r="M416" s="23">
        <v>30</v>
      </c>
      <c r="N416" s="18">
        <f t="shared" si="47"/>
        <v>57.290410958904111</v>
      </c>
      <c r="O416" s="23">
        <v>2686.6</v>
      </c>
      <c r="P416" s="18">
        <f t="shared" si="48"/>
        <v>57.791780821917811</v>
      </c>
      <c r="Q416" s="18">
        <v>0</v>
      </c>
      <c r="R416" s="18">
        <f t="shared" si="46"/>
        <v>2686.6</v>
      </c>
      <c r="S416" s="18">
        <f t="shared" si="51"/>
        <v>7.0700000000000047</v>
      </c>
    </row>
    <row r="417" spans="1:19" ht="18.75" customHeight="1" x14ac:dyDescent="0.25">
      <c r="A417" s="14">
        <f t="shared" si="49"/>
        <v>414</v>
      </c>
      <c r="B417" s="21" t="s">
        <v>407</v>
      </c>
      <c r="C417" s="15" t="s">
        <v>3</v>
      </c>
      <c r="D417" s="21" t="s">
        <v>56</v>
      </c>
      <c r="E417" s="21"/>
      <c r="F417" s="69" t="s">
        <v>4</v>
      </c>
      <c r="G417" s="9">
        <v>23377</v>
      </c>
      <c r="H417" s="26">
        <v>131.19999999999982</v>
      </c>
      <c r="I417" s="17">
        <v>0</v>
      </c>
      <c r="J417" s="17">
        <v>0</v>
      </c>
      <c r="K417" s="17">
        <f t="shared" si="45"/>
        <v>131.19999999999982</v>
      </c>
      <c r="L417" s="23">
        <f t="shared" si="50"/>
        <v>6.5599999999999916</v>
      </c>
      <c r="M417" s="23">
        <v>30</v>
      </c>
      <c r="N417" s="18">
        <f t="shared" si="47"/>
        <v>57.290410958904111</v>
      </c>
      <c r="O417" s="23">
        <v>2492.8000000000002</v>
      </c>
      <c r="P417" s="18">
        <f t="shared" si="48"/>
        <v>57.791780821917811</v>
      </c>
      <c r="Q417" s="18">
        <v>0</v>
      </c>
      <c r="R417" s="18">
        <f t="shared" si="46"/>
        <v>2492.8000000000002</v>
      </c>
      <c r="S417" s="18">
        <f t="shared" si="51"/>
        <v>6.5599999999999916</v>
      </c>
    </row>
    <row r="418" spans="1:19" ht="18.75" customHeight="1" x14ac:dyDescent="0.25">
      <c r="A418" s="14">
        <f t="shared" si="49"/>
        <v>415</v>
      </c>
      <c r="B418" s="21" t="s">
        <v>400</v>
      </c>
      <c r="C418" s="15" t="s">
        <v>3</v>
      </c>
      <c r="D418" s="21" t="s">
        <v>56</v>
      </c>
      <c r="E418" s="21"/>
      <c r="F418" s="69" t="s">
        <v>4</v>
      </c>
      <c r="G418" s="9">
        <v>23377</v>
      </c>
      <c r="H418" s="26">
        <v>100.04999999999995</v>
      </c>
      <c r="I418" s="17">
        <v>0</v>
      </c>
      <c r="J418" s="17">
        <v>0</v>
      </c>
      <c r="K418" s="17">
        <f t="shared" si="45"/>
        <v>100.04999999999995</v>
      </c>
      <c r="L418" s="23">
        <f t="shared" si="50"/>
        <v>5.0024999999999977</v>
      </c>
      <c r="M418" s="23">
        <v>30</v>
      </c>
      <c r="N418" s="18">
        <f t="shared" si="47"/>
        <v>57.290410958904111</v>
      </c>
      <c r="O418" s="23">
        <v>1900.95</v>
      </c>
      <c r="P418" s="18">
        <f t="shared" si="48"/>
        <v>57.791780821917811</v>
      </c>
      <c r="Q418" s="18">
        <v>0</v>
      </c>
      <c r="R418" s="18">
        <f t="shared" si="46"/>
        <v>1900.95</v>
      </c>
      <c r="S418" s="18">
        <f t="shared" si="51"/>
        <v>5.0024999999999977</v>
      </c>
    </row>
    <row r="419" spans="1:19" ht="18.75" customHeight="1" x14ac:dyDescent="0.25">
      <c r="A419" s="14">
        <f t="shared" si="49"/>
        <v>416</v>
      </c>
      <c r="B419" s="21" t="s">
        <v>408</v>
      </c>
      <c r="C419" s="15" t="s">
        <v>3</v>
      </c>
      <c r="D419" s="21" t="s">
        <v>56</v>
      </c>
      <c r="E419" s="21"/>
      <c r="F419" s="69" t="s">
        <v>4</v>
      </c>
      <c r="G419" s="9">
        <v>23377</v>
      </c>
      <c r="H419" s="26">
        <v>63.349999999999909</v>
      </c>
      <c r="I419" s="17">
        <v>0</v>
      </c>
      <c r="J419" s="17">
        <v>0</v>
      </c>
      <c r="K419" s="17">
        <f t="shared" si="45"/>
        <v>63.349999999999909</v>
      </c>
      <c r="L419" s="23">
        <f t="shared" si="50"/>
        <v>3.1674999999999955</v>
      </c>
      <c r="M419" s="23">
        <v>30</v>
      </c>
      <c r="N419" s="18">
        <f t="shared" si="47"/>
        <v>57.290410958904111</v>
      </c>
      <c r="O419" s="23">
        <v>1203.6500000000001</v>
      </c>
      <c r="P419" s="18">
        <f t="shared" si="48"/>
        <v>57.791780821917811</v>
      </c>
      <c r="Q419" s="18">
        <v>0</v>
      </c>
      <c r="R419" s="18">
        <f t="shared" si="46"/>
        <v>1203.6500000000001</v>
      </c>
      <c r="S419" s="18">
        <f t="shared" si="51"/>
        <v>3.1674999999999955</v>
      </c>
    </row>
    <row r="420" spans="1:19" ht="18.75" customHeight="1" x14ac:dyDescent="0.25">
      <c r="A420" s="14">
        <f t="shared" si="49"/>
        <v>417</v>
      </c>
      <c r="B420" s="21" t="s">
        <v>409</v>
      </c>
      <c r="C420" s="15" t="s">
        <v>3</v>
      </c>
      <c r="D420" s="21" t="s">
        <v>56</v>
      </c>
      <c r="E420" s="21"/>
      <c r="F420" s="69" t="s">
        <v>4</v>
      </c>
      <c r="G420" s="9">
        <v>23377</v>
      </c>
      <c r="H420" s="26">
        <v>53.549999999999955</v>
      </c>
      <c r="I420" s="17">
        <v>0</v>
      </c>
      <c r="J420" s="17">
        <v>0</v>
      </c>
      <c r="K420" s="17">
        <f t="shared" si="45"/>
        <v>53.549999999999955</v>
      </c>
      <c r="L420" s="23">
        <f t="shared" si="50"/>
        <v>2.677499999999998</v>
      </c>
      <c r="M420" s="23">
        <v>30</v>
      </c>
      <c r="N420" s="18">
        <f t="shared" si="47"/>
        <v>57.290410958904111</v>
      </c>
      <c r="O420" s="23">
        <v>1017.45</v>
      </c>
      <c r="P420" s="18">
        <f t="shared" si="48"/>
        <v>57.791780821917811</v>
      </c>
      <c r="Q420" s="18">
        <v>0</v>
      </c>
      <c r="R420" s="18">
        <f t="shared" si="46"/>
        <v>1017.45</v>
      </c>
      <c r="S420" s="18">
        <f t="shared" si="51"/>
        <v>2.677499999999998</v>
      </c>
    </row>
    <row r="421" spans="1:19" ht="18.75" customHeight="1" x14ac:dyDescent="0.25">
      <c r="A421" s="14">
        <f t="shared" si="49"/>
        <v>418</v>
      </c>
      <c r="B421" s="21" t="s">
        <v>410</v>
      </c>
      <c r="C421" s="15" t="s">
        <v>3</v>
      </c>
      <c r="D421" s="21" t="s">
        <v>56</v>
      </c>
      <c r="E421" s="21"/>
      <c r="F421" s="69" t="s">
        <v>4</v>
      </c>
      <c r="G421" s="9">
        <v>23377</v>
      </c>
      <c r="H421" s="26">
        <v>52.5</v>
      </c>
      <c r="I421" s="17">
        <v>0</v>
      </c>
      <c r="J421" s="17">
        <v>0</v>
      </c>
      <c r="K421" s="17">
        <f t="shared" si="45"/>
        <v>52.5</v>
      </c>
      <c r="L421" s="23">
        <f t="shared" si="50"/>
        <v>2.625</v>
      </c>
      <c r="M421" s="23">
        <v>30</v>
      </c>
      <c r="N421" s="18">
        <f t="shared" si="47"/>
        <v>57.290410958904111</v>
      </c>
      <c r="O421" s="23">
        <v>997.5</v>
      </c>
      <c r="P421" s="18">
        <f t="shared" si="48"/>
        <v>57.791780821917811</v>
      </c>
      <c r="Q421" s="18">
        <v>0</v>
      </c>
      <c r="R421" s="18">
        <f t="shared" si="46"/>
        <v>997.5</v>
      </c>
      <c r="S421" s="18">
        <f t="shared" si="51"/>
        <v>2.625</v>
      </c>
    </row>
    <row r="422" spans="1:19" ht="18.75" customHeight="1" x14ac:dyDescent="0.25">
      <c r="A422" s="14">
        <f t="shared" si="49"/>
        <v>419</v>
      </c>
      <c r="B422" s="21" t="s">
        <v>411</v>
      </c>
      <c r="C422" s="15" t="s">
        <v>3</v>
      </c>
      <c r="D422" s="21" t="s">
        <v>56</v>
      </c>
      <c r="E422" s="21"/>
      <c r="F422" s="69" t="s">
        <v>4</v>
      </c>
      <c r="G422" s="9">
        <v>23377</v>
      </c>
      <c r="H422" s="26">
        <v>41.950000000000045</v>
      </c>
      <c r="I422" s="17">
        <v>0</v>
      </c>
      <c r="J422" s="17">
        <v>0</v>
      </c>
      <c r="K422" s="17">
        <f t="shared" si="45"/>
        <v>41.950000000000045</v>
      </c>
      <c r="L422" s="23">
        <f t="shared" si="50"/>
        <v>2.0975000000000024</v>
      </c>
      <c r="M422" s="23">
        <v>30</v>
      </c>
      <c r="N422" s="18">
        <f t="shared" si="47"/>
        <v>57.290410958904111</v>
      </c>
      <c r="O422" s="23">
        <v>797.05</v>
      </c>
      <c r="P422" s="18">
        <f t="shared" si="48"/>
        <v>57.791780821917811</v>
      </c>
      <c r="Q422" s="18">
        <v>0</v>
      </c>
      <c r="R422" s="18">
        <f t="shared" si="46"/>
        <v>797.05</v>
      </c>
      <c r="S422" s="18">
        <f t="shared" si="51"/>
        <v>2.0975000000000024</v>
      </c>
    </row>
    <row r="423" spans="1:19" ht="18.75" customHeight="1" x14ac:dyDescent="0.25">
      <c r="A423" s="14">
        <f t="shared" si="49"/>
        <v>420</v>
      </c>
      <c r="B423" s="21" t="s">
        <v>412</v>
      </c>
      <c r="C423" s="15" t="s">
        <v>3</v>
      </c>
      <c r="D423" s="21" t="s">
        <v>56</v>
      </c>
      <c r="E423" s="21"/>
      <c r="F423" s="69" t="s">
        <v>4</v>
      </c>
      <c r="G423" s="9">
        <v>23377</v>
      </c>
      <c r="H423" s="26">
        <v>14.199999999999989</v>
      </c>
      <c r="I423" s="17">
        <v>0</v>
      </c>
      <c r="J423" s="17">
        <v>0</v>
      </c>
      <c r="K423" s="17">
        <f t="shared" si="45"/>
        <v>14.199999999999989</v>
      </c>
      <c r="L423" s="23">
        <f t="shared" si="50"/>
        <v>0.70999999999999952</v>
      </c>
      <c r="M423" s="23">
        <v>30</v>
      </c>
      <c r="N423" s="18">
        <f t="shared" si="47"/>
        <v>57.290410958904111</v>
      </c>
      <c r="O423" s="23">
        <v>269.8</v>
      </c>
      <c r="P423" s="18">
        <f t="shared" si="48"/>
        <v>57.791780821917811</v>
      </c>
      <c r="Q423" s="18">
        <v>0</v>
      </c>
      <c r="R423" s="18">
        <f t="shared" si="46"/>
        <v>269.8</v>
      </c>
      <c r="S423" s="18">
        <f t="shared" si="51"/>
        <v>0.70999999999999952</v>
      </c>
    </row>
    <row r="424" spans="1:19" ht="18.75" customHeight="1" x14ac:dyDescent="0.25">
      <c r="A424" s="14">
        <f t="shared" si="49"/>
        <v>421</v>
      </c>
      <c r="B424" s="21" t="s">
        <v>413</v>
      </c>
      <c r="C424" s="15" t="s">
        <v>3</v>
      </c>
      <c r="D424" s="21" t="s">
        <v>56</v>
      </c>
      <c r="E424" s="21"/>
      <c r="F424" s="69" t="s">
        <v>6</v>
      </c>
      <c r="G424" s="9">
        <v>23012</v>
      </c>
      <c r="H424" s="26">
        <v>1390</v>
      </c>
      <c r="I424" s="17">
        <v>0</v>
      </c>
      <c r="J424" s="17">
        <v>0</v>
      </c>
      <c r="K424" s="17">
        <f t="shared" si="45"/>
        <v>1390</v>
      </c>
      <c r="L424" s="23">
        <f t="shared" si="50"/>
        <v>69.5</v>
      </c>
      <c r="M424" s="23">
        <v>30</v>
      </c>
      <c r="N424" s="18">
        <f t="shared" si="47"/>
        <v>58.290410958904111</v>
      </c>
      <c r="O424" s="23">
        <v>26410</v>
      </c>
      <c r="P424" s="18">
        <f t="shared" si="48"/>
        <v>58.791780821917811</v>
      </c>
      <c r="Q424" s="18">
        <v>0</v>
      </c>
      <c r="R424" s="18">
        <f t="shared" si="46"/>
        <v>26410</v>
      </c>
      <c r="S424" s="18">
        <f t="shared" si="51"/>
        <v>69.5</v>
      </c>
    </row>
    <row r="425" spans="1:19" ht="18.75" customHeight="1" x14ac:dyDescent="0.25">
      <c r="A425" s="14">
        <f t="shared" si="49"/>
        <v>422</v>
      </c>
      <c r="B425" s="21" t="s">
        <v>414</v>
      </c>
      <c r="C425" s="15" t="s">
        <v>3</v>
      </c>
      <c r="D425" s="21" t="s">
        <v>56</v>
      </c>
      <c r="E425" s="21"/>
      <c r="F425" s="69" t="s">
        <v>4</v>
      </c>
      <c r="G425" s="9">
        <v>23012</v>
      </c>
      <c r="H425" s="26">
        <v>281.05000000000018</v>
      </c>
      <c r="I425" s="17">
        <v>0</v>
      </c>
      <c r="J425" s="17">
        <v>0</v>
      </c>
      <c r="K425" s="17">
        <f t="shared" si="45"/>
        <v>281.05000000000018</v>
      </c>
      <c r="L425" s="23">
        <f t="shared" si="50"/>
        <v>14.052500000000009</v>
      </c>
      <c r="M425" s="23">
        <v>30</v>
      </c>
      <c r="N425" s="18">
        <f t="shared" si="47"/>
        <v>58.290410958904111</v>
      </c>
      <c r="O425" s="23">
        <v>5339.95</v>
      </c>
      <c r="P425" s="18">
        <f t="shared" si="48"/>
        <v>58.791780821917811</v>
      </c>
      <c r="Q425" s="18">
        <v>0</v>
      </c>
      <c r="R425" s="18">
        <f t="shared" si="46"/>
        <v>5339.95</v>
      </c>
      <c r="S425" s="18">
        <f t="shared" si="51"/>
        <v>14.052500000000009</v>
      </c>
    </row>
    <row r="426" spans="1:19" ht="18.75" customHeight="1" x14ac:dyDescent="0.25">
      <c r="A426" s="14">
        <f t="shared" si="49"/>
        <v>423</v>
      </c>
      <c r="B426" s="21" t="s">
        <v>402</v>
      </c>
      <c r="C426" s="15" t="s">
        <v>3</v>
      </c>
      <c r="D426" s="21" t="s">
        <v>56</v>
      </c>
      <c r="E426" s="21"/>
      <c r="F426" s="69" t="s">
        <v>10</v>
      </c>
      <c r="G426" s="9">
        <v>23012</v>
      </c>
      <c r="H426" s="26">
        <v>174.65000000000009</v>
      </c>
      <c r="I426" s="17">
        <v>0</v>
      </c>
      <c r="J426" s="17">
        <v>0</v>
      </c>
      <c r="K426" s="17">
        <f t="shared" si="45"/>
        <v>174.65000000000009</v>
      </c>
      <c r="L426" s="23">
        <f t="shared" si="50"/>
        <v>8.7325000000000053</v>
      </c>
      <c r="M426" s="23">
        <v>30</v>
      </c>
      <c r="N426" s="18">
        <f t="shared" si="47"/>
        <v>58.290410958904111</v>
      </c>
      <c r="O426" s="23">
        <v>3318.35</v>
      </c>
      <c r="P426" s="18">
        <f t="shared" si="48"/>
        <v>58.791780821917811</v>
      </c>
      <c r="Q426" s="18">
        <v>0</v>
      </c>
      <c r="R426" s="18">
        <f t="shared" si="46"/>
        <v>3318.35</v>
      </c>
      <c r="S426" s="18">
        <f t="shared" si="51"/>
        <v>8.7325000000000053</v>
      </c>
    </row>
    <row r="427" spans="1:19" ht="18.75" customHeight="1" x14ac:dyDescent="0.25">
      <c r="A427" s="14">
        <f t="shared" si="49"/>
        <v>424</v>
      </c>
      <c r="B427" s="21" t="s">
        <v>415</v>
      </c>
      <c r="C427" s="15" t="s">
        <v>3</v>
      </c>
      <c r="D427" s="21" t="s">
        <v>56</v>
      </c>
      <c r="E427" s="21"/>
      <c r="F427" s="69" t="s">
        <v>4</v>
      </c>
      <c r="G427" s="9">
        <v>23012</v>
      </c>
      <c r="H427" s="26">
        <v>156.44999999999982</v>
      </c>
      <c r="I427" s="17">
        <v>0</v>
      </c>
      <c r="J427" s="17">
        <v>0</v>
      </c>
      <c r="K427" s="17">
        <f t="shared" si="45"/>
        <v>156.44999999999982</v>
      </c>
      <c r="L427" s="23">
        <f t="shared" si="50"/>
        <v>7.8224999999999909</v>
      </c>
      <c r="M427" s="23">
        <v>30</v>
      </c>
      <c r="N427" s="18">
        <f t="shared" si="47"/>
        <v>58.290410958904111</v>
      </c>
      <c r="O427" s="23">
        <v>2972.55</v>
      </c>
      <c r="P427" s="18">
        <f t="shared" si="48"/>
        <v>58.791780821917811</v>
      </c>
      <c r="Q427" s="18">
        <v>0</v>
      </c>
      <c r="R427" s="18">
        <f t="shared" si="46"/>
        <v>2972.55</v>
      </c>
      <c r="S427" s="18">
        <f t="shared" si="51"/>
        <v>7.8224999999999909</v>
      </c>
    </row>
    <row r="428" spans="1:19" ht="18.75" customHeight="1" x14ac:dyDescent="0.25">
      <c r="A428" s="14">
        <f t="shared" si="49"/>
        <v>425</v>
      </c>
      <c r="B428" s="21" t="s">
        <v>416</v>
      </c>
      <c r="C428" s="15" t="s">
        <v>3</v>
      </c>
      <c r="D428" s="21" t="s">
        <v>56</v>
      </c>
      <c r="E428" s="21"/>
      <c r="F428" s="69" t="s">
        <v>4</v>
      </c>
      <c r="G428" s="9">
        <v>23012</v>
      </c>
      <c r="H428" s="26">
        <v>87.150000000000091</v>
      </c>
      <c r="I428" s="17">
        <v>0</v>
      </c>
      <c r="J428" s="17">
        <v>0</v>
      </c>
      <c r="K428" s="17">
        <f t="shared" si="45"/>
        <v>87.150000000000091</v>
      </c>
      <c r="L428" s="23">
        <f t="shared" si="50"/>
        <v>4.3575000000000044</v>
      </c>
      <c r="M428" s="23">
        <v>30</v>
      </c>
      <c r="N428" s="18">
        <f t="shared" si="47"/>
        <v>58.290410958904111</v>
      </c>
      <c r="O428" s="23">
        <v>1655.85</v>
      </c>
      <c r="P428" s="18">
        <f t="shared" si="48"/>
        <v>58.791780821917811</v>
      </c>
      <c r="Q428" s="18">
        <v>0</v>
      </c>
      <c r="R428" s="18">
        <f t="shared" si="46"/>
        <v>1655.85</v>
      </c>
      <c r="S428" s="18">
        <f t="shared" si="51"/>
        <v>4.3575000000000044</v>
      </c>
    </row>
    <row r="429" spans="1:19" ht="18.75" customHeight="1" x14ac:dyDescent="0.25">
      <c r="A429" s="14">
        <f t="shared" si="49"/>
        <v>426</v>
      </c>
      <c r="B429" s="21" t="s">
        <v>403</v>
      </c>
      <c r="C429" s="15" t="s">
        <v>3</v>
      </c>
      <c r="D429" s="21" t="s">
        <v>56</v>
      </c>
      <c r="E429" s="21"/>
      <c r="F429" s="69" t="s">
        <v>4</v>
      </c>
      <c r="G429" s="9">
        <v>23012</v>
      </c>
      <c r="H429" s="26">
        <v>60.599999999999909</v>
      </c>
      <c r="I429" s="17">
        <v>0</v>
      </c>
      <c r="J429" s="17">
        <v>0</v>
      </c>
      <c r="K429" s="17">
        <f t="shared" si="45"/>
        <v>60.599999999999909</v>
      </c>
      <c r="L429" s="23">
        <f t="shared" si="50"/>
        <v>3.0299999999999958</v>
      </c>
      <c r="M429" s="23">
        <v>30</v>
      </c>
      <c r="N429" s="18">
        <f t="shared" si="47"/>
        <v>58.290410958904111</v>
      </c>
      <c r="O429" s="23">
        <v>1151.4000000000001</v>
      </c>
      <c r="P429" s="18">
        <f t="shared" si="48"/>
        <v>58.791780821917811</v>
      </c>
      <c r="Q429" s="18">
        <v>0</v>
      </c>
      <c r="R429" s="18">
        <f t="shared" si="46"/>
        <v>1151.4000000000001</v>
      </c>
      <c r="S429" s="18">
        <f t="shared" si="51"/>
        <v>3.0299999999999958</v>
      </c>
    </row>
    <row r="430" spans="1:19" ht="18.75" customHeight="1" x14ac:dyDescent="0.25">
      <c r="A430" s="14">
        <f t="shared" si="49"/>
        <v>427</v>
      </c>
      <c r="B430" s="21" t="s">
        <v>417</v>
      </c>
      <c r="C430" s="15" t="s">
        <v>3</v>
      </c>
      <c r="D430" s="21" t="s">
        <v>56</v>
      </c>
      <c r="E430" s="21"/>
      <c r="F430" s="69" t="s">
        <v>4</v>
      </c>
      <c r="G430" s="9">
        <v>23012</v>
      </c>
      <c r="H430" s="26">
        <v>51.100000000000023</v>
      </c>
      <c r="I430" s="17">
        <v>0</v>
      </c>
      <c r="J430" s="17">
        <v>0</v>
      </c>
      <c r="K430" s="17">
        <f t="shared" si="45"/>
        <v>51.100000000000023</v>
      </c>
      <c r="L430" s="23">
        <f t="shared" si="50"/>
        <v>2.5550000000000015</v>
      </c>
      <c r="M430" s="23">
        <v>30</v>
      </c>
      <c r="N430" s="18">
        <f t="shared" si="47"/>
        <v>58.290410958904111</v>
      </c>
      <c r="O430" s="23">
        <v>970.9</v>
      </c>
      <c r="P430" s="18">
        <f t="shared" si="48"/>
        <v>58.791780821917811</v>
      </c>
      <c r="Q430" s="18">
        <v>0</v>
      </c>
      <c r="R430" s="18">
        <f t="shared" si="46"/>
        <v>970.9</v>
      </c>
      <c r="S430" s="18">
        <f t="shared" si="51"/>
        <v>2.5550000000000015</v>
      </c>
    </row>
    <row r="431" spans="1:19" ht="18.75" customHeight="1" x14ac:dyDescent="0.25">
      <c r="A431" s="14">
        <f t="shared" si="49"/>
        <v>428</v>
      </c>
      <c r="B431" s="21" t="s">
        <v>418</v>
      </c>
      <c r="C431" s="15" t="s">
        <v>3</v>
      </c>
      <c r="D431" s="21" t="s">
        <v>56</v>
      </c>
      <c r="E431" s="21"/>
      <c r="F431" s="69" t="s">
        <v>10</v>
      </c>
      <c r="G431" s="9">
        <v>23012</v>
      </c>
      <c r="H431" s="26">
        <v>41</v>
      </c>
      <c r="I431" s="17">
        <v>0</v>
      </c>
      <c r="J431" s="17">
        <v>0</v>
      </c>
      <c r="K431" s="17">
        <f t="shared" si="45"/>
        <v>41</v>
      </c>
      <c r="L431" s="23">
        <f t="shared" si="50"/>
        <v>2.0500000000000003</v>
      </c>
      <c r="M431" s="23">
        <v>30</v>
      </c>
      <c r="N431" s="18">
        <f t="shared" si="47"/>
        <v>58.290410958904111</v>
      </c>
      <c r="O431" s="23">
        <v>779</v>
      </c>
      <c r="P431" s="18">
        <f t="shared" si="48"/>
        <v>58.791780821917811</v>
      </c>
      <c r="Q431" s="18">
        <v>0</v>
      </c>
      <c r="R431" s="18">
        <f t="shared" si="46"/>
        <v>779</v>
      </c>
      <c r="S431" s="18">
        <f t="shared" si="51"/>
        <v>2.0500000000000003</v>
      </c>
    </row>
    <row r="432" spans="1:19" ht="18.75" customHeight="1" x14ac:dyDescent="0.25">
      <c r="A432" s="14">
        <f t="shared" si="49"/>
        <v>429</v>
      </c>
      <c r="B432" s="21" t="s">
        <v>229</v>
      </c>
      <c r="C432" s="15" t="s">
        <v>3</v>
      </c>
      <c r="D432" s="21" t="s">
        <v>56</v>
      </c>
      <c r="E432" s="21"/>
      <c r="F432" s="69" t="s">
        <v>4</v>
      </c>
      <c r="G432" s="9">
        <v>31778</v>
      </c>
      <c r="H432" s="26">
        <v>593.64999999999964</v>
      </c>
      <c r="I432" s="17">
        <v>0</v>
      </c>
      <c r="J432" s="17">
        <v>0</v>
      </c>
      <c r="K432" s="17">
        <f t="shared" si="45"/>
        <v>593.64999999999964</v>
      </c>
      <c r="L432" s="23">
        <f t="shared" si="50"/>
        <v>29.682499999999983</v>
      </c>
      <c r="M432" s="23">
        <v>5</v>
      </c>
      <c r="N432" s="18">
        <f t="shared" si="47"/>
        <v>34.273972602739725</v>
      </c>
      <c r="O432" s="23">
        <v>11279.35</v>
      </c>
      <c r="P432" s="18">
        <f t="shared" si="48"/>
        <v>34.775342465753425</v>
      </c>
      <c r="Q432" s="18">
        <v>0</v>
      </c>
      <c r="R432" s="18">
        <f t="shared" si="46"/>
        <v>11279.35</v>
      </c>
      <c r="S432" s="18">
        <f t="shared" si="51"/>
        <v>29.682499999999983</v>
      </c>
    </row>
    <row r="433" spans="1:19" ht="18.75" customHeight="1" x14ac:dyDescent="0.25">
      <c r="A433" s="14">
        <f t="shared" si="49"/>
        <v>430</v>
      </c>
      <c r="B433" s="21" t="s">
        <v>419</v>
      </c>
      <c r="C433" s="15" t="s">
        <v>3</v>
      </c>
      <c r="D433" s="21" t="s">
        <v>56</v>
      </c>
      <c r="E433" s="21"/>
      <c r="F433" s="69" t="s">
        <v>4</v>
      </c>
      <c r="G433" s="9">
        <v>22647</v>
      </c>
      <c r="H433" s="26">
        <v>1079.75</v>
      </c>
      <c r="I433" s="17">
        <v>0</v>
      </c>
      <c r="J433" s="17">
        <v>0</v>
      </c>
      <c r="K433" s="17">
        <f t="shared" si="45"/>
        <v>1079.75</v>
      </c>
      <c r="L433" s="23">
        <f t="shared" si="50"/>
        <v>53.987500000000004</v>
      </c>
      <c r="M433" s="23">
        <v>30</v>
      </c>
      <c r="N433" s="18">
        <f t="shared" si="47"/>
        <v>59.290410958904111</v>
      </c>
      <c r="O433" s="23">
        <v>20515.25</v>
      </c>
      <c r="P433" s="18">
        <f t="shared" si="48"/>
        <v>59.791780821917811</v>
      </c>
      <c r="Q433" s="18">
        <v>0</v>
      </c>
      <c r="R433" s="18">
        <f t="shared" si="46"/>
        <v>20515.25</v>
      </c>
      <c r="S433" s="18">
        <f t="shared" si="51"/>
        <v>53.987500000000004</v>
      </c>
    </row>
    <row r="434" spans="1:19" ht="18.75" customHeight="1" x14ac:dyDescent="0.25">
      <c r="A434" s="14">
        <f t="shared" si="49"/>
        <v>431</v>
      </c>
      <c r="B434" s="21" t="s">
        <v>420</v>
      </c>
      <c r="C434" s="15" t="s">
        <v>3</v>
      </c>
      <c r="D434" s="21" t="s">
        <v>56</v>
      </c>
      <c r="E434" s="21"/>
      <c r="F434" s="69" t="s">
        <v>6</v>
      </c>
      <c r="G434" s="9">
        <v>22647</v>
      </c>
      <c r="H434" s="26">
        <v>707</v>
      </c>
      <c r="I434" s="17">
        <v>0</v>
      </c>
      <c r="J434" s="17">
        <v>0</v>
      </c>
      <c r="K434" s="17">
        <f t="shared" si="45"/>
        <v>707</v>
      </c>
      <c r="L434" s="23">
        <f t="shared" si="50"/>
        <v>35.35</v>
      </c>
      <c r="M434" s="23">
        <v>30</v>
      </c>
      <c r="N434" s="18">
        <f t="shared" si="47"/>
        <v>59.290410958904111</v>
      </c>
      <c r="O434" s="23">
        <v>13433</v>
      </c>
      <c r="P434" s="18">
        <f t="shared" si="48"/>
        <v>59.791780821917811</v>
      </c>
      <c r="Q434" s="18">
        <v>0</v>
      </c>
      <c r="R434" s="18">
        <f t="shared" si="46"/>
        <v>13433</v>
      </c>
      <c r="S434" s="18">
        <f t="shared" si="51"/>
        <v>35.35</v>
      </c>
    </row>
    <row r="435" spans="1:19" ht="18.75" customHeight="1" x14ac:dyDescent="0.25">
      <c r="A435" s="14">
        <f t="shared" si="49"/>
        <v>432</v>
      </c>
      <c r="B435" s="21" t="s">
        <v>421</v>
      </c>
      <c r="C435" s="15" t="s">
        <v>3</v>
      </c>
      <c r="D435" s="21" t="s">
        <v>56</v>
      </c>
      <c r="E435" s="21"/>
      <c r="F435" s="69" t="s">
        <v>4</v>
      </c>
      <c r="G435" s="9">
        <v>22647</v>
      </c>
      <c r="H435" s="26">
        <v>461.95000000000073</v>
      </c>
      <c r="I435" s="17">
        <v>0</v>
      </c>
      <c r="J435" s="17">
        <v>0</v>
      </c>
      <c r="K435" s="17">
        <f t="shared" si="45"/>
        <v>461.95000000000073</v>
      </c>
      <c r="L435" s="23">
        <f t="shared" si="50"/>
        <v>23.097500000000039</v>
      </c>
      <c r="M435" s="23">
        <v>30</v>
      </c>
      <c r="N435" s="18">
        <f t="shared" si="47"/>
        <v>59.290410958904111</v>
      </c>
      <c r="O435" s="23">
        <v>8777.0499999999993</v>
      </c>
      <c r="P435" s="18">
        <f t="shared" si="48"/>
        <v>59.791780821917811</v>
      </c>
      <c r="Q435" s="18">
        <v>0</v>
      </c>
      <c r="R435" s="18">
        <f t="shared" si="46"/>
        <v>8777.0499999999993</v>
      </c>
      <c r="S435" s="18">
        <f t="shared" si="51"/>
        <v>23.097500000000039</v>
      </c>
    </row>
    <row r="436" spans="1:19" ht="18.75" customHeight="1" x14ac:dyDescent="0.25">
      <c r="A436" s="14">
        <f t="shared" si="49"/>
        <v>433</v>
      </c>
      <c r="B436" s="21" t="s">
        <v>422</v>
      </c>
      <c r="C436" s="15" t="s">
        <v>3</v>
      </c>
      <c r="D436" s="21" t="s">
        <v>56</v>
      </c>
      <c r="E436" s="21"/>
      <c r="F436" s="69" t="s">
        <v>4</v>
      </c>
      <c r="G436" s="9">
        <v>22647</v>
      </c>
      <c r="H436" s="26">
        <v>339.30000000000018</v>
      </c>
      <c r="I436" s="17">
        <v>0</v>
      </c>
      <c r="J436" s="17">
        <v>0</v>
      </c>
      <c r="K436" s="17">
        <f t="shared" si="45"/>
        <v>339.30000000000018</v>
      </c>
      <c r="L436" s="23">
        <f t="shared" si="50"/>
        <v>16.965000000000011</v>
      </c>
      <c r="M436" s="23">
        <v>30</v>
      </c>
      <c r="N436" s="18">
        <f t="shared" si="47"/>
        <v>59.290410958904111</v>
      </c>
      <c r="O436" s="23">
        <v>6446.7</v>
      </c>
      <c r="P436" s="18">
        <f t="shared" si="48"/>
        <v>59.791780821917811</v>
      </c>
      <c r="Q436" s="18">
        <v>0</v>
      </c>
      <c r="R436" s="18">
        <f t="shared" si="46"/>
        <v>6446.7</v>
      </c>
      <c r="S436" s="18">
        <f t="shared" si="51"/>
        <v>16.965000000000011</v>
      </c>
    </row>
    <row r="437" spans="1:19" ht="18.75" customHeight="1" x14ac:dyDescent="0.25">
      <c r="A437" s="14">
        <f t="shared" si="49"/>
        <v>434</v>
      </c>
      <c r="B437" s="21" t="s">
        <v>416</v>
      </c>
      <c r="C437" s="15" t="s">
        <v>3</v>
      </c>
      <c r="D437" s="21" t="s">
        <v>56</v>
      </c>
      <c r="E437" s="21"/>
      <c r="F437" s="69" t="s">
        <v>4</v>
      </c>
      <c r="G437" s="9">
        <v>22647</v>
      </c>
      <c r="H437" s="26">
        <v>196</v>
      </c>
      <c r="I437" s="17">
        <v>0</v>
      </c>
      <c r="J437" s="17">
        <v>0</v>
      </c>
      <c r="K437" s="17">
        <f t="shared" si="45"/>
        <v>196</v>
      </c>
      <c r="L437" s="23">
        <f t="shared" si="50"/>
        <v>9.8000000000000007</v>
      </c>
      <c r="M437" s="23">
        <v>30</v>
      </c>
      <c r="N437" s="18">
        <f t="shared" si="47"/>
        <v>59.290410958904111</v>
      </c>
      <c r="O437" s="23">
        <v>3724</v>
      </c>
      <c r="P437" s="18">
        <f t="shared" si="48"/>
        <v>59.791780821917811</v>
      </c>
      <c r="Q437" s="18">
        <v>0</v>
      </c>
      <c r="R437" s="18">
        <f t="shared" si="46"/>
        <v>3724</v>
      </c>
      <c r="S437" s="18">
        <f t="shared" si="51"/>
        <v>9.8000000000000007</v>
      </c>
    </row>
    <row r="438" spans="1:19" ht="18.75" customHeight="1" x14ac:dyDescent="0.25">
      <c r="A438" s="14">
        <f t="shared" si="49"/>
        <v>435</v>
      </c>
      <c r="B438" s="21" t="s">
        <v>423</v>
      </c>
      <c r="C438" s="15" t="s">
        <v>3</v>
      </c>
      <c r="D438" s="21" t="s">
        <v>56</v>
      </c>
      <c r="E438" s="21"/>
      <c r="F438" s="69" t="s">
        <v>6</v>
      </c>
      <c r="G438" s="9">
        <v>22647</v>
      </c>
      <c r="H438" s="26">
        <v>185.94999999999982</v>
      </c>
      <c r="I438" s="17">
        <v>0</v>
      </c>
      <c r="J438" s="17">
        <v>0</v>
      </c>
      <c r="K438" s="17">
        <f t="shared" si="45"/>
        <v>185.94999999999982</v>
      </c>
      <c r="L438" s="23">
        <f t="shared" si="50"/>
        <v>9.2974999999999905</v>
      </c>
      <c r="M438" s="23">
        <v>30</v>
      </c>
      <c r="N438" s="18">
        <f t="shared" si="47"/>
        <v>59.290410958904111</v>
      </c>
      <c r="O438" s="23">
        <v>3533.05</v>
      </c>
      <c r="P438" s="18">
        <f t="shared" si="48"/>
        <v>59.791780821917811</v>
      </c>
      <c r="Q438" s="18">
        <v>0</v>
      </c>
      <c r="R438" s="18">
        <f t="shared" si="46"/>
        <v>3533.05</v>
      </c>
      <c r="S438" s="18">
        <f t="shared" si="51"/>
        <v>9.2974999999999905</v>
      </c>
    </row>
    <row r="439" spans="1:19" ht="18.75" customHeight="1" x14ac:dyDescent="0.25">
      <c r="A439" s="14">
        <f t="shared" si="49"/>
        <v>436</v>
      </c>
      <c r="B439" s="21" t="s">
        <v>424</v>
      </c>
      <c r="C439" s="15" t="s">
        <v>3</v>
      </c>
      <c r="D439" s="21" t="s">
        <v>56</v>
      </c>
      <c r="E439" s="21"/>
      <c r="F439" s="69" t="s">
        <v>4</v>
      </c>
      <c r="G439" s="9">
        <v>22647</v>
      </c>
      <c r="H439" s="26">
        <v>109.94999999999982</v>
      </c>
      <c r="I439" s="17">
        <v>0</v>
      </c>
      <c r="J439" s="17">
        <v>0</v>
      </c>
      <c r="K439" s="17">
        <f t="shared" si="45"/>
        <v>109.94999999999982</v>
      </c>
      <c r="L439" s="23">
        <f t="shared" si="50"/>
        <v>5.4974999999999916</v>
      </c>
      <c r="M439" s="23">
        <v>30</v>
      </c>
      <c r="N439" s="18">
        <f t="shared" si="47"/>
        <v>59.290410958904111</v>
      </c>
      <c r="O439" s="23">
        <v>2089.0500000000002</v>
      </c>
      <c r="P439" s="18">
        <f t="shared" si="48"/>
        <v>59.791780821917811</v>
      </c>
      <c r="Q439" s="18">
        <v>0</v>
      </c>
      <c r="R439" s="18">
        <f t="shared" si="46"/>
        <v>2089.0500000000002</v>
      </c>
      <c r="S439" s="18">
        <f t="shared" si="51"/>
        <v>5.4974999999999916</v>
      </c>
    </row>
    <row r="440" spans="1:19" ht="18.75" customHeight="1" x14ac:dyDescent="0.25">
      <c r="A440" s="14">
        <f t="shared" si="49"/>
        <v>437</v>
      </c>
      <c r="B440" s="21" t="s">
        <v>425</v>
      </c>
      <c r="C440" s="15" t="s">
        <v>3</v>
      </c>
      <c r="D440" s="21" t="s">
        <v>56</v>
      </c>
      <c r="E440" s="21"/>
      <c r="F440" s="69" t="s">
        <v>4</v>
      </c>
      <c r="G440" s="9">
        <v>22647</v>
      </c>
      <c r="H440" s="26">
        <v>98.5</v>
      </c>
      <c r="I440" s="17">
        <v>0</v>
      </c>
      <c r="J440" s="17">
        <v>0</v>
      </c>
      <c r="K440" s="17">
        <f t="shared" si="45"/>
        <v>98.5</v>
      </c>
      <c r="L440" s="23">
        <f t="shared" si="50"/>
        <v>4.9250000000000007</v>
      </c>
      <c r="M440" s="23">
        <v>30</v>
      </c>
      <c r="N440" s="18">
        <f t="shared" si="47"/>
        <v>59.290410958904111</v>
      </c>
      <c r="O440" s="23">
        <v>1871.5</v>
      </c>
      <c r="P440" s="18">
        <f t="shared" si="48"/>
        <v>59.791780821917811</v>
      </c>
      <c r="Q440" s="18">
        <v>0</v>
      </c>
      <c r="R440" s="18">
        <f t="shared" si="46"/>
        <v>1871.5</v>
      </c>
      <c r="S440" s="18">
        <f t="shared" si="51"/>
        <v>4.9250000000000007</v>
      </c>
    </row>
    <row r="441" spans="1:19" ht="18.75" customHeight="1" x14ac:dyDescent="0.25">
      <c r="A441" s="14">
        <f t="shared" si="49"/>
        <v>438</v>
      </c>
      <c r="B441" s="21" t="s">
        <v>426</v>
      </c>
      <c r="C441" s="15" t="s">
        <v>3</v>
      </c>
      <c r="D441" s="21" t="s">
        <v>56</v>
      </c>
      <c r="E441" s="21"/>
      <c r="F441" s="69" t="s">
        <v>13</v>
      </c>
      <c r="G441" s="9">
        <v>22647</v>
      </c>
      <c r="H441" s="26">
        <v>37.950000000000045</v>
      </c>
      <c r="I441" s="17">
        <v>0</v>
      </c>
      <c r="J441" s="17">
        <v>0</v>
      </c>
      <c r="K441" s="17">
        <f t="shared" si="45"/>
        <v>37.950000000000045</v>
      </c>
      <c r="L441" s="23">
        <f t="shared" si="50"/>
        <v>1.8975000000000024</v>
      </c>
      <c r="M441" s="23">
        <v>30</v>
      </c>
      <c r="N441" s="18">
        <f t="shared" si="47"/>
        <v>59.290410958904111</v>
      </c>
      <c r="O441" s="23">
        <v>721.05</v>
      </c>
      <c r="P441" s="18">
        <f t="shared" si="48"/>
        <v>59.791780821917811</v>
      </c>
      <c r="Q441" s="18">
        <v>0</v>
      </c>
      <c r="R441" s="18">
        <f t="shared" si="46"/>
        <v>721.05</v>
      </c>
      <c r="S441" s="18">
        <f t="shared" si="51"/>
        <v>1.8975000000000024</v>
      </c>
    </row>
    <row r="442" spans="1:19" ht="18.75" customHeight="1" x14ac:dyDescent="0.25">
      <c r="A442" s="14">
        <f t="shared" si="49"/>
        <v>439</v>
      </c>
      <c r="B442" s="21" t="s">
        <v>427</v>
      </c>
      <c r="C442" s="15" t="s">
        <v>3</v>
      </c>
      <c r="D442" s="21" t="s">
        <v>56</v>
      </c>
      <c r="E442" s="21"/>
      <c r="F442" s="69" t="s">
        <v>4</v>
      </c>
      <c r="G442" s="9">
        <v>31413</v>
      </c>
      <c r="H442" s="26">
        <v>7939.7999999999884</v>
      </c>
      <c r="I442" s="17">
        <v>0</v>
      </c>
      <c r="J442" s="17">
        <v>0</v>
      </c>
      <c r="K442" s="17">
        <f t="shared" si="45"/>
        <v>7939.7999999999884</v>
      </c>
      <c r="L442" s="23">
        <f t="shared" si="50"/>
        <v>396.98999999999944</v>
      </c>
      <c r="M442" s="23">
        <v>5</v>
      </c>
      <c r="N442" s="18">
        <f t="shared" si="47"/>
        <v>35.273972602739725</v>
      </c>
      <c r="O442" s="23">
        <v>150856.20000000001</v>
      </c>
      <c r="P442" s="18">
        <f t="shared" si="48"/>
        <v>35.775342465753425</v>
      </c>
      <c r="Q442" s="18">
        <v>0</v>
      </c>
      <c r="R442" s="18">
        <f t="shared" si="46"/>
        <v>150856.20000000001</v>
      </c>
      <c r="S442" s="18">
        <f t="shared" si="51"/>
        <v>396.98999999999944</v>
      </c>
    </row>
    <row r="443" spans="1:19" ht="18.75" customHeight="1" x14ac:dyDescent="0.25">
      <c r="A443" s="14">
        <f t="shared" si="49"/>
        <v>440</v>
      </c>
      <c r="B443" s="21" t="s">
        <v>428</v>
      </c>
      <c r="C443" s="15" t="s">
        <v>3</v>
      </c>
      <c r="D443" s="21" t="s">
        <v>56</v>
      </c>
      <c r="E443" s="21"/>
      <c r="F443" s="69" t="s">
        <v>4</v>
      </c>
      <c r="G443" s="9">
        <v>22282</v>
      </c>
      <c r="H443" s="26">
        <v>700.10000000000036</v>
      </c>
      <c r="I443" s="17">
        <v>0</v>
      </c>
      <c r="J443" s="17">
        <v>0</v>
      </c>
      <c r="K443" s="17">
        <f t="shared" si="45"/>
        <v>700.10000000000036</v>
      </c>
      <c r="L443" s="23">
        <f t="shared" si="50"/>
        <v>35.005000000000017</v>
      </c>
      <c r="M443" s="23">
        <v>30</v>
      </c>
      <c r="N443" s="18">
        <f t="shared" si="47"/>
        <v>60.290410958904111</v>
      </c>
      <c r="O443" s="23">
        <v>13301.9</v>
      </c>
      <c r="P443" s="18">
        <f t="shared" si="48"/>
        <v>60.791780821917811</v>
      </c>
      <c r="Q443" s="18">
        <v>0</v>
      </c>
      <c r="R443" s="18">
        <f t="shared" si="46"/>
        <v>13301.9</v>
      </c>
      <c r="S443" s="18">
        <f t="shared" si="51"/>
        <v>35.005000000000017</v>
      </c>
    </row>
    <row r="444" spans="1:19" ht="18.75" customHeight="1" x14ac:dyDescent="0.25">
      <c r="A444" s="14">
        <f t="shared" si="49"/>
        <v>441</v>
      </c>
      <c r="B444" s="21" t="s">
        <v>429</v>
      </c>
      <c r="C444" s="15" t="s">
        <v>3</v>
      </c>
      <c r="D444" s="21" t="s">
        <v>56</v>
      </c>
      <c r="E444" s="21"/>
      <c r="F444" s="70" t="s">
        <v>7</v>
      </c>
      <c r="G444" s="9">
        <v>22282</v>
      </c>
      <c r="H444" s="26">
        <v>554.45000000000073</v>
      </c>
      <c r="I444" s="17">
        <v>0</v>
      </c>
      <c r="J444" s="17">
        <v>0</v>
      </c>
      <c r="K444" s="17">
        <f t="shared" si="45"/>
        <v>554.45000000000073</v>
      </c>
      <c r="L444" s="23">
        <f t="shared" si="50"/>
        <v>27.722500000000039</v>
      </c>
      <c r="M444" s="23">
        <v>30</v>
      </c>
      <c r="N444" s="18">
        <f t="shared" si="47"/>
        <v>60.290410958904111</v>
      </c>
      <c r="O444" s="23">
        <v>10534.55</v>
      </c>
      <c r="P444" s="18">
        <f t="shared" si="48"/>
        <v>60.791780821917811</v>
      </c>
      <c r="Q444" s="18">
        <v>0</v>
      </c>
      <c r="R444" s="18">
        <f t="shared" si="46"/>
        <v>10534.55</v>
      </c>
      <c r="S444" s="18">
        <f t="shared" si="51"/>
        <v>27.722500000000039</v>
      </c>
    </row>
    <row r="445" spans="1:19" ht="18.75" customHeight="1" x14ac:dyDescent="0.25">
      <c r="A445" s="14">
        <f t="shared" si="49"/>
        <v>442</v>
      </c>
      <c r="B445" s="21" t="s">
        <v>430</v>
      </c>
      <c r="C445" s="15" t="s">
        <v>3</v>
      </c>
      <c r="D445" s="21" t="s">
        <v>56</v>
      </c>
      <c r="E445" s="21"/>
      <c r="F445" s="69" t="s">
        <v>4</v>
      </c>
      <c r="G445" s="9">
        <v>22282</v>
      </c>
      <c r="H445" s="26">
        <v>512.75</v>
      </c>
      <c r="I445" s="17">
        <v>0</v>
      </c>
      <c r="J445" s="17">
        <v>0</v>
      </c>
      <c r="K445" s="17">
        <f t="shared" si="45"/>
        <v>512.75</v>
      </c>
      <c r="L445" s="23">
        <f t="shared" si="50"/>
        <v>25.637500000000003</v>
      </c>
      <c r="M445" s="23">
        <v>30</v>
      </c>
      <c r="N445" s="18">
        <f t="shared" si="47"/>
        <v>60.290410958904111</v>
      </c>
      <c r="O445" s="23">
        <v>9742.25</v>
      </c>
      <c r="P445" s="18">
        <f t="shared" si="48"/>
        <v>60.791780821917811</v>
      </c>
      <c r="Q445" s="18">
        <v>0</v>
      </c>
      <c r="R445" s="18">
        <f t="shared" si="46"/>
        <v>9742.25</v>
      </c>
      <c r="S445" s="18">
        <f t="shared" si="51"/>
        <v>25.637500000000003</v>
      </c>
    </row>
    <row r="446" spans="1:19" ht="18.75" customHeight="1" x14ac:dyDescent="0.25">
      <c r="A446" s="14">
        <f t="shared" si="49"/>
        <v>443</v>
      </c>
      <c r="B446" s="21" t="s">
        <v>431</v>
      </c>
      <c r="C446" s="15" t="s">
        <v>3</v>
      </c>
      <c r="D446" s="21" t="s">
        <v>56</v>
      </c>
      <c r="E446" s="21"/>
      <c r="F446" s="69" t="s">
        <v>4</v>
      </c>
      <c r="G446" s="9">
        <v>22282</v>
      </c>
      <c r="H446" s="26">
        <v>422.89999999999964</v>
      </c>
      <c r="I446" s="17">
        <v>0</v>
      </c>
      <c r="J446" s="17">
        <v>0</v>
      </c>
      <c r="K446" s="17">
        <f t="shared" si="45"/>
        <v>422.89999999999964</v>
      </c>
      <c r="L446" s="23">
        <f t="shared" si="50"/>
        <v>21.144999999999982</v>
      </c>
      <c r="M446" s="23">
        <v>30</v>
      </c>
      <c r="N446" s="18">
        <f t="shared" si="47"/>
        <v>60.290410958904111</v>
      </c>
      <c r="O446" s="23">
        <v>8035.1</v>
      </c>
      <c r="P446" s="18">
        <f t="shared" si="48"/>
        <v>60.791780821917811</v>
      </c>
      <c r="Q446" s="18">
        <v>0</v>
      </c>
      <c r="R446" s="18">
        <f t="shared" si="46"/>
        <v>8035.1</v>
      </c>
      <c r="S446" s="18">
        <f t="shared" si="51"/>
        <v>21.144999999999982</v>
      </c>
    </row>
    <row r="447" spans="1:19" ht="18.75" customHeight="1" x14ac:dyDescent="0.25">
      <c r="A447" s="14">
        <f t="shared" si="49"/>
        <v>444</v>
      </c>
      <c r="B447" s="21" t="s">
        <v>432</v>
      </c>
      <c r="C447" s="15" t="s">
        <v>3</v>
      </c>
      <c r="D447" s="21" t="s">
        <v>56</v>
      </c>
      <c r="E447" s="21"/>
      <c r="F447" s="69" t="s">
        <v>13</v>
      </c>
      <c r="G447" s="9">
        <v>22282</v>
      </c>
      <c r="H447" s="26">
        <v>239.25</v>
      </c>
      <c r="I447" s="17">
        <v>0</v>
      </c>
      <c r="J447" s="17">
        <v>0</v>
      </c>
      <c r="K447" s="17">
        <f t="shared" si="45"/>
        <v>239.25</v>
      </c>
      <c r="L447" s="23">
        <f t="shared" si="50"/>
        <v>11.9625</v>
      </c>
      <c r="M447" s="23">
        <v>30</v>
      </c>
      <c r="N447" s="18">
        <f t="shared" si="47"/>
        <v>60.290410958904111</v>
      </c>
      <c r="O447" s="23">
        <v>4545.75</v>
      </c>
      <c r="P447" s="18">
        <f t="shared" si="48"/>
        <v>60.791780821917811</v>
      </c>
      <c r="Q447" s="18">
        <v>0</v>
      </c>
      <c r="R447" s="18">
        <f t="shared" si="46"/>
        <v>4545.75</v>
      </c>
      <c r="S447" s="18">
        <f t="shared" si="51"/>
        <v>11.9625</v>
      </c>
    </row>
    <row r="448" spans="1:19" ht="18.75" customHeight="1" x14ac:dyDescent="0.25">
      <c r="A448" s="14">
        <f t="shared" si="49"/>
        <v>445</v>
      </c>
      <c r="B448" s="21" t="s">
        <v>433</v>
      </c>
      <c r="C448" s="15" t="s">
        <v>3</v>
      </c>
      <c r="D448" s="21" t="s">
        <v>56</v>
      </c>
      <c r="E448" s="21"/>
      <c r="F448" s="69" t="s">
        <v>4</v>
      </c>
      <c r="G448" s="9">
        <v>22282</v>
      </c>
      <c r="H448" s="26">
        <v>228.55000000000018</v>
      </c>
      <c r="I448" s="17">
        <v>0</v>
      </c>
      <c r="J448" s="17">
        <v>0</v>
      </c>
      <c r="K448" s="17">
        <f t="shared" si="45"/>
        <v>228.55000000000018</v>
      </c>
      <c r="L448" s="23">
        <f t="shared" si="50"/>
        <v>11.427500000000009</v>
      </c>
      <c r="M448" s="23">
        <v>30</v>
      </c>
      <c r="N448" s="18">
        <f t="shared" si="47"/>
        <v>60.290410958904111</v>
      </c>
      <c r="O448" s="23">
        <v>4342.45</v>
      </c>
      <c r="P448" s="18">
        <f t="shared" si="48"/>
        <v>60.791780821917811</v>
      </c>
      <c r="Q448" s="18">
        <v>0</v>
      </c>
      <c r="R448" s="18">
        <f t="shared" si="46"/>
        <v>4342.45</v>
      </c>
      <c r="S448" s="18">
        <f t="shared" si="51"/>
        <v>11.427500000000009</v>
      </c>
    </row>
    <row r="449" spans="1:19" ht="18.75" customHeight="1" x14ac:dyDescent="0.25">
      <c r="A449" s="14">
        <f t="shared" si="49"/>
        <v>446</v>
      </c>
      <c r="B449" s="21" t="s">
        <v>434</v>
      </c>
      <c r="C449" s="15" t="s">
        <v>3</v>
      </c>
      <c r="D449" s="21" t="s">
        <v>56</v>
      </c>
      <c r="E449" s="21"/>
      <c r="F449" s="69" t="s">
        <v>4</v>
      </c>
      <c r="G449" s="9">
        <v>31048</v>
      </c>
      <c r="H449" s="26">
        <v>828.85000000000036</v>
      </c>
      <c r="I449" s="17">
        <v>0</v>
      </c>
      <c r="J449" s="17">
        <v>0</v>
      </c>
      <c r="K449" s="17">
        <f t="shared" si="45"/>
        <v>828.85000000000036</v>
      </c>
      <c r="L449" s="23">
        <f t="shared" si="50"/>
        <v>41.442500000000024</v>
      </c>
      <c r="M449" s="23">
        <v>5</v>
      </c>
      <c r="N449" s="18">
        <f t="shared" si="47"/>
        <v>36.273972602739725</v>
      </c>
      <c r="O449" s="23">
        <v>15748.15</v>
      </c>
      <c r="P449" s="18">
        <f t="shared" si="48"/>
        <v>36.775342465753425</v>
      </c>
      <c r="Q449" s="18">
        <v>0</v>
      </c>
      <c r="R449" s="18">
        <f t="shared" si="46"/>
        <v>15748.15</v>
      </c>
      <c r="S449" s="18">
        <f t="shared" si="51"/>
        <v>41.442500000000024</v>
      </c>
    </row>
    <row r="450" spans="1:19" ht="18.75" customHeight="1" x14ac:dyDescent="0.25">
      <c r="A450" s="14">
        <f t="shared" si="49"/>
        <v>447</v>
      </c>
      <c r="B450" s="21" t="s">
        <v>435</v>
      </c>
      <c r="C450" s="15" t="s">
        <v>3</v>
      </c>
      <c r="D450" s="21" t="s">
        <v>56</v>
      </c>
      <c r="E450" s="21"/>
      <c r="F450" s="69" t="s">
        <v>15</v>
      </c>
      <c r="G450" s="9">
        <v>31048</v>
      </c>
      <c r="H450" s="26">
        <v>591.60000000000036</v>
      </c>
      <c r="I450" s="17">
        <v>0</v>
      </c>
      <c r="J450" s="17">
        <v>0</v>
      </c>
      <c r="K450" s="17">
        <f t="shared" si="45"/>
        <v>591.60000000000036</v>
      </c>
      <c r="L450" s="23">
        <f t="shared" si="50"/>
        <v>29.58000000000002</v>
      </c>
      <c r="M450" s="23">
        <v>5</v>
      </c>
      <c r="N450" s="18">
        <f t="shared" si="47"/>
        <v>36.273972602739725</v>
      </c>
      <c r="O450" s="23">
        <v>11240.4</v>
      </c>
      <c r="P450" s="18">
        <f t="shared" si="48"/>
        <v>36.775342465753425</v>
      </c>
      <c r="Q450" s="18">
        <v>0</v>
      </c>
      <c r="R450" s="18">
        <f t="shared" si="46"/>
        <v>11240.4</v>
      </c>
      <c r="S450" s="18">
        <f t="shared" si="51"/>
        <v>29.58000000000002</v>
      </c>
    </row>
    <row r="451" spans="1:19" ht="18.75" customHeight="1" x14ac:dyDescent="0.25">
      <c r="A451" s="14">
        <f t="shared" si="49"/>
        <v>448</v>
      </c>
      <c r="B451" s="21" t="s">
        <v>436</v>
      </c>
      <c r="C451" s="15" t="s">
        <v>3</v>
      </c>
      <c r="D451" s="21" t="s">
        <v>56</v>
      </c>
      <c r="E451" s="21"/>
      <c r="F451" s="69" t="s">
        <v>4</v>
      </c>
      <c r="G451" s="9">
        <v>21916</v>
      </c>
      <c r="H451" s="26">
        <v>1131.2999999999993</v>
      </c>
      <c r="I451" s="17">
        <v>0</v>
      </c>
      <c r="J451" s="17">
        <v>0</v>
      </c>
      <c r="K451" s="17">
        <f t="shared" si="45"/>
        <v>1131.2999999999993</v>
      </c>
      <c r="L451" s="23">
        <f t="shared" si="50"/>
        <v>56.564999999999969</v>
      </c>
      <c r="M451" s="23">
        <v>30</v>
      </c>
      <c r="N451" s="18">
        <f t="shared" si="47"/>
        <v>61.293150684931504</v>
      </c>
      <c r="O451" s="23">
        <v>21494.7</v>
      </c>
      <c r="P451" s="18">
        <f t="shared" si="48"/>
        <v>61.794520547945204</v>
      </c>
      <c r="Q451" s="18">
        <v>0</v>
      </c>
      <c r="R451" s="18">
        <f t="shared" si="46"/>
        <v>21494.7</v>
      </c>
      <c r="S451" s="18">
        <f t="shared" si="51"/>
        <v>56.564999999999969</v>
      </c>
    </row>
    <row r="452" spans="1:19" ht="18.75" customHeight="1" x14ac:dyDescent="0.25">
      <c r="A452" s="14">
        <f t="shared" si="49"/>
        <v>449</v>
      </c>
      <c r="B452" s="21" t="s">
        <v>437</v>
      </c>
      <c r="C452" s="15" t="s">
        <v>3</v>
      </c>
      <c r="D452" s="21" t="s">
        <v>56</v>
      </c>
      <c r="E452" s="21"/>
      <c r="F452" s="69" t="s">
        <v>4</v>
      </c>
      <c r="G452" s="9">
        <v>21916</v>
      </c>
      <c r="H452" s="26">
        <v>313.80000000000018</v>
      </c>
      <c r="I452" s="17">
        <v>0</v>
      </c>
      <c r="J452" s="17">
        <v>0</v>
      </c>
      <c r="K452" s="17">
        <f t="shared" ref="K452:K515" si="52">H452+I452-J452</f>
        <v>313.80000000000018</v>
      </c>
      <c r="L452" s="23">
        <f t="shared" si="50"/>
        <v>15.69000000000001</v>
      </c>
      <c r="M452" s="23">
        <v>30</v>
      </c>
      <c r="N452" s="18">
        <f t="shared" si="47"/>
        <v>61.293150684931504</v>
      </c>
      <c r="O452" s="23">
        <v>5962.2</v>
      </c>
      <c r="P452" s="18">
        <f t="shared" si="48"/>
        <v>61.794520547945204</v>
      </c>
      <c r="Q452" s="18">
        <v>0</v>
      </c>
      <c r="R452" s="18">
        <f t="shared" ref="R452:R515" si="53">Q452+O452</f>
        <v>5962.2</v>
      </c>
      <c r="S452" s="18">
        <f t="shared" si="51"/>
        <v>15.69000000000001</v>
      </c>
    </row>
    <row r="453" spans="1:19" ht="18.75" customHeight="1" x14ac:dyDescent="0.25">
      <c r="A453" s="14">
        <f t="shared" si="49"/>
        <v>450</v>
      </c>
      <c r="B453" s="21" t="s">
        <v>438</v>
      </c>
      <c r="C453" s="15" t="s">
        <v>3</v>
      </c>
      <c r="D453" s="21" t="s">
        <v>56</v>
      </c>
      <c r="E453" s="21"/>
      <c r="F453" s="69" t="s">
        <v>4</v>
      </c>
      <c r="G453" s="9">
        <v>21916</v>
      </c>
      <c r="H453" s="26">
        <v>277.39999999999964</v>
      </c>
      <c r="I453" s="17">
        <v>0</v>
      </c>
      <c r="J453" s="17">
        <v>0</v>
      </c>
      <c r="K453" s="17">
        <f t="shared" si="52"/>
        <v>277.39999999999964</v>
      </c>
      <c r="L453" s="23">
        <f t="shared" si="50"/>
        <v>13.869999999999983</v>
      </c>
      <c r="M453" s="23">
        <v>30</v>
      </c>
      <c r="N453" s="18">
        <f t="shared" ref="N453:N516" si="54">IF(($N$2-G453+1)/365&gt;0,($N$2-G453+1)/365,0)</f>
        <v>61.293150684931504</v>
      </c>
      <c r="O453" s="23">
        <v>5270.6</v>
      </c>
      <c r="P453" s="18">
        <f t="shared" ref="P453:P516" si="55">($P$2-G453+1)/365</f>
        <v>61.794520547945204</v>
      </c>
      <c r="Q453" s="18">
        <v>0</v>
      </c>
      <c r="R453" s="18">
        <f t="shared" si="53"/>
        <v>5270.6</v>
      </c>
      <c r="S453" s="18">
        <f t="shared" si="51"/>
        <v>13.869999999999983</v>
      </c>
    </row>
    <row r="454" spans="1:19" ht="18.75" customHeight="1" x14ac:dyDescent="0.25">
      <c r="A454" s="14">
        <f t="shared" ref="A454:A517" si="56">+A453+1</f>
        <v>451</v>
      </c>
      <c r="B454" s="21" t="s">
        <v>429</v>
      </c>
      <c r="C454" s="15" t="s">
        <v>3</v>
      </c>
      <c r="D454" s="21" t="s">
        <v>56</v>
      </c>
      <c r="E454" s="21"/>
      <c r="F454" s="70" t="s">
        <v>7</v>
      </c>
      <c r="G454" s="9">
        <v>21916</v>
      </c>
      <c r="H454" s="26">
        <v>270.75</v>
      </c>
      <c r="I454" s="17">
        <v>0</v>
      </c>
      <c r="J454" s="17">
        <v>0</v>
      </c>
      <c r="K454" s="17">
        <f t="shared" si="52"/>
        <v>270.75</v>
      </c>
      <c r="L454" s="23">
        <f t="shared" si="50"/>
        <v>13.537500000000001</v>
      </c>
      <c r="M454" s="23">
        <v>30</v>
      </c>
      <c r="N454" s="18">
        <f t="shared" si="54"/>
        <v>61.293150684931504</v>
      </c>
      <c r="O454" s="23">
        <v>5144.25</v>
      </c>
      <c r="P454" s="18">
        <f t="shared" si="55"/>
        <v>61.794520547945204</v>
      </c>
      <c r="Q454" s="18">
        <v>0</v>
      </c>
      <c r="R454" s="18">
        <f t="shared" si="53"/>
        <v>5144.25</v>
      </c>
      <c r="S454" s="18">
        <f t="shared" si="51"/>
        <v>13.537500000000001</v>
      </c>
    </row>
    <row r="455" spans="1:19" ht="18.75" customHeight="1" x14ac:dyDescent="0.25">
      <c r="A455" s="14">
        <f t="shared" si="56"/>
        <v>452</v>
      </c>
      <c r="B455" s="21" t="s">
        <v>439</v>
      </c>
      <c r="C455" s="15" t="s">
        <v>3</v>
      </c>
      <c r="D455" s="21" t="s">
        <v>56</v>
      </c>
      <c r="E455" s="21"/>
      <c r="F455" s="69" t="s">
        <v>4</v>
      </c>
      <c r="G455" s="9">
        <v>21916</v>
      </c>
      <c r="H455" s="26">
        <v>237.89999999999964</v>
      </c>
      <c r="I455" s="17">
        <v>0</v>
      </c>
      <c r="J455" s="17">
        <v>0</v>
      </c>
      <c r="K455" s="17">
        <f t="shared" si="52"/>
        <v>237.89999999999964</v>
      </c>
      <c r="L455" s="23">
        <f t="shared" si="50"/>
        <v>11.894999999999982</v>
      </c>
      <c r="M455" s="23">
        <v>30</v>
      </c>
      <c r="N455" s="18">
        <f t="shared" si="54"/>
        <v>61.293150684931504</v>
      </c>
      <c r="O455" s="23">
        <v>4520.1000000000004</v>
      </c>
      <c r="P455" s="18">
        <f t="shared" si="55"/>
        <v>61.794520547945204</v>
      </c>
      <c r="Q455" s="18">
        <v>0</v>
      </c>
      <c r="R455" s="18">
        <f t="shared" si="53"/>
        <v>4520.1000000000004</v>
      </c>
      <c r="S455" s="18">
        <f t="shared" si="51"/>
        <v>11.894999999999982</v>
      </c>
    </row>
    <row r="456" spans="1:19" ht="18.75" customHeight="1" x14ac:dyDescent="0.25">
      <c r="A456" s="14">
        <f t="shared" si="56"/>
        <v>453</v>
      </c>
      <c r="B456" s="21" t="s">
        <v>440</v>
      </c>
      <c r="C456" s="15" t="s">
        <v>3</v>
      </c>
      <c r="D456" s="21" t="s">
        <v>56</v>
      </c>
      <c r="E456" s="21"/>
      <c r="F456" s="69" t="s">
        <v>4</v>
      </c>
      <c r="G456" s="9">
        <v>21916</v>
      </c>
      <c r="H456" s="26">
        <v>131.15000000000009</v>
      </c>
      <c r="I456" s="17">
        <v>0</v>
      </c>
      <c r="J456" s="17">
        <v>0</v>
      </c>
      <c r="K456" s="17">
        <f t="shared" si="52"/>
        <v>131.15000000000009</v>
      </c>
      <c r="L456" s="23">
        <f t="shared" si="50"/>
        <v>6.5575000000000045</v>
      </c>
      <c r="M456" s="23">
        <v>30</v>
      </c>
      <c r="N456" s="18">
        <f t="shared" si="54"/>
        <v>61.293150684931504</v>
      </c>
      <c r="O456" s="23">
        <v>2491.85</v>
      </c>
      <c r="P456" s="18">
        <f t="shared" si="55"/>
        <v>61.794520547945204</v>
      </c>
      <c r="Q456" s="18">
        <v>0</v>
      </c>
      <c r="R456" s="18">
        <f t="shared" si="53"/>
        <v>2491.85</v>
      </c>
      <c r="S456" s="18">
        <f t="shared" si="51"/>
        <v>6.5575000000000045</v>
      </c>
    </row>
    <row r="457" spans="1:19" ht="18.75" customHeight="1" x14ac:dyDescent="0.25">
      <c r="A457" s="14">
        <f t="shared" si="56"/>
        <v>454</v>
      </c>
      <c r="B457" s="21" t="s">
        <v>441</v>
      </c>
      <c r="C457" s="15" t="s">
        <v>3</v>
      </c>
      <c r="D457" s="21" t="s">
        <v>56</v>
      </c>
      <c r="E457" s="21"/>
      <c r="F457" s="70" t="s">
        <v>7</v>
      </c>
      <c r="G457" s="9">
        <v>21916</v>
      </c>
      <c r="H457" s="26">
        <v>79.349999999999909</v>
      </c>
      <c r="I457" s="17">
        <v>0</v>
      </c>
      <c r="J457" s="17">
        <v>0</v>
      </c>
      <c r="K457" s="17">
        <f t="shared" si="52"/>
        <v>79.349999999999909</v>
      </c>
      <c r="L457" s="23">
        <f t="shared" si="50"/>
        <v>3.9674999999999958</v>
      </c>
      <c r="M457" s="23">
        <v>30</v>
      </c>
      <c r="N457" s="18">
        <f t="shared" si="54"/>
        <v>61.293150684931504</v>
      </c>
      <c r="O457" s="23">
        <v>1507.65</v>
      </c>
      <c r="P457" s="18">
        <f t="shared" si="55"/>
        <v>61.794520547945204</v>
      </c>
      <c r="Q457" s="18">
        <v>0</v>
      </c>
      <c r="R457" s="18">
        <f t="shared" si="53"/>
        <v>1507.65</v>
      </c>
      <c r="S457" s="18">
        <f t="shared" si="51"/>
        <v>3.9674999999999958</v>
      </c>
    </row>
    <row r="458" spans="1:19" ht="18.75" customHeight="1" x14ac:dyDescent="0.25">
      <c r="A458" s="14">
        <f t="shared" si="56"/>
        <v>455</v>
      </c>
      <c r="B458" s="21" t="s">
        <v>442</v>
      </c>
      <c r="C458" s="15" t="s">
        <v>3</v>
      </c>
      <c r="D458" s="21" t="s">
        <v>56</v>
      </c>
      <c r="E458" s="21"/>
      <c r="F458" s="69" t="s">
        <v>4</v>
      </c>
      <c r="G458" s="9">
        <v>21916</v>
      </c>
      <c r="H458" s="26">
        <v>5.9000000000000057</v>
      </c>
      <c r="I458" s="17">
        <v>0</v>
      </c>
      <c r="J458" s="17">
        <v>0</v>
      </c>
      <c r="K458" s="17">
        <f t="shared" si="52"/>
        <v>5.9000000000000057</v>
      </c>
      <c r="L458" s="23">
        <f t="shared" si="50"/>
        <v>0.29500000000000032</v>
      </c>
      <c r="M458" s="23">
        <v>30</v>
      </c>
      <c r="N458" s="18">
        <f t="shared" si="54"/>
        <v>61.293150684931504</v>
      </c>
      <c r="O458" s="23">
        <v>112.1</v>
      </c>
      <c r="P458" s="18">
        <f t="shared" si="55"/>
        <v>61.794520547945204</v>
      </c>
      <c r="Q458" s="18">
        <v>0</v>
      </c>
      <c r="R458" s="18">
        <f t="shared" si="53"/>
        <v>112.1</v>
      </c>
      <c r="S458" s="18">
        <f t="shared" si="51"/>
        <v>0.29500000000000032</v>
      </c>
    </row>
    <row r="459" spans="1:19" ht="18.75" customHeight="1" x14ac:dyDescent="0.25">
      <c r="A459" s="14">
        <f t="shared" si="56"/>
        <v>456</v>
      </c>
      <c r="B459" s="21" t="s">
        <v>443</v>
      </c>
      <c r="C459" s="15" t="s">
        <v>3</v>
      </c>
      <c r="D459" s="21" t="s">
        <v>56</v>
      </c>
      <c r="E459" s="21"/>
      <c r="F459" s="69" t="s">
        <v>4</v>
      </c>
      <c r="G459" s="9">
        <v>21551</v>
      </c>
      <c r="H459" s="26">
        <v>1102.4000000000015</v>
      </c>
      <c r="I459" s="17">
        <v>0</v>
      </c>
      <c r="J459" s="17">
        <v>0</v>
      </c>
      <c r="K459" s="17">
        <f t="shared" si="52"/>
        <v>1102.4000000000015</v>
      </c>
      <c r="L459" s="23">
        <f t="shared" si="50"/>
        <v>55.120000000000076</v>
      </c>
      <c r="M459" s="23">
        <v>30</v>
      </c>
      <c r="N459" s="18">
        <f t="shared" si="54"/>
        <v>62.293150684931504</v>
      </c>
      <c r="O459" s="23">
        <v>20945.599999999999</v>
      </c>
      <c r="P459" s="18">
        <f t="shared" si="55"/>
        <v>62.794520547945204</v>
      </c>
      <c r="Q459" s="18">
        <v>0</v>
      </c>
      <c r="R459" s="18">
        <f t="shared" si="53"/>
        <v>20945.599999999999</v>
      </c>
      <c r="S459" s="18">
        <f t="shared" si="51"/>
        <v>55.120000000000076</v>
      </c>
    </row>
    <row r="460" spans="1:19" ht="18.75" customHeight="1" x14ac:dyDescent="0.25">
      <c r="A460" s="14">
        <f t="shared" si="56"/>
        <v>457</v>
      </c>
      <c r="B460" s="21" t="s">
        <v>444</v>
      </c>
      <c r="C460" s="15" t="s">
        <v>3</v>
      </c>
      <c r="D460" s="21" t="s">
        <v>56</v>
      </c>
      <c r="E460" s="21"/>
      <c r="F460" s="69" t="s">
        <v>4</v>
      </c>
      <c r="G460" s="9">
        <v>21551</v>
      </c>
      <c r="H460" s="26">
        <v>406.30000000000018</v>
      </c>
      <c r="I460" s="17">
        <v>0</v>
      </c>
      <c r="J460" s="17">
        <v>0</v>
      </c>
      <c r="K460" s="17">
        <f t="shared" si="52"/>
        <v>406.30000000000018</v>
      </c>
      <c r="L460" s="23">
        <f t="shared" si="50"/>
        <v>20.315000000000012</v>
      </c>
      <c r="M460" s="23">
        <v>30</v>
      </c>
      <c r="N460" s="18">
        <f t="shared" si="54"/>
        <v>62.293150684931504</v>
      </c>
      <c r="O460" s="23">
        <v>7719.7</v>
      </c>
      <c r="P460" s="18">
        <f t="shared" si="55"/>
        <v>62.794520547945204</v>
      </c>
      <c r="Q460" s="18">
        <v>0</v>
      </c>
      <c r="R460" s="18">
        <f t="shared" si="53"/>
        <v>7719.7</v>
      </c>
      <c r="S460" s="18">
        <f t="shared" si="51"/>
        <v>20.315000000000012</v>
      </c>
    </row>
    <row r="461" spans="1:19" ht="18.75" customHeight="1" x14ac:dyDescent="0.25">
      <c r="A461" s="14">
        <f t="shared" si="56"/>
        <v>458</v>
      </c>
      <c r="B461" s="21" t="s">
        <v>445</v>
      </c>
      <c r="C461" s="15" t="s">
        <v>3</v>
      </c>
      <c r="D461" s="21" t="s">
        <v>56</v>
      </c>
      <c r="E461" s="21"/>
      <c r="F461" s="69" t="s">
        <v>4</v>
      </c>
      <c r="G461" s="9">
        <v>21551</v>
      </c>
      <c r="H461" s="26">
        <v>285.69999999999982</v>
      </c>
      <c r="I461" s="17">
        <v>0</v>
      </c>
      <c r="J461" s="17">
        <v>0</v>
      </c>
      <c r="K461" s="17">
        <f t="shared" si="52"/>
        <v>285.69999999999982</v>
      </c>
      <c r="L461" s="23">
        <f t="shared" si="50"/>
        <v>14.284999999999991</v>
      </c>
      <c r="M461" s="23">
        <v>30</v>
      </c>
      <c r="N461" s="18">
        <f t="shared" si="54"/>
        <v>62.293150684931504</v>
      </c>
      <c r="O461" s="23">
        <v>5428.3</v>
      </c>
      <c r="P461" s="18">
        <f t="shared" si="55"/>
        <v>62.794520547945204</v>
      </c>
      <c r="Q461" s="18">
        <v>0</v>
      </c>
      <c r="R461" s="18">
        <f t="shared" si="53"/>
        <v>5428.3</v>
      </c>
      <c r="S461" s="18">
        <f t="shared" si="51"/>
        <v>14.284999999999991</v>
      </c>
    </row>
    <row r="462" spans="1:19" ht="18.75" customHeight="1" x14ac:dyDescent="0.25">
      <c r="A462" s="14">
        <f t="shared" si="56"/>
        <v>459</v>
      </c>
      <c r="B462" s="21" t="s">
        <v>446</v>
      </c>
      <c r="C462" s="15" t="s">
        <v>3</v>
      </c>
      <c r="D462" s="21" t="s">
        <v>56</v>
      </c>
      <c r="E462" s="21"/>
      <c r="F462" s="69" t="s">
        <v>4</v>
      </c>
      <c r="G462" s="9">
        <v>21551</v>
      </c>
      <c r="H462" s="26">
        <v>185.30000000000018</v>
      </c>
      <c r="I462" s="17">
        <v>0</v>
      </c>
      <c r="J462" s="17">
        <v>0</v>
      </c>
      <c r="K462" s="17">
        <f t="shared" si="52"/>
        <v>185.30000000000018</v>
      </c>
      <c r="L462" s="23">
        <f t="shared" si="50"/>
        <v>9.2650000000000095</v>
      </c>
      <c r="M462" s="23">
        <v>30</v>
      </c>
      <c r="N462" s="18">
        <f t="shared" si="54"/>
        <v>62.293150684931504</v>
      </c>
      <c r="O462" s="23">
        <v>3520.7</v>
      </c>
      <c r="P462" s="18">
        <f t="shared" si="55"/>
        <v>62.794520547945204</v>
      </c>
      <c r="Q462" s="18">
        <v>0</v>
      </c>
      <c r="R462" s="18">
        <f t="shared" si="53"/>
        <v>3520.7</v>
      </c>
      <c r="S462" s="18">
        <f t="shared" si="51"/>
        <v>9.2650000000000095</v>
      </c>
    </row>
    <row r="463" spans="1:19" ht="18.75" customHeight="1" x14ac:dyDescent="0.25">
      <c r="A463" s="14">
        <f t="shared" si="56"/>
        <v>460</v>
      </c>
      <c r="B463" s="21" t="s">
        <v>447</v>
      </c>
      <c r="C463" s="15" t="s">
        <v>3</v>
      </c>
      <c r="D463" s="21" t="s">
        <v>56</v>
      </c>
      <c r="E463" s="21"/>
      <c r="F463" s="69" t="s">
        <v>4</v>
      </c>
      <c r="G463" s="9">
        <v>21551</v>
      </c>
      <c r="H463" s="26">
        <v>106.75</v>
      </c>
      <c r="I463" s="17">
        <v>0</v>
      </c>
      <c r="J463" s="17">
        <v>0</v>
      </c>
      <c r="K463" s="17">
        <f t="shared" si="52"/>
        <v>106.75</v>
      </c>
      <c r="L463" s="23">
        <f t="shared" si="50"/>
        <v>5.3375000000000004</v>
      </c>
      <c r="M463" s="23">
        <v>30</v>
      </c>
      <c r="N463" s="18">
        <f t="shared" si="54"/>
        <v>62.293150684931504</v>
      </c>
      <c r="O463" s="23">
        <v>2028.25</v>
      </c>
      <c r="P463" s="18">
        <f t="shared" si="55"/>
        <v>62.794520547945204</v>
      </c>
      <c r="Q463" s="18">
        <v>0</v>
      </c>
      <c r="R463" s="18">
        <f t="shared" si="53"/>
        <v>2028.25</v>
      </c>
      <c r="S463" s="18">
        <f t="shared" si="51"/>
        <v>5.3375000000000004</v>
      </c>
    </row>
    <row r="464" spans="1:19" ht="18.75" customHeight="1" x14ac:dyDescent="0.25">
      <c r="A464" s="14">
        <f t="shared" si="56"/>
        <v>461</v>
      </c>
      <c r="B464" s="21" t="s">
        <v>448</v>
      </c>
      <c r="C464" s="15" t="s">
        <v>3</v>
      </c>
      <c r="D464" s="21" t="s">
        <v>56</v>
      </c>
      <c r="E464" s="21"/>
      <c r="F464" s="69" t="s">
        <v>4</v>
      </c>
      <c r="G464" s="9">
        <v>21551</v>
      </c>
      <c r="H464" s="26">
        <v>68.049999999999955</v>
      </c>
      <c r="I464" s="17">
        <v>0</v>
      </c>
      <c r="J464" s="17">
        <v>0</v>
      </c>
      <c r="K464" s="17">
        <f t="shared" si="52"/>
        <v>68.049999999999955</v>
      </c>
      <c r="L464" s="23">
        <f t="shared" si="50"/>
        <v>3.4024999999999981</v>
      </c>
      <c r="M464" s="23">
        <v>30</v>
      </c>
      <c r="N464" s="18">
        <f t="shared" si="54"/>
        <v>62.293150684931504</v>
      </c>
      <c r="O464" s="23">
        <v>1292.95</v>
      </c>
      <c r="P464" s="18">
        <f t="shared" si="55"/>
        <v>62.794520547945204</v>
      </c>
      <c r="Q464" s="18">
        <v>0</v>
      </c>
      <c r="R464" s="18">
        <f t="shared" si="53"/>
        <v>1292.95</v>
      </c>
      <c r="S464" s="18">
        <f t="shared" si="51"/>
        <v>3.4024999999999981</v>
      </c>
    </row>
    <row r="465" spans="1:19" ht="18.75" customHeight="1" x14ac:dyDescent="0.25">
      <c r="A465" s="14">
        <f t="shared" si="56"/>
        <v>462</v>
      </c>
      <c r="B465" s="21" t="s">
        <v>449</v>
      </c>
      <c r="C465" s="15" t="s">
        <v>3</v>
      </c>
      <c r="D465" s="21" t="s">
        <v>56</v>
      </c>
      <c r="E465" s="21"/>
      <c r="F465" s="69" t="s">
        <v>11</v>
      </c>
      <c r="G465" s="9">
        <v>21551</v>
      </c>
      <c r="H465" s="26">
        <v>51.200000000000045</v>
      </c>
      <c r="I465" s="17">
        <v>0</v>
      </c>
      <c r="J465" s="17">
        <v>0</v>
      </c>
      <c r="K465" s="17">
        <f t="shared" si="52"/>
        <v>51.200000000000045</v>
      </c>
      <c r="L465" s="23">
        <f t="shared" si="50"/>
        <v>2.5600000000000023</v>
      </c>
      <c r="M465" s="23">
        <v>30</v>
      </c>
      <c r="N465" s="18">
        <f t="shared" si="54"/>
        <v>62.293150684931504</v>
      </c>
      <c r="O465" s="23">
        <v>972.8</v>
      </c>
      <c r="P465" s="18">
        <f t="shared" si="55"/>
        <v>62.794520547945204</v>
      </c>
      <c r="Q465" s="18">
        <v>0</v>
      </c>
      <c r="R465" s="18">
        <f t="shared" si="53"/>
        <v>972.8</v>
      </c>
      <c r="S465" s="18">
        <f t="shared" si="51"/>
        <v>2.5600000000000023</v>
      </c>
    </row>
    <row r="466" spans="1:19" ht="18.75" customHeight="1" x14ac:dyDescent="0.25">
      <c r="A466" s="14">
        <f t="shared" si="56"/>
        <v>463</v>
      </c>
      <c r="B466" s="21" t="s">
        <v>450</v>
      </c>
      <c r="C466" s="15" t="s">
        <v>3</v>
      </c>
      <c r="D466" s="21" t="s">
        <v>56</v>
      </c>
      <c r="E466" s="21"/>
      <c r="F466" s="69" t="s">
        <v>4</v>
      </c>
      <c r="G466" s="9">
        <v>21551</v>
      </c>
      <c r="H466" s="26">
        <v>46.5</v>
      </c>
      <c r="I466" s="17">
        <v>0</v>
      </c>
      <c r="J466" s="17">
        <v>0</v>
      </c>
      <c r="K466" s="17">
        <f t="shared" si="52"/>
        <v>46.5</v>
      </c>
      <c r="L466" s="23">
        <f t="shared" si="50"/>
        <v>2.3250000000000002</v>
      </c>
      <c r="M466" s="23">
        <v>30</v>
      </c>
      <c r="N466" s="18">
        <f t="shared" si="54"/>
        <v>62.293150684931504</v>
      </c>
      <c r="O466" s="23">
        <v>883.5</v>
      </c>
      <c r="P466" s="18">
        <f t="shared" si="55"/>
        <v>62.794520547945204</v>
      </c>
      <c r="Q466" s="18">
        <v>0</v>
      </c>
      <c r="R466" s="18">
        <f t="shared" si="53"/>
        <v>883.5</v>
      </c>
      <c r="S466" s="18">
        <f t="shared" si="51"/>
        <v>2.3250000000000002</v>
      </c>
    </row>
    <row r="467" spans="1:19" ht="18.75" customHeight="1" x14ac:dyDescent="0.25">
      <c r="A467" s="14">
        <f t="shared" si="56"/>
        <v>464</v>
      </c>
      <c r="B467" s="21" t="s">
        <v>451</v>
      </c>
      <c r="C467" s="15" t="s">
        <v>3</v>
      </c>
      <c r="D467" s="21" t="s">
        <v>56</v>
      </c>
      <c r="E467" s="21"/>
      <c r="F467" s="69" t="s">
        <v>4</v>
      </c>
      <c r="G467" s="9">
        <v>30317</v>
      </c>
      <c r="H467" s="26">
        <v>23.699999999999989</v>
      </c>
      <c r="I467" s="17">
        <v>0</v>
      </c>
      <c r="J467" s="17">
        <v>0</v>
      </c>
      <c r="K467" s="17">
        <f t="shared" si="52"/>
        <v>23.699999999999989</v>
      </c>
      <c r="L467" s="23">
        <f t="shared" si="50"/>
        <v>1.1849999999999994</v>
      </c>
      <c r="M467" s="23">
        <v>5</v>
      </c>
      <c r="N467" s="18">
        <f t="shared" si="54"/>
        <v>38.276712328767125</v>
      </c>
      <c r="O467" s="23">
        <v>450.3</v>
      </c>
      <c r="P467" s="18">
        <f t="shared" si="55"/>
        <v>38.778082191780825</v>
      </c>
      <c r="Q467" s="18">
        <v>0</v>
      </c>
      <c r="R467" s="18">
        <f t="shared" si="53"/>
        <v>450.3</v>
      </c>
      <c r="S467" s="18">
        <f t="shared" si="51"/>
        <v>1.1849999999999994</v>
      </c>
    </row>
    <row r="468" spans="1:19" ht="18.75" customHeight="1" x14ac:dyDescent="0.25">
      <c r="A468" s="14">
        <f t="shared" si="56"/>
        <v>465</v>
      </c>
      <c r="B468" s="21" t="s">
        <v>452</v>
      </c>
      <c r="C468" s="15" t="s">
        <v>3</v>
      </c>
      <c r="D468" s="21" t="s">
        <v>56</v>
      </c>
      <c r="E468" s="21"/>
      <c r="F468" s="69" t="s">
        <v>4</v>
      </c>
      <c r="G468" s="9">
        <v>21186</v>
      </c>
      <c r="H468" s="26">
        <v>2017.4499999999971</v>
      </c>
      <c r="I468" s="17">
        <v>0</v>
      </c>
      <c r="J468" s="17">
        <v>0</v>
      </c>
      <c r="K468" s="17">
        <f t="shared" si="52"/>
        <v>2017.4499999999971</v>
      </c>
      <c r="L468" s="23">
        <f t="shared" si="50"/>
        <v>100.87249999999986</v>
      </c>
      <c r="M468" s="23">
        <v>30</v>
      </c>
      <c r="N468" s="18">
        <f t="shared" si="54"/>
        <v>63.293150684931504</v>
      </c>
      <c r="O468" s="23">
        <v>38331.550000000003</v>
      </c>
      <c r="P468" s="18">
        <f t="shared" si="55"/>
        <v>63.794520547945204</v>
      </c>
      <c r="Q468" s="18">
        <v>0</v>
      </c>
      <c r="R468" s="18">
        <f t="shared" si="53"/>
        <v>38331.550000000003</v>
      </c>
      <c r="S468" s="18">
        <f t="shared" si="51"/>
        <v>100.87249999999986</v>
      </c>
    </row>
    <row r="469" spans="1:19" ht="18.75" customHeight="1" x14ac:dyDescent="0.25">
      <c r="A469" s="14">
        <f t="shared" si="56"/>
        <v>466</v>
      </c>
      <c r="B469" s="21" t="s">
        <v>242</v>
      </c>
      <c r="C469" s="15" t="s">
        <v>3</v>
      </c>
      <c r="D469" s="21" t="s">
        <v>56</v>
      </c>
      <c r="E469" s="21"/>
      <c r="F469" s="69" t="s">
        <v>10</v>
      </c>
      <c r="G469" s="9">
        <v>21186</v>
      </c>
      <c r="H469" s="26">
        <v>1087.25</v>
      </c>
      <c r="I469" s="17">
        <v>0</v>
      </c>
      <c r="J469" s="17">
        <v>0</v>
      </c>
      <c r="K469" s="17">
        <f t="shared" si="52"/>
        <v>1087.25</v>
      </c>
      <c r="L469" s="23">
        <f t="shared" si="50"/>
        <v>54.362500000000004</v>
      </c>
      <c r="M469" s="23">
        <v>30</v>
      </c>
      <c r="N469" s="18">
        <f t="shared" si="54"/>
        <v>63.293150684931504</v>
      </c>
      <c r="O469" s="23">
        <v>20657.75</v>
      </c>
      <c r="P469" s="18">
        <f t="shared" si="55"/>
        <v>63.794520547945204</v>
      </c>
      <c r="Q469" s="18">
        <v>0</v>
      </c>
      <c r="R469" s="18">
        <f t="shared" si="53"/>
        <v>20657.75</v>
      </c>
      <c r="S469" s="18">
        <f t="shared" si="51"/>
        <v>54.362500000000004</v>
      </c>
    </row>
    <row r="470" spans="1:19" ht="18.75" customHeight="1" x14ac:dyDescent="0.25">
      <c r="A470" s="14">
        <f t="shared" si="56"/>
        <v>467</v>
      </c>
      <c r="B470" s="21" t="s">
        <v>453</v>
      </c>
      <c r="C470" s="15" t="s">
        <v>3</v>
      </c>
      <c r="D470" s="21" t="s">
        <v>56</v>
      </c>
      <c r="E470" s="21"/>
      <c r="F470" s="69" t="s">
        <v>4</v>
      </c>
      <c r="G470" s="9">
        <v>21186</v>
      </c>
      <c r="H470" s="26">
        <v>849.35000000000036</v>
      </c>
      <c r="I470" s="17">
        <v>0</v>
      </c>
      <c r="J470" s="17">
        <v>0</v>
      </c>
      <c r="K470" s="17">
        <f t="shared" si="52"/>
        <v>849.35000000000036</v>
      </c>
      <c r="L470" s="23">
        <f t="shared" si="50"/>
        <v>42.467500000000022</v>
      </c>
      <c r="M470" s="23">
        <v>30</v>
      </c>
      <c r="N470" s="18">
        <f t="shared" si="54"/>
        <v>63.293150684931504</v>
      </c>
      <c r="O470" s="23">
        <v>16137.65</v>
      </c>
      <c r="P470" s="18">
        <f t="shared" si="55"/>
        <v>63.794520547945204</v>
      </c>
      <c r="Q470" s="18">
        <v>0</v>
      </c>
      <c r="R470" s="18">
        <f t="shared" si="53"/>
        <v>16137.65</v>
      </c>
      <c r="S470" s="18">
        <f t="shared" si="51"/>
        <v>42.467500000000022</v>
      </c>
    </row>
    <row r="471" spans="1:19" ht="18.75" customHeight="1" x14ac:dyDescent="0.25">
      <c r="A471" s="14">
        <f t="shared" si="56"/>
        <v>468</v>
      </c>
      <c r="B471" s="21" t="s">
        <v>454</v>
      </c>
      <c r="C471" s="15" t="s">
        <v>3</v>
      </c>
      <c r="D471" s="21" t="s">
        <v>56</v>
      </c>
      <c r="E471" s="21"/>
      <c r="F471" s="69" t="s">
        <v>4</v>
      </c>
      <c r="G471" s="9">
        <v>21186</v>
      </c>
      <c r="H471" s="26">
        <v>382.94999999999982</v>
      </c>
      <c r="I471" s="17">
        <v>0</v>
      </c>
      <c r="J471" s="17">
        <v>0</v>
      </c>
      <c r="K471" s="17">
        <f t="shared" si="52"/>
        <v>382.94999999999982</v>
      </c>
      <c r="L471" s="23">
        <f t="shared" ref="L471:L534" si="57">H471*0.05</f>
        <v>19.14749999999999</v>
      </c>
      <c r="M471" s="23">
        <v>30</v>
      </c>
      <c r="N471" s="18">
        <f t="shared" si="54"/>
        <v>63.293150684931504</v>
      </c>
      <c r="O471" s="23">
        <v>7276.05</v>
      </c>
      <c r="P471" s="18">
        <f t="shared" si="55"/>
        <v>63.794520547945204</v>
      </c>
      <c r="Q471" s="18">
        <v>0</v>
      </c>
      <c r="R471" s="18">
        <f t="shared" si="53"/>
        <v>7276.05</v>
      </c>
      <c r="S471" s="18">
        <f t="shared" ref="S471:S522" si="58">L471</f>
        <v>19.14749999999999</v>
      </c>
    </row>
    <row r="472" spans="1:19" ht="18.75" customHeight="1" x14ac:dyDescent="0.25">
      <c r="A472" s="14">
        <f t="shared" si="56"/>
        <v>469</v>
      </c>
      <c r="B472" s="21" t="s">
        <v>455</v>
      </c>
      <c r="C472" s="15" t="s">
        <v>3</v>
      </c>
      <c r="D472" s="21" t="s">
        <v>56</v>
      </c>
      <c r="E472" s="21"/>
      <c r="F472" s="69" t="s">
        <v>11</v>
      </c>
      <c r="G472" s="9">
        <v>21186</v>
      </c>
      <c r="H472" s="26">
        <v>257.30000000000018</v>
      </c>
      <c r="I472" s="17">
        <v>0</v>
      </c>
      <c r="J472" s="17">
        <v>0</v>
      </c>
      <c r="K472" s="17">
        <f t="shared" si="52"/>
        <v>257.30000000000018</v>
      </c>
      <c r="L472" s="23">
        <f t="shared" si="57"/>
        <v>12.865000000000009</v>
      </c>
      <c r="M472" s="23">
        <v>30</v>
      </c>
      <c r="N472" s="18">
        <f t="shared" si="54"/>
        <v>63.293150684931504</v>
      </c>
      <c r="O472" s="23">
        <v>4888.7</v>
      </c>
      <c r="P472" s="18">
        <f t="shared" si="55"/>
        <v>63.794520547945204</v>
      </c>
      <c r="Q472" s="18">
        <v>0</v>
      </c>
      <c r="R472" s="18">
        <f t="shared" si="53"/>
        <v>4888.7</v>
      </c>
      <c r="S472" s="18">
        <f t="shared" si="58"/>
        <v>12.865000000000009</v>
      </c>
    </row>
    <row r="473" spans="1:19" ht="18.75" customHeight="1" x14ac:dyDescent="0.25">
      <c r="A473" s="14">
        <f t="shared" si="56"/>
        <v>470</v>
      </c>
      <c r="B473" s="21" t="s">
        <v>456</v>
      </c>
      <c r="C473" s="15" t="s">
        <v>3</v>
      </c>
      <c r="D473" s="21" t="s">
        <v>56</v>
      </c>
      <c r="E473" s="21"/>
      <c r="F473" s="69" t="s">
        <v>11</v>
      </c>
      <c r="G473" s="9">
        <v>21186</v>
      </c>
      <c r="H473" s="26">
        <v>189.80000000000018</v>
      </c>
      <c r="I473" s="17">
        <v>0</v>
      </c>
      <c r="J473" s="17">
        <v>0</v>
      </c>
      <c r="K473" s="17">
        <f t="shared" si="52"/>
        <v>189.80000000000018</v>
      </c>
      <c r="L473" s="23">
        <f t="shared" si="57"/>
        <v>9.4900000000000091</v>
      </c>
      <c r="M473" s="23">
        <v>30</v>
      </c>
      <c r="N473" s="18">
        <f t="shared" si="54"/>
        <v>63.293150684931504</v>
      </c>
      <c r="O473" s="23">
        <v>3606.2</v>
      </c>
      <c r="P473" s="18">
        <f t="shared" si="55"/>
        <v>63.794520547945204</v>
      </c>
      <c r="Q473" s="18">
        <v>0</v>
      </c>
      <c r="R473" s="18">
        <f t="shared" si="53"/>
        <v>3606.2</v>
      </c>
      <c r="S473" s="18">
        <f t="shared" si="58"/>
        <v>9.4900000000000091</v>
      </c>
    </row>
    <row r="474" spans="1:19" ht="18.75" customHeight="1" x14ac:dyDescent="0.25">
      <c r="A474" s="14">
        <f t="shared" si="56"/>
        <v>471</v>
      </c>
      <c r="B474" s="21" t="s">
        <v>457</v>
      </c>
      <c r="C474" s="15" t="s">
        <v>3</v>
      </c>
      <c r="D474" s="21" t="s">
        <v>56</v>
      </c>
      <c r="E474" s="21"/>
      <c r="F474" s="69" t="s">
        <v>4</v>
      </c>
      <c r="G474" s="9">
        <v>21186</v>
      </c>
      <c r="H474" s="26">
        <v>160.80000000000018</v>
      </c>
      <c r="I474" s="17">
        <v>0</v>
      </c>
      <c r="J474" s="17">
        <v>0</v>
      </c>
      <c r="K474" s="17">
        <f t="shared" si="52"/>
        <v>160.80000000000018</v>
      </c>
      <c r="L474" s="23">
        <f t="shared" si="57"/>
        <v>8.0400000000000098</v>
      </c>
      <c r="M474" s="23">
        <v>30</v>
      </c>
      <c r="N474" s="18">
        <f t="shared" si="54"/>
        <v>63.293150684931504</v>
      </c>
      <c r="O474" s="23">
        <v>3055.2</v>
      </c>
      <c r="P474" s="18">
        <f t="shared" si="55"/>
        <v>63.794520547945204</v>
      </c>
      <c r="Q474" s="18">
        <v>0</v>
      </c>
      <c r="R474" s="18">
        <f t="shared" si="53"/>
        <v>3055.2</v>
      </c>
      <c r="S474" s="18">
        <f t="shared" si="58"/>
        <v>8.0400000000000098</v>
      </c>
    </row>
    <row r="475" spans="1:19" ht="18.75" customHeight="1" x14ac:dyDescent="0.25">
      <c r="A475" s="14">
        <f t="shared" si="56"/>
        <v>472</v>
      </c>
      <c r="B475" s="21" t="s">
        <v>458</v>
      </c>
      <c r="C475" s="15" t="s">
        <v>3</v>
      </c>
      <c r="D475" s="21" t="s">
        <v>56</v>
      </c>
      <c r="E475" s="21"/>
      <c r="F475" s="69" t="s">
        <v>4</v>
      </c>
      <c r="G475" s="9">
        <v>21186</v>
      </c>
      <c r="H475" s="26">
        <v>78.150000000000091</v>
      </c>
      <c r="I475" s="17">
        <v>0</v>
      </c>
      <c r="J475" s="17">
        <v>0</v>
      </c>
      <c r="K475" s="17">
        <f t="shared" si="52"/>
        <v>78.150000000000091</v>
      </c>
      <c r="L475" s="23">
        <f t="shared" si="57"/>
        <v>3.9075000000000046</v>
      </c>
      <c r="M475" s="23">
        <v>30</v>
      </c>
      <c r="N475" s="18">
        <f t="shared" si="54"/>
        <v>63.293150684931504</v>
      </c>
      <c r="O475" s="23">
        <v>1484.85</v>
      </c>
      <c r="P475" s="18">
        <f t="shared" si="55"/>
        <v>63.794520547945204</v>
      </c>
      <c r="Q475" s="18">
        <v>0</v>
      </c>
      <c r="R475" s="18">
        <f t="shared" si="53"/>
        <v>1484.85</v>
      </c>
      <c r="S475" s="18">
        <f t="shared" si="58"/>
        <v>3.9075000000000046</v>
      </c>
    </row>
    <row r="476" spans="1:19" ht="18.75" customHeight="1" x14ac:dyDescent="0.25">
      <c r="A476" s="14">
        <f t="shared" si="56"/>
        <v>473</v>
      </c>
      <c r="B476" s="21" t="s">
        <v>459</v>
      </c>
      <c r="C476" s="15" t="s">
        <v>3</v>
      </c>
      <c r="D476" s="21" t="s">
        <v>56</v>
      </c>
      <c r="E476" s="21"/>
      <c r="F476" s="70" t="s">
        <v>7</v>
      </c>
      <c r="G476" s="9">
        <v>21186</v>
      </c>
      <c r="H476" s="26">
        <v>5.25</v>
      </c>
      <c r="I476" s="17">
        <v>0</v>
      </c>
      <c r="J476" s="17">
        <v>0</v>
      </c>
      <c r="K476" s="17">
        <f t="shared" si="52"/>
        <v>5.25</v>
      </c>
      <c r="L476" s="23">
        <f t="shared" si="57"/>
        <v>0.26250000000000001</v>
      </c>
      <c r="M476" s="23">
        <v>30</v>
      </c>
      <c r="N476" s="18">
        <f t="shared" si="54"/>
        <v>63.293150684931504</v>
      </c>
      <c r="O476" s="23">
        <v>99.75</v>
      </c>
      <c r="P476" s="18">
        <f t="shared" si="55"/>
        <v>63.794520547945204</v>
      </c>
      <c r="Q476" s="18">
        <v>0</v>
      </c>
      <c r="R476" s="18">
        <f t="shared" si="53"/>
        <v>99.75</v>
      </c>
      <c r="S476" s="18">
        <f t="shared" si="58"/>
        <v>0.26250000000000001</v>
      </c>
    </row>
    <row r="477" spans="1:19" ht="18.75" customHeight="1" x14ac:dyDescent="0.25">
      <c r="A477" s="14">
        <f t="shared" si="56"/>
        <v>474</v>
      </c>
      <c r="B477" s="21" t="s">
        <v>460</v>
      </c>
      <c r="C477" s="15" t="s">
        <v>3</v>
      </c>
      <c r="D477" s="21" t="s">
        <v>56</v>
      </c>
      <c r="E477" s="21"/>
      <c r="F477" s="69" t="s">
        <v>4</v>
      </c>
      <c r="G477" s="9">
        <v>20821</v>
      </c>
      <c r="H477" s="26">
        <v>921.34999999999854</v>
      </c>
      <c r="I477" s="17">
        <v>0</v>
      </c>
      <c r="J477" s="17">
        <v>0</v>
      </c>
      <c r="K477" s="17">
        <f t="shared" si="52"/>
        <v>921.34999999999854</v>
      </c>
      <c r="L477" s="23">
        <f t="shared" si="57"/>
        <v>46.067499999999932</v>
      </c>
      <c r="M477" s="23">
        <v>30</v>
      </c>
      <c r="N477" s="18">
        <f t="shared" si="54"/>
        <v>64.293150684931504</v>
      </c>
      <c r="O477" s="23">
        <v>17505.650000000001</v>
      </c>
      <c r="P477" s="18">
        <f t="shared" si="55"/>
        <v>64.794520547945211</v>
      </c>
      <c r="Q477" s="18">
        <v>0</v>
      </c>
      <c r="R477" s="18">
        <f t="shared" si="53"/>
        <v>17505.650000000001</v>
      </c>
      <c r="S477" s="18">
        <f t="shared" si="58"/>
        <v>46.067499999999932</v>
      </c>
    </row>
    <row r="478" spans="1:19" ht="18.75" customHeight="1" x14ac:dyDescent="0.25">
      <c r="A478" s="14">
        <f t="shared" si="56"/>
        <v>475</v>
      </c>
      <c r="B478" s="21" t="s">
        <v>461</v>
      </c>
      <c r="C478" s="15" t="s">
        <v>3</v>
      </c>
      <c r="D478" s="21" t="s">
        <v>56</v>
      </c>
      <c r="E478" s="21"/>
      <c r="F478" s="69" t="s">
        <v>4</v>
      </c>
      <c r="G478" s="9">
        <v>20821</v>
      </c>
      <c r="H478" s="26">
        <v>188.69999999999982</v>
      </c>
      <c r="I478" s="17">
        <v>0</v>
      </c>
      <c r="J478" s="17">
        <v>0</v>
      </c>
      <c r="K478" s="17">
        <f t="shared" si="52"/>
        <v>188.69999999999982</v>
      </c>
      <c r="L478" s="23">
        <f t="shared" si="57"/>
        <v>9.4349999999999916</v>
      </c>
      <c r="M478" s="23">
        <v>30</v>
      </c>
      <c r="N478" s="18">
        <f t="shared" si="54"/>
        <v>64.293150684931504</v>
      </c>
      <c r="O478" s="23">
        <v>3585.3</v>
      </c>
      <c r="P478" s="18">
        <f t="shared" si="55"/>
        <v>64.794520547945211</v>
      </c>
      <c r="Q478" s="18">
        <v>0</v>
      </c>
      <c r="R478" s="18">
        <f t="shared" si="53"/>
        <v>3585.3</v>
      </c>
      <c r="S478" s="18">
        <f t="shared" si="58"/>
        <v>9.4349999999999916</v>
      </c>
    </row>
    <row r="479" spans="1:19" ht="18.75" customHeight="1" x14ac:dyDescent="0.25">
      <c r="A479" s="14">
        <f t="shared" si="56"/>
        <v>476</v>
      </c>
      <c r="B479" s="21" t="s">
        <v>462</v>
      </c>
      <c r="C479" s="15" t="s">
        <v>3</v>
      </c>
      <c r="D479" s="21" t="s">
        <v>56</v>
      </c>
      <c r="E479" s="21"/>
      <c r="F479" s="69" t="s">
        <v>13</v>
      </c>
      <c r="G479" s="9">
        <v>20821</v>
      </c>
      <c r="H479" s="26">
        <v>172</v>
      </c>
      <c r="I479" s="17">
        <v>0</v>
      </c>
      <c r="J479" s="17">
        <v>0</v>
      </c>
      <c r="K479" s="17">
        <f t="shared" si="52"/>
        <v>172</v>
      </c>
      <c r="L479" s="23">
        <f t="shared" si="57"/>
        <v>8.6</v>
      </c>
      <c r="M479" s="23">
        <v>30</v>
      </c>
      <c r="N479" s="18">
        <f t="shared" si="54"/>
        <v>64.293150684931504</v>
      </c>
      <c r="O479" s="23">
        <v>3268</v>
      </c>
      <c r="P479" s="18">
        <f t="shared" si="55"/>
        <v>64.794520547945211</v>
      </c>
      <c r="Q479" s="18">
        <v>0</v>
      </c>
      <c r="R479" s="18">
        <f t="shared" si="53"/>
        <v>3268</v>
      </c>
      <c r="S479" s="18">
        <f t="shared" si="58"/>
        <v>8.6</v>
      </c>
    </row>
    <row r="480" spans="1:19" ht="18.75" customHeight="1" x14ac:dyDescent="0.25">
      <c r="A480" s="14">
        <f t="shared" si="56"/>
        <v>477</v>
      </c>
      <c r="B480" s="21" t="s">
        <v>463</v>
      </c>
      <c r="C480" s="15" t="s">
        <v>3</v>
      </c>
      <c r="D480" s="21" t="s">
        <v>56</v>
      </c>
      <c r="E480" s="21"/>
      <c r="F480" s="69" t="s">
        <v>10</v>
      </c>
      <c r="G480" s="9">
        <v>20821</v>
      </c>
      <c r="H480" s="26">
        <v>166.94999999999982</v>
      </c>
      <c r="I480" s="17">
        <v>0</v>
      </c>
      <c r="J480" s="17">
        <v>0</v>
      </c>
      <c r="K480" s="17">
        <f t="shared" si="52"/>
        <v>166.94999999999982</v>
      </c>
      <c r="L480" s="23">
        <f t="shared" si="57"/>
        <v>8.3474999999999913</v>
      </c>
      <c r="M480" s="23">
        <v>30</v>
      </c>
      <c r="N480" s="18">
        <f t="shared" si="54"/>
        <v>64.293150684931504</v>
      </c>
      <c r="O480" s="23">
        <v>3172.05</v>
      </c>
      <c r="P480" s="18">
        <f t="shared" si="55"/>
        <v>64.794520547945211</v>
      </c>
      <c r="Q480" s="18">
        <v>0</v>
      </c>
      <c r="R480" s="18">
        <f t="shared" si="53"/>
        <v>3172.05</v>
      </c>
      <c r="S480" s="18">
        <f t="shared" si="58"/>
        <v>8.3474999999999913</v>
      </c>
    </row>
    <row r="481" spans="1:19" ht="18.75" customHeight="1" x14ac:dyDescent="0.25">
      <c r="A481" s="14">
        <f t="shared" si="56"/>
        <v>478</v>
      </c>
      <c r="B481" s="21" t="s">
        <v>464</v>
      </c>
      <c r="C481" s="15" t="s">
        <v>3</v>
      </c>
      <c r="D481" s="21" t="s">
        <v>56</v>
      </c>
      <c r="E481" s="21"/>
      <c r="F481" s="69" t="s">
        <v>4</v>
      </c>
      <c r="G481" s="9">
        <v>20821</v>
      </c>
      <c r="H481" s="26">
        <v>94.150000000000091</v>
      </c>
      <c r="I481" s="17">
        <v>0</v>
      </c>
      <c r="J481" s="17">
        <v>0</v>
      </c>
      <c r="K481" s="17">
        <f t="shared" si="52"/>
        <v>94.150000000000091</v>
      </c>
      <c r="L481" s="23">
        <f t="shared" si="57"/>
        <v>4.7075000000000049</v>
      </c>
      <c r="M481" s="23">
        <v>30</v>
      </c>
      <c r="N481" s="18">
        <f t="shared" si="54"/>
        <v>64.293150684931504</v>
      </c>
      <c r="O481" s="23">
        <v>1788.85</v>
      </c>
      <c r="P481" s="18">
        <f t="shared" si="55"/>
        <v>64.794520547945211</v>
      </c>
      <c r="Q481" s="18">
        <v>0</v>
      </c>
      <c r="R481" s="18">
        <f t="shared" si="53"/>
        <v>1788.85</v>
      </c>
      <c r="S481" s="18">
        <f t="shared" si="58"/>
        <v>4.7075000000000049</v>
      </c>
    </row>
    <row r="482" spans="1:19" ht="18.75" customHeight="1" x14ac:dyDescent="0.25">
      <c r="A482" s="14">
        <f t="shared" si="56"/>
        <v>479</v>
      </c>
      <c r="B482" s="21" t="s">
        <v>452</v>
      </c>
      <c r="C482" s="15" t="s">
        <v>3</v>
      </c>
      <c r="D482" s="21" t="s">
        <v>56</v>
      </c>
      <c r="E482" s="21"/>
      <c r="F482" s="69" t="s">
        <v>4</v>
      </c>
      <c r="G482" s="9">
        <v>20821</v>
      </c>
      <c r="H482" s="26">
        <v>3.3500000000000014</v>
      </c>
      <c r="I482" s="17">
        <v>0</v>
      </c>
      <c r="J482" s="17">
        <v>0</v>
      </c>
      <c r="K482" s="17">
        <f t="shared" si="52"/>
        <v>3.3500000000000014</v>
      </c>
      <c r="L482" s="23">
        <f t="shared" si="57"/>
        <v>0.16750000000000009</v>
      </c>
      <c r="M482" s="23">
        <v>30</v>
      </c>
      <c r="N482" s="18">
        <f t="shared" si="54"/>
        <v>64.293150684931504</v>
      </c>
      <c r="O482" s="23">
        <v>63.65</v>
      </c>
      <c r="P482" s="18">
        <f t="shared" si="55"/>
        <v>64.794520547945211</v>
      </c>
      <c r="Q482" s="18">
        <v>0</v>
      </c>
      <c r="R482" s="18">
        <f t="shared" si="53"/>
        <v>63.65</v>
      </c>
      <c r="S482" s="18">
        <f t="shared" si="58"/>
        <v>0.16750000000000009</v>
      </c>
    </row>
    <row r="483" spans="1:19" ht="18.75" customHeight="1" x14ac:dyDescent="0.25">
      <c r="A483" s="14">
        <f t="shared" si="56"/>
        <v>480</v>
      </c>
      <c r="B483" s="21" t="s">
        <v>465</v>
      </c>
      <c r="C483" s="15" t="s">
        <v>3</v>
      </c>
      <c r="D483" s="21" t="s">
        <v>56</v>
      </c>
      <c r="E483" s="21"/>
      <c r="F483" s="69" t="s">
        <v>14</v>
      </c>
      <c r="G483" s="9">
        <v>20455</v>
      </c>
      <c r="H483" s="26">
        <v>1190.6500000000015</v>
      </c>
      <c r="I483" s="17">
        <v>0</v>
      </c>
      <c r="J483" s="17">
        <v>0</v>
      </c>
      <c r="K483" s="17">
        <f t="shared" si="52"/>
        <v>1190.6500000000015</v>
      </c>
      <c r="L483" s="23">
        <f t="shared" si="57"/>
        <v>59.532500000000077</v>
      </c>
      <c r="M483" s="23">
        <v>30</v>
      </c>
      <c r="N483" s="18">
        <f t="shared" si="54"/>
        <v>65.295890410958904</v>
      </c>
      <c r="O483" s="23">
        <v>22622.35</v>
      </c>
      <c r="P483" s="18">
        <f t="shared" si="55"/>
        <v>65.797260273972597</v>
      </c>
      <c r="Q483" s="18">
        <v>0</v>
      </c>
      <c r="R483" s="18">
        <f t="shared" si="53"/>
        <v>22622.35</v>
      </c>
      <c r="S483" s="18">
        <f t="shared" si="58"/>
        <v>59.532500000000077</v>
      </c>
    </row>
    <row r="484" spans="1:19" ht="18.75" customHeight="1" x14ac:dyDescent="0.25">
      <c r="A484" s="14">
        <f t="shared" si="56"/>
        <v>481</v>
      </c>
      <c r="B484" s="21" t="s">
        <v>466</v>
      </c>
      <c r="C484" s="15" t="s">
        <v>3</v>
      </c>
      <c r="D484" s="21" t="s">
        <v>56</v>
      </c>
      <c r="E484" s="21"/>
      <c r="F484" s="69" t="s">
        <v>11</v>
      </c>
      <c r="G484" s="9">
        <v>20455</v>
      </c>
      <c r="H484" s="26">
        <v>345.44999999999982</v>
      </c>
      <c r="I484" s="17">
        <v>0</v>
      </c>
      <c r="J484" s="17">
        <v>0</v>
      </c>
      <c r="K484" s="17">
        <f t="shared" si="52"/>
        <v>345.44999999999982</v>
      </c>
      <c r="L484" s="23">
        <f t="shared" si="57"/>
        <v>17.27249999999999</v>
      </c>
      <c r="M484" s="23">
        <v>30</v>
      </c>
      <c r="N484" s="18">
        <f t="shared" si="54"/>
        <v>65.295890410958904</v>
      </c>
      <c r="O484" s="23">
        <v>6563.55</v>
      </c>
      <c r="P484" s="18">
        <f t="shared" si="55"/>
        <v>65.797260273972597</v>
      </c>
      <c r="Q484" s="18">
        <v>0</v>
      </c>
      <c r="R484" s="18">
        <f t="shared" si="53"/>
        <v>6563.55</v>
      </c>
      <c r="S484" s="18">
        <f t="shared" si="58"/>
        <v>17.27249999999999</v>
      </c>
    </row>
    <row r="485" spans="1:19" ht="18.75" customHeight="1" x14ac:dyDescent="0.25">
      <c r="A485" s="14">
        <f t="shared" si="56"/>
        <v>482</v>
      </c>
      <c r="B485" s="21" t="s">
        <v>467</v>
      </c>
      <c r="C485" s="15" t="s">
        <v>3</v>
      </c>
      <c r="D485" s="21" t="s">
        <v>56</v>
      </c>
      <c r="E485" s="21"/>
      <c r="F485" s="69" t="s">
        <v>4</v>
      </c>
      <c r="G485" s="9">
        <v>20455</v>
      </c>
      <c r="H485" s="26">
        <v>263.10000000000036</v>
      </c>
      <c r="I485" s="17">
        <v>0</v>
      </c>
      <c r="J485" s="17">
        <v>0</v>
      </c>
      <c r="K485" s="17">
        <f t="shared" si="52"/>
        <v>263.10000000000036</v>
      </c>
      <c r="L485" s="23">
        <f t="shared" si="57"/>
        <v>13.155000000000019</v>
      </c>
      <c r="M485" s="23">
        <v>30</v>
      </c>
      <c r="N485" s="18">
        <f t="shared" si="54"/>
        <v>65.295890410958904</v>
      </c>
      <c r="O485" s="23">
        <v>4998.8999999999996</v>
      </c>
      <c r="P485" s="18">
        <f t="shared" si="55"/>
        <v>65.797260273972597</v>
      </c>
      <c r="Q485" s="18">
        <v>0</v>
      </c>
      <c r="R485" s="18">
        <f t="shared" si="53"/>
        <v>4998.8999999999996</v>
      </c>
      <c r="S485" s="18">
        <f t="shared" si="58"/>
        <v>13.155000000000019</v>
      </c>
    </row>
    <row r="486" spans="1:19" ht="18.75" customHeight="1" x14ac:dyDescent="0.25">
      <c r="A486" s="14">
        <f t="shared" si="56"/>
        <v>483</v>
      </c>
      <c r="B486" s="21" t="s">
        <v>468</v>
      </c>
      <c r="C486" s="15" t="s">
        <v>3</v>
      </c>
      <c r="D486" s="21" t="s">
        <v>56</v>
      </c>
      <c r="E486" s="21"/>
      <c r="F486" s="69" t="s">
        <v>4</v>
      </c>
      <c r="G486" s="9">
        <v>20455</v>
      </c>
      <c r="H486" s="26">
        <v>238.19999999999982</v>
      </c>
      <c r="I486" s="17">
        <v>0</v>
      </c>
      <c r="J486" s="17">
        <v>0</v>
      </c>
      <c r="K486" s="17">
        <f t="shared" si="52"/>
        <v>238.19999999999982</v>
      </c>
      <c r="L486" s="23">
        <f t="shared" si="57"/>
        <v>11.909999999999991</v>
      </c>
      <c r="M486" s="23">
        <v>30</v>
      </c>
      <c r="N486" s="18">
        <f t="shared" si="54"/>
        <v>65.295890410958904</v>
      </c>
      <c r="O486" s="23">
        <v>4525.8</v>
      </c>
      <c r="P486" s="18">
        <f t="shared" si="55"/>
        <v>65.797260273972597</v>
      </c>
      <c r="Q486" s="18">
        <v>0</v>
      </c>
      <c r="R486" s="18">
        <f t="shared" si="53"/>
        <v>4525.8</v>
      </c>
      <c r="S486" s="18">
        <f t="shared" si="58"/>
        <v>11.909999999999991</v>
      </c>
    </row>
    <row r="487" spans="1:19" ht="18.75" customHeight="1" x14ac:dyDescent="0.25">
      <c r="A487" s="14">
        <f t="shared" si="56"/>
        <v>484</v>
      </c>
      <c r="B487" s="21" t="s">
        <v>469</v>
      </c>
      <c r="C487" s="15" t="s">
        <v>3</v>
      </c>
      <c r="D487" s="21" t="s">
        <v>56</v>
      </c>
      <c r="E487" s="21"/>
      <c r="F487" s="69" t="s">
        <v>11</v>
      </c>
      <c r="G487" s="9">
        <v>20455</v>
      </c>
      <c r="H487" s="26">
        <v>126.75</v>
      </c>
      <c r="I487" s="17">
        <v>0</v>
      </c>
      <c r="J487" s="17">
        <v>0</v>
      </c>
      <c r="K487" s="17">
        <f t="shared" si="52"/>
        <v>126.75</v>
      </c>
      <c r="L487" s="23">
        <f t="shared" si="57"/>
        <v>6.3375000000000004</v>
      </c>
      <c r="M487" s="23">
        <v>30</v>
      </c>
      <c r="N487" s="18">
        <f t="shared" si="54"/>
        <v>65.295890410958904</v>
      </c>
      <c r="O487" s="23">
        <v>2408.25</v>
      </c>
      <c r="P487" s="18">
        <f t="shared" si="55"/>
        <v>65.797260273972597</v>
      </c>
      <c r="Q487" s="18">
        <v>0</v>
      </c>
      <c r="R487" s="18">
        <f t="shared" si="53"/>
        <v>2408.25</v>
      </c>
      <c r="S487" s="18">
        <f t="shared" si="58"/>
        <v>6.3375000000000004</v>
      </c>
    </row>
    <row r="488" spans="1:19" ht="18.75" customHeight="1" x14ac:dyDescent="0.25">
      <c r="A488" s="14">
        <f t="shared" si="56"/>
        <v>485</v>
      </c>
      <c r="B488" s="21" t="s">
        <v>470</v>
      </c>
      <c r="C488" s="15" t="s">
        <v>3</v>
      </c>
      <c r="D488" s="21" t="s">
        <v>56</v>
      </c>
      <c r="E488" s="21"/>
      <c r="F488" s="69" t="s">
        <v>4</v>
      </c>
      <c r="G488" s="9">
        <v>20455</v>
      </c>
      <c r="H488" s="26">
        <v>75.349999999999909</v>
      </c>
      <c r="I488" s="17">
        <v>0</v>
      </c>
      <c r="J488" s="17">
        <v>0</v>
      </c>
      <c r="K488" s="17">
        <f t="shared" si="52"/>
        <v>75.349999999999909</v>
      </c>
      <c r="L488" s="23">
        <f t="shared" si="57"/>
        <v>3.7674999999999956</v>
      </c>
      <c r="M488" s="23">
        <v>30</v>
      </c>
      <c r="N488" s="18">
        <f t="shared" si="54"/>
        <v>65.295890410958904</v>
      </c>
      <c r="O488" s="23">
        <v>1431.65</v>
      </c>
      <c r="P488" s="18">
        <f t="shared" si="55"/>
        <v>65.797260273972597</v>
      </c>
      <c r="Q488" s="18">
        <v>0</v>
      </c>
      <c r="R488" s="18">
        <f t="shared" si="53"/>
        <v>1431.65</v>
      </c>
      <c r="S488" s="18">
        <f t="shared" si="58"/>
        <v>3.7674999999999956</v>
      </c>
    </row>
    <row r="489" spans="1:19" ht="18.75" customHeight="1" x14ac:dyDescent="0.25">
      <c r="A489" s="14">
        <f t="shared" si="56"/>
        <v>486</v>
      </c>
      <c r="B489" s="21" t="s">
        <v>471</v>
      </c>
      <c r="C489" s="15" t="s">
        <v>3</v>
      </c>
      <c r="D489" s="21" t="s">
        <v>56</v>
      </c>
      <c r="E489" s="21"/>
      <c r="F489" s="69" t="s">
        <v>8</v>
      </c>
      <c r="G489" s="9">
        <v>20455</v>
      </c>
      <c r="H489" s="26">
        <v>53.900000000000091</v>
      </c>
      <c r="I489" s="17">
        <v>0</v>
      </c>
      <c r="J489" s="17">
        <v>0</v>
      </c>
      <c r="K489" s="17">
        <f t="shared" si="52"/>
        <v>53.900000000000091</v>
      </c>
      <c r="L489" s="23">
        <f t="shared" si="57"/>
        <v>2.6950000000000047</v>
      </c>
      <c r="M489" s="23">
        <v>30</v>
      </c>
      <c r="N489" s="18">
        <f t="shared" si="54"/>
        <v>65.295890410958904</v>
      </c>
      <c r="O489" s="23">
        <v>1024.0999999999999</v>
      </c>
      <c r="P489" s="18">
        <f t="shared" si="55"/>
        <v>65.797260273972597</v>
      </c>
      <c r="Q489" s="18">
        <v>0</v>
      </c>
      <c r="R489" s="18">
        <f t="shared" si="53"/>
        <v>1024.0999999999999</v>
      </c>
      <c r="S489" s="18">
        <f t="shared" si="58"/>
        <v>2.6950000000000047</v>
      </c>
    </row>
    <row r="490" spans="1:19" ht="18.75" customHeight="1" x14ac:dyDescent="0.25">
      <c r="A490" s="14">
        <f t="shared" si="56"/>
        <v>487</v>
      </c>
      <c r="B490" s="21" t="s">
        <v>452</v>
      </c>
      <c r="C490" s="15" t="s">
        <v>3</v>
      </c>
      <c r="D490" s="21" t="s">
        <v>56</v>
      </c>
      <c r="E490" s="21"/>
      <c r="F490" s="69" t="s">
        <v>4</v>
      </c>
      <c r="G490" s="9">
        <v>20455</v>
      </c>
      <c r="H490" s="26">
        <v>49.299999999999955</v>
      </c>
      <c r="I490" s="17">
        <v>0</v>
      </c>
      <c r="J490" s="17">
        <v>0</v>
      </c>
      <c r="K490" s="17">
        <f t="shared" si="52"/>
        <v>49.299999999999955</v>
      </c>
      <c r="L490" s="23">
        <f t="shared" si="57"/>
        <v>2.4649999999999981</v>
      </c>
      <c r="M490" s="23">
        <v>30</v>
      </c>
      <c r="N490" s="18">
        <f t="shared" si="54"/>
        <v>65.295890410958904</v>
      </c>
      <c r="O490" s="23">
        <v>936.7</v>
      </c>
      <c r="P490" s="18">
        <f t="shared" si="55"/>
        <v>65.797260273972597</v>
      </c>
      <c r="Q490" s="18">
        <v>0</v>
      </c>
      <c r="R490" s="18">
        <f t="shared" si="53"/>
        <v>936.7</v>
      </c>
      <c r="S490" s="18">
        <f t="shared" si="58"/>
        <v>2.4649999999999981</v>
      </c>
    </row>
    <row r="491" spans="1:19" ht="18.75" customHeight="1" x14ac:dyDescent="0.25">
      <c r="A491" s="14">
        <f t="shared" si="56"/>
        <v>488</v>
      </c>
      <c r="B491" s="21" t="s">
        <v>472</v>
      </c>
      <c r="C491" s="15" t="s">
        <v>3</v>
      </c>
      <c r="D491" s="21" t="s">
        <v>56</v>
      </c>
      <c r="E491" s="21"/>
      <c r="F491" s="69" t="s">
        <v>4</v>
      </c>
      <c r="G491" s="9">
        <v>20455</v>
      </c>
      <c r="H491" s="26">
        <v>45.200000000000045</v>
      </c>
      <c r="I491" s="17">
        <v>0</v>
      </c>
      <c r="J491" s="17">
        <v>0</v>
      </c>
      <c r="K491" s="17">
        <f t="shared" si="52"/>
        <v>45.200000000000045</v>
      </c>
      <c r="L491" s="23">
        <f t="shared" si="57"/>
        <v>2.2600000000000025</v>
      </c>
      <c r="M491" s="23">
        <v>30</v>
      </c>
      <c r="N491" s="18">
        <f t="shared" si="54"/>
        <v>65.295890410958904</v>
      </c>
      <c r="O491" s="23">
        <v>858.8</v>
      </c>
      <c r="P491" s="18">
        <f t="shared" si="55"/>
        <v>65.797260273972597</v>
      </c>
      <c r="Q491" s="18">
        <v>0</v>
      </c>
      <c r="R491" s="18">
        <f t="shared" si="53"/>
        <v>858.8</v>
      </c>
      <c r="S491" s="18">
        <f t="shared" si="58"/>
        <v>2.2600000000000025</v>
      </c>
    </row>
    <row r="492" spans="1:19" ht="18.75" customHeight="1" x14ac:dyDescent="0.25">
      <c r="A492" s="14">
        <f t="shared" si="56"/>
        <v>489</v>
      </c>
      <c r="B492" s="21" t="s">
        <v>473</v>
      </c>
      <c r="C492" s="15" t="s">
        <v>3</v>
      </c>
      <c r="D492" s="21" t="s">
        <v>56</v>
      </c>
      <c r="E492" s="21"/>
      <c r="F492" s="69" t="s">
        <v>4</v>
      </c>
      <c r="G492" s="9">
        <v>29221</v>
      </c>
      <c r="H492" s="26">
        <v>4333.5500000000029</v>
      </c>
      <c r="I492" s="17">
        <v>0</v>
      </c>
      <c r="J492" s="17">
        <v>0</v>
      </c>
      <c r="K492" s="17">
        <f t="shared" si="52"/>
        <v>4333.5500000000029</v>
      </c>
      <c r="L492" s="23">
        <f t="shared" si="57"/>
        <v>216.67750000000015</v>
      </c>
      <c r="M492" s="23">
        <v>5</v>
      </c>
      <c r="N492" s="18">
        <f t="shared" si="54"/>
        <v>41.279452054794518</v>
      </c>
      <c r="O492" s="23">
        <v>82337.45</v>
      </c>
      <c r="P492" s="18">
        <f t="shared" si="55"/>
        <v>41.780821917808218</v>
      </c>
      <c r="Q492" s="18">
        <v>0</v>
      </c>
      <c r="R492" s="18">
        <f t="shared" si="53"/>
        <v>82337.45</v>
      </c>
      <c r="S492" s="18">
        <f t="shared" si="58"/>
        <v>216.67750000000015</v>
      </c>
    </row>
    <row r="493" spans="1:19" ht="18.75" customHeight="1" x14ac:dyDescent="0.25">
      <c r="A493" s="14">
        <f t="shared" si="56"/>
        <v>490</v>
      </c>
      <c r="B493" s="21" t="s">
        <v>474</v>
      </c>
      <c r="C493" s="15" t="s">
        <v>3</v>
      </c>
      <c r="D493" s="21" t="s">
        <v>56</v>
      </c>
      <c r="E493" s="21"/>
      <c r="F493" s="69" t="s">
        <v>4</v>
      </c>
      <c r="G493" s="9">
        <v>20090</v>
      </c>
      <c r="H493" s="26">
        <v>924.34999999999854</v>
      </c>
      <c r="I493" s="17">
        <v>0</v>
      </c>
      <c r="J493" s="17">
        <v>0</v>
      </c>
      <c r="K493" s="17">
        <f t="shared" si="52"/>
        <v>924.34999999999854</v>
      </c>
      <c r="L493" s="23">
        <f t="shared" si="57"/>
        <v>46.21749999999993</v>
      </c>
      <c r="M493" s="23">
        <v>30</v>
      </c>
      <c r="N493" s="18">
        <f t="shared" si="54"/>
        <v>66.295890410958904</v>
      </c>
      <c r="O493" s="23">
        <v>17562.650000000001</v>
      </c>
      <c r="P493" s="18">
        <f t="shared" si="55"/>
        <v>66.797260273972597</v>
      </c>
      <c r="Q493" s="18">
        <v>0</v>
      </c>
      <c r="R493" s="18">
        <f t="shared" si="53"/>
        <v>17562.650000000001</v>
      </c>
      <c r="S493" s="18">
        <f t="shared" si="58"/>
        <v>46.21749999999993</v>
      </c>
    </row>
    <row r="494" spans="1:19" ht="18.75" customHeight="1" x14ac:dyDescent="0.25">
      <c r="A494" s="14">
        <f t="shared" si="56"/>
        <v>491</v>
      </c>
      <c r="B494" s="21" t="s">
        <v>475</v>
      </c>
      <c r="C494" s="15" t="s">
        <v>3</v>
      </c>
      <c r="D494" s="21" t="s">
        <v>56</v>
      </c>
      <c r="E494" s="21"/>
      <c r="F494" s="69" t="s">
        <v>4</v>
      </c>
      <c r="G494" s="9">
        <v>20090</v>
      </c>
      <c r="H494" s="26">
        <v>316.80000000000018</v>
      </c>
      <c r="I494" s="17">
        <v>0</v>
      </c>
      <c r="J494" s="17">
        <v>0</v>
      </c>
      <c r="K494" s="17">
        <f t="shared" si="52"/>
        <v>316.80000000000018</v>
      </c>
      <c r="L494" s="23">
        <f t="shared" si="57"/>
        <v>15.840000000000011</v>
      </c>
      <c r="M494" s="23">
        <v>30</v>
      </c>
      <c r="N494" s="18">
        <f t="shared" si="54"/>
        <v>66.295890410958904</v>
      </c>
      <c r="O494" s="23">
        <v>6019.2</v>
      </c>
      <c r="P494" s="18">
        <f t="shared" si="55"/>
        <v>66.797260273972597</v>
      </c>
      <c r="Q494" s="18">
        <v>0</v>
      </c>
      <c r="R494" s="18">
        <f t="shared" si="53"/>
        <v>6019.2</v>
      </c>
      <c r="S494" s="18">
        <f t="shared" si="58"/>
        <v>15.840000000000011</v>
      </c>
    </row>
    <row r="495" spans="1:19" ht="18.75" customHeight="1" x14ac:dyDescent="0.25">
      <c r="A495" s="14">
        <f t="shared" si="56"/>
        <v>492</v>
      </c>
      <c r="B495" s="21" t="s">
        <v>476</v>
      </c>
      <c r="C495" s="15" t="s">
        <v>3</v>
      </c>
      <c r="D495" s="21" t="s">
        <v>56</v>
      </c>
      <c r="E495" s="21"/>
      <c r="F495" s="69" t="s">
        <v>4</v>
      </c>
      <c r="G495" s="9">
        <v>20090</v>
      </c>
      <c r="H495" s="26">
        <v>266.25</v>
      </c>
      <c r="I495" s="17">
        <v>0</v>
      </c>
      <c r="J495" s="17">
        <v>0</v>
      </c>
      <c r="K495" s="17">
        <f t="shared" si="52"/>
        <v>266.25</v>
      </c>
      <c r="L495" s="23">
        <f t="shared" si="57"/>
        <v>13.3125</v>
      </c>
      <c r="M495" s="23">
        <v>30</v>
      </c>
      <c r="N495" s="18">
        <f t="shared" si="54"/>
        <v>66.295890410958904</v>
      </c>
      <c r="O495" s="23">
        <v>5058.75</v>
      </c>
      <c r="P495" s="18">
        <f t="shared" si="55"/>
        <v>66.797260273972597</v>
      </c>
      <c r="Q495" s="18">
        <v>0</v>
      </c>
      <c r="R495" s="18">
        <f t="shared" si="53"/>
        <v>5058.75</v>
      </c>
      <c r="S495" s="18">
        <f t="shared" si="58"/>
        <v>13.3125</v>
      </c>
    </row>
    <row r="496" spans="1:19" ht="18.75" customHeight="1" x14ac:dyDescent="0.25">
      <c r="A496" s="14">
        <f t="shared" si="56"/>
        <v>493</v>
      </c>
      <c r="B496" s="21" t="s">
        <v>477</v>
      </c>
      <c r="C496" s="15" t="s">
        <v>3</v>
      </c>
      <c r="D496" s="21" t="s">
        <v>56</v>
      </c>
      <c r="E496" s="21"/>
      <c r="F496" s="69" t="s">
        <v>4</v>
      </c>
      <c r="G496" s="9">
        <v>20090</v>
      </c>
      <c r="H496" s="26">
        <v>175.69999999999982</v>
      </c>
      <c r="I496" s="17">
        <v>0</v>
      </c>
      <c r="J496" s="17">
        <v>0</v>
      </c>
      <c r="K496" s="17">
        <f t="shared" si="52"/>
        <v>175.69999999999982</v>
      </c>
      <c r="L496" s="23">
        <f t="shared" si="57"/>
        <v>8.7849999999999913</v>
      </c>
      <c r="M496" s="23">
        <v>30</v>
      </c>
      <c r="N496" s="18">
        <f t="shared" si="54"/>
        <v>66.295890410958904</v>
      </c>
      <c r="O496" s="23">
        <v>3338.3</v>
      </c>
      <c r="P496" s="18">
        <f t="shared" si="55"/>
        <v>66.797260273972597</v>
      </c>
      <c r="Q496" s="18">
        <v>0</v>
      </c>
      <c r="R496" s="18">
        <f t="shared" si="53"/>
        <v>3338.3</v>
      </c>
      <c r="S496" s="18">
        <f t="shared" si="58"/>
        <v>8.7849999999999913</v>
      </c>
    </row>
    <row r="497" spans="1:19" ht="18.75" customHeight="1" x14ac:dyDescent="0.25">
      <c r="A497" s="14">
        <f t="shared" si="56"/>
        <v>494</v>
      </c>
      <c r="B497" s="21" t="s">
        <v>478</v>
      </c>
      <c r="C497" s="15" t="s">
        <v>3</v>
      </c>
      <c r="D497" s="21" t="s">
        <v>56</v>
      </c>
      <c r="E497" s="21"/>
      <c r="F497" s="69" t="s">
        <v>7</v>
      </c>
      <c r="G497" s="9">
        <v>20090</v>
      </c>
      <c r="H497" s="26">
        <v>159.59999999999991</v>
      </c>
      <c r="I497" s="17">
        <v>0</v>
      </c>
      <c r="J497" s="17">
        <v>0</v>
      </c>
      <c r="K497" s="17">
        <f t="shared" si="52"/>
        <v>159.59999999999991</v>
      </c>
      <c r="L497" s="23">
        <f t="shared" si="57"/>
        <v>7.979999999999996</v>
      </c>
      <c r="M497" s="23">
        <v>30</v>
      </c>
      <c r="N497" s="18">
        <f t="shared" si="54"/>
        <v>66.295890410958904</v>
      </c>
      <c r="O497" s="23">
        <v>3032.4</v>
      </c>
      <c r="P497" s="18">
        <f t="shared" si="55"/>
        <v>66.797260273972597</v>
      </c>
      <c r="Q497" s="18">
        <v>0</v>
      </c>
      <c r="R497" s="18">
        <f t="shared" si="53"/>
        <v>3032.4</v>
      </c>
      <c r="S497" s="18">
        <f t="shared" si="58"/>
        <v>7.979999999999996</v>
      </c>
    </row>
    <row r="498" spans="1:19" ht="18.75" customHeight="1" x14ac:dyDescent="0.25">
      <c r="A498" s="14">
        <f t="shared" si="56"/>
        <v>495</v>
      </c>
      <c r="B498" s="21" t="s">
        <v>470</v>
      </c>
      <c r="C498" s="15" t="s">
        <v>3</v>
      </c>
      <c r="D498" s="21" t="s">
        <v>56</v>
      </c>
      <c r="E498" s="21"/>
      <c r="F498" s="69" t="s">
        <v>4</v>
      </c>
      <c r="G498" s="9">
        <v>20090</v>
      </c>
      <c r="H498" s="26">
        <v>118.5</v>
      </c>
      <c r="I498" s="17">
        <v>0</v>
      </c>
      <c r="J498" s="17">
        <v>0</v>
      </c>
      <c r="K498" s="17">
        <f t="shared" si="52"/>
        <v>118.5</v>
      </c>
      <c r="L498" s="23">
        <f t="shared" si="57"/>
        <v>5.9250000000000007</v>
      </c>
      <c r="M498" s="23">
        <v>30</v>
      </c>
      <c r="N498" s="18">
        <f t="shared" si="54"/>
        <v>66.295890410958904</v>
      </c>
      <c r="O498" s="23">
        <v>2251.5</v>
      </c>
      <c r="P498" s="18">
        <f t="shared" si="55"/>
        <v>66.797260273972597</v>
      </c>
      <c r="Q498" s="18">
        <v>0</v>
      </c>
      <c r="R498" s="18">
        <f t="shared" si="53"/>
        <v>2251.5</v>
      </c>
      <c r="S498" s="18">
        <f t="shared" si="58"/>
        <v>5.9250000000000007</v>
      </c>
    </row>
    <row r="499" spans="1:19" ht="18.75" customHeight="1" x14ac:dyDescent="0.25">
      <c r="A499" s="14">
        <f t="shared" si="56"/>
        <v>496</v>
      </c>
      <c r="B499" s="21" t="s">
        <v>479</v>
      </c>
      <c r="C499" s="15" t="s">
        <v>3</v>
      </c>
      <c r="D499" s="21" t="s">
        <v>56</v>
      </c>
      <c r="E499" s="21"/>
      <c r="F499" s="69" t="s">
        <v>4</v>
      </c>
      <c r="G499" s="9">
        <v>19815</v>
      </c>
      <c r="H499" s="26">
        <v>380</v>
      </c>
      <c r="I499" s="17">
        <v>0</v>
      </c>
      <c r="J499" s="17">
        <v>0</v>
      </c>
      <c r="K499" s="17">
        <f t="shared" si="52"/>
        <v>380</v>
      </c>
      <c r="L499" s="23">
        <f t="shared" si="57"/>
        <v>19</v>
      </c>
      <c r="M499" s="23">
        <v>30</v>
      </c>
      <c r="N499" s="18">
        <f t="shared" si="54"/>
        <v>67.049315068493144</v>
      </c>
      <c r="O499" s="23">
        <v>7220</v>
      </c>
      <c r="P499" s="18">
        <f t="shared" si="55"/>
        <v>67.550684931506851</v>
      </c>
      <c r="Q499" s="18">
        <v>0</v>
      </c>
      <c r="R499" s="18">
        <f t="shared" si="53"/>
        <v>7220</v>
      </c>
      <c r="S499" s="18">
        <f t="shared" si="58"/>
        <v>19</v>
      </c>
    </row>
    <row r="500" spans="1:19" ht="18.75" customHeight="1" x14ac:dyDescent="0.25">
      <c r="A500" s="14">
        <f t="shared" si="56"/>
        <v>497</v>
      </c>
      <c r="B500" s="21" t="s">
        <v>480</v>
      </c>
      <c r="C500" s="15" t="s">
        <v>3</v>
      </c>
      <c r="D500" s="21" t="s">
        <v>56</v>
      </c>
      <c r="E500" s="21"/>
      <c r="F500" s="69" t="s">
        <v>4</v>
      </c>
      <c r="G500" s="9">
        <v>19815</v>
      </c>
      <c r="H500" s="26">
        <v>39.700000000000045</v>
      </c>
      <c r="I500" s="17">
        <v>0</v>
      </c>
      <c r="J500" s="17">
        <v>0</v>
      </c>
      <c r="K500" s="17">
        <f t="shared" si="52"/>
        <v>39.700000000000045</v>
      </c>
      <c r="L500" s="23">
        <f t="shared" si="57"/>
        <v>1.9850000000000023</v>
      </c>
      <c r="M500" s="23">
        <v>30</v>
      </c>
      <c r="N500" s="18">
        <f t="shared" si="54"/>
        <v>67.049315068493144</v>
      </c>
      <c r="O500" s="23">
        <v>754.3</v>
      </c>
      <c r="P500" s="18">
        <f t="shared" si="55"/>
        <v>67.550684931506851</v>
      </c>
      <c r="Q500" s="18">
        <v>0</v>
      </c>
      <c r="R500" s="18">
        <f t="shared" si="53"/>
        <v>754.3</v>
      </c>
      <c r="S500" s="18">
        <f t="shared" si="58"/>
        <v>1.9850000000000023</v>
      </c>
    </row>
    <row r="501" spans="1:19" ht="18.75" customHeight="1" x14ac:dyDescent="0.25">
      <c r="A501" s="14">
        <f t="shared" si="56"/>
        <v>498</v>
      </c>
      <c r="B501" s="21" t="s">
        <v>481</v>
      </c>
      <c r="C501" s="15" t="s">
        <v>3</v>
      </c>
      <c r="D501" s="21" t="s">
        <v>56</v>
      </c>
      <c r="E501" s="21"/>
      <c r="F501" s="69" t="s">
        <v>4</v>
      </c>
      <c r="G501" s="9">
        <v>19815</v>
      </c>
      <c r="H501" s="26">
        <v>39</v>
      </c>
      <c r="I501" s="17">
        <v>0</v>
      </c>
      <c r="J501" s="17">
        <v>0</v>
      </c>
      <c r="K501" s="17">
        <f t="shared" si="52"/>
        <v>39</v>
      </c>
      <c r="L501" s="23">
        <f t="shared" si="57"/>
        <v>1.9500000000000002</v>
      </c>
      <c r="M501" s="23">
        <v>30</v>
      </c>
      <c r="N501" s="18">
        <f t="shared" si="54"/>
        <v>67.049315068493144</v>
      </c>
      <c r="O501" s="23">
        <v>741</v>
      </c>
      <c r="P501" s="18">
        <f t="shared" si="55"/>
        <v>67.550684931506851</v>
      </c>
      <c r="Q501" s="18">
        <v>0</v>
      </c>
      <c r="R501" s="18">
        <f t="shared" si="53"/>
        <v>741</v>
      </c>
      <c r="S501" s="18">
        <f t="shared" si="58"/>
        <v>1.9500000000000002</v>
      </c>
    </row>
    <row r="502" spans="1:19" ht="18.75" customHeight="1" x14ac:dyDescent="0.25">
      <c r="A502" s="14">
        <f t="shared" si="56"/>
        <v>499</v>
      </c>
      <c r="B502" s="21" t="s">
        <v>482</v>
      </c>
      <c r="C502" s="15" t="s">
        <v>3</v>
      </c>
      <c r="D502" s="21" t="s">
        <v>56</v>
      </c>
      <c r="E502" s="21"/>
      <c r="F502" s="70" t="s">
        <v>7</v>
      </c>
      <c r="G502" s="9">
        <v>19725</v>
      </c>
      <c r="H502" s="26">
        <v>144.09999999999991</v>
      </c>
      <c r="I502" s="17">
        <v>0</v>
      </c>
      <c r="J502" s="17">
        <v>0</v>
      </c>
      <c r="K502" s="17">
        <f t="shared" si="52"/>
        <v>144.09999999999991</v>
      </c>
      <c r="L502" s="23">
        <f t="shared" si="57"/>
        <v>7.2049999999999956</v>
      </c>
      <c r="M502" s="23">
        <v>30</v>
      </c>
      <c r="N502" s="18">
        <f t="shared" si="54"/>
        <v>67.295890410958904</v>
      </c>
      <c r="O502" s="23">
        <v>2737.9</v>
      </c>
      <c r="P502" s="18">
        <f t="shared" si="55"/>
        <v>67.797260273972597</v>
      </c>
      <c r="Q502" s="18">
        <v>0</v>
      </c>
      <c r="R502" s="18">
        <f t="shared" si="53"/>
        <v>2737.9</v>
      </c>
      <c r="S502" s="18">
        <f t="shared" si="58"/>
        <v>7.2049999999999956</v>
      </c>
    </row>
    <row r="503" spans="1:19" ht="18.75" customHeight="1" x14ac:dyDescent="0.25">
      <c r="A503" s="14">
        <f t="shared" si="56"/>
        <v>500</v>
      </c>
      <c r="B503" s="21" t="s">
        <v>483</v>
      </c>
      <c r="C503" s="15" t="s">
        <v>3</v>
      </c>
      <c r="D503" s="21" t="s">
        <v>56</v>
      </c>
      <c r="E503" s="21"/>
      <c r="F503" s="69" t="s">
        <v>4</v>
      </c>
      <c r="G503" s="9">
        <v>19725</v>
      </c>
      <c r="H503" s="26">
        <v>70</v>
      </c>
      <c r="I503" s="17">
        <v>0</v>
      </c>
      <c r="J503" s="17">
        <v>0</v>
      </c>
      <c r="K503" s="17">
        <f t="shared" si="52"/>
        <v>70</v>
      </c>
      <c r="L503" s="23">
        <f t="shared" si="57"/>
        <v>3.5</v>
      </c>
      <c r="M503" s="23">
        <v>30</v>
      </c>
      <c r="N503" s="18">
        <f t="shared" si="54"/>
        <v>67.295890410958904</v>
      </c>
      <c r="O503" s="23">
        <v>1330</v>
      </c>
      <c r="P503" s="18">
        <f t="shared" si="55"/>
        <v>67.797260273972597</v>
      </c>
      <c r="Q503" s="18">
        <v>0</v>
      </c>
      <c r="R503" s="18">
        <f t="shared" si="53"/>
        <v>1330</v>
      </c>
      <c r="S503" s="18">
        <f t="shared" si="58"/>
        <v>3.5</v>
      </c>
    </row>
    <row r="504" spans="1:19" ht="18.75" customHeight="1" x14ac:dyDescent="0.25">
      <c r="A504" s="14">
        <f t="shared" si="56"/>
        <v>501</v>
      </c>
      <c r="B504" s="21" t="s">
        <v>484</v>
      </c>
      <c r="C504" s="15" t="s">
        <v>3</v>
      </c>
      <c r="D504" s="21" t="s">
        <v>56</v>
      </c>
      <c r="E504" s="21"/>
      <c r="F504" s="69" t="s">
        <v>4</v>
      </c>
      <c r="G504" s="9">
        <v>28491</v>
      </c>
      <c r="H504" s="26">
        <v>2276.9499999999971</v>
      </c>
      <c r="I504" s="17">
        <v>0</v>
      </c>
      <c r="J504" s="17">
        <v>0</v>
      </c>
      <c r="K504" s="17">
        <f t="shared" si="52"/>
        <v>2276.9499999999971</v>
      </c>
      <c r="L504" s="23">
        <f t="shared" si="57"/>
        <v>113.84749999999985</v>
      </c>
      <c r="M504" s="23">
        <v>5</v>
      </c>
      <c r="N504" s="18">
        <f t="shared" si="54"/>
        <v>43.279452054794518</v>
      </c>
      <c r="O504" s="23">
        <v>43262.05</v>
      </c>
      <c r="P504" s="18">
        <f t="shared" si="55"/>
        <v>43.780821917808218</v>
      </c>
      <c r="Q504" s="18">
        <v>0</v>
      </c>
      <c r="R504" s="18">
        <f t="shared" si="53"/>
        <v>43262.05</v>
      </c>
      <c r="S504" s="18">
        <f t="shared" si="58"/>
        <v>113.84749999999985</v>
      </c>
    </row>
    <row r="505" spans="1:19" ht="18.75" customHeight="1" x14ac:dyDescent="0.25">
      <c r="A505" s="14">
        <f t="shared" si="56"/>
        <v>502</v>
      </c>
      <c r="B505" s="21" t="s">
        <v>485</v>
      </c>
      <c r="C505" s="15" t="s">
        <v>3</v>
      </c>
      <c r="D505" s="21" t="s">
        <v>56</v>
      </c>
      <c r="E505" s="21"/>
      <c r="F505" s="69" t="s">
        <v>8</v>
      </c>
      <c r="G505" s="9">
        <v>19360</v>
      </c>
      <c r="H505" s="26">
        <v>4538.0500000000029</v>
      </c>
      <c r="I505" s="17">
        <v>0</v>
      </c>
      <c r="J505" s="17">
        <v>0</v>
      </c>
      <c r="K505" s="17">
        <f t="shared" si="52"/>
        <v>4538.0500000000029</v>
      </c>
      <c r="L505" s="23">
        <f t="shared" si="57"/>
        <v>226.90250000000015</v>
      </c>
      <c r="M505" s="23">
        <v>30</v>
      </c>
      <c r="N505" s="18">
        <f t="shared" si="54"/>
        <v>68.295890410958904</v>
      </c>
      <c r="O505" s="23">
        <v>86222.95</v>
      </c>
      <c r="P505" s="18">
        <f t="shared" si="55"/>
        <v>68.797260273972597</v>
      </c>
      <c r="Q505" s="18">
        <v>0</v>
      </c>
      <c r="R505" s="18">
        <f t="shared" si="53"/>
        <v>86222.95</v>
      </c>
      <c r="S505" s="18">
        <f t="shared" si="58"/>
        <v>226.90250000000015</v>
      </c>
    </row>
    <row r="506" spans="1:19" ht="18.75" customHeight="1" x14ac:dyDescent="0.25">
      <c r="A506" s="14">
        <f t="shared" si="56"/>
        <v>503</v>
      </c>
      <c r="B506" s="21" t="s">
        <v>486</v>
      </c>
      <c r="C506" s="15" t="s">
        <v>3</v>
      </c>
      <c r="D506" s="21" t="s">
        <v>56</v>
      </c>
      <c r="E506" s="21"/>
      <c r="F506" s="69" t="s">
        <v>4</v>
      </c>
      <c r="G506" s="9">
        <v>19360</v>
      </c>
      <c r="H506" s="26">
        <v>3424.7149999999965</v>
      </c>
      <c r="I506" s="17">
        <v>0</v>
      </c>
      <c r="J506" s="17">
        <v>0</v>
      </c>
      <c r="K506" s="17">
        <f t="shared" si="52"/>
        <v>3424.7149999999965</v>
      </c>
      <c r="L506" s="23">
        <f t="shared" si="57"/>
        <v>171.23574999999983</v>
      </c>
      <c r="M506" s="23">
        <v>30</v>
      </c>
      <c r="N506" s="18">
        <f t="shared" si="54"/>
        <v>68.295890410958904</v>
      </c>
      <c r="O506" s="23">
        <v>65069.585000000006</v>
      </c>
      <c r="P506" s="18">
        <f t="shared" si="55"/>
        <v>68.797260273972597</v>
      </c>
      <c r="Q506" s="18">
        <v>0</v>
      </c>
      <c r="R506" s="18">
        <f t="shared" si="53"/>
        <v>65069.585000000006</v>
      </c>
      <c r="S506" s="18">
        <f t="shared" si="58"/>
        <v>171.23574999999983</v>
      </c>
    </row>
    <row r="507" spans="1:19" ht="18.75" customHeight="1" x14ac:dyDescent="0.25">
      <c r="A507" s="14">
        <f t="shared" si="56"/>
        <v>504</v>
      </c>
      <c r="B507" s="21" t="s">
        <v>487</v>
      </c>
      <c r="C507" s="15" t="s">
        <v>3</v>
      </c>
      <c r="D507" s="21" t="s">
        <v>56</v>
      </c>
      <c r="E507" s="21"/>
      <c r="F507" s="69" t="s">
        <v>4</v>
      </c>
      <c r="G507" s="9">
        <v>19360</v>
      </c>
      <c r="H507" s="26">
        <v>380.35000000000036</v>
      </c>
      <c r="I507" s="17">
        <v>0</v>
      </c>
      <c r="J507" s="17">
        <v>0</v>
      </c>
      <c r="K507" s="17">
        <f t="shared" si="52"/>
        <v>380.35000000000036</v>
      </c>
      <c r="L507" s="23">
        <f t="shared" si="57"/>
        <v>19.01750000000002</v>
      </c>
      <c r="M507" s="23">
        <v>30</v>
      </c>
      <c r="N507" s="18">
        <f t="shared" si="54"/>
        <v>68.295890410958904</v>
      </c>
      <c r="O507" s="23">
        <v>7226.65</v>
      </c>
      <c r="P507" s="18">
        <f t="shared" si="55"/>
        <v>68.797260273972597</v>
      </c>
      <c r="Q507" s="18">
        <v>0</v>
      </c>
      <c r="R507" s="18">
        <f t="shared" si="53"/>
        <v>7226.65</v>
      </c>
      <c r="S507" s="18">
        <f t="shared" si="58"/>
        <v>19.01750000000002</v>
      </c>
    </row>
    <row r="508" spans="1:19" ht="18.75" customHeight="1" x14ac:dyDescent="0.25">
      <c r="A508" s="14">
        <f t="shared" si="56"/>
        <v>505</v>
      </c>
      <c r="B508" s="21" t="s">
        <v>488</v>
      </c>
      <c r="C508" s="15" t="s">
        <v>3</v>
      </c>
      <c r="D508" s="21" t="s">
        <v>56</v>
      </c>
      <c r="E508" s="21"/>
      <c r="F508" s="69" t="s">
        <v>4</v>
      </c>
      <c r="G508" s="9">
        <v>19360</v>
      </c>
      <c r="H508" s="26">
        <v>52.5</v>
      </c>
      <c r="I508" s="17">
        <v>0</v>
      </c>
      <c r="J508" s="17">
        <v>0</v>
      </c>
      <c r="K508" s="17">
        <f t="shared" si="52"/>
        <v>52.5</v>
      </c>
      <c r="L508" s="23">
        <f t="shared" si="57"/>
        <v>2.625</v>
      </c>
      <c r="M508" s="23">
        <v>30</v>
      </c>
      <c r="N508" s="18">
        <f t="shared" si="54"/>
        <v>68.295890410958904</v>
      </c>
      <c r="O508" s="23">
        <v>997.5</v>
      </c>
      <c r="P508" s="18">
        <f t="shared" si="55"/>
        <v>68.797260273972597</v>
      </c>
      <c r="Q508" s="18">
        <v>0</v>
      </c>
      <c r="R508" s="18">
        <f t="shared" si="53"/>
        <v>997.5</v>
      </c>
      <c r="S508" s="18">
        <f t="shared" si="58"/>
        <v>2.625</v>
      </c>
    </row>
    <row r="509" spans="1:19" ht="18.75" customHeight="1" x14ac:dyDescent="0.25">
      <c r="A509" s="14">
        <f t="shared" si="56"/>
        <v>506</v>
      </c>
      <c r="B509" s="21" t="s">
        <v>489</v>
      </c>
      <c r="C509" s="15" t="s">
        <v>3</v>
      </c>
      <c r="D509" s="21" t="s">
        <v>56</v>
      </c>
      <c r="E509" s="21"/>
      <c r="F509" s="69" t="s">
        <v>4</v>
      </c>
      <c r="G509" s="9">
        <v>28126</v>
      </c>
      <c r="H509" s="26">
        <v>4456.1999999999971</v>
      </c>
      <c r="I509" s="17">
        <v>0</v>
      </c>
      <c r="J509" s="17">
        <v>0</v>
      </c>
      <c r="K509" s="17">
        <f t="shared" si="52"/>
        <v>4456.1999999999971</v>
      </c>
      <c r="L509" s="23">
        <f t="shared" si="57"/>
        <v>222.80999999999986</v>
      </c>
      <c r="M509" s="23">
        <v>5</v>
      </c>
      <c r="N509" s="18">
        <f t="shared" si="54"/>
        <v>44.279452054794518</v>
      </c>
      <c r="O509" s="23">
        <v>84667.8</v>
      </c>
      <c r="P509" s="18">
        <f t="shared" si="55"/>
        <v>44.780821917808218</v>
      </c>
      <c r="Q509" s="18">
        <v>0</v>
      </c>
      <c r="R509" s="18">
        <f t="shared" si="53"/>
        <v>84667.8</v>
      </c>
      <c r="S509" s="18">
        <f t="shared" si="58"/>
        <v>222.80999999999986</v>
      </c>
    </row>
    <row r="510" spans="1:19" ht="18.75" customHeight="1" x14ac:dyDescent="0.25">
      <c r="A510" s="14">
        <f t="shared" si="56"/>
        <v>507</v>
      </c>
      <c r="B510" s="21" t="s">
        <v>490</v>
      </c>
      <c r="C510" s="15" t="s">
        <v>3</v>
      </c>
      <c r="D510" s="21" t="s">
        <v>56</v>
      </c>
      <c r="E510" s="21"/>
      <c r="F510" s="69" t="s">
        <v>4</v>
      </c>
      <c r="G510" s="9">
        <v>28126</v>
      </c>
      <c r="H510" s="26">
        <v>428.55199999999968</v>
      </c>
      <c r="I510" s="17">
        <v>0</v>
      </c>
      <c r="J510" s="17">
        <v>0</v>
      </c>
      <c r="K510" s="17">
        <f t="shared" si="52"/>
        <v>428.55199999999968</v>
      </c>
      <c r="L510" s="23">
        <f t="shared" si="57"/>
        <v>21.427599999999984</v>
      </c>
      <c r="M510" s="23">
        <v>5</v>
      </c>
      <c r="N510" s="18">
        <f t="shared" si="54"/>
        <v>44.279452054794518</v>
      </c>
      <c r="O510" s="23">
        <v>8142.4880000000012</v>
      </c>
      <c r="P510" s="18">
        <f t="shared" si="55"/>
        <v>44.780821917808218</v>
      </c>
      <c r="Q510" s="18">
        <v>0</v>
      </c>
      <c r="R510" s="18">
        <f t="shared" si="53"/>
        <v>8142.4880000000012</v>
      </c>
      <c r="S510" s="18">
        <f t="shared" si="58"/>
        <v>21.427599999999984</v>
      </c>
    </row>
    <row r="511" spans="1:19" ht="18.75" customHeight="1" x14ac:dyDescent="0.25">
      <c r="A511" s="14">
        <f t="shared" si="56"/>
        <v>508</v>
      </c>
      <c r="B511" s="21" t="s">
        <v>491</v>
      </c>
      <c r="C511" s="15" t="s">
        <v>3</v>
      </c>
      <c r="D511" s="21" t="s">
        <v>56</v>
      </c>
      <c r="E511" s="21"/>
      <c r="F511" s="69" t="s">
        <v>4</v>
      </c>
      <c r="G511" s="9">
        <v>27760</v>
      </c>
      <c r="H511" s="26">
        <v>2589.1999999999971</v>
      </c>
      <c r="I511" s="17">
        <v>0</v>
      </c>
      <c r="J511" s="17">
        <v>0</v>
      </c>
      <c r="K511" s="17">
        <f t="shared" si="52"/>
        <v>2589.1999999999971</v>
      </c>
      <c r="L511" s="23">
        <f t="shared" si="57"/>
        <v>129.45999999999987</v>
      </c>
      <c r="M511" s="23">
        <v>5</v>
      </c>
      <c r="N511" s="18">
        <f t="shared" si="54"/>
        <v>45.282191780821918</v>
      </c>
      <c r="O511" s="23">
        <v>49194.8</v>
      </c>
      <c r="P511" s="18">
        <f t="shared" si="55"/>
        <v>45.783561643835618</v>
      </c>
      <c r="Q511" s="18">
        <v>0</v>
      </c>
      <c r="R511" s="18">
        <f t="shared" si="53"/>
        <v>49194.8</v>
      </c>
      <c r="S511" s="18">
        <f t="shared" si="58"/>
        <v>129.45999999999987</v>
      </c>
    </row>
    <row r="512" spans="1:19" ht="18.75" customHeight="1" x14ac:dyDescent="0.25">
      <c r="A512" s="14">
        <f t="shared" si="56"/>
        <v>509</v>
      </c>
      <c r="B512" s="21" t="s">
        <v>492</v>
      </c>
      <c r="C512" s="15" t="s">
        <v>3</v>
      </c>
      <c r="D512" s="21" t="s">
        <v>56</v>
      </c>
      <c r="E512" s="21"/>
      <c r="F512" s="69" t="s">
        <v>4</v>
      </c>
      <c r="G512" s="9">
        <v>27395</v>
      </c>
      <c r="H512" s="26">
        <v>2746.5999999999985</v>
      </c>
      <c r="I512" s="17">
        <v>0</v>
      </c>
      <c r="J512" s="17">
        <v>0</v>
      </c>
      <c r="K512" s="17">
        <f t="shared" si="52"/>
        <v>2746.5999999999985</v>
      </c>
      <c r="L512" s="23">
        <f t="shared" si="57"/>
        <v>137.32999999999993</v>
      </c>
      <c r="M512" s="23">
        <v>5</v>
      </c>
      <c r="N512" s="18">
        <f t="shared" si="54"/>
        <v>46.282191780821918</v>
      </c>
      <c r="O512" s="23">
        <v>52185.4</v>
      </c>
      <c r="P512" s="18">
        <f t="shared" si="55"/>
        <v>46.783561643835618</v>
      </c>
      <c r="Q512" s="18">
        <v>0</v>
      </c>
      <c r="R512" s="18">
        <f t="shared" si="53"/>
        <v>52185.4</v>
      </c>
      <c r="S512" s="18">
        <f t="shared" si="58"/>
        <v>137.32999999999993</v>
      </c>
    </row>
    <row r="513" spans="1:19" ht="18.75" customHeight="1" x14ac:dyDescent="0.25">
      <c r="A513" s="14">
        <f t="shared" si="56"/>
        <v>510</v>
      </c>
      <c r="B513" s="21" t="s">
        <v>493</v>
      </c>
      <c r="C513" s="15" t="s">
        <v>3</v>
      </c>
      <c r="D513" s="21" t="s">
        <v>56</v>
      </c>
      <c r="E513" s="21"/>
      <c r="F513" s="69" t="s">
        <v>7</v>
      </c>
      <c r="G513" s="9">
        <v>26665</v>
      </c>
      <c r="H513" s="26">
        <v>71.349999999999909</v>
      </c>
      <c r="I513" s="17">
        <v>0</v>
      </c>
      <c r="J513" s="17">
        <v>0</v>
      </c>
      <c r="K513" s="17">
        <f t="shared" si="52"/>
        <v>71.349999999999909</v>
      </c>
      <c r="L513" s="23">
        <f t="shared" si="57"/>
        <v>3.5674999999999955</v>
      </c>
      <c r="M513" s="23">
        <v>5</v>
      </c>
      <c r="N513" s="18">
        <f t="shared" si="54"/>
        <v>48.282191780821918</v>
      </c>
      <c r="O513" s="23">
        <v>1355.65</v>
      </c>
      <c r="P513" s="18">
        <f t="shared" si="55"/>
        <v>48.783561643835618</v>
      </c>
      <c r="Q513" s="18">
        <v>0</v>
      </c>
      <c r="R513" s="18">
        <f t="shared" si="53"/>
        <v>1355.65</v>
      </c>
      <c r="S513" s="18">
        <f t="shared" si="58"/>
        <v>3.5674999999999955</v>
      </c>
    </row>
    <row r="514" spans="1:19" ht="18.75" customHeight="1" x14ac:dyDescent="0.25">
      <c r="A514" s="14">
        <f t="shared" si="56"/>
        <v>511</v>
      </c>
      <c r="B514" s="21" t="s">
        <v>494</v>
      </c>
      <c r="C514" s="15" t="s">
        <v>3</v>
      </c>
      <c r="D514" s="21" t="s">
        <v>56</v>
      </c>
      <c r="E514" s="21"/>
      <c r="F514" s="69" t="s">
        <v>4</v>
      </c>
      <c r="G514" s="9">
        <v>25934</v>
      </c>
      <c r="H514" s="26">
        <v>111.40000000000009</v>
      </c>
      <c r="I514" s="17">
        <v>0</v>
      </c>
      <c r="J514" s="17">
        <v>0</v>
      </c>
      <c r="K514" s="17">
        <f t="shared" si="52"/>
        <v>111.40000000000009</v>
      </c>
      <c r="L514" s="23">
        <f t="shared" si="57"/>
        <v>5.5700000000000047</v>
      </c>
      <c r="M514" s="23">
        <v>5</v>
      </c>
      <c r="N514" s="18">
        <f t="shared" si="54"/>
        <v>50.284931506849318</v>
      </c>
      <c r="O514" s="23">
        <v>2116.6</v>
      </c>
      <c r="P514" s="18">
        <f t="shared" si="55"/>
        <v>50.786301369863011</v>
      </c>
      <c r="Q514" s="18">
        <v>0</v>
      </c>
      <c r="R514" s="18">
        <f t="shared" si="53"/>
        <v>2116.6</v>
      </c>
      <c r="S514" s="18">
        <f t="shared" si="58"/>
        <v>5.5700000000000047</v>
      </c>
    </row>
    <row r="515" spans="1:19" ht="18.75" customHeight="1" x14ac:dyDescent="0.25">
      <c r="A515" s="14">
        <f t="shared" si="56"/>
        <v>512</v>
      </c>
      <c r="B515" s="21" t="s">
        <v>495</v>
      </c>
      <c r="C515" s="15" t="s">
        <v>3</v>
      </c>
      <c r="D515" s="21" t="s">
        <v>56</v>
      </c>
      <c r="E515" s="21"/>
      <c r="F515" s="69" t="s">
        <v>7</v>
      </c>
      <c r="G515" s="9">
        <v>25569</v>
      </c>
      <c r="H515" s="26">
        <v>69.150000000000091</v>
      </c>
      <c r="I515" s="17">
        <v>0</v>
      </c>
      <c r="J515" s="17">
        <v>0</v>
      </c>
      <c r="K515" s="17">
        <f t="shared" si="52"/>
        <v>69.150000000000091</v>
      </c>
      <c r="L515" s="23">
        <f t="shared" si="57"/>
        <v>3.4575000000000049</v>
      </c>
      <c r="M515" s="23">
        <v>5</v>
      </c>
      <c r="N515" s="18">
        <f t="shared" si="54"/>
        <v>51.284931506849318</v>
      </c>
      <c r="O515" s="23">
        <v>1313.85</v>
      </c>
      <c r="P515" s="18">
        <f t="shared" si="55"/>
        <v>51.786301369863011</v>
      </c>
      <c r="Q515" s="18">
        <v>0</v>
      </c>
      <c r="R515" s="18">
        <f t="shared" si="53"/>
        <v>1313.85</v>
      </c>
      <c r="S515" s="18">
        <f t="shared" si="58"/>
        <v>3.4575000000000049</v>
      </c>
    </row>
    <row r="516" spans="1:19" ht="18.75" customHeight="1" x14ac:dyDescent="0.25">
      <c r="A516" s="14">
        <f t="shared" si="56"/>
        <v>513</v>
      </c>
      <c r="B516" s="21" t="s">
        <v>496</v>
      </c>
      <c r="C516" s="15" t="s">
        <v>3</v>
      </c>
      <c r="D516" s="21" t="s">
        <v>56</v>
      </c>
      <c r="E516" s="21"/>
      <c r="F516" s="69" t="s">
        <v>7</v>
      </c>
      <c r="G516" s="9">
        <v>25204</v>
      </c>
      <c r="H516" s="26">
        <v>1124.9500000000007</v>
      </c>
      <c r="I516" s="17">
        <v>0</v>
      </c>
      <c r="J516" s="17">
        <v>0</v>
      </c>
      <c r="K516" s="17">
        <f t="shared" ref="K516:K579" si="59">H516+I516-J516</f>
        <v>1124.9500000000007</v>
      </c>
      <c r="L516" s="23">
        <f t="shared" si="57"/>
        <v>56.247500000000038</v>
      </c>
      <c r="M516" s="23">
        <v>5</v>
      </c>
      <c r="N516" s="18">
        <f t="shared" si="54"/>
        <v>52.284931506849318</v>
      </c>
      <c r="O516" s="23">
        <v>21374.05</v>
      </c>
      <c r="P516" s="18">
        <f t="shared" si="55"/>
        <v>52.786301369863011</v>
      </c>
      <c r="Q516" s="18">
        <v>0</v>
      </c>
      <c r="R516" s="18">
        <f t="shared" ref="R516:R579" si="60">Q516+O516</f>
        <v>21374.05</v>
      </c>
      <c r="S516" s="18">
        <f t="shared" si="58"/>
        <v>56.247500000000038</v>
      </c>
    </row>
    <row r="517" spans="1:19" ht="18.75" customHeight="1" x14ac:dyDescent="0.25">
      <c r="A517" s="14">
        <f t="shared" si="56"/>
        <v>514</v>
      </c>
      <c r="B517" s="21" t="s">
        <v>497</v>
      </c>
      <c r="C517" s="15" t="s">
        <v>3</v>
      </c>
      <c r="D517" s="21" t="s">
        <v>56</v>
      </c>
      <c r="E517" s="21"/>
      <c r="F517" s="69" t="s">
        <v>7</v>
      </c>
      <c r="G517" s="9">
        <v>24838</v>
      </c>
      <c r="H517" s="26">
        <v>599.75</v>
      </c>
      <c r="I517" s="17">
        <v>0</v>
      </c>
      <c r="J517" s="17">
        <v>0</v>
      </c>
      <c r="K517" s="17">
        <f t="shared" si="59"/>
        <v>599.75</v>
      </c>
      <c r="L517" s="23">
        <f t="shared" si="57"/>
        <v>29.987500000000001</v>
      </c>
      <c r="M517" s="23">
        <v>5</v>
      </c>
      <c r="N517" s="18">
        <f t="shared" ref="N517:N580" si="61">IF(($N$2-G517+1)/365&gt;0,($N$2-G517+1)/365,0)</f>
        <v>53.287671232876711</v>
      </c>
      <c r="O517" s="23">
        <v>11395.25</v>
      </c>
      <c r="P517" s="18">
        <f t="shared" ref="P517:P580" si="62">($P$2-G517+1)/365</f>
        <v>53.789041095890411</v>
      </c>
      <c r="Q517" s="18">
        <v>0</v>
      </c>
      <c r="R517" s="18">
        <f t="shared" si="60"/>
        <v>11395.25</v>
      </c>
      <c r="S517" s="18">
        <f t="shared" si="58"/>
        <v>29.987500000000001</v>
      </c>
    </row>
    <row r="518" spans="1:19" ht="18.75" customHeight="1" x14ac:dyDescent="0.25">
      <c r="A518" s="14">
        <f t="shared" ref="A518:A581" si="63">+A517+1</f>
        <v>515</v>
      </c>
      <c r="B518" s="21" t="s">
        <v>498</v>
      </c>
      <c r="C518" s="15" t="s">
        <v>3</v>
      </c>
      <c r="D518" s="21" t="s">
        <v>56</v>
      </c>
      <c r="E518" s="21"/>
      <c r="F518" s="69" t="s">
        <v>4</v>
      </c>
      <c r="G518" s="9">
        <v>24108</v>
      </c>
      <c r="H518" s="26">
        <v>114.15000000000009</v>
      </c>
      <c r="I518" s="17">
        <v>0</v>
      </c>
      <c r="J518" s="17">
        <v>0</v>
      </c>
      <c r="K518" s="17">
        <f t="shared" si="59"/>
        <v>114.15000000000009</v>
      </c>
      <c r="L518" s="23">
        <f t="shared" si="57"/>
        <v>5.7075000000000049</v>
      </c>
      <c r="M518" s="23">
        <v>5</v>
      </c>
      <c r="N518" s="18">
        <f t="shared" si="61"/>
        <v>55.287671232876711</v>
      </c>
      <c r="O518" s="23">
        <v>2168.85</v>
      </c>
      <c r="P518" s="18">
        <f t="shared" si="62"/>
        <v>55.789041095890411</v>
      </c>
      <c r="Q518" s="18">
        <v>0</v>
      </c>
      <c r="R518" s="18">
        <f t="shared" si="60"/>
        <v>2168.85</v>
      </c>
      <c r="S518" s="18">
        <f t="shared" si="58"/>
        <v>5.7075000000000049</v>
      </c>
    </row>
    <row r="519" spans="1:19" ht="18.75" customHeight="1" x14ac:dyDescent="0.25">
      <c r="A519" s="14">
        <f t="shared" si="63"/>
        <v>516</v>
      </c>
      <c r="B519" s="21" t="s">
        <v>498</v>
      </c>
      <c r="C519" s="15" t="s">
        <v>3</v>
      </c>
      <c r="D519" s="21" t="s">
        <v>56</v>
      </c>
      <c r="E519" s="21"/>
      <c r="F519" s="69" t="s">
        <v>4</v>
      </c>
      <c r="G519" s="9">
        <v>23743</v>
      </c>
      <c r="H519" s="29">
        <v>95.650000000000091</v>
      </c>
      <c r="I519" s="17">
        <v>0</v>
      </c>
      <c r="J519" s="17">
        <v>0</v>
      </c>
      <c r="K519" s="17">
        <f t="shared" si="59"/>
        <v>95.650000000000091</v>
      </c>
      <c r="L519" s="23">
        <f t="shared" si="57"/>
        <v>4.7825000000000051</v>
      </c>
      <c r="M519" s="23">
        <v>5</v>
      </c>
      <c r="N519" s="18">
        <f t="shared" si="61"/>
        <v>56.287671232876711</v>
      </c>
      <c r="O519" s="23">
        <v>1817.35</v>
      </c>
      <c r="P519" s="18">
        <f t="shared" si="62"/>
        <v>56.789041095890411</v>
      </c>
      <c r="Q519" s="18">
        <v>0</v>
      </c>
      <c r="R519" s="18">
        <f t="shared" si="60"/>
        <v>1817.35</v>
      </c>
      <c r="S519" s="18">
        <f t="shared" si="58"/>
        <v>4.7825000000000051</v>
      </c>
    </row>
    <row r="520" spans="1:19" ht="18.75" customHeight="1" x14ac:dyDescent="0.25">
      <c r="A520" s="14">
        <f t="shared" si="63"/>
        <v>517</v>
      </c>
      <c r="B520" s="31" t="s">
        <v>499</v>
      </c>
      <c r="C520" s="15" t="s">
        <v>3</v>
      </c>
      <c r="D520" s="31" t="s">
        <v>500</v>
      </c>
      <c r="E520" s="31"/>
      <c r="F520" s="70" t="s">
        <v>7</v>
      </c>
      <c r="G520" s="32">
        <v>42353</v>
      </c>
      <c r="H520" s="29">
        <v>368711.84799479455</v>
      </c>
      <c r="I520" s="17">
        <v>0</v>
      </c>
      <c r="J520" s="17">
        <v>0</v>
      </c>
      <c r="K520" s="17">
        <f t="shared" si="59"/>
        <v>368711.84799479455</v>
      </c>
      <c r="L520" s="23">
        <f t="shared" si="57"/>
        <v>18435.592399739729</v>
      </c>
      <c r="M520" s="33">
        <v>5</v>
      </c>
      <c r="N520" s="18">
        <f t="shared" si="61"/>
        <v>5.3013698630136989</v>
      </c>
      <c r="O520" s="23">
        <v>601219.760698959</v>
      </c>
      <c r="P520" s="18">
        <f t="shared" si="62"/>
        <v>5.8027397260273972</v>
      </c>
      <c r="Q520" s="18">
        <v>0</v>
      </c>
      <c r="R520" s="18">
        <f t="shared" si="60"/>
        <v>601219.760698959</v>
      </c>
      <c r="S520" s="18">
        <f t="shared" si="58"/>
        <v>18435.592399739729</v>
      </c>
    </row>
    <row r="521" spans="1:19" ht="18.75" customHeight="1" x14ac:dyDescent="0.25">
      <c r="A521" s="14">
        <f t="shared" si="63"/>
        <v>518</v>
      </c>
      <c r="B521" s="31" t="s">
        <v>501</v>
      </c>
      <c r="C521" s="15" t="s">
        <v>3</v>
      </c>
      <c r="D521" s="31" t="s">
        <v>500</v>
      </c>
      <c r="E521" s="31"/>
      <c r="F521" s="70" t="s">
        <v>7</v>
      </c>
      <c r="G521" s="32">
        <v>42353</v>
      </c>
      <c r="H521" s="29">
        <v>8771.481046301371</v>
      </c>
      <c r="I521" s="17">
        <v>0</v>
      </c>
      <c r="J521" s="17">
        <v>0</v>
      </c>
      <c r="K521" s="17">
        <f t="shared" si="59"/>
        <v>8771.481046301371</v>
      </c>
      <c r="L521" s="23">
        <f t="shared" si="57"/>
        <v>438.57405231506857</v>
      </c>
      <c r="M521" s="33">
        <v>5</v>
      </c>
      <c r="N521" s="18">
        <f t="shared" si="61"/>
        <v>5.3013698630136989</v>
      </c>
      <c r="O521" s="23">
        <v>722208.75510926021</v>
      </c>
      <c r="P521" s="18">
        <f t="shared" si="62"/>
        <v>5.8027397260273972</v>
      </c>
      <c r="Q521" s="18">
        <v>0</v>
      </c>
      <c r="R521" s="18">
        <f t="shared" si="60"/>
        <v>722208.75510926021</v>
      </c>
      <c r="S521" s="18">
        <f t="shared" si="58"/>
        <v>438.57405231506857</v>
      </c>
    </row>
    <row r="522" spans="1:19" ht="18.75" customHeight="1" x14ac:dyDescent="0.25">
      <c r="A522" s="14">
        <f t="shared" si="63"/>
        <v>519</v>
      </c>
      <c r="B522" s="31" t="s">
        <v>502</v>
      </c>
      <c r="C522" s="15" t="s">
        <v>3</v>
      </c>
      <c r="D522" s="31" t="s">
        <v>500</v>
      </c>
      <c r="E522" s="31"/>
      <c r="F522" s="72" t="s">
        <v>11</v>
      </c>
      <c r="G522" s="32">
        <v>42353</v>
      </c>
      <c r="H522" s="29">
        <v>41845.855534246577</v>
      </c>
      <c r="I522" s="17">
        <v>0</v>
      </c>
      <c r="J522" s="17">
        <v>0</v>
      </c>
      <c r="K522" s="17">
        <f t="shared" si="59"/>
        <v>41845.855534246577</v>
      </c>
      <c r="L522" s="23">
        <f t="shared" si="57"/>
        <v>2092.2927767123288</v>
      </c>
      <c r="M522" s="33">
        <v>5</v>
      </c>
      <c r="N522" s="18">
        <f t="shared" si="61"/>
        <v>5.3013698630136989</v>
      </c>
      <c r="O522" s="23">
        <v>215048.34110684932</v>
      </c>
      <c r="P522" s="18">
        <f t="shared" si="62"/>
        <v>5.8027397260273972</v>
      </c>
      <c r="Q522" s="18">
        <v>0</v>
      </c>
      <c r="R522" s="18">
        <f t="shared" si="60"/>
        <v>215048.34110684932</v>
      </c>
      <c r="S522" s="18">
        <f t="shared" si="58"/>
        <v>2092.2927767123288</v>
      </c>
    </row>
    <row r="523" spans="1:19" ht="18.75" customHeight="1" x14ac:dyDescent="0.25">
      <c r="A523" s="14">
        <f t="shared" si="63"/>
        <v>520</v>
      </c>
      <c r="B523" s="31" t="s">
        <v>503</v>
      </c>
      <c r="C523" s="15" t="s">
        <v>3</v>
      </c>
      <c r="D523" s="31" t="s">
        <v>500</v>
      </c>
      <c r="E523" s="31"/>
      <c r="F523" s="70" t="s">
        <v>7</v>
      </c>
      <c r="G523" s="32">
        <v>42353</v>
      </c>
      <c r="H523" s="29">
        <v>1220576.1739726029</v>
      </c>
      <c r="I523" s="17">
        <v>0</v>
      </c>
      <c r="J523" s="17">
        <v>0</v>
      </c>
      <c r="K523" s="17">
        <f t="shared" si="59"/>
        <v>1220576.1739726029</v>
      </c>
      <c r="L523" s="23">
        <f t="shared" si="57"/>
        <v>61028.80869863015</v>
      </c>
      <c r="M523" s="33">
        <v>5</v>
      </c>
      <c r="N523" s="18">
        <f t="shared" si="61"/>
        <v>5.3013698630136989</v>
      </c>
      <c r="O523" s="23">
        <v>244360.78479452059</v>
      </c>
      <c r="P523" s="18">
        <f t="shared" si="62"/>
        <v>5.8027397260273972</v>
      </c>
      <c r="Q523" s="18">
        <v>0</v>
      </c>
      <c r="R523" s="18">
        <f t="shared" si="60"/>
        <v>244360.78479452059</v>
      </c>
      <c r="S523" s="18">
        <f t="shared" ref="S523:S579" si="64">K523-R523</f>
        <v>976215.38917808235</v>
      </c>
    </row>
    <row r="524" spans="1:19" ht="18.75" customHeight="1" x14ac:dyDescent="0.25">
      <c r="A524" s="14">
        <f t="shared" si="63"/>
        <v>521</v>
      </c>
      <c r="B524" s="31" t="s">
        <v>504</v>
      </c>
      <c r="C524" s="15" t="s">
        <v>3</v>
      </c>
      <c r="D524" s="31" t="s">
        <v>500</v>
      </c>
      <c r="E524" s="31"/>
      <c r="F524" s="72" t="s">
        <v>11</v>
      </c>
      <c r="G524" s="32">
        <v>42444</v>
      </c>
      <c r="H524" s="29">
        <v>385784.1205479452</v>
      </c>
      <c r="I524" s="17">
        <v>0</v>
      </c>
      <c r="J524" s="17">
        <v>0</v>
      </c>
      <c r="K524" s="17">
        <f t="shared" si="59"/>
        <v>385784.1205479452</v>
      </c>
      <c r="L524" s="23">
        <f t="shared" si="57"/>
        <v>19289.20602739726</v>
      </c>
      <c r="M524" s="33">
        <v>10</v>
      </c>
      <c r="N524" s="18">
        <f t="shared" si="61"/>
        <v>5.0520547945205481</v>
      </c>
      <c r="O524" s="23">
        <v>36737.312054794522</v>
      </c>
      <c r="P524" s="18">
        <f t="shared" si="62"/>
        <v>5.5534246575342463</v>
      </c>
      <c r="Q524" s="18">
        <f t="shared" ref="Q524:Q533" si="65">(P524-N524)/M524*(K524-L524)</f>
        <v>18374.950508838418</v>
      </c>
      <c r="R524" s="18">
        <f t="shared" si="60"/>
        <v>55112.262563632939</v>
      </c>
      <c r="S524" s="18">
        <f t="shared" si="64"/>
        <v>330671.85798431229</v>
      </c>
    </row>
    <row r="525" spans="1:19" ht="18.75" customHeight="1" x14ac:dyDescent="0.25">
      <c r="A525" s="14">
        <f t="shared" si="63"/>
        <v>522</v>
      </c>
      <c r="B525" s="31" t="s">
        <v>505</v>
      </c>
      <c r="C525" s="15" t="s">
        <v>3</v>
      </c>
      <c r="D525" s="31" t="s">
        <v>500</v>
      </c>
      <c r="E525" s="31"/>
      <c r="F525" s="72" t="s">
        <v>11</v>
      </c>
      <c r="G525" s="32">
        <v>42870</v>
      </c>
      <c r="H525" s="29">
        <v>409000</v>
      </c>
      <c r="I525" s="17">
        <v>0</v>
      </c>
      <c r="J525" s="17">
        <v>0</v>
      </c>
      <c r="K525" s="17">
        <f t="shared" si="59"/>
        <v>409000</v>
      </c>
      <c r="L525" s="23">
        <f t="shared" si="57"/>
        <v>20450</v>
      </c>
      <c r="M525" s="33">
        <v>5</v>
      </c>
      <c r="N525" s="18">
        <f t="shared" si="61"/>
        <v>3.8849315068493149</v>
      </c>
      <c r="O525" s="23">
        <v>77903.8</v>
      </c>
      <c r="P525" s="18">
        <f t="shared" si="62"/>
        <v>4.3863013698630136</v>
      </c>
      <c r="Q525" s="18">
        <f t="shared" si="65"/>
        <v>38961.452054794521</v>
      </c>
      <c r="R525" s="18">
        <f t="shared" si="60"/>
        <v>116865.25205479452</v>
      </c>
      <c r="S525" s="18">
        <f t="shared" si="64"/>
        <v>292134.74794520548</v>
      </c>
    </row>
    <row r="526" spans="1:19" ht="18.75" customHeight="1" x14ac:dyDescent="0.25">
      <c r="A526" s="14">
        <f t="shared" si="63"/>
        <v>523</v>
      </c>
      <c r="B526" s="31" t="s">
        <v>506</v>
      </c>
      <c r="C526" s="15" t="s">
        <v>3</v>
      </c>
      <c r="D526" s="31" t="s">
        <v>500</v>
      </c>
      <c r="E526" s="31"/>
      <c r="F526" s="73" t="s">
        <v>15</v>
      </c>
      <c r="G526" s="32">
        <v>42993</v>
      </c>
      <c r="H526" s="29">
        <v>377884.1</v>
      </c>
      <c r="I526" s="17">
        <v>0</v>
      </c>
      <c r="J526" s="17">
        <v>0</v>
      </c>
      <c r="K526" s="17">
        <f t="shared" si="59"/>
        <v>377884.1</v>
      </c>
      <c r="L526" s="23">
        <f t="shared" si="57"/>
        <v>18894.204999999998</v>
      </c>
      <c r="M526" s="33">
        <v>25</v>
      </c>
      <c r="N526" s="18">
        <f t="shared" si="61"/>
        <v>3.547945205479452</v>
      </c>
      <c r="O526" s="23">
        <v>19531.395799999998</v>
      </c>
      <c r="P526" s="18">
        <f t="shared" si="62"/>
        <v>4.0493150684931507</v>
      </c>
      <c r="Q526" s="18">
        <f t="shared" si="65"/>
        <v>7199.4685791780812</v>
      </c>
      <c r="R526" s="18">
        <f t="shared" si="60"/>
        <v>26730.864379178078</v>
      </c>
      <c r="S526" s="18">
        <f t="shared" si="64"/>
        <v>351153.23562082188</v>
      </c>
    </row>
    <row r="527" spans="1:19" ht="18.75" customHeight="1" x14ac:dyDescent="0.25">
      <c r="A527" s="14">
        <f t="shared" si="63"/>
        <v>524</v>
      </c>
      <c r="B527" s="31" t="s">
        <v>507</v>
      </c>
      <c r="C527" s="15" t="s">
        <v>3</v>
      </c>
      <c r="D527" s="31" t="s">
        <v>500</v>
      </c>
      <c r="E527" s="31"/>
      <c r="F527" s="70" t="s">
        <v>7</v>
      </c>
      <c r="G527" s="32">
        <v>42962</v>
      </c>
      <c r="H527" s="29">
        <v>484875</v>
      </c>
      <c r="I527" s="17">
        <v>0</v>
      </c>
      <c r="J527" s="17">
        <v>0</v>
      </c>
      <c r="K527" s="17">
        <f t="shared" si="59"/>
        <v>484875</v>
      </c>
      <c r="L527" s="23">
        <f t="shared" si="57"/>
        <v>24243.75</v>
      </c>
      <c r="M527" s="33">
        <v>15</v>
      </c>
      <c r="N527" s="18">
        <f t="shared" si="61"/>
        <v>3.6328767123287671</v>
      </c>
      <c r="O527" s="23">
        <v>36442.949999999997</v>
      </c>
      <c r="P527" s="18">
        <f t="shared" si="62"/>
        <v>4.1342465753424653</v>
      </c>
      <c r="Q527" s="18">
        <f t="shared" si="65"/>
        <v>15396.441780821904</v>
      </c>
      <c r="R527" s="18">
        <f t="shared" si="60"/>
        <v>51839.391780821898</v>
      </c>
      <c r="S527" s="18">
        <f t="shared" si="64"/>
        <v>433035.6082191781</v>
      </c>
    </row>
    <row r="528" spans="1:19" ht="18.75" customHeight="1" x14ac:dyDescent="0.25">
      <c r="A528" s="14">
        <f t="shared" si="63"/>
        <v>525</v>
      </c>
      <c r="B528" s="31" t="s">
        <v>508</v>
      </c>
      <c r="C528" s="15" t="s">
        <v>3</v>
      </c>
      <c r="D528" s="31" t="s">
        <v>500</v>
      </c>
      <c r="E528" s="31"/>
      <c r="F528" s="70" t="s">
        <v>7</v>
      </c>
      <c r="G528" s="32">
        <v>43023</v>
      </c>
      <c r="H528" s="29">
        <v>743000</v>
      </c>
      <c r="I528" s="17">
        <v>0</v>
      </c>
      <c r="J528" s="17">
        <v>0</v>
      </c>
      <c r="K528" s="17">
        <f t="shared" si="59"/>
        <v>743000</v>
      </c>
      <c r="L528" s="23">
        <f t="shared" si="57"/>
        <v>37150</v>
      </c>
      <c r="M528" s="33">
        <v>15</v>
      </c>
      <c r="N528" s="18">
        <f t="shared" si="61"/>
        <v>3.4657534246575343</v>
      </c>
      <c r="O528" s="23">
        <v>53478.666666666664</v>
      </c>
      <c r="P528" s="18">
        <f t="shared" si="62"/>
        <v>3.967123287671233</v>
      </c>
      <c r="Q528" s="18">
        <f t="shared" si="65"/>
        <v>23592.794520547948</v>
      </c>
      <c r="R528" s="18">
        <f t="shared" si="60"/>
        <v>77071.46118721462</v>
      </c>
      <c r="S528" s="18">
        <f t="shared" si="64"/>
        <v>665928.53881278541</v>
      </c>
    </row>
    <row r="529" spans="1:19" ht="18.75" customHeight="1" x14ac:dyDescent="0.25">
      <c r="A529" s="14">
        <f t="shared" si="63"/>
        <v>526</v>
      </c>
      <c r="B529" s="31" t="s">
        <v>509</v>
      </c>
      <c r="C529" s="15" t="s">
        <v>3</v>
      </c>
      <c r="D529" s="31" t="s">
        <v>500</v>
      </c>
      <c r="E529" s="31"/>
      <c r="F529" s="73" t="s">
        <v>15</v>
      </c>
      <c r="G529" s="32">
        <v>43524</v>
      </c>
      <c r="H529" s="29">
        <v>116790</v>
      </c>
      <c r="I529" s="17">
        <v>0</v>
      </c>
      <c r="J529" s="17">
        <v>0</v>
      </c>
      <c r="K529" s="17">
        <f t="shared" si="59"/>
        <v>116790</v>
      </c>
      <c r="L529" s="23">
        <f t="shared" si="57"/>
        <v>5839.5</v>
      </c>
      <c r="M529" s="33">
        <v>25</v>
      </c>
      <c r="N529" s="18">
        <f t="shared" si="61"/>
        <v>2.0931506849315067</v>
      </c>
      <c r="O529" s="23">
        <v>142210.81999999998</v>
      </c>
      <c r="P529" s="18">
        <f t="shared" si="62"/>
        <v>2.5945205479452054</v>
      </c>
      <c r="Q529" s="18">
        <f t="shared" si="65"/>
        <v>2225.089479452055</v>
      </c>
      <c r="R529" s="18">
        <f t="shared" si="60"/>
        <v>144435.90947945204</v>
      </c>
      <c r="S529" s="18">
        <f>L529</f>
        <v>5839.5</v>
      </c>
    </row>
    <row r="530" spans="1:19" ht="18.75" customHeight="1" x14ac:dyDescent="0.25">
      <c r="A530" s="14">
        <f t="shared" si="63"/>
        <v>527</v>
      </c>
      <c r="B530" s="24" t="s">
        <v>510</v>
      </c>
      <c r="C530" s="15" t="s">
        <v>3</v>
      </c>
      <c r="D530" s="31" t="s">
        <v>500</v>
      </c>
      <c r="E530" s="31"/>
      <c r="F530" s="70" t="s">
        <v>15</v>
      </c>
      <c r="G530" s="25">
        <v>43799</v>
      </c>
      <c r="H530" s="27">
        <v>9879404.5500000007</v>
      </c>
      <c r="I530" s="17">
        <v>0</v>
      </c>
      <c r="J530" s="17">
        <v>0</v>
      </c>
      <c r="K530" s="17">
        <f t="shared" si="59"/>
        <v>9879404.5500000007</v>
      </c>
      <c r="L530" s="23">
        <f t="shared" si="57"/>
        <v>493970.22750000004</v>
      </c>
      <c r="M530" s="33">
        <v>25</v>
      </c>
      <c r="N530" s="18">
        <f t="shared" si="61"/>
        <v>1.3397260273972602</v>
      </c>
      <c r="O530" s="23">
        <v>382751.37290000007</v>
      </c>
      <c r="P530" s="18">
        <f t="shared" si="62"/>
        <v>1.8410958904109589</v>
      </c>
      <c r="Q530" s="18">
        <f t="shared" si="65"/>
        <v>188222.95682383564</v>
      </c>
      <c r="R530" s="18">
        <f t="shared" si="60"/>
        <v>570974.32972383569</v>
      </c>
      <c r="S530" s="18">
        <f t="shared" si="64"/>
        <v>9308430.2202761658</v>
      </c>
    </row>
    <row r="531" spans="1:19" ht="18.75" customHeight="1" x14ac:dyDescent="0.25">
      <c r="A531" s="14">
        <f t="shared" si="63"/>
        <v>528</v>
      </c>
      <c r="B531" s="24" t="s">
        <v>511</v>
      </c>
      <c r="C531" s="15" t="s">
        <v>3</v>
      </c>
      <c r="D531" s="31" t="s">
        <v>500</v>
      </c>
      <c r="E531" s="31"/>
      <c r="F531" s="72" t="s">
        <v>11</v>
      </c>
      <c r="G531" s="25">
        <v>43921</v>
      </c>
      <c r="H531" s="27">
        <v>2429525.65</v>
      </c>
      <c r="I531" s="17">
        <v>0</v>
      </c>
      <c r="J531" s="17">
        <v>0</v>
      </c>
      <c r="K531" s="17">
        <f t="shared" si="59"/>
        <v>2429525.65</v>
      </c>
      <c r="L531" s="23">
        <f t="shared" si="57"/>
        <v>121476.2825</v>
      </c>
      <c r="M531" s="33">
        <v>25</v>
      </c>
      <c r="N531" s="18">
        <f t="shared" si="61"/>
        <v>1.0054794520547945</v>
      </c>
      <c r="O531" s="23">
        <v>164085.92469999997</v>
      </c>
      <c r="P531" s="18">
        <f t="shared" si="62"/>
        <v>1.5068493150684932</v>
      </c>
      <c r="Q531" s="18">
        <f t="shared" si="65"/>
        <v>46287.455808493149</v>
      </c>
      <c r="R531" s="18">
        <f t="shared" si="60"/>
        <v>210373.38050849311</v>
      </c>
      <c r="S531" s="18">
        <f t="shared" si="64"/>
        <v>2219152.2694915067</v>
      </c>
    </row>
    <row r="532" spans="1:19" ht="18.75" customHeight="1" x14ac:dyDescent="0.25">
      <c r="A532" s="14">
        <f t="shared" si="63"/>
        <v>529</v>
      </c>
      <c r="B532" s="24" t="s">
        <v>512</v>
      </c>
      <c r="C532" s="15" t="s">
        <v>3</v>
      </c>
      <c r="D532" s="31" t="s">
        <v>500</v>
      </c>
      <c r="E532" s="31"/>
      <c r="F532" s="70" t="s">
        <v>12</v>
      </c>
      <c r="G532" s="25">
        <v>44275</v>
      </c>
      <c r="H532" s="27">
        <v>25081079.699999999</v>
      </c>
      <c r="I532" s="27">
        <v>0</v>
      </c>
      <c r="J532" s="17">
        <v>0</v>
      </c>
      <c r="K532" s="17">
        <f t="shared" si="59"/>
        <v>25081079.699999999</v>
      </c>
      <c r="L532" s="23">
        <f t="shared" si="57"/>
        <v>1254053.9850000001</v>
      </c>
      <c r="M532" s="34">
        <v>25</v>
      </c>
      <c r="N532" s="18">
        <f t="shared" si="61"/>
        <v>3.5616438356164383E-2</v>
      </c>
      <c r="O532" s="23">
        <v>90116.001703561647</v>
      </c>
      <c r="P532" s="18">
        <f t="shared" si="62"/>
        <v>0.53698630136986303</v>
      </c>
      <c r="Q532" s="18">
        <f t="shared" si="65"/>
        <v>477846.10475013702</v>
      </c>
      <c r="R532" s="18">
        <f t="shared" si="60"/>
        <v>567962.10645369871</v>
      </c>
      <c r="S532" s="18">
        <f t="shared" si="64"/>
        <v>24513117.593546301</v>
      </c>
    </row>
    <row r="533" spans="1:19" ht="18.75" customHeight="1" x14ac:dyDescent="0.25">
      <c r="A533" s="14">
        <f t="shared" si="63"/>
        <v>530</v>
      </c>
      <c r="B533" s="24" t="s">
        <v>513</v>
      </c>
      <c r="C533" s="15" t="s">
        <v>3</v>
      </c>
      <c r="D533" s="31" t="s">
        <v>500</v>
      </c>
      <c r="E533" s="31"/>
      <c r="F533" s="70" t="s">
        <v>8</v>
      </c>
      <c r="G533" s="25">
        <v>44270</v>
      </c>
      <c r="H533" s="27">
        <v>7165295.7400000002</v>
      </c>
      <c r="I533" s="27">
        <v>0</v>
      </c>
      <c r="J533" s="17">
        <v>0</v>
      </c>
      <c r="K533" s="17">
        <f t="shared" si="59"/>
        <v>7165295.7400000002</v>
      </c>
      <c r="L533" s="23">
        <f t="shared" si="57"/>
        <v>358264.78700000001</v>
      </c>
      <c r="M533" s="34">
        <v>25</v>
      </c>
      <c r="N533" s="18">
        <f t="shared" si="61"/>
        <v>4.9315068493150684E-2</v>
      </c>
      <c r="O533" s="23">
        <v>68711.867907287669</v>
      </c>
      <c r="P533" s="18">
        <f t="shared" si="62"/>
        <v>0.55068493150684927</v>
      </c>
      <c r="Q533" s="18">
        <f t="shared" si="65"/>
        <v>136513.60705742464</v>
      </c>
      <c r="R533" s="18">
        <f t="shared" si="60"/>
        <v>205225.47496471231</v>
      </c>
      <c r="S533" s="18">
        <f t="shared" si="64"/>
        <v>6960070.2650352875</v>
      </c>
    </row>
    <row r="534" spans="1:19" ht="18.75" customHeight="1" x14ac:dyDescent="0.25">
      <c r="A534" s="14">
        <f t="shared" si="63"/>
        <v>531</v>
      </c>
      <c r="B534" s="24" t="s">
        <v>514</v>
      </c>
      <c r="C534" s="15" t="s">
        <v>3</v>
      </c>
      <c r="D534" s="31" t="s">
        <v>500</v>
      </c>
      <c r="E534" s="31"/>
      <c r="F534" s="70" t="s">
        <v>16</v>
      </c>
      <c r="G534" s="25">
        <v>44270</v>
      </c>
      <c r="H534" s="27">
        <v>5760940.7599999998</v>
      </c>
      <c r="I534" s="27">
        <v>0</v>
      </c>
      <c r="J534" s="17">
        <v>0</v>
      </c>
      <c r="K534" s="17">
        <f t="shared" si="59"/>
        <v>5760940.7599999998</v>
      </c>
      <c r="L534" s="23">
        <f t="shared" si="57"/>
        <v>288047.038</v>
      </c>
      <c r="M534" s="34">
        <v>25</v>
      </c>
      <c r="N534" s="18">
        <f t="shared" si="61"/>
        <v>4.9315068493150684E-2</v>
      </c>
      <c r="O534" s="23">
        <v>14222.495150246576</v>
      </c>
      <c r="P534" s="18">
        <f t="shared" si="62"/>
        <v>0.55068493150684927</v>
      </c>
      <c r="Q534" s="18">
        <f t="shared" ref="Q534:Q597" si="66">(P534-N534)/M534*(K534-L534)</f>
        <v>109757.75902750684</v>
      </c>
      <c r="R534" s="18">
        <f t="shared" si="60"/>
        <v>123980.25417775341</v>
      </c>
      <c r="S534" s="18">
        <f t="shared" si="64"/>
        <v>5636960.505822246</v>
      </c>
    </row>
    <row r="535" spans="1:19" ht="18.75" customHeight="1" x14ac:dyDescent="0.25">
      <c r="A535" s="14">
        <f t="shared" si="63"/>
        <v>532</v>
      </c>
      <c r="B535" s="24" t="s">
        <v>515</v>
      </c>
      <c r="C535" s="15" t="s">
        <v>3</v>
      </c>
      <c r="D535" s="31" t="s">
        <v>500</v>
      </c>
      <c r="E535" s="31"/>
      <c r="F535" s="70" t="s">
        <v>7</v>
      </c>
      <c r="G535" s="25">
        <v>44270</v>
      </c>
      <c r="H535" s="27">
        <v>498931</v>
      </c>
      <c r="I535" s="27">
        <v>0</v>
      </c>
      <c r="J535" s="17">
        <v>0</v>
      </c>
      <c r="K535" s="17">
        <f t="shared" si="59"/>
        <v>498931</v>
      </c>
      <c r="L535" s="23">
        <f t="shared" ref="L535:L598" si="67">H535*0.05</f>
        <v>24946.550000000003</v>
      </c>
      <c r="M535" s="34">
        <v>25</v>
      </c>
      <c r="N535" s="18">
        <f t="shared" si="61"/>
        <v>4.9315068493150684E-2</v>
      </c>
      <c r="O535" s="23">
        <v>11110.433024657535</v>
      </c>
      <c r="P535" s="18">
        <f t="shared" si="62"/>
        <v>0.55068493150684927</v>
      </c>
      <c r="Q535" s="18">
        <f t="shared" si="66"/>
        <v>9505.6607506849305</v>
      </c>
      <c r="R535" s="18">
        <f t="shared" si="60"/>
        <v>20616.093775342466</v>
      </c>
      <c r="S535" s="18">
        <f t="shared" si="64"/>
        <v>478314.90622465755</v>
      </c>
    </row>
    <row r="536" spans="1:19" ht="18.75" customHeight="1" x14ac:dyDescent="0.25">
      <c r="A536" s="14">
        <f t="shared" si="63"/>
        <v>533</v>
      </c>
      <c r="B536" s="31" t="s">
        <v>516</v>
      </c>
      <c r="C536" s="15" t="s">
        <v>3</v>
      </c>
      <c r="D536" s="31" t="s">
        <v>500</v>
      </c>
      <c r="E536" s="31"/>
      <c r="F536" s="73" t="s">
        <v>8</v>
      </c>
      <c r="G536" s="32">
        <v>41633</v>
      </c>
      <c r="H536" s="29">
        <v>30864685.691358902</v>
      </c>
      <c r="I536" s="17">
        <v>0</v>
      </c>
      <c r="J536" s="17">
        <v>0</v>
      </c>
      <c r="K536" s="17">
        <f>H536+I536-J536</f>
        <v>30864685.691358902</v>
      </c>
      <c r="L536" s="23">
        <f>K536*0.05</f>
        <v>1543234.2845679452</v>
      </c>
      <c r="M536" s="33">
        <v>25</v>
      </c>
      <c r="N536" s="18">
        <f t="shared" si="61"/>
        <v>7.2739726027397262</v>
      </c>
      <c r="O536" s="23">
        <v>1152273.0736543562</v>
      </c>
      <c r="P536" s="18">
        <f t="shared" si="62"/>
        <v>7.7753424657534245</v>
      </c>
      <c r="Q536" s="18">
        <f t="shared" si="66"/>
        <v>588035.68300742365</v>
      </c>
      <c r="R536" s="18">
        <f t="shared" si="60"/>
        <v>1740308.7566617797</v>
      </c>
      <c r="S536" s="18">
        <f t="shared" si="64"/>
        <v>29124376.934697121</v>
      </c>
    </row>
    <row r="537" spans="1:19" ht="18.75" customHeight="1" x14ac:dyDescent="0.25">
      <c r="A537" s="14">
        <f t="shared" si="63"/>
        <v>534</v>
      </c>
      <c r="B537" s="31" t="s">
        <v>517</v>
      </c>
      <c r="C537" s="15" t="s">
        <v>3</v>
      </c>
      <c r="D537" s="31" t="s">
        <v>500</v>
      </c>
      <c r="E537" s="31"/>
      <c r="F537" s="73" t="s">
        <v>8</v>
      </c>
      <c r="G537" s="32">
        <v>35751</v>
      </c>
      <c r="H537" s="29">
        <v>27885432.48794499</v>
      </c>
      <c r="I537" s="17">
        <v>0</v>
      </c>
      <c r="J537" s="17">
        <v>0</v>
      </c>
      <c r="K537" s="17">
        <f t="shared" si="59"/>
        <v>27885432.48794499</v>
      </c>
      <c r="L537" s="23">
        <f t="shared" si="67"/>
        <v>1394271.6243972497</v>
      </c>
      <c r="M537" s="33">
        <v>25</v>
      </c>
      <c r="N537" s="18">
        <f t="shared" si="61"/>
        <v>23.389041095890413</v>
      </c>
      <c r="O537" s="23">
        <v>737055.0280177996</v>
      </c>
      <c r="P537" s="18">
        <f t="shared" si="62"/>
        <v>23.890410958904109</v>
      </c>
      <c r="Q537" s="18">
        <f t="shared" si="66"/>
        <v>531274.7877292292</v>
      </c>
      <c r="R537" s="18">
        <f t="shared" si="60"/>
        <v>1268329.8157470287</v>
      </c>
      <c r="S537" s="18">
        <f t="shared" si="64"/>
        <v>26617102.67219796</v>
      </c>
    </row>
    <row r="538" spans="1:19" ht="18.75" customHeight="1" x14ac:dyDescent="0.25">
      <c r="A538" s="14">
        <f t="shared" si="63"/>
        <v>535</v>
      </c>
      <c r="B538" s="31" t="s">
        <v>518</v>
      </c>
      <c r="C538" s="15" t="s">
        <v>3</v>
      </c>
      <c r="D538" s="31" t="s">
        <v>500</v>
      </c>
      <c r="E538" s="31"/>
      <c r="F538" s="73" t="s">
        <v>8</v>
      </c>
      <c r="G538" s="32">
        <v>39033</v>
      </c>
      <c r="H538" s="29">
        <v>21016008.187542092</v>
      </c>
      <c r="I538" s="17">
        <v>0</v>
      </c>
      <c r="J538" s="17">
        <v>0</v>
      </c>
      <c r="K538" s="17">
        <f t="shared" si="59"/>
        <v>21016008.187542092</v>
      </c>
      <c r="L538" s="23">
        <f t="shared" si="67"/>
        <v>1050800.4093771046</v>
      </c>
      <c r="M538" s="33">
        <v>25</v>
      </c>
      <c r="N538" s="18">
        <f t="shared" si="61"/>
        <v>14.397260273972602</v>
      </c>
      <c r="O538" s="23">
        <v>951822.6013616838</v>
      </c>
      <c r="P538" s="18">
        <f t="shared" si="62"/>
        <v>14.898630136986302</v>
      </c>
      <c r="Q538" s="18">
        <f t="shared" si="66"/>
        <v>400398.13955114549</v>
      </c>
      <c r="R538" s="18">
        <f t="shared" si="60"/>
        <v>1352220.7409128293</v>
      </c>
      <c r="S538" s="18">
        <f t="shared" si="64"/>
        <v>19663787.446629263</v>
      </c>
    </row>
    <row r="539" spans="1:19" ht="18.75" customHeight="1" x14ac:dyDescent="0.25">
      <c r="A539" s="14">
        <f t="shared" si="63"/>
        <v>536</v>
      </c>
      <c r="B539" s="31" t="s">
        <v>519</v>
      </c>
      <c r="C539" s="15" t="s">
        <v>3</v>
      </c>
      <c r="D539" s="31" t="s">
        <v>500</v>
      </c>
      <c r="E539" s="31"/>
      <c r="F539" s="73" t="s">
        <v>10</v>
      </c>
      <c r="G539" s="32">
        <v>35751</v>
      </c>
      <c r="H539" s="29">
        <v>11915722.025928803</v>
      </c>
      <c r="I539" s="17">
        <v>0</v>
      </c>
      <c r="J539" s="17">
        <v>0</v>
      </c>
      <c r="K539" s="17">
        <f t="shared" si="59"/>
        <v>11915722.025928803</v>
      </c>
      <c r="L539" s="23">
        <f t="shared" si="67"/>
        <v>595786.10129644012</v>
      </c>
      <c r="M539" s="33">
        <v>25</v>
      </c>
      <c r="N539" s="18">
        <f t="shared" si="61"/>
        <v>23.389041095890413</v>
      </c>
      <c r="O539" s="23">
        <v>352507.07703715214</v>
      </c>
      <c r="P539" s="18">
        <f t="shared" si="62"/>
        <v>23.890410958904109</v>
      </c>
      <c r="Q539" s="18">
        <f t="shared" si="66"/>
        <v>227018.98895426997</v>
      </c>
      <c r="R539" s="18">
        <f t="shared" si="60"/>
        <v>579526.06599142216</v>
      </c>
      <c r="S539" s="18">
        <f t="shared" si="64"/>
        <v>11336195.959937381</v>
      </c>
    </row>
    <row r="540" spans="1:19" ht="18.75" customHeight="1" x14ac:dyDescent="0.25">
      <c r="A540" s="14">
        <f t="shared" si="63"/>
        <v>537</v>
      </c>
      <c r="B540" s="31" t="s">
        <v>520</v>
      </c>
      <c r="C540" s="15" t="s">
        <v>3</v>
      </c>
      <c r="D540" s="31" t="s">
        <v>500</v>
      </c>
      <c r="E540" s="31"/>
      <c r="F540" s="70" t="s">
        <v>7</v>
      </c>
      <c r="G540" s="32">
        <v>36509</v>
      </c>
      <c r="H540" s="29">
        <v>27967.699999999953</v>
      </c>
      <c r="I540" s="17">
        <v>0</v>
      </c>
      <c r="J540" s="17">
        <v>0</v>
      </c>
      <c r="K540" s="17">
        <f t="shared" si="59"/>
        <v>27967.699999999953</v>
      </c>
      <c r="L540" s="23">
        <f t="shared" si="67"/>
        <v>1398.3849999999977</v>
      </c>
      <c r="M540" s="33">
        <v>15</v>
      </c>
      <c r="N540" s="18">
        <f t="shared" si="61"/>
        <v>21.312328767123287</v>
      </c>
      <c r="O540" s="23">
        <v>46067.4</v>
      </c>
      <c r="P540" s="18">
        <f t="shared" si="62"/>
        <v>21.813698630136987</v>
      </c>
      <c r="Q540" s="18">
        <v>0</v>
      </c>
      <c r="R540" s="18">
        <f t="shared" si="60"/>
        <v>46067.4</v>
      </c>
      <c r="S540" s="18">
        <f t="shared" ref="S540:S541" si="68">L540</f>
        <v>1398.3849999999977</v>
      </c>
    </row>
    <row r="541" spans="1:19" ht="18.75" customHeight="1" x14ac:dyDescent="0.25">
      <c r="A541" s="14">
        <f t="shared" si="63"/>
        <v>538</v>
      </c>
      <c r="B541" s="31" t="s">
        <v>521</v>
      </c>
      <c r="C541" s="15" t="s">
        <v>3</v>
      </c>
      <c r="D541" s="31" t="s">
        <v>500</v>
      </c>
      <c r="E541" s="31"/>
      <c r="F541" s="70" t="s">
        <v>7</v>
      </c>
      <c r="G541" s="32">
        <v>36856</v>
      </c>
      <c r="H541" s="29">
        <v>37923.550000000047</v>
      </c>
      <c r="I541" s="17">
        <v>0</v>
      </c>
      <c r="J541" s="17">
        <v>0</v>
      </c>
      <c r="K541" s="17">
        <f t="shared" si="59"/>
        <v>37923.550000000047</v>
      </c>
      <c r="L541" s="23">
        <f t="shared" si="67"/>
        <v>1896.1775000000025</v>
      </c>
      <c r="M541" s="33">
        <v>15</v>
      </c>
      <c r="N541" s="18">
        <f t="shared" si="61"/>
        <v>20.361643835616437</v>
      </c>
      <c r="O541" s="23">
        <v>255396.1</v>
      </c>
      <c r="P541" s="18">
        <f t="shared" si="62"/>
        <v>20.863013698630137</v>
      </c>
      <c r="Q541" s="18">
        <v>0</v>
      </c>
      <c r="R541" s="18">
        <f t="shared" si="60"/>
        <v>255396.1</v>
      </c>
      <c r="S541" s="18">
        <f t="shared" si="68"/>
        <v>1896.1775000000025</v>
      </c>
    </row>
    <row r="542" spans="1:19" ht="18.75" customHeight="1" x14ac:dyDescent="0.25">
      <c r="A542" s="14">
        <f t="shared" si="63"/>
        <v>539</v>
      </c>
      <c r="B542" s="31" t="s">
        <v>522</v>
      </c>
      <c r="C542" s="15" t="s">
        <v>3</v>
      </c>
      <c r="D542" s="31" t="s">
        <v>500</v>
      </c>
      <c r="E542" s="31"/>
      <c r="F542" s="73" t="s">
        <v>11</v>
      </c>
      <c r="G542" s="32">
        <v>39042</v>
      </c>
      <c r="H542" s="29">
        <v>10967670.081854248</v>
      </c>
      <c r="I542" s="17">
        <v>0</v>
      </c>
      <c r="J542" s="17">
        <v>0</v>
      </c>
      <c r="K542" s="17">
        <f t="shared" si="59"/>
        <v>10967670.081854248</v>
      </c>
      <c r="L542" s="23">
        <f t="shared" si="67"/>
        <v>548383.50409271242</v>
      </c>
      <c r="M542" s="33">
        <v>25</v>
      </c>
      <c r="N542" s="18">
        <f t="shared" si="61"/>
        <v>14.372602739726027</v>
      </c>
      <c r="O542" s="23">
        <v>411941.38193416997</v>
      </c>
      <c r="P542" s="18">
        <f t="shared" si="62"/>
        <v>14.873972602739727</v>
      </c>
      <c r="Q542" s="18">
        <f t="shared" si="66"/>
        <v>208956.6513677114</v>
      </c>
      <c r="R542" s="18">
        <f t="shared" si="60"/>
        <v>620898.0333018814</v>
      </c>
      <c r="S542" s="18">
        <f t="shared" si="64"/>
        <v>10346772.048552368</v>
      </c>
    </row>
    <row r="543" spans="1:19" ht="18.75" customHeight="1" x14ac:dyDescent="0.25">
      <c r="A543" s="14">
        <f t="shared" si="63"/>
        <v>540</v>
      </c>
      <c r="B543" s="31" t="s">
        <v>523</v>
      </c>
      <c r="C543" s="15" t="s">
        <v>3</v>
      </c>
      <c r="D543" s="31" t="s">
        <v>500</v>
      </c>
      <c r="E543" s="31"/>
      <c r="F543" s="73" t="s">
        <v>11</v>
      </c>
      <c r="G543" s="32">
        <v>39033</v>
      </c>
      <c r="H543" s="29">
        <v>9429204.0114785209</v>
      </c>
      <c r="I543" s="17">
        <v>0</v>
      </c>
      <c r="J543" s="17">
        <v>0</v>
      </c>
      <c r="K543" s="17">
        <f t="shared" si="59"/>
        <v>9429204.0114785209</v>
      </c>
      <c r="L543" s="23">
        <f t="shared" si="67"/>
        <v>471460.20057392609</v>
      </c>
      <c r="M543" s="33">
        <v>25</v>
      </c>
      <c r="N543" s="18">
        <f t="shared" si="61"/>
        <v>14.397260273972602</v>
      </c>
      <c r="O543" s="23">
        <v>561991.40111914079</v>
      </c>
      <c r="P543" s="18">
        <f t="shared" si="62"/>
        <v>14.898630136986302</v>
      </c>
      <c r="Q543" s="18">
        <f t="shared" si="66"/>
        <v>179645.71149540224</v>
      </c>
      <c r="R543" s="18">
        <f t="shared" si="60"/>
        <v>741637.11261454306</v>
      </c>
      <c r="S543" s="18">
        <f t="shared" si="64"/>
        <v>8687566.8988639787</v>
      </c>
    </row>
    <row r="544" spans="1:19" ht="18.75" customHeight="1" x14ac:dyDescent="0.25">
      <c r="A544" s="14">
        <f t="shared" si="63"/>
        <v>541</v>
      </c>
      <c r="B544" s="31" t="s">
        <v>524</v>
      </c>
      <c r="C544" s="15" t="s">
        <v>3</v>
      </c>
      <c r="D544" s="31" t="s">
        <v>500</v>
      </c>
      <c r="E544" s="31"/>
      <c r="F544" s="73" t="s">
        <v>11</v>
      </c>
      <c r="G544" s="32">
        <v>39033</v>
      </c>
      <c r="H544" s="29">
        <v>2149223.3492893688</v>
      </c>
      <c r="I544" s="17">
        <v>0</v>
      </c>
      <c r="J544" s="17">
        <v>0</v>
      </c>
      <c r="K544" s="17">
        <f t="shared" si="59"/>
        <v>2149223.3492893688</v>
      </c>
      <c r="L544" s="23">
        <f t="shared" si="67"/>
        <v>107461.16746446845</v>
      </c>
      <c r="M544" s="33">
        <v>25</v>
      </c>
      <c r="N544" s="18">
        <f t="shared" si="61"/>
        <v>14.397260273972602</v>
      </c>
      <c r="O544" s="23">
        <v>125116.38159157475</v>
      </c>
      <c r="P544" s="18">
        <f t="shared" si="62"/>
        <v>14.898630136986302</v>
      </c>
      <c r="Q544" s="18">
        <f t="shared" si="66"/>
        <v>40947.121016324149</v>
      </c>
      <c r="R544" s="18">
        <f t="shared" si="60"/>
        <v>166063.5026078989</v>
      </c>
      <c r="S544" s="18">
        <f t="shared" si="64"/>
        <v>1983159.8466814701</v>
      </c>
    </row>
    <row r="545" spans="1:19" ht="18.75" customHeight="1" x14ac:dyDescent="0.25">
      <c r="A545" s="14">
        <f t="shared" si="63"/>
        <v>542</v>
      </c>
      <c r="B545" s="31" t="s">
        <v>525</v>
      </c>
      <c r="C545" s="15" t="s">
        <v>3</v>
      </c>
      <c r="D545" s="31" t="s">
        <v>500</v>
      </c>
      <c r="E545" s="31"/>
      <c r="F545" s="70" t="s">
        <v>7</v>
      </c>
      <c r="G545" s="32">
        <v>36856</v>
      </c>
      <c r="H545" s="29">
        <v>10901.200000000012</v>
      </c>
      <c r="I545" s="17">
        <v>0</v>
      </c>
      <c r="J545" s="17">
        <v>0</v>
      </c>
      <c r="K545" s="17">
        <f t="shared" si="59"/>
        <v>10901.200000000012</v>
      </c>
      <c r="L545" s="23">
        <f t="shared" si="67"/>
        <v>545.06000000000063</v>
      </c>
      <c r="M545" s="33">
        <v>15</v>
      </c>
      <c r="N545" s="18">
        <f t="shared" si="61"/>
        <v>20.361643835616437</v>
      </c>
      <c r="O545" s="23">
        <v>92450.2</v>
      </c>
      <c r="P545" s="18">
        <f t="shared" si="62"/>
        <v>20.863013698630137</v>
      </c>
      <c r="Q545" s="18">
        <v>0</v>
      </c>
      <c r="R545" s="18">
        <f t="shared" si="60"/>
        <v>92450.2</v>
      </c>
      <c r="S545" s="18">
        <f t="shared" ref="S545:S546" si="69">L545</f>
        <v>545.06000000000063</v>
      </c>
    </row>
    <row r="546" spans="1:19" ht="18.75" customHeight="1" x14ac:dyDescent="0.25">
      <c r="A546" s="14">
        <f t="shared" si="63"/>
        <v>543</v>
      </c>
      <c r="B546" s="31" t="s">
        <v>520</v>
      </c>
      <c r="C546" s="15" t="s">
        <v>3</v>
      </c>
      <c r="D546" s="31" t="s">
        <v>500</v>
      </c>
      <c r="E546" s="31"/>
      <c r="F546" s="70" t="s">
        <v>7</v>
      </c>
      <c r="G546" s="32">
        <v>34515</v>
      </c>
      <c r="H546" s="29">
        <v>1251.9500000000007</v>
      </c>
      <c r="I546" s="17">
        <v>0</v>
      </c>
      <c r="J546" s="17">
        <v>0</v>
      </c>
      <c r="K546" s="17">
        <f t="shared" si="59"/>
        <v>1251.9500000000007</v>
      </c>
      <c r="L546" s="23">
        <f t="shared" si="67"/>
        <v>62.597500000000039</v>
      </c>
      <c r="M546" s="33">
        <v>15</v>
      </c>
      <c r="N546" s="18">
        <f t="shared" si="61"/>
        <v>26.775342465753425</v>
      </c>
      <c r="O546" s="23">
        <v>10660.9</v>
      </c>
      <c r="P546" s="18">
        <f t="shared" si="62"/>
        <v>27.276712328767122</v>
      </c>
      <c r="Q546" s="18">
        <v>0</v>
      </c>
      <c r="R546" s="18">
        <f t="shared" si="60"/>
        <v>10660.9</v>
      </c>
      <c r="S546" s="18">
        <f t="shared" si="69"/>
        <v>62.597500000000039</v>
      </c>
    </row>
    <row r="547" spans="1:19" ht="18.75" customHeight="1" x14ac:dyDescent="0.25">
      <c r="A547" s="14">
        <f t="shared" si="63"/>
        <v>544</v>
      </c>
      <c r="B547" s="31" t="s">
        <v>526</v>
      </c>
      <c r="C547" s="15" t="s">
        <v>3</v>
      </c>
      <c r="D547" s="31" t="s">
        <v>500</v>
      </c>
      <c r="E547" s="31"/>
      <c r="F547" s="73" t="s">
        <v>11</v>
      </c>
      <c r="G547" s="32">
        <v>38297</v>
      </c>
      <c r="H547" s="29">
        <v>4593153.7642813697</v>
      </c>
      <c r="I547" s="17">
        <v>0</v>
      </c>
      <c r="J547" s="17">
        <v>0</v>
      </c>
      <c r="K547" s="17">
        <f t="shared" si="59"/>
        <v>4593153.7642813697</v>
      </c>
      <c r="L547" s="23">
        <f t="shared" si="67"/>
        <v>229657.6882140685</v>
      </c>
      <c r="M547" s="33">
        <v>25</v>
      </c>
      <c r="N547" s="18">
        <f t="shared" si="61"/>
        <v>16.413698630136988</v>
      </c>
      <c r="O547" s="23">
        <v>183081.67859125507</v>
      </c>
      <c r="P547" s="18">
        <f t="shared" si="62"/>
        <v>16.915068493150685</v>
      </c>
      <c r="Q547" s="18">
        <f t="shared" si="66"/>
        <v>87509.017196746601</v>
      </c>
      <c r="R547" s="18">
        <f t="shared" si="60"/>
        <v>270590.69578800164</v>
      </c>
      <c r="S547" s="18">
        <f t="shared" si="64"/>
        <v>4322563.0684933681</v>
      </c>
    </row>
    <row r="548" spans="1:19" ht="18.75" customHeight="1" x14ac:dyDescent="0.25">
      <c r="A548" s="14">
        <f t="shared" si="63"/>
        <v>545</v>
      </c>
      <c r="B548" s="31" t="s">
        <v>527</v>
      </c>
      <c r="C548" s="15" t="s">
        <v>3</v>
      </c>
      <c r="D548" s="31" t="s">
        <v>500</v>
      </c>
      <c r="E548" s="31"/>
      <c r="F548" s="73" t="s">
        <v>8</v>
      </c>
      <c r="G548" s="32">
        <v>39033</v>
      </c>
      <c r="H548" s="29">
        <v>4512235.4624392297</v>
      </c>
      <c r="I548" s="17">
        <v>0</v>
      </c>
      <c r="J548" s="17">
        <v>0</v>
      </c>
      <c r="K548" s="17">
        <f t="shared" si="59"/>
        <v>4512235.4624392297</v>
      </c>
      <c r="L548" s="23">
        <f t="shared" si="67"/>
        <v>225611.77312196151</v>
      </c>
      <c r="M548" s="33">
        <v>25</v>
      </c>
      <c r="N548" s="18">
        <f t="shared" si="61"/>
        <v>14.397260273972602</v>
      </c>
      <c r="O548" s="23">
        <v>180674.2108175692</v>
      </c>
      <c r="P548" s="18">
        <f t="shared" si="62"/>
        <v>14.898630136986302</v>
      </c>
      <c r="Q548" s="18">
        <f t="shared" si="66"/>
        <v>85967.357276171213</v>
      </c>
      <c r="R548" s="18">
        <f t="shared" si="60"/>
        <v>266641.56809374038</v>
      </c>
      <c r="S548" s="18">
        <f t="shared" si="64"/>
        <v>4245593.8943454893</v>
      </c>
    </row>
    <row r="549" spans="1:19" ht="18.75" customHeight="1" x14ac:dyDescent="0.25">
      <c r="A549" s="14">
        <f t="shared" si="63"/>
        <v>546</v>
      </c>
      <c r="B549" s="31" t="s">
        <v>528</v>
      </c>
      <c r="C549" s="15" t="s">
        <v>3</v>
      </c>
      <c r="D549" s="31" t="s">
        <v>500</v>
      </c>
      <c r="E549" s="31"/>
      <c r="F549" s="73" t="s">
        <v>12</v>
      </c>
      <c r="G549" s="32">
        <v>35751</v>
      </c>
      <c r="H549" s="29">
        <v>5615214.5102526993</v>
      </c>
      <c r="I549" s="17">
        <v>0</v>
      </c>
      <c r="J549" s="17">
        <v>0</v>
      </c>
      <c r="K549" s="17">
        <f t="shared" si="59"/>
        <v>5615214.5102526993</v>
      </c>
      <c r="L549" s="23">
        <f t="shared" si="67"/>
        <v>280760.72551263496</v>
      </c>
      <c r="M549" s="33">
        <v>25</v>
      </c>
      <c r="N549" s="18">
        <f t="shared" si="61"/>
        <v>23.389041095890413</v>
      </c>
      <c r="O549" s="23">
        <v>318128.20177010796</v>
      </c>
      <c r="P549" s="18">
        <f t="shared" si="62"/>
        <v>23.890410958904109</v>
      </c>
      <c r="Q549" s="18">
        <f t="shared" si="66"/>
        <v>106981.37453232083</v>
      </c>
      <c r="R549" s="18">
        <f t="shared" si="60"/>
        <v>425109.57630242879</v>
      </c>
      <c r="S549" s="18">
        <f t="shared" si="64"/>
        <v>5190104.9339502705</v>
      </c>
    </row>
    <row r="550" spans="1:19" ht="18.75" customHeight="1" x14ac:dyDescent="0.25">
      <c r="A550" s="14">
        <f t="shared" si="63"/>
        <v>547</v>
      </c>
      <c r="B550" s="31" t="s">
        <v>529</v>
      </c>
      <c r="C550" s="15" t="s">
        <v>3</v>
      </c>
      <c r="D550" s="31" t="s">
        <v>500</v>
      </c>
      <c r="E550" s="31"/>
      <c r="F550" s="73" t="s">
        <v>15</v>
      </c>
      <c r="G550" s="32">
        <v>40543</v>
      </c>
      <c r="H550" s="29">
        <v>3766976.3783945208</v>
      </c>
      <c r="I550" s="17">
        <v>0</v>
      </c>
      <c r="J550" s="17">
        <v>0</v>
      </c>
      <c r="K550" s="17">
        <f t="shared" si="59"/>
        <v>3766976.3783945208</v>
      </c>
      <c r="L550" s="23">
        <f t="shared" si="67"/>
        <v>188348.81891972607</v>
      </c>
      <c r="M550" s="33">
        <v>25</v>
      </c>
      <c r="N550" s="18">
        <f t="shared" si="61"/>
        <v>10.260273972602739</v>
      </c>
      <c r="O550" s="23">
        <v>156420.42913578084</v>
      </c>
      <c r="P550" s="18">
        <f t="shared" si="62"/>
        <v>10.761643835616438</v>
      </c>
      <c r="Q550" s="18">
        <f t="shared" si="66"/>
        <v>71768.640370836918</v>
      </c>
      <c r="R550" s="18">
        <f t="shared" si="60"/>
        <v>228189.06950661776</v>
      </c>
      <c r="S550" s="18">
        <f t="shared" si="64"/>
        <v>3538787.3088879031</v>
      </c>
    </row>
    <row r="551" spans="1:19" ht="18.75" customHeight="1" x14ac:dyDescent="0.25">
      <c r="A551" s="14">
        <f t="shared" si="63"/>
        <v>548</v>
      </c>
      <c r="B551" s="31" t="s">
        <v>530</v>
      </c>
      <c r="C551" s="15" t="s">
        <v>3</v>
      </c>
      <c r="D551" s="31" t="s">
        <v>500</v>
      </c>
      <c r="E551" s="31"/>
      <c r="F551" s="73" t="s">
        <v>11</v>
      </c>
      <c r="G551" s="32">
        <v>39071</v>
      </c>
      <c r="H551" s="29">
        <v>2369699.5127179204</v>
      </c>
      <c r="I551" s="17">
        <v>0</v>
      </c>
      <c r="J551" s="17">
        <v>0</v>
      </c>
      <c r="K551" s="17">
        <f t="shared" si="59"/>
        <v>2369699.5127179204</v>
      </c>
      <c r="L551" s="23">
        <f t="shared" si="67"/>
        <v>118484.97563589603</v>
      </c>
      <c r="M551" s="33">
        <v>25</v>
      </c>
      <c r="N551" s="18">
        <f t="shared" si="61"/>
        <v>14.293150684931506</v>
      </c>
      <c r="O551" s="23">
        <v>221437.97526871681</v>
      </c>
      <c r="P551" s="18">
        <f t="shared" si="62"/>
        <v>14.794520547945206</v>
      </c>
      <c r="Q551" s="18">
        <f t="shared" si="66"/>
        <v>45147.644962850587</v>
      </c>
      <c r="R551" s="18">
        <f t="shared" si="60"/>
        <v>266585.62023156742</v>
      </c>
      <c r="S551" s="18">
        <f t="shared" si="64"/>
        <v>2103113.8924863529</v>
      </c>
    </row>
    <row r="552" spans="1:19" ht="18.75" customHeight="1" x14ac:dyDescent="0.25">
      <c r="A552" s="14">
        <f t="shared" si="63"/>
        <v>549</v>
      </c>
      <c r="B552" s="31" t="s">
        <v>531</v>
      </c>
      <c r="C552" s="15" t="s">
        <v>3</v>
      </c>
      <c r="D552" s="31" t="s">
        <v>500</v>
      </c>
      <c r="E552" s="31"/>
      <c r="F552" s="73" t="s">
        <v>7</v>
      </c>
      <c r="G552" s="32">
        <v>41532</v>
      </c>
      <c r="H552" s="29">
        <v>923666.54727671202</v>
      </c>
      <c r="I552" s="17">
        <v>0</v>
      </c>
      <c r="J552" s="17">
        <v>0</v>
      </c>
      <c r="K552" s="17">
        <f t="shared" si="59"/>
        <v>923666.54727671202</v>
      </c>
      <c r="L552" s="23">
        <f t="shared" si="67"/>
        <v>46183.327363835604</v>
      </c>
      <c r="M552" s="33">
        <v>15</v>
      </c>
      <c r="N552" s="18">
        <f t="shared" si="61"/>
        <v>7.5506849315068489</v>
      </c>
      <c r="O552" s="23">
        <v>59803.653285114131</v>
      </c>
      <c r="P552" s="18">
        <f t="shared" si="62"/>
        <v>8.0520547945205472</v>
      </c>
      <c r="Q552" s="18">
        <f t="shared" si="66"/>
        <v>29329.576117635843</v>
      </c>
      <c r="R552" s="18">
        <f t="shared" si="60"/>
        <v>89133.229402749974</v>
      </c>
      <c r="S552" s="18">
        <f t="shared" si="64"/>
        <v>834533.31787396199</v>
      </c>
    </row>
    <row r="553" spans="1:19" ht="18.75" customHeight="1" x14ac:dyDescent="0.25">
      <c r="A553" s="14">
        <f t="shared" si="63"/>
        <v>550</v>
      </c>
      <c r="B553" s="31" t="s">
        <v>532</v>
      </c>
      <c r="C553" s="15" t="s">
        <v>3</v>
      </c>
      <c r="D553" s="31" t="s">
        <v>500</v>
      </c>
      <c r="E553" s="31"/>
      <c r="F553" s="73" t="s">
        <v>8</v>
      </c>
      <c r="G553" s="32">
        <v>39779</v>
      </c>
      <c r="H553" s="29">
        <v>2535906.2331628497</v>
      </c>
      <c r="I553" s="17">
        <v>0</v>
      </c>
      <c r="J553" s="17">
        <v>0</v>
      </c>
      <c r="K553" s="17">
        <f t="shared" si="59"/>
        <v>2535906.2331628497</v>
      </c>
      <c r="L553" s="23">
        <f t="shared" si="67"/>
        <v>126795.31165814248</v>
      </c>
      <c r="M553" s="33">
        <v>25</v>
      </c>
      <c r="N553" s="18">
        <f t="shared" si="61"/>
        <v>12.353424657534246</v>
      </c>
      <c r="O553" s="23">
        <v>106978.91304651399</v>
      </c>
      <c r="P553" s="18">
        <f t="shared" si="62"/>
        <v>12.854794520547944</v>
      </c>
      <c r="Q553" s="18">
        <f t="shared" si="66"/>
        <v>48314.224507984771</v>
      </c>
      <c r="R553" s="18">
        <f t="shared" si="60"/>
        <v>155293.13755449877</v>
      </c>
      <c r="S553" s="18">
        <f t="shared" si="64"/>
        <v>2380613.0956083508</v>
      </c>
    </row>
    <row r="554" spans="1:19" ht="18.75" customHeight="1" x14ac:dyDescent="0.25">
      <c r="A554" s="14">
        <f t="shared" si="63"/>
        <v>551</v>
      </c>
      <c r="B554" s="31" t="s">
        <v>533</v>
      </c>
      <c r="C554" s="15" t="s">
        <v>3</v>
      </c>
      <c r="D554" s="31" t="s">
        <v>500</v>
      </c>
      <c r="E554" s="31"/>
      <c r="F554" s="73" t="s">
        <v>11</v>
      </c>
      <c r="G554" s="32">
        <v>39033</v>
      </c>
      <c r="H554" s="29">
        <v>2524250.5758606028</v>
      </c>
      <c r="I554" s="17">
        <v>0</v>
      </c>
      <c r="J554" s="17">
        <v>0</v>
      </c>
      <c r="K554" s="17">
        <f t="shared" si="59"/>
        <v>2524250.5758606028</v>
      </c>
      <c r="L554" s="23">
        <f t="shared" si="67"/>
        <v>126212.52879303014</v>
      </c>
      <c r="M554" s="33">
        <v>25</v>
      </c>
      <c r="N554" s="18">
        <f t="shared" si="61"/>
        <v>14.397260273972602</v>
      </c>
      <c r="O554" s="23">
        <v>97818.294154424104</v>
      </c>
      <c r="P554" s="18">
        <f t="shared" si="62"/>
        <v>14.898630136986302</v>
      </c>
      <c r="Q554" s="18">
        <f t="shared" si="66"/>
        <v>48092.160286396393</v>
      </c>
      <c r="R554" s="18">
        <f t="shared" si="60"/>
        <v>145910.4544408205</v>
      </c>
      <c r="S554" s="18">
        <f t="shared" si="64"/>
        <v>2378340.1214197823</v>
      </c>
    </row>
    <row r="555" spans="1:19" ht="18.75" customHeight="1" x14ac:dyDescent="0.25">
      <c r="A555" s="14">
        <f t="shared" si="63"/>
        <v>552</v>
      </c>
      <c r="B555" s="31" t="s">
        <v>534</v>
      </c>
      <c r="C555" s="15" t="s">
        <v>3</v>
      </c>
      <c r="D555" s="31" t="s">
        <v>500</v>
      </c>
      <c r="E555" s="31"/>
      <c r="F555" s="73" t="s">
        <v>11</v>
      </c>
      <c r="G555" s="32">
        <v>35799</v>
      </c>
      <c r="H555" s="29">
        <v>3094689.1029369794</v>
      </c>
      <c r="I555" s="17">
        <v>0</v>
      </c>
      <c r="J555" s="17">
        <v>0</v>
      </c>
      <c r="K555" s="17">
        <f t="shared" si="59"/>
        <v>3094689.1029369794</v>
      </c>
      <c r="L555" s="23">
        <f t="shared" si="67"/>
        <v>154734.45514684898</v>
      </c>
      <c r="M555" s="33">
        <v>25</v>
      </c>
      <c r="N555" s="18">
        <f t="shared" si="61"/>
        <v>23.257534246575343</v>
      </c>
      <c r="O555" s="23">
        <v>190854.14011747917</v>
      </c>
      <c r="P555" s="18">
        <f t="shared" si="62"/>
        <v>23.758904109589039</v>
      </c>
      <c r="Q555" s="18">
        <f t="shared" si="66"/>
        <v>58960.186361160711</v>
      </c>
      <c r="R555" s="18">
        <f t="shared" si="60"/>
        <v>249814.32647863988</v>
      </c>
      <c r="S555" s="18">
        <f t="shared" si="64"/>
        <v>2844874.7764583393</v>
      </c>
    </row>
    <row r="556" spans="1:19" ht="18.75" customHeight="1" x14ac:dyDescent="0.25">
      <c r="A556" s="14">
        <f t="shared" si="63"/>
        <v>553</v>
      </c>
      <c r="B556" s="31" t="s">
        <v>535</v>
      </c>
      <c r="C556" s="15" t="s">
        <v>3</v>
      </c>
      <c r="D556" s="31" t="s">
        <v>500</v>
      </c>
      <c r="E556" s="31"/>
      <c r="F556" s="70" t="s">
        <v>7</v>
      </c>
      <c r="G556" s="32">
        <v>24838</v>
      </c>
      <c r="H556" s="29">
        <v>5.0999999999999943</v>
      </c>
      <c r="I556" s="17">
        <v>0</v>
      </c>
      <c r="J556" s="17">
        <v>0</v>
      </c>
      <c r="K556" s="17">
        <f t="shared" si="59"/>
        <v>5.0999999999999943</v>
      </c>
      <c r="L556" s="23">
        <f t="shared" si="67"/>
        <v>0.25499999999999973</v>
      </c>
      <c r="M556" s="33">
        <v>15</v>
      </c>
      <c r="N556" s="18">
        <f t="shared" si="61"/>
        <v>53.287671232876711</v>
      </c>
      <c r="O556" s="23">
        <v>63183.55</v>
      </c>
      <c r="P556" s="18">
        <f t="shared" si="62"/>
        <v>53.789041095890411</v>
      </c>
      <c r="Q556" s="18">
        <v>0</v>
      </c>
      <c r="R556" s="18">
        <f t="shared" si="60"/>
        <v>63183.55</v>
      </c>
      <c r="S556" s="18">
        <f>L556</f>
        <v>0.25499999999999973</v>
      </c>
    </row>
    <row r="557" spans="1:19" ht="18.75" customHeight="1" x14ac:dyDescent="0.25">
      <c r="A557" s="14">
        <f t="shared" si="63"/>
        <v>554</v>
      </c>
      <c r="B557" s="31" t="s">
        <v>536</v>
      </c>
      <c r="C557" s="15" t="s">
        <v>3</v>
      </c>
      <c r="D557" s="31" t="s">
        <v>500</v>
      </c>
      <c r="E557" s="31"/>
      <c r="F557" s="73" t="s">
        <v>11</v>
      </c>
      <c r="G557" s="32">
        <v>40509</v>
      </c>
      <c r="H557" s="29">
        <v>2741896.8780273972</v>
      </c>
      <c r="I557" s="17">
        <v>0</v>
      </c>
      <c r="J557" s="17">
        <v>0</v>
      </c>
      <c r="K557" s="17">
        <f t="shared" si="59"/>
        <v>2741896.8780273972</v>
      </c>
      <c r="L557" s="23">
        <f t="shared" si="67"/>
        <v>137094.84390136987</v>
      </c>
      <c r="M557" s="33">
        <v>25</v>
      </c>
      <c r="N557" s="18">
        <f t="shared" si="61"/>
        <v>10.353424657534246</v>
      </c>
      <c r="O557" s="23">
        <v>569119.96512109588</v>
      </c>
      <c r="P557" s="18">
        <f t="shared" si="62"/>
        <v>10.854794520547944</v>
      </c>
      <c r="Q557" s="18">
        <f t="shared" si="66"/>
        <v>52238.769561102752</v>
      </c>
      <c r="R557" s="18">
        <f t="shared" si="60"/>
        <v>621358.73468219861</v>
      </c>
      <c r="S557" s="18">
        <f t="shared" si="64"/>
        <v>2120538.1433451986</v>
      </c>
    </row>
    <row r="558" spans="1:19" ht="18.75" customHeight="1" x14ac:dyDescent="0.25">
      <c r="A558" s="14">
        <f t="shared" si="63"/>
        <v>555</v>
      </c>
      <c r="B558" s="31" t="s">
        <v>537</v>
      </c>
      <c r="C558" s="15" t="s">
        <v>3</v>
      </c>
      <c r="D558" s="31" t="s">
        <v>500</v>
      </c>
      <c r="E558" s="31"/>
      <c r="F558" s="73" t="s">
        <v>11</v>
      </c>
      <c r="G558" s="32">
        <v>39033</v>
      </c>
      <c r="H558" s="29">
        <v>2343304.6550403289</v>
      </c>
      <c r="I558" s="17">
        <v>0</v>
      </c>
      <c r="J558" s="17">
        <v>0</v>
      </c>
      <c r="K558" s="17">
        <f t="shared" si="59"/>
        <v>2343304.6550403289</v>
      </c>
      <c r="L558" s="23">
        <f t="shared" si="67"/>
        <v>117165.23275201645</v>
      </c>
      <c r="M558" s="33">
        <v>25</v>
      </c>
      <c r="N558" s="18">
        <f t="shared" si="61"/>
        <v>14.397260273972602</v>
      </c>
      <c r="O558" s="23">
        <v>275866.96792161313</v>
      </c>
      <c r="P558" s="18">
        <f t="shared" si="62"/>
        <v>14.898630136986302</v>
      </c>
      <c r="Q558" s="18">
        <f t="shared" si="66"/>
        <v>44644.768688083546</v>
      </c>
      <c r="R558" s="18">
        <f t="shared" si="60"/>
        <v>320511.7366096967</v>
      </c>
      <c r="S558" s="18">
        <f t="shared" si="64"/>
        <v>2022792.9184306322</v>
      </c>
    </row>
    <row r="559" spans="1:19" ht="18.75" customHeight="1" x14ac:dyDescent="0.25">
      <c r="A559" s="14">
        <f t="shared" si="63"/>
        <v>556</v>
      </c>
      <c r="B559" s="31" t="s">
        <v>538</v>
      </c>
      <c r="C559" s="15" t="s">
        <v>3</v>
      </c>
      <c r="D559" s="31" t="s">
        <v>500</v>
      </c>
      <c r="E559" s="31"/>
      <c r="F559" s="73" t="s">
        <v>11</v>
      </c>
      <c r="G559" s="32">
        <v>35833</v>
      </c>
      <c r="H559" s="29">
        <v>2462271.1821534298</v>
      </c>
      <c r="I559" s="17">
        <v>0</v>
      </c>
      <c r="J559" s="17">
        <v>0</v>
      </c>
      <c r="K559" s="17">
        <f t="shared" si="59"/>
        <v>2462271.1821534298</v>
      </c>
      <c r="L559" s="23">
        <f t="shared" si="67"/>
        <v>123113.55910767149</v>
      </c>
      <c r="M559" s="33">
        <v>25</v>
      </c>
      <c r="N559" s="18">
        <f t="shared" si="61"/>
        <v>23.164383561643834</v>
      </c>
      <c r="O559" s="23">
        <v>90657.583286137189</v>
      </c>
      <c r="P559" s="18">
        <f t="shared" si="62"/>
        <v>23.665753424657535</v>
      </c>
      <c r="Q559" s="18">
        <f t="shared" si="66"/>
        <v>46911.325481356165</v>
      </c>
      <c r="R559" s="18">
        <f t="shared" si="60"/>
        <v>137568.90876749335</v>
      </c>
      <c r="S559" s="18">
        <f t="shared" si="64"/>
        <v>2324702.2733859364</v>
      </c>
    </row>
    <row r="560" spans="1:19" ht="18.75" customHeight="1" x14ac:dyDescent="0.25">
      <c r="A560" s="14">
        <f t="shared" si="63"/>
        <v>557</v>
      </c>
      <c r="B560" s="31" t="s">
        <v>532</v>
      </c>
      <c r="C560" s="15" t="s">
        <v>3</v>
      </c>
      <c r="D560" s="31" t="s">
        <v>500</v>
      </c>
      <c r="E560" s="31"/>
      <c r="F560" s="73" t="s">
        <v>11</v>
      </c>
      <c r="G560" s="32">
        <v>38297</v>
      </c>
      <c r="H560" s="29">
        <v>1976128.1166427396</v>
      </c>
      <c r="I560" s="17">
        <v>0</v>
      </c>
      <c r="J560" s="17">
        <v>0</v>
      </c>
      <c r="K560" s="17">
        <f t="shared" si="59"/>
        <v>1976128.1166427396</v>
      </c>
      <c r="L560" s="23">
        <f t="shared" si="67"/>
        <v>98806.405832136981</v>
      </c>
      <c r="M560" s="33">
        <v>25</v>
      </c>
      <c r="N560" s="18">
        <f t="shared" si="61"/>
        <v>16.413698630136988</v>
      </c>
      <c r="O560" s="23">
        <v>175326.36862570973</v>
      </c>
      <c r="P560" s="18">
        <f t="shared" si="62"/>
        <v>16.915068493150685</v>
      </c>
      <c r="Q560" s="18">
        <f t="shared" si="66"/>
        <v>37649.301159270006</v>
      </c>
      <c r="R560" s="18">
        <f t="shared" si="60"/>
        <v>212975.66978497972</v>
      </c>
      <c r="S560" s="18">
        <f t="shared" si="64"/>
        <v>1763152.44685776</v>
      </c>
    </row>
    <row r="561" spans="1:19" ht="18.75" customHeight="1" x14ac:dyDescent="0.25">
      <c r="A561" s="14">
        <f t="shared" si="63"/>
        <v>558</v>
      </c>
      <c r="B561" s="31" t="s">
        <v>539</v>
      </c>
      <c r="C561" s="15" t="s">
        <v>3</v>
      </c>
      <c r="D561" s="31" t="s">
        <v>500</v>
      </c>
      <c r="E561" s="31"/>
      <c r="F561" s="73" t="s">
        <v>4</v>
      </c>
      <c r="G561" s="32">
        <v>35751</v>
      </c>
      <c r="H561" s="29">
        <v>2575460.41390137</v>
      </c>
      <c r="I561" s="17">
        <v>0</v>
      </c>
      <c r="J561" s="17">
        <v>0</v>
      </c>
      <c r="K561" s="17">
        <f t="shared" si="59"/>
        <v>2575460.41390137</v>
      </c>
      <c r="L561" s="23">
        <f t="shared" si="67"/>
        <v>128773.02069506851</v>
      </c>
      <c r="M561" s="33">
        <v>25</v>
      </c>
      <c r="N561" s="18">
        <f t="shared" si="61"/>
        <v>23.389041095890413</v>
      </c>
      <c r="O561" s="23">
        <v>102053.6025560548</v>
      </c>
      <c r="P561" s="18">
        <f t="shared" si="62"/>
        <v>23.890410958904109</v>
      </c>
      <c r="Q561" s="18">
        <f t="shared" si="66"/>
        <v>49067.812926767263</v>
      </c>
      <c r="R561" s="18">
        <f t="shared" si="60"/>
        <v>151121.41548282205</v>
      </c>
      <c r="S561" s="18">
        <f t="shared" si="64"/>
        <v>2424338.9984185481</v>
      </c>
    </row>
    <row r="562" spans="1:19" ht="18.75" customHeight="1" x14ac:dyDescent="0.25">
      <c r="A562" s="14">
        <f t="shared" si="63"/>
        <v>559</v>
      </c>
      <c r="B562" s="31" t="s">
        <v>540</v>
      </c>
      <c r="C562" s="15" t="s">
        <v>3</v>
      </c>
      <c r="D562" s="31" t="s">
        <v>500</v>
      </c>
      <c r="E562" s="31"/>
      <c r="F562" s="73" t="s">
        <v>11</v>
      </c>
      <c r="G562" s="32">
        <v>35751</v>
      </c>
      <c r="H562" s="29">
        <v>2238414.6991506899</v>
      </c>
      <c r="I562" s="17">
        <v>0</v>
      </c>
      <c r="J562" s="17">
        <v>0</v>
      </c>
      <c r="K562" s="17">
        <f t="shared" si="59"/>
        <v>2238414.6991506899</v>
      </c>
      <c r="L562" s="23">
        <f t="shared" si="67"/>
        <v>111920.7349575345</v>
      </c>
      <c r="M562" s="33">
        <v>25</v>
      </c>
      <c r="N562" s="18">
        <f t="shared" si="61"/>
        <v>23.389041095890413</v>
      </c>
      <c r="O562" s="23">
        <v>1982493.5479660276</v>
      </c>
      <c r="P562" s="18">
        <f t="shared" si="62"/>
        <v>23.890410958904109</v>
      </c>
      <c r="Q562" s="18">
        <f t="shared" si="66"/>
        <v>42646.399501078988</v>
      </c>
      <c r="R562" s="18">
        <f t="shared" si="60"/>
        <v>2025139.9474671066</v>
      </c>
      <c r="S562" s="18">
        <f t="shared" si="64"/>
        <v>213274.75168358325</v>
      </c>
    </row>
    <row r="563" spans="1:19" ht="18.75" customHeight="1" x14ac:dyDescent="0.25">
      <c r="A563" s="14">
        <f t="shared" si="63"/>
        <v>560</v>
      </c>
      <c r="B563" s="31" t="s">
        <v>541</v>
      </c>
      <c r="C563" s="15" t="s">
        <v>3</v>
      </c>
      <c r="D563" s="31" t="s">
        <v>500</v>
      </c>
      <c r="E563" s="31"/>
      <c r="F563" s="73" t="s">
        <v>8</v>
      </c>
      <c r="G563" s="32">
        <v>41685</v>
      </c>
      <c r="H563" s="29">
        <v>1221101.097890411</v>
      </c>
      <c r="I563" s="17">
        <v>0</v>
      </c>
      <c r="J563" s="17">
        <v>0</v>
      </c>
      <c r="K563" s="17">
        <f t="shared" si="59"/>
        <v>1221101.097890411</v>
      </c>
      <c r="L563" s="23">
        <f t="shared" si="67"/>
        <v>61055.054894520552</v>
      </c>
      <c r="M563" s="33">
        <v>15</v>
      </c>
      <c r="N563" s="18">
        <f t="shared" si="61"/>
        <v>7.1315068493150688</v>
      </c>
      <c r="O563" s="23">
        <v>1509934.8165260274</v>
      </c>
      <c r="P563" s="18">
        <f t="shared" si="62"/>
        <v>7.6328767123287671</v>
      </c>
      <c r="Q563" s="18">
        <f t="shared" si="66"/>
        <v>38774.141711095486</v>
      </c>
      <c r="R563" s="18">
        <f t="shared" si="60"/>
        <v>1548708.958237123</v>
      </c>
      <c r="S563" s="18">
        <f>L563</f>
        <v>61055.054894520552</v>
      </c>
    </row>
    <row r="564" spans="1:19" ht="18.75" customHeight="1" x14ac:dyDescent="0.25">
      <c r="A564" s="14">
        <f t="shared" si="63"/>
        <v>561</v>
      </c>
      <c r="B564" s="31" t="s">
        <v>516</v>
      </c>
      <c r="C564" s="15" t="s">
        <v>3</v>
      </c>
      <c r="D564" s="31" t="s">
        <v>500</v>
      </c>
      <c r="E564" s="31"/>
      <c r="F564" s="73" t="s">
        <v>8</v>
      </c>
      <c r="G564" s="32">
        <v>41723</v>
      </c>
      <c r="H564" s="29">
        <v>2107255.9386575343</v>
      </c>
      <c r="I564" s="17">
        <v>0</v>
      </c>
      <c r="J564" s="17">
        <v>0</v>
      </c>
      <c r="K564" s="17">
        <f t="shared" si="59"/>
        <v>2107255.9386575343</v>
      </c>
      <c r="L564" s="23">
        <f t="shared" si="67"/>
        <v>105362.79693287672</v>
      </c>
      <c r="M564" s="33">
        <v>25</v>
      </c>
      <c r="N564" s="18">
        <f t="shared" si="61"/>
        <v>7.0273972602739727</v>
      </c>
      <c r="O564" s="23">
        <v>893112.54754630139</v>
      </c>
      <c r="P564" s="18">
        <f t="shared" si="62"/>
        <v>7.5287671232876709</v>
      </c>
      <c r="Q564" s="18">
        <f t="shared" si="66"/>
        <v>40147.555609382136</v>
      </c>
      <c r="R564" s="18">
        <f t="shared" si="60"/>
        <v>933260.10315568349</v>
      </c>
      <c r="S564" s="18">
        <f t="shared" si="64"/>
        <v>1173995.8355018508</v>
      </c>
    </row>
    <row r="565" spans="1:19" ht="18.75" customHeight="1" x14ac:dyDescent="0.25">
      <c r="A565" s="14">
        <f t="shared" si="63"/>
        <v>562</v>
      </c>
      <c r="B565" s="31" t="s">
        <v>542</v>
      </c>
      <c r="C565" s="15" t="s">
        <v>3</v>
      </c>
      <c r="D565" s="31" t="s">
        <v>500</v>
      </c>
      <c r="E565" s="31"/>
      <c r="F565" s="73" t="s">
        <v>11</v>
      </c>
      <c r="G565" s="32">
        <v>39779</v>
      </c>
      <c r="H565" s="29">
        <v>1802950.1251129312</v>
      </c>
      <c r="I565" s="17">
        <v>0</v>
      </c>
      <c r="J565" s="17">
        <v>0</v>
      </c>
      <c r="K565" s="17">
        <f t="shared" si="59"/>
        <v>1802950.1251129312</v>
      </c>
      <c r="L565" s="23">
        <f t="shared" si="67"/>
        <v>90147.506255646571</v>
      </c>
      <c r="M565" s="33">
        <v>25</v>
      </c>
      <c r="N565" s="18">
        <f t="shared" si="61"/>
        <v>12.353424657534246</v>
      </c>
      <c r="O565" s="23">
        <v>67874.493864517251</v>
      </c>
      <c r="P565" s="18">
        <f t="shared" si="62"/>
        <v>12.854794520547944</v>
      </c>
      <c r="Q565" s="18">
        <f t="shared" si="66"/>
        <v>34349.904575439214</v>
      </c>
      <c r="R565" s="18">
        <f t="shared" si="60"/>
        <v>102224.39843995647</v>
      </c>
      <c r="S565" s="18">
        <f t="shared" si="64"/>
        <v>1700725.7266729749</v>
      </c>
    </row>
    <row r="566" spans="1:19" ht="18.75" customHeight="1" x14ac:dyDescent="0.25">
      <c r="A566" s="14">
        <f t="shared" si="63"/>
        <v>563</v>
      </c>
      <c r="B566" s="31" t="s">
        <v>543</v>
      </c>
      <c r="C566" s="15" t="s">
        <v>3</v>
      </c>
      <c r="D566" s="31" t="s">
        <v>500</v>
      </c>
      <c r="E566" s="31"/>
      <c r="F566" s="73" t="s">
        <v>8</v>
      </c>
      <c r="G566" s="32">
        <v>39134</v>
      </c>
      <c r="H566" s="29">
        <v>1597832.0170658631</v>
      </c>
      <c r="I566" s="17">
        <v>0</v>
      </c>
      <c r="J566" s="17">
        <v>0</v>
      </c>
      <c r="K566" s="17">
        <f t="shared" si="59"/>
        <v>1597832.0170658631</v>
      </c>
      <c r="L566" s="23">
        <f t="shared" si="67"/>
        <v>79891.600853293159</v>
      </c>
      <c r="M566" s="33">
        <v>25</v>
      </c>
      <c r="N566" s="18">
        <f t="shared" si="61"/>
        <v>14.12054794520548</v>
      </c>
      <c r="O566" s="23">
        <v>618290.27990263456</v>
      </c>
      <c r="P566" s="18">
        <f t="shared" si="62"/>
        <v>14.621917808219179</v>
      </c>
      <c r="Q566" s="18">
        <f t="shared" si="66"/>
        <v>30441.98314157809</v>
      </c>
      <c r="R566" s="18">
        <f t="shared" si="60"/>
        <v>648732.2630442126</v>
      </c>
      <c r="S566" s="18">
        <f t="shared" si="64"/>
        <v>949099.75402165053</v>
      </c>
    </row>
    <row r="567" spans="1:19" ht="18.75" customHeight="1" x14ac:dyDescent="0.25">
      <c r="A567" s="14">
        <f t="shared" si="63"/>
        <v>564</v>
      </c>
      <c r="B567" s="31" t="s">
        <v>544</v>
      </c>
      <c r="C567" s="15" t="s">
        <v>3</v>
      </c>
      <c r="D567" s="31" t="s">
        <v>500</v>
      </c>
      <c r="E567" s="31"/>
      <c r="F567" s="73" t="s">
        <v>11</v>
      </c>
      <c r="G567" s="32">
        <v>35751</v>
      </c>
      <c r="H567" s="29">
        <v>1370944.9499945203</v>
      </c>
      <c r="I567" s="17">
        <v>0</v>
      </c>
      <c r="J567" s="17">
        <v>0</v>
      </c>
      <c r="K567" s="17">
        <f t="shared" si="59"/>
        <v>1370944.9499945203</v>
      </c>
      <c r="L567" s="23">
        <f t="shared" si="67"/>
        <v>68547.247499726014</v>
      </c>
      <c r="M567" s="33">
        <v>25</v>
      </c>
      <c r="N567" s="18">
        <f t="shared" si="61"/>
        <v>23.389041095890413</v>
      </c>
      <c r="O567" s="23">
        <v>80057.169999780817</v>
      </c>
      <c r="P567" s="18">
        <f t="shared" si="62"/>
        <v>23.890410958904109</v>
      </c>
      <c r="Q567" s="18">
        <f t="shared" si="66"/>
        <v>26119.318307566722</v>
      </c>
      <c r="R567" s="18">
        <f t="shared" si="60"/>
        <v>106176.48830734754</v>
      </c>
      <c r="S567" s="18">
        <f t="shared" si="64"/>
        <v>1264768.4616871728</v>
      </c>
    </row>
    <row r="568" spans="1:19" ht="18.75" customHeight="1" x14ac:dyDescent="0.25">
      <c r="A568" s="14">
        <f t="shared" si="63"/>
        <v>565</v>
      </c>
      <c r="B568" s="31" t="s">
        <v>545</v>
      </c>
      <c r="C568" s="15" t="s">
        <v>3</v>
      </c>
      <c r="D568" s="31" t="s">
        <v>500</v>
      </c>
      <c r="E568" s="31"/>
      <c r="F568" s="73" t="s">
        <v>11</v>
      </c>
      <c r="G568" s="32">
        <v>39071</v>
      </c>
      <c r="H568" s="29">
        <v>1553423.2764997806</v>
      </c>
      <c r="I568" s="17">
        <v>0</v>
      </c>
      <c r="J568" s="17">
        <v>0</v>
      </c>
      <c r="K568" s="17">
        <f t="shared" si="59"/>
        <v>1553423.2764997806</v>
      </c>
      <c r="L568" s="23">
        <f t="shared" si="67"/>
        <v>77671.163824989038</v>
      </c>
      <c r="M568" s="33">
        <v>25</v>
      </c>
      <c r="N568" s="18">
        <f t="shared" si="61"/>
        <v>14.293150684931506</v>
      </c>
      <c r="O568" s="23">
        <v>114920.89003999122</v>
      </c>
      <c r="P568" s="18">
        <f t="shared" si="62"/>
        <v>14.794520547945206</v>
      </c>
      <c r="Q568" s="18">
        <f t="shared" si="66"/>
        <v>29595.905382957546</v>
      </c>
      <c r="R568" s="18">
        <f t="shared" si="60"/>
        <v>144516.79542294878</v>
      </c>
      <c r="S568" s="18">
        <f t="shared" si="64"/>
        <v>1408906.4810768319</v>
      </c>
    </row>
    <row r="569" spans="1:19" ht="18.75" customHeight="1" x14ac:dyDescent="0.25">
      <c r="A569" s="14">
        <f t="shared" si="63"/>
        <v>566</v>
      </c>
      <c r="B569" s="31" t="s">
        <v>546</v>
      </c>
      <c r="C569" s="15" t="s">
        <v>3</v>
      </c>
      <c r="D569" s="31" t="s">
        <v>500</v>
      </c>
      <c r="E569" s="31"/>
      <c r="F569" s="73" t="s">
        <v>11</v>
      </c>
      <c r="G569" s="32">
        <v>35820</v>
      </c>
      <c r="H569" s="29">
        <v>6901642.1600438403</v>
      </c>
      <c r="I569" s="17">
        <v>0</v>
      </c>
      <c r="J569" s="17">
        <v>0</v>
      </c>
      <c r="K569" s="17">
        <f t="shared" si="59"/>
        <v>6901642.1600438403</v>
      </c>
      <c r="L569" s="23">
        <f t="shared" si="67"/>
        <v>345082.10800219205</v>
      </c>
      <c r="M569" s="33">
        <v>25</v>
      </c>
      <c r="N569" s="18">
        <f t="shared" si="61"/>
        <v>23.2</v>
      </c>
      <c r="O569" s="23">
        <v>954577.64440175355</v>
      </c>
      <c r="P569" s="18">
        <f t="shared" si="62"/>
        <v>23.701369863013699</v>
      </c>
      <c r="Q569" s="18">
        <f t="shared" si="66"/>
        <v>131490.46460532877</v>
      </c>
      <c r="R569" s="18">
        <f t="shared" si="60"/>
        <v>1086068.1090070824</v>
      </c>
      <c r="S569" s="18">
        <f t="shared" si="64"/>
        <v>5815574.0510367583</v>
      </c>
    </row>
    <row r="570" spans="1:19" ht="18.75" customHeight="1" x14ac:dyDescent="0.25">
      <c r="A570" s="14">
        <f t="shared" si="63"/>
        <v>567</v>
      </c>
      <c r="B570" s="31" t="s">
        <v>547</v>
      </c>
      <c r="C570" s="15" t="s">
        <v>3</v>
      </c>
      <c r="D570" s="31" t="s">
        <v>500</v>
      </c>
      <c r="E570" s="31"/>
      <c r="F570" s="73" t="s">
        <v>8</v>
      </c>
      <c r="G570" s="32">
        <v>24838</v>
      </c>
      <c r="H570" s="29">
        <v>10.199999999999989</v>
      </c>
      <c r="I570" s="17">
        <v>0</v>
      </c>
      <c r="J570" s="17">
        <v>0</v>
      </c>
      <c r="K570" s="17">
        <f t="shared" si="59"/>
        <v>10.199999999999989</v>
      </c>
      <c r="L570" s="23">
        <f t="shared" si="67"/>
        <v>0.50999999999999945</v>
      </c>
      <c r="M570" s="33">
        <v>15</v>
      </c>
      <c r="N570" s="18">
        <f t="shared" si="61"/>
        <v>53.287671232876711</v>
      </c>
      <c r="O570" s="23">
        <v>182733.45</v>
      </c>
      <c r="P570" s="18">
        <f t="shared" si="62"/>
        <v>53.789041095890411</v>
      </c>
      <c r="Q570" s="18">
        <v>0</v>
      </c>
      <c r="R570" s="18">
        <f t="shared" si="60"/>
        <v>182733.45</v>
      </c>
      <c r="S570" s="18">
        <f t="shared" ref="S570:S571" si="70">L570</f>
        <v>0.50999999999999945</v>
      </c>
    </row>
    <row r="571" spans="1:19" ht="18.75" customHeight="1" x14ac:dyDescent="0.25">
      <c r="A571" s="14">
        <f t="shared" si="63"/>
        <v>568</v>
      </c>
      <c r="B571" s="31" t="s">
        <v>548</v>
      </c>
      <c r="C571" s="15" t="s">
        <v>3</v>
      </c>
      <c r="D571" s="31" t="s">
        <v>500</v>
      </c>
      <c r="E571" s="31"/>
      <c r="F571" s="70" t="s">
        <v>7</v>
      </c>
      <c r="G571" s="32">
        <v>25204</v>
      </c>
      <c r="H571" s="29">
        <v>272.19999999999982</v>
      </c>
      <c r="I571" s="17">
        <v>0</v>
      </c>
      <c r="J571" s="17">
        <v>0</v>
      </c>
      <c r="K571" s="17">
        <f t="shared" si="59"/>
        <v>272.19999999999982</v>
      </c>
      <c r="L571" s="23">
        <f t="shared" si="67"/>
        <v>13.609999999999992</v>
      </c>
      <c r="M571" s="33">
        <v>15</v>
      </c>
      <c r="N571" s="18">
        <f t="shared" si="61"/>
        <v>52.284931506849318</v>
      </c>
      <c r="O571" s="23">
        <v>1633895.5</v>
      </c>
      <c r="P571" s="18">
        <f t="shared" si="62"/>
        <v>52.786301369863011</v>
      </c>
      <c r="Q571" s="18">
        <v>0</v>
      </c>
      <c r="R571" s="18">
        <f t="shared" si="60"/>
        <v>1633895.5</v>
      </c>
      <c r="S571" s="18">
        <f t="shared" si="70"/>
        <v>13.609999999999992</v>
      </c>
    </row>
    <row r="572" spans="1:19" ht="18.75" customHeight="1" x14ac:dyDescent="0.25">
      <c r="A572" s="14">
        <f t="shared" si="63"/>
        <v>569</v>
      </c>
      <c r="B572" s="31" t="s">
        <v>549</v>
      </c>
      <c r="C572" s="15" t="s">
        <v>3</v>
      </c>
      <c r="D572" s="31" t="s">
        <v>500</v>
      </c>
      <c r="E572" s="31"/>
      <c r="F572" s="73" t="s">
        <v>4</v>
      </c>
      <c r="G572" s="32">
        <v>37257</v>
      </c>
      <c r="H572" s="29">
        <v>1430338.6198082191</v>
      </c>
      <c r="I572" s="17">
        <v>0</v>
      </c>
      <c r="J572" s="17">
        <v>0</v>
      </c>
      <c r="K572" s="17">
        <f t="shared" si="59"/>
        <v>1430338.6198082191</v>
      </c>
      <c r="L572" s="23">
        <f t="shared" si="67"/>
        <v>71516.930990410954</v>
      </c>
      <c r="M572" s="33">
        <v>25</v>
      </c>
      <c r="N572" s="18">
        <f t="shared" si="61"/>
        <v>19.263013698630136</v>
      </c>
      <c r="O572" s="23">
        <v>57419.518792328774</v>
      </c>
      <c r="P572" s="18">
        <f t="shared" si="62"/>
        <v>19.764383561643836</v>
      </c>
      <c r="Q572" s="18">
        <f t="shared" si="66"/>
        <v>27250.889759305162</v>
      </c>
      <c r="R572" s="18">
        <f t="shared" si="60"/>
        <v>84670.40855163394</v>
      </c>
      <c r="S572" s="18">
        <f t="shared" si="64"/>
        <v>1345668.2112565851</v>
      </c>
    </row>
    <row r="573" spans="1:19" ht="18.75" customHeight="1" x14ac:dyDescent="0.25">
      <c r="A573" s="14">
        <f t="shared" si="63"/>
        <v>570</v>
      </c>
      <c r="B573" s="31" t="s">
        <v>550</v>
      </c>
      <c r="C573" s="15" t="s">
        <v>3</v>
      </c>
      <c r="D573" s="31" t="s">
        <v>500</v>
      </c>
      <c r="E573" s="31"/>
      <c r="F573" s="73" t="s">
        <v>11</v>
      </c>
      <c r="G573" s="32">
        <v>39124</v>
      </c>
      <c r="H573" s="29">
        <v>1445671.1764462464</v>
      </c>
      <c r="I573" s="17">
        <v>0</v>
      </c>
      <c r="J573" s="17">
        <v>0</v>
      </c>
      <c r="K573" s="17">
        <f t="shared" si="59"/>
        <v>1445671.1764462464</v>
      </c>
      <c r="L573" s="23">
        <f t="shared" si="67"/>
        <v>72283.55882231232</v>
      </c>
      <c r="M573" s="33">
        <v>25</v>
      </c>
      <c r="N573" s="18">
        <f t="shared" si="61"/>
        <v>14.147945205479452</v>
      </c>
      <c r="O573" s="23">
        <v>118040.20009784985</v>
      </c>
      <c r="P573" s="18">
        <f t="shared" si="62"/>
        <v>14.64931506849315</v>
      </c>
      <c r="Q573" s="18">
        <f t="shared" si="66"/>
        <v>27543.006468512845</v>
      </c>
      <c r="R573" s="18">
        <f t="shared" si="60"/>
        <v>145583.2065663627</v>
      </c>
      <c r="S573" s="18">
        <f t="shared" si="64"/>
        <v>1300087.9698798838</v>
      </c>
    </row>
    <row r="574" spans="1:19" ht="18.75" customHeight="1" x14ac:dyDescent="0.25">
      <c r="A574" s="14">
        <f t="shared" si="63"/>
        <v>571</v>
      </c>
      <c r="B574" s="31" t="s">
        <v>532</v>
      </c>
      <c r="C574" s="15" t="s">
        <v>3</v>
      </c>
      <c r="D574" s="31" t="s">
        <v>500</v>
      </c>
      <c r="E574" s="31"/>
      <c r="F574" s="73" t="s">
        <v>11</v>
      </c>
      <c r="G574" s="32">
        <v>40244</v>
      </c>
      <c r="H574" s="29">
        <v>1520470.2500718904</v>
      </c>
      <c r="I574" s="17">
        <v>0</v>
      </c>
      <c r="J574" s="17">
        <v>0</v>
      </c>
      <c r="K574" s="17">
        <f t="shared" si="59"/>
        <v>1520470.2500718904</v>
      </c>
      <c r="L574" s="23">
        <f t="shared" si="67"/>
        <v>76023.512503594524</v>
      </c>
      <c r="M574" s="33">
        <v>25</v>
      </c>
      <c r="N574" s="18">
        <f t="shared" si="61"/>
        <v>11.079452054794521</v>
      </c>
      <c r="O574" s="23">
        <v>939307.48772287567</v>
      </c>
      <c r="P574" s="18">
        <f t="shared" si="62"/>
        <v>11.580821917808219</v>
      </c>
      <c r="Q574" s="18">
        <f t="shared" si="66"/>
        <v>28968.08251780799</v>
      </c>
      <c r="R574" s="18">
        <f t="shared" si="60"/>
        <v>968275.57024068362</v>
      </c>
      <c r="S574" s="18">
        <f t="shared" si="64"/>
        <v>552194.6798312068</v>
      </c>
    </row>
    <row r="575" spans="1:19" ht="18.75" customHeight="1" x14ac:dyDescent="0.25">
      <c r="A575" s="14">
        <f t="shared" si="63"/>
        <v>572</v>
      </c>
      <c r="B575" s="31" t="s">
        <v>551</v>
      </c>
      <c r="C575" s="15" t="s">
        <v>3</v>
      </c>
      <c r="D575" s="31" t="s">
        <v>500</v>
      </c>
      <c r="E575" s="31"/>
      <c r="F575" s="73" t="s">
        <v>11</v>
      </c>
      <c r="G575" s="32">
        <v>39033</v>
      </c>
      <c r="H575" s="29">
        <v>1296486.6633606027</v>
      </c>
      <c r="I575" s="17">
        <v>0</v>
      </c>
      <c r="J575" s="17">
        <v>0</v>
      </c>
      <c r="K575" s="17">
        <f t="shared" si="59"/>
        <v>1296486.6633606027</v>
      </c>
      <c r="L575" s="23">
        <f t="shared" si="67"/>
        <v>64824.333168030134</v>
      </c>
      <c r="M575" s="33">
        <v>25</v>
      </c>
      <c r="N575" s="18">
        <f t="shared" si="61"/>
        <v>14.397260273972602</v>
      </c>
      <c r="O575" s="23">
        <v>50721.550154424105</v>
      </c>
      <c r="P575" s="18">
        <f t="shared" si="62"/>
        <v>14.898630136986302</v>
      </c>
      <c r="Q575" s="18">
        <f t="shared" si="66"/>
        <v>24700.734950711383</v>
      </c>
      <c r="R575" s="18">
        <f t="shared" si="60"/>
        <v>75422.285105135496</v>
      </c>
      <c r="S575" s="18">
        <f t="shared" si="64"/>
        <v>1221064.3782554672</v>
      </c>
    </row>
    <row r="576" spans="1:19" ht="18.75" customHeight="1" x14ac:dyDescent="0.25">
      <c r="A576" s="14">
        <f t="shared" si="63"/>
        <v>573</v>
      </c>
      <c r="B576" s="31" t="s">
        <v>552</v>
      </c>
      <c r="C576" s="15" t="s">
        <v>3</v>
      </c>
      <c r="D576" s="31" t="s">
        <v>500</v>
      </c>
      <c r="E576" s="31"/>
      <c r="F576" s="73" t="s">
        <v>8</v>
      </c>
      <c r="G576" s="32">
        <v>39113</v>
      </c>
      <c r="H576" s="29">
        <v>1204259.5462938081</v>
      </c>
      <c r="I576" s="17">
        <v>0</v>
      </c>
      <c r="J576" s="17">
        <v>0</v>
      </c>
      <c r="K576" s="17">
        <f t="shared" si="59"/>
        <v>1204259.5462938081</v>
      </c>
      <c r="L576" s="23">
        <f t="shared" si="67"/>
        <v>60212.977314690412</v>
      </c>
      <c r="M576" s="33">
        <v>25</v>
      </c>
      <c r="N576" s="18">
        <f t="shared" si="61"/>
        <v>14.178082191780822</v>
      </c>
      <c r="O576" s="23">
        <v>1448387.3238917524</v>
      </c>
      <c r="P576" s="18">
        <f t="shared" si="62"/>
        <v>14.67945205479452</v>
      </c>
      <c r="Q576" s="18">
        <f t="shared" si="66"/>
        <v>22943.61886281407</v>
      </c>
      <c r="R576" s="18">
        <f t="shared" si="60"/>
        <v>1471330.9427545664</v>
      </c>
      <c r="S576" s="18">
        <f>L576</f>
        <v>60212.977314690412</v>
      </c>
    </row>
    <row r="577" spans="1:19" ht="18.75" customHeight="1" x14ac:dyDescent="0.25">
      <c r="A577" s="14">
        <f t="shared" si="63"/>
        <v>574</v>
      </c>
      <c r="B577" s="31" t="s">
        <v>553</v>
      </c>
      <c r="C577" s="15" t="s">
        <v>3</v>
      </c>
      <c r="D577" s="31" t="s">
        <v>500</v>
      </c>
      <c r="E577" s="31"/>
      <c r="F577" s="73" t="s">
        <v>8</v>
      </c>
      <c r="G577" s="32">
        <v>39415</v>
      </c>
      <c r="H577" s="29">
        <v>1224387.8699164386</v>
      </c>
      <c r="I577" s="17">
        <v>0</v>
      </c>
      <c r="J577" s="17">
        <v>0</v>
      </c>
      <c r="K577" s="17">
        <f t="shared" si="59"/>
        <v>1224387.8699164386</v>
      </c>
      <c r="L577" s="23">
        <f t="shared" si="67"/>
        <v>61219.393495821932</v>
      </c>
      <c r="M577" s="33">
        <v>25</v>
      </c>
      <c r="N577" s="18">
        <f t="shared" si="61"/>
        <v>13.35068493150685</v>
      </c>
      <c r="O577" s="23">
        <v>947057.77629665751</v>
      </c>
      <c r="P577" s="18">
        <f t="shared" si="62"/>
        <v>13.852054794520548</v>
      </c>
      <c r="Q577" s="18">
        <f t="shared" si="66"/>
        <v>23327.104787394266</v>
      </c>
      <c r="R577" s="18">
        <f t="shared" si="60"/>
        <v>970384.8810840518</v>
      </c>
      <c r="S577" s="18">
        <f t="shared" si="64"/>
        <v>254002.98883238679</v>
      </c>
    </row>
    <row r="578" spans="1:19" ht="18.75" customHeight="1" x14ac:dyDescent="0.25">
      <c r="A578" s="14">
        <f t="shared" si="63"/>
        <v>575</v>
      </c>
      <c r="B578" s="31" t="s">
        <v>554</v>
      </c>
      <c r="C578" s="15" t="s">
        <v>3</v>
      </c>
      <c r="D578" s="31" t="s">
        <v>500</v>
      </c>
      <c r="E578" s="31"/>
      <c r="F578" s="73" t="s">
        <v>11</v>
      </c>
      <c r="G578" s="32">
        <v>37210</v>
      </c>
      <c r="H578" s="29">
        <v>1136117.0758575343</v>
      </c>
      <c r="I578" s="17">
        <v>0</v>
      </c>
      <c r="J578" s="17">
        <v>0</v>
      </c>
      <c r="K578" s="17">
        <f t="shared" si="59"/>
        <v>1136117.0758575343</v>
      </c>
      <c r="L578" s="23">
        <f t="shared" si="67"/>
        <v>56805.853792876718</v>
      </c>
      <c r="M578" s="33">
        <v>25</v>
      </c>
      <c r="N578" s="18">
        <f t="shared" si="61"/>
        <v>19.391780821917809</v>
      </c>
      <c r="O578" s="23">
        <v>74608.309034301376</v>
      </c>
      <c r="P578" s="18">
        <f t="shared" si="62"/>
        <v>19.893150684931506</v>
      </c>
      <c r="Q578" s="18">
        <f t="shared" si="66"/>
        <v>21645.364782228109</v>
      </c>
      <c r="R578" s="18">
        <f t="shared" si="60"/>
        <v>96253.673816529481</v>
      </c>
      <c r="S578" s="18">
        <f t="shared" si="64"/>
        <v>1039863.4020410049</v>
      </c>
    </row>
    <row r="579" spans="1:19" ht="18.75" customHeight="1" x14ac:dyDescent="0.25">
      <c r="A579" s="14">
        <f t="shared" si="63"/>
        <v>576</v>
      </c>
      <c r="B579" s="31" t="s">
        <v>555</v>
      </c>
      <c r="C579" s="15" t="s">
        <v>3</v>
      </c>
      <c r="D579" s="31" t="s">
        <v>500</v>
      </c>
      <c r="E579" s="31"/>
      <c r="F579" s="73" t="s">
        <v>11</v>
      </c>
      <c r="G579" s="32">
        <v>40863</v>
      </c>
      <c r="H579" s="29">
        <v>1239220.4628543013</v>
      </c>
      <c r="I579" s="17">
        <v>0</v>
      </c>
      <c r="J579" s="17">
        <v>0</v>
      </c>
      <c r="K579" s="17">
        <f t="shared" si="59"/>
        <v>1239220.4628543013</v>
      </c>
      <c r="L579" s="23">
        <f t="shared" si="67"/>
        <v>61961.023142715072</v>
      </c>
      <c r="M579" s="33">
        <v>25</v>
      </c>
      <c r="N579" s="18">
        <f t="shared" si="61"/>
        <v>9.3835616438356162</v>
      </c>
      <c r="O579" s="23">
        <v>56883.886734172054</v>
      </c>
      <c r="P579" s="18">
        <f t="shared" si="62"/>
        <v>9.8849315068493144</v>
      </c>
      <c r="Q579" s="18">
        <f t="shared" si="66"/>
        <v>23609.696160791245</v>
      </c>
      <c r="R579" s="18">
        <f t="shared" si="60"/>
        <v>80493.5828949633</v>
      </c>
      <c r="S579" s="18">
        <f t="shared" si="64"/>
        <v>1158726.8799593381</v>
      </c>
    </row>
    <row r="580" spans="1:19" ht="18.75" customHeight="1" x14ac:dyDescent="0.25">
      <c r="A580" s="14">
        <f t="shared" si="63"/>
        <v>577</v>
      </c>
      <c r="B580" s="31" t="s">
        <v>556</v>
      </c>
      <c r="C580" s="15" t="s">
        <v>3</v>
      </c>
      <c r="D580" s="31" t="s">
        <v>500</v>
      </c>
      <c r="E580" s="31"/>
      <c r="F580" s="70" t="s">
        <v>7</v>
      </c>
      <c r="G580" s="32">
        <v>23743</v>
      </c>
      <c r="H580" s="29">
        <v>301.80000000000018</v>
      </c>
      <c r="I580" s="17">
        <v>0</v>
      </c>
      <c r="J580" s="17">
        <v>0</v>
      </c>
      <c r="K580" s="17">
        <f t="shared" ref="K580:K643" si="71">H580+I580-J580</f>
        <v>301.80000000000018</v>
      </c>
      <c r="L580" s="23">
        <f t="shared" si="67"/>
        <v>15.090000000000011</v>
      </c>
      <c r="M580" s="33">
        <v>15</v>
      </c>
      <c r="N580" s="18">
        <f t="shared" si="61"/>
        <v>56.287671232876711</v>
      </c>
      <c r="O580" s="23">
        <v>413713.6</v>
      </c>
      <c r="P580" s="18">
        <f t="shared" si="62"/>
        <v>56.789041095890411</v>
      </c>
      <c r="Q580" s="18">
        <v>0</v>
      </c>
      <c r="R580" s="18">
        <f t="shared" ref="R580:R643" si="72">Q580+O580</f>
        <v>413713.6</v>
      </c>
      <c r="S580" s="18">
        <f>L580</f>
        <v>15.090000000000011</v>
      </c>
    </row>
    <row r="581" spans="1:19" ht="18.75" customHeight="1" x14ac:dyDescent="0.25">
      <c r="A581" s="14">
        <f t="shared" si="63"/>
        <v>578</v>
      </c>
      <c r="B581" s="31" t="s">
        <v>557</v>
      </c>
      <c r="C581" s="15" t="s">
        <v>3</v>
      </c>
      <c r="D581" s="31" t="s">
        <v>500</v>
      </c>
      <c r="E581" s="31"/>
      <c r="F581" s="73" t="s">
        <v>11</v>
      </c>
      <c r="G581" s="32">
        <v>39033</v>
      </c>
      <c r="H581" s="29">
        <v>1078354.5034015342</v>
      </c>
      <c r="I581" s="17">
        <v>0</v>
      </c>
      <c r="J581" s="17">
        <v>0</v>
      </c>
      <c r="K581" s="17">
        <f t="shared" si="71"/>
        <v>1078354.5034015342</v>
      </c>
      <c r="L581" s="23">
        <f t="shared" si="67"/>
        <v>53917.725170076708</v>
      </c>
      <c r="M581" s="33">
        <v>25</v>
      </c>
      <c r="N581" s="18">
        <f t="shared" ref="N581:N644" si="73">IF(($N$2-G581+1)/365&gt;0,($N$2-G581+1)/365,0)</f>
        <v>14.397260273972602</v>
      </c>
      <c r="O581" s="23">
        <v>109222.23769606136</v>
      </c>
      <c r="P581" s="18">
        <f t="shared" ref="P581:P644" si="74">($P$2-G581+1)/365</f>
        <v>14.898630136986302</v>
      </c>
      <c r="Q581" s="18">
        <f t="shared" si="66"/>
        <v>20544.86908672408</v>
      </c>
      <c r="R581" s="18">
        <f t="shared" si="72"/>
        <v>129767.10678278544</v>
      </c>
      <c r="S581" s="18">
        <f t="shared" ref="S581:S643" si="75">K581-R581</f>
        <v>948587.39661874878</v>
      </c>
    </row>
    <row r="582" spans="1:19" ht="18.75" customHeight="1" x14ac:dyDescent="0.25">
      <c r="A582" s="14">
        <f t="shared" ref="A582:A645" si="76">+A581+1</f>
        <v>579</v>
      </c>
      <c r="B582" s="31" t="s">
        <v>558</v>
      </c>
      <c r="C582" s="15" t="s">
        <v>3</v>
      </c>
      <c r="D582" s="31" t="s">
        <v>500</v>
      </c>
      <c r="E582" s="31"/>
      <c r="F582" s="73" t="s">
        <v>11</v>
      </c>
      <c r="G582" s="32">
        <v>38297</v>
      </c>
      <c r="H582" s="29">
        <v>1020550.805590685</v>
      </c>
      <c r="I582" s="17">
        <v>0</v>
      </c>
      <c r="J582" s="17">
        <v>0</v>
      </c>
      <c r="K582" s="17">
        <f t="shared" si="71"/>
        <v>1020550.805590685</v>
      </c>
      <c r="L582" s="23">
        <f t="shared" si="67"/>
        <v>51027.540279534252</v>
      </c>
      <c r="M582" s="33">
        <v>25</v>
      </c>
      <c r="N582" s="18">
        <f t="shared" si="73"/>
        <v>16.413698630136988</v>
      </c>
      <c r="O582" s="23">
        <v>55570.387783627462</v>
      </c>
      <c r="P582" s="18">
        <f t="shared" si="74"/>
        <v>16.915068493150685</v>
      </c>
      <c r="Q582" s="18">
        <f t="shared" si="66"/>
        <v>19443.589868705734</v>
      </c>
      <c r="R582" s="18">
        <f t="shared" si="72"/>
        <v>75013.977652333197</v>
      </c>
      <c r="S582" s="18">
        <f t="shared" si="75"/>
        <v>945536.82793835178</v>
      </c>
    </row>
    <row r="583" spans="1:19" ht="18.75" customHeight="1" x14ac:dyDescent="0.25">
      <c r="A583" s="14">
        <f t="shared" si="76"/>
        <v>580</v>
      </c>
      <c r="B583" s="31" t="s">
        <v>559</v>
      </c>
      <c r="C583" s="15" t="s">
        <v>3</v>
      </c>
      <c r="D583" s="31" t="s">
        <v>500</v>
      </c>
      <c r="E583" s="31"/>
      <c r="F583" s="73" t="s">
        <v>11</v>
      </c>
      <c r="G583" s="32">
        <v>35751</v>
      </c>
      <c r="H583" s="29">
        <v>1090570.83286027</v>
      </c>
      <c r="I583" s="17">
        <v>0</v>
      </c>
      <c r="J583" s="17">
        <v>0</v>
      </c>
      <c r="K583" s="17">
        <f t="shared" si="71"/>
        <v>1090570.83286027</v>
      </c>
      <c r="L583" s="23">
        <f t="shared" si="67"/>
        <v>54528.541643013508</v>
      </c>
      <c r="M583" s="33">
        <v>25</v>
      </c>
      <c r="N583" s="18">
        <f t="shared" si="73"/>
        <v>23.389041095890413</v>
      </c>
      <c r="O583" s="23">
        <v>102225.4993144108</v>
      </c>
      <c r="P583" s="18">
        <f t="shared" si="74"/>
        <v>23.890410958904109</v>
      </c>
      <c r="Q583" s="18">
        <f t="shared" si="66"/>
        <v>20777.615264959688</v>
      </c>
      <c r="R583" s="18">
        <f t="shared" si="72"/>
        <v>123003.11457937049</v>
      </c>
      <c r="S583" s="18">
        <f t="shared" si="75"/>
        <v>967567.71828089957</v>
      </c>
    </row>
    <row r="584" spans="1:19" ht="18.75" customHeight="1" x14ac:dyDescent="0.25">
      <c r="A584" s="14">
        <f t="shared" si="76"/>
        <v>581</v>
      </c>
      <c r="B584" s="31" t="s">
        <v>560</v>
      </c>
      <c r="C584" s="15" t="s">
        <v>3</v>
      </c>
      <c r="D584" s="31" t="s">
        <v>500</v>
      </c>
      <c r="E584" s="31"/>
      <c r="F584" s="73" t="s">
        <v>13</v>
      </c>
      <c r="G584" s="32">
        <v>39033</v>
      </c>
      <c r="H584" s="29">
        <v>1052064.4822123835</v>
      </c>
      <c r="I584" s="17">
        <v>0</v>
      </c>
      <c r="J584" s="17">
        <v>0</v>
      </c>
      <c r="K584" s="17">
        <f t="shared" si="71"/>
        <v>1052064.4822123835</v>
      </c>
      <c r="L584" s="23">
        <f t="shared" si="67"/>
        <v>52603.22411061918</v>
      </c>
      <c r="M584" s="33">
        <v>25</v>
      </c>
      <c r="N584" s="18">
        <f t="shared" si="73"/>
        <v>14.397260273972602</v>
      </c>
      <c r="O584" s="23">
        <v>63586.258808495346</v>
      </c>
      <c r="P584" s="18">
        <f t="shared" si="74"/>
        <v>14.898630136986302</v>
      </c>
      <c r="Q584" s="18">
        <f t="shared" si="66"/>
        <v>20043.990162479276</v>
      </c>
      <c r="R584" s="18">
        <f t="shared" si="72"/>
        <v>83630.248970974615</v>
      </c>
      <c r="S584" s="18">
        <f t="shared" si="75"/>
        <v>968434.23324140895</v>
      </c>
    </row>
    <row r="585" spans="1:19" ht="18.75" customHeight="1" x14ac:dyDescent="0.25">
      <c r="A585" s="14">
        <f t="shared" si="76"/>
        <v>582</v>
      </c>
      <c r="B585" s="31" t="s">
        <v>561</v>
      </c>
      <c r="C585" s="15" t="s">
        <v>3</v>
      </c>
      <c r="D585" s="31" t="s">
        <v>500</v>
      </c>
      <c r="E585" s="31"/>
      <c r="F585" s="73" t="s">
        <v>8</v>
      </c>
      <c r="G585" s="32">
        <v>36856</v>
      </c>
      <c r="H585" s="29">
        <v>891513.55594443833</v>
      </c>
      <c r="I585" s="17">
        <v>0</v>
      </c>
      <c r="J585" s="17">
        <v>0</v>
      </c>
      <c r="K585" s="17">
        <f t="shared" si="71"/>
        <v>891513.55594443833</v>
      </c>
      <c r="L585" s="23">
        <f t="shared" si="67"/>
        <v>44575.677797221921</v>
      </c>
      <c r="M585" s="33">
        <v>25</v>
      </c>
      <c r="N585" s="18">
        <f t="shared" si="73"/>
        <v>20.361643835616437</v>
      </c>
      <c r="O585" s="23">
        <v>34227.192217777534</v>
      </c>
      <c r="P585" s="18">
        <f t="shared" si="74"/>
        <v>20.863013698630137</v>
      </c>
      <c r="Q585" s="18">
        <f t="shared" si="66"/>
        <v>16985.165117911347</v>
      </c>
      <c r="R585" s="18">
        <f t="shared" si="72"/>
        <v>51212.357335688881</v>
      </c>
      <c r="S585" s="18">
        <f t="shared" si="75"/>
        <v>840301.19860874943</v>
      </c>
    </row>
    <row r="586" spans="1:19" ht="18.75" customHeight="1" x14ac:dyDescent="0.25">
      <c r="A586" s="14">
        <f t="shared" si="76"/>
        <v>583</v>
      </c>
      <c r="B586" s="31" t="s">
        <v>562</v>
      </c>
      <c r="C586" s="15" t="s">
        <v>3</v>
      </c>
      <c r="D586" s="31" t="s">
        <v>500</v>
      </c>
      <c r="E586" s="31"/>
      <c r="F586" s="73" t="s">
        <v>4</v>
      </c>
      <c r="G586" s="32">
        <v>38722</v>
      </c>
      <c r="H586" s="29">
        <v>849258.58742794523</v>
      </c>
      <c r="I586" s="17">
        <v>0</v>
      </c>
      <c r="J586" s="17">
        <v>0</v>
      </c>
      <c r="K586" s="17">
        <f t="shared" si="71"/>
        <v>849258.58742794523</v>
      </c>
      <c r="L586" s="23">
        <f t="shared" si="67"/>
        <v>42462.929371397266</v>
      </c>
      <c r="M586" s="33">
        <v>25</v>
      </c>
      <c r="N586" s="18">
        <f t="shared" si="73"/>
        <v>15.24931506849315</v>
      </c>
      <c r="O586" s="23">
        <v>48379.012517117808</v>
      </c>
      <c r="P586" s="18">
        <f t="shared" si="74"/>
        <v>15.75068493150685</v>
      </c>
      <c r="Q586" s="18">
        <f t="shared" si="66"/>
        <v>16180.121142394377</v>
      </c>
      <c r="R586" s="18">
        <f t="shared" si="72"/>
        <v>64559.133659512183</v>
      </c>
      <c r="S586" s="18">
        <f t="shared" si="75"/>
        <v>784699.45376843307</v>
      </c>
    </row>
    <row r="587" spans="1:19" ht="18.75" customHeight="1" x14ac:dyDescent="0.25">
      <c r="A587" s="14">
        <f t="shared" si="76"/>
        <v>584</v>
      </c>
      <c r="B587" s="31" t="s">
        <v>563</v>
      </c>
      <c r="C587" s="15" t="s">
        <v>3</v>
      </c>
      <c r="D587" s="31" t="s">
        <v>500</v>
      </c>
      <c r="E587" s="31"/>
      <c r="F587" s="73" t="s">
        <v>11</v>
      </c>
      <c r="G587" s="32">
        <v>36856</v>
      </c>
      <c r="H587" s="29">
        <v>798500.85871780827</v>
      </c>
      <c r="I587" s="17">
        <v>0</v>
      </c>
      <c r="J587" s="17">
        <v>0</v>
      </c>
      <c r="K587" s="17">
        <f t="shared" si="71"/>
        <v>798500.85871780827</v>
      </c>
      <c r="L587" s="23">
        <f t="shared" si="67"/>
        <v>39925.042935890415</v>
      </c>
      <c r="M587" s="33">
        <v>25</v>
      </c>
      <c r="N587" s="18">
        <f t="shared" si="73"/>
        <v>20.361643835616437</v>
      </c>
      <c r="O587" s="23">
        <v>93833.972348712326</v>
      </c>
      <c r="P587" s="18">
        <f t="shared" si="74"/>
        <v>20.863013698630137</v>
      </c>
      <c r="Q587" s="18">
        <f t="shared" si="66"/>
        <v>15213.082113763438</v>
      </c>
      <c r="R587" s="18">
        <f t="shared" si="72"/>
        <v>109047.05446247576</v>
      </c>
      <c r="S587" s="18">
        <f t="shared" si="75"/>
        <v>689453.80425533256</v>
      </c>
    </row>
    <row r="588" spans="1:19" ht="18.75" customHeight="1" x14ac:dyDescent="0.25">
      <c r="A588" s="14">
        <f t="shared" si="76"/>
        <v>585</v>
      </c>
      <c r="B588" s="31" t="s">
        <v>564</v>
      </c>
      <c r="C588" s="15" t="s">
        <v>3</v>
      </c>
      <c r="D588" s="31" t="s">
        <v>500</v>
      </c>
      <c r="E588" s="31"/>
      <c r="F588" s="73" t="s">
        <v>9</v>
      </c>
      <c r="G588" s="32">
        <v>36129</v>
      </c>
      <c r="H588" s="29">
        <v>912430.16688767145</v>
      </c>
      <c r="I588" s="17">
        <v>0</v>
      </c>
      <c r="J588" s="17">
        <v>0</v>
      </c>
      <c r="K588" s="17">
        <f t="shared" si="71"/>
        <v>912430.16688767145</v>
      </c>
      <c r="L588" s="23">
        <f t="shared" si="67"/>
        <v>45621.508344383576</v>
      </c>
      <c r="M588" s="33">
        <v>25</v>
      </c>
      <c r="N588" s="18">
        <f t="shared" si="73"/>
        <v>22.353424657534248</v>
      </c>
      <c r="O588" s="23">
        <v>5467101.6386755072</v>
      </c>
      <c r="P588" s="18">
        <f t="shared" si="74"/>
        <v>22.854794520547944</v>
      </c>
      <c r="Q588" s="18">
        <f t="shared" si="66"/>
        <v>17383.66953571737</v>
      </c>
      <c r="R588" s="18">
        <f t="shared" si="72"/>
        <v>5484485.3082112242</v>
      </c>
      <c r="S588" s="18">
        <f>L588</f>
        <v>45621.508344383576</v>
      </c>
    </row>
    <row r="589" spans="1:19" ht="18.75" customHeight="1" x14ac:dyDescent="0.25">
      <c r="A589" s="14">
        <f t="shared" si="76"/>
        <v>586</v>
      </c>
      <c r="B589" s="31" t="s">
        <v>565</v>
      </c>
      <c r="C589" s="15" t="s">
        <v>3</v>
      </c>
      <c r="D589" s="31" t="s">
        <v>500</v>
      </c>
      <c r="E589" s="31"/>
      <c r="F589" s="73" t="s">
        <v>8</v>
      </c>
      <c r="G589" s="32">
        <v>41618</v>
      </c>
      <c r="H589" s="29">
        <v>1376308.8275217535</v>
      </c>
      <c r="I589" s="17">
        <v>0</v>
      </c>
      <c r="J589" s="17">
        <v>0</v>
      </c>
      <c r="K589" s="17">
        <f t="shared" si="71"/>
        <v>1376308.8275217535</v>
      </c>
      <c r="L589" s="23">
        <f t="shared" si="67"/>
        <v>68815.441376087678</v>
      </c>
      <c r="M589" s="33">
        <v>25</v>
      </c>
      <c r="N589" s="18">
        <f t="shared" si="73"/>
        <v>7.3150684931506849</v>
      </c>
      <c r="O589" s="23">
        <v>1119947.6171408701</v>
      </c>
      <c r="P589" s="18">
        <f t="shared" si="74"/>
        <v>7.816438356164384</v>
      </c>
      <c r="Q589" s="18">
        <f t="shared" si="66"/>
        <v>26221.511196126805</v>
      </c>
      <c r="R589" s="18">
        <f t="shared" si="72"/>
        <v>1146169.1283369968</v>
      </c>
      <c r="S589" s="18">
        <f t="shared" si="75"/>
        <v>230139.69918475673</v>
      </c>
    </row>
    <row r="590" spans="1:19" ht="18.75" customHeight="1" x14ac:dyDescent="0.25">
      <c r="A590" s="14">
        <f t="shared" si="76"/>
        <v>587</v>
      </c>
      <c r="B590" s="31" t="s">
        <v>566</v>
      </c>
      <c r="C590" s="15" t="s">
        <v>3</v>
      </c>
      <c r="D590" s="31" t="s">
        <v>500</v>
      </c>
      <c r="E590" s="31"/>
      <c r="F590" s="73" t="s">
        <v>11</v>
      </c>
      <c r="G590" s="32">
        <v>35504</v>
      </c>
      <c r="H590" s="29">
        <v>1144362.88641096</v>
      </c>
      <c r="I590" s="17">
        <v>0</v>
      </c>
      <c r="J590" s="17">
        <v>0</v>
      </c>
      <c r="K590" s="17">
        <f t="shared" si="71"/>
        <v>1144362.88641096</v>
      </c>
      <c r="L590" s="23">
        <f t="shared" si="67"/>
        <v>57218.144320548003</v>
      </c>
      <c r="M590" s="33">
        <v>25</v>
      </c>
      <c r="N590" s="18">
        <f t="shared" si="73"/>
        <v>24.065753424657533</v>
      </c>
      <c r="O590" s="23">
        <v>250346.7854564384</v>
      </c>
      <c r="P590" s="18">
        <f t="shared" si="74"/>
        <v>24.567123287671233</v>
      </c>
      <c r="Q590" s="18">
        <f t="shared" si="66"/>
        <v>21802.464416717365</v>
      </c>
      <c r="R590" s="18">
        <f t="shared" si="72"/>
        <v>272149.24987315579</v>
      </c>
      <c r="S590" s="18">
        <f t="shared" si="75"/>
        <v>872213.63653780427</v>
      </c>
    </row>
    <row r="591" spans="1:19" ht="18.75" customHeight="1" x14ac:dyDescent="0.25">
      <c r="A591" s="14">
        <f t="shared" si="76"/>
        <v>588</v>
      </c>
      <c r="B591" s="31" t="s">
        <v>567</v>
      </c>
      <c r="C591" s="15" t="s">
        <v>3</v>
      </c>
      <c r="D591" s="31" t="s">
        <v>500</v>
      </c>
      <c r="E591" s="31"/>
      <c r="F591" s="73" t="s">
        <v>11</v>
      </c>
      <c r="G591" s="32">
        <v>36885</v>
      </c>
      <c r="H591" s="29">
        <v>740484.78078904108</v>
      </c>
      <c r="I591" s="17">
        <v>0</v>
      </c>
      <c r="J591" s="17">
        <v>0</v>
      </c>
      <c r="K591" s="17">
        <f t="shared" si="71"/>
        <v>740484.78078904108</v>
      </c>
      <c r="L591" s="23">
        <f t="shared" si="67"/>
        <v>37024.239039452055</v>
      </c>
      <c r="M591" s="33">
        <v>25</v>
      </c>
      <c r="N591" s="18">
        <f t="shared" si="73"/>
        <v>20.282191780821918</v>
      </c>
      <c r="O591" s="23">
        <v>27654.617231561642</v>
      </c>
      <c r="P591" s="18">
        <f t="shared" si="74"/>
        <v>20.783561643835615</v>
      </c>
      <c r="Q591" s="18">
        <f t="shared" si="66"/>
        <v>14107.756618101286</v>
      </c>
      <c r="R591" s="18">
        <f t="shared" si="72"/>
        <v>41762.37384966293</v>
      </c>
      <c r="S591" s="18">
        <f t="shared" si="75"/>
        <v>698722.40693937812</v>
      </c>
    </row>
    <row r="592" spans="1:19" ht="18.75" customHeight="1" x14ac:dyDescent="0.25">
      <c r="A592" s="14">
        <f t="shared" si="76"/>
        <v>589</v>
      </c>
      <c r="B592" s="31" t="s">
        <v>568</v>
      </c>
      <c r="C592" s="15" t="s">
        <v>3</v>
      </c>
      <c r="D592" s="31" t="s">
        <v>500</v>
      </c>
      <c r="E592" s="31"/>
      <c r="F592" s="73" t="s">
        <v>11</v>
      </c>
      <c r="G592" s="32">
        <v>38383</v>
      </c>
      <c r="H592" s="29">
        <v>689523.02483232878</v>
      </c>
      <c r="I592" s="17">
        <v>0</v>
      </c>
      <c r="J592" s="17">
        <v>0</v>
      </c>
      <c r="K592" s="17">
        <f t="shared" si="71"/>
        <v>689523.02483232878</v>
      </c>
      <c r="L592" s="23">
        <f t="shared" si="67"/>
        <v>34476.151241616441</v>
      </c>
      <c r="M592" s="33">
        <v>25</v>
      </c>
      <c r="N592" s="18">
        <f t="shared" si="73"/>
        <v>16.17808219178082</v>
      </c>
      <c r="O592" s="23">
        <v>82361.634793293109</v>
      </c>
      <c r="P592" s="18">
        <f t="shared" si="74"/>
        <v>16.67945205479452</v>
      </c>
      <c r="Q592" s="18">
        <f t="shared" si="66"/>
        <v>13136.830451189117</v>
      </c>
      <c r="R592" s="18">
        <f t="shared" si="72"/>
        <v>95498.465244482228</v>
      </c>
      <c r="S592" s="18">
        <f t="shared" si="75"/>
        <v>594024.55958784651</v>
      </c>
    </row>
    <row r="593" spans="1:19" ht="18.75" customHeight="1" x14ac:dyDescent="0.25">
      <c r="A593" s="14">
        <f t="shared" si="76"/>
        <v>590</v>
      </c>
      <c r="B593" s="31" t="s">
        <v>569</v>
      </c>
      <c r="C593" s="15" t="s">
        <v>3</v>
      </c>
      <c r="D593" s="31" t="s">
        <v>500</v>
      </c>
      <c r="E593" s="31"/>
      <c r="F593" s="70" t="s">
        <v>7</v>
      </c>
      <c r="G593" s="32">
        <v>24473</v>
      </c>
      <c r="H593" s="29">
        <v>338</v>
      </c>
      <c r="I593" s="17">
        <v>0</v>
      </c>
      <c r="J593" s="17">
        <v>0</v>
      </c>
      <c r="K593" s="17">
        <f t="shared" si="71"/>
        <v>338</v>
      </c>
      <c r="L593" s="23">
        <f t="shared" si="67"/>
        <v>16.900000000000002</v>
      </c>
      <c r="M593" s="33">
        <v>15</v>
      </c>
      <c r="N593" s="18">
        <f t="shared" si="73"/>
        <v>54.287671232876711</v>
      </c>
      <c r="O593" s="23">
        <v>2614.4</v>
      </c>
      <c r="P593" s="18">
        <f t="shared" si="74"/>
        <v>54.789041095890411</v>
      </c>
      <c r="Q593" s="18">
        <v>0</v>
      </c>
      <c r="R593" s="18">
        <f t="shared" si="72"/>
        <v>2614.4</v>
      </c>
      <c r="S593" s="18">
        <f>L593</f>
        <v>16.900000000000002</v>
      </c>
    </row>
    <row r="594" spans="1:19" ht="18.75" customHeight="1" x14ac:dyDescent="0.25">
      <c r="A594" s="14">
        <f t="shared" si="76"/>
        <v>591</v>
      </c>
      <c r="B594" s="31" t="s">
        <v>570</v>
      </c>
      <c r="C594" s="15" t="s">
        <v>3</v>
      </c>
      <c r="D594" s="31" t="s">
        <v>500</v>
      </c>
      <c r="E594" s="31"/>
      <c r="F594" s="73" t="s">
        <v>11</v>
      </c>
      <c r="G594" s="32">
        <v>38297</v>
      </c>
      <c r="H594" s="29">
        <v>585097.92233013699</v>
      </c>
      <c r="I594" s="17">
        <v>0</v>
      </c>
      <c r="J594" s="17">
        <v>0</v>
      </c>
      <c r="K594" s="17">
        <f t="shared" si="71"/>
        <v>585097.92233013699</v>
      </c>
      <c r="L594" s="23">
        <f t="shared" si="67"/>
        <v>29254.89611650685</v>
      </c>
      <c r="M594" s="33">
        <v>25</v>
      </c>
      <c r="N594" s="18">
        <f t="shared" si="73"/>
        <v>16.413698630136988</v>
      </c>
      <c r="O594" s="23">
        <v>184849.93319320551</v>
      </c>
      <c r="P594" s="18">
        <f t="shared" si="74"/>
        <v>16.915068493150685</v>
      </c>
      <c r="Q594" s="18">
        <f t="shared" si="66"/>
        <v>11147.317676393848</v>
      </c>
      <c r="R594" s="18">
        <f t="shared" si="72"/>
        <v>195997.25086959935</v>
      </c>
      <c r="S594" s="18">
        <f t="shared" si="75"/>
        <v>389100.67146053765</v>
      </c>
    </row>
    <row r="595" spans="1:19" ht="18.75" customHeight="1" x14ac:dyDescent="0.25">
      <c r="A595" s="14">
        <f t="shared" si="76"/>
        <v>592</v>
      </c>
      <c r="B595" s="31" t="s">
        <v>571</v>
      </c>
      <c r="C595" s="15" t="s">
        <v>3</v>
      </c>
      <c r="D595" s="31" t="s">
        <v>500</v>
      </c>
      <c r="E595" s="31"/>
      <c r="F595" s="73" t="s">
        <v>15</v>
      </c>
      <c r="G595" s="32">
        <v>35751</v>
      </c>
      <c r="H595" s="29">
        <v>885027.86588493176</v>
      </c>
      <c r="I595" s="17">
        <v>0</v>
      </c>
      <c r="J595" s="17">
        <v>0</v>
      </c>
      <c r="K595" s="17">
        <f t="shared" si="71"/>
        <v>885027.86588493176</v>
      </c>
      <c r="L595" s="23">
        <f t="shared" si="67"/>
        <v>44251.393294246591</v>
      </c>
      <c r="M595" s="33">
        <v>25</v>
      </c>
      <c r="N595" s="18">
        <f t="shared" si="73"/>
        <v>23.389041095890413</v>
      </c>
      <c r="O595" s="23">
        <v>2645903.7366353977</v>
      </c>
      <c r="P595" s="18">
        <f t="shared" si="74"/>
        <v>23.890410958904109</v>
      </c>
      <c r="Q595" s="18">
        <f t="shared" si="66"/>
        <v>16861.599395517231</v>
      </c>
      <c r="R595" s="18">
        <f t="shared" si="72"/>
        <v>2662765.3360309149</v>
      </c>
      <c r="S595" s="18">
        <f t="shared" ref="S595:S596" si="77">L595</f>
        <v>44251.393294246591</v>
      </c>
    </row>
    <row r="596" spans="1:19" ht="18.75" customHeight="1" x14ac:dyDescent="0.25">
      <c r="A596" s="14">
        <f t="shared" si="76"/>
        <v>593</v>
      </c>
      <c r="B596" s="31" t="s">
        <v>572</v>
      </c>
      <c r="C596" s="15" t="s">
        <v>3</v>
      </c>
      <c r="D596" s="31" t="s">
        <v>500</v>
      </c>
      <c r="E596" s="31"/>
      <c r="F596" s="73" t="s">
        <v>11</v>
      </c>
      <c r="G596" s="32">
        <v>36856</v>
      </c>
      <c r="H596" s="29">
        <v>566423.79297534248</v>
      </c>
      <c r="I596" s="17">
        <v>0</v>
      </c>
      <c r="J596" s="17">
        <v>0</v>
      </c>
      <c r="K596" s="17">
        <f t="shared" si="71"/>
        <v>566423.79297534248</v>
      </c>
      <c r="L596" s="23">
        <f t="shared" si="67"/>
        <v>28321.189648767126</v>
      </c>
      <c r="M596" s="33">
        <v>25</v>
      </c>
      <c r="N596" s="18">
        <f t="shared" si="73"/>
        <v>20.361643835616437</v>
      </c>
      <c r="O596" s="23">
        <v>1704799.1257190136</v>
      </c>
      <c r="P596" s="18">
        <f t="shared" si="74"/>
        <v>20.863013698630137</v>
      </c>
      <c r="Q596" s="18">
        <f t="shared" si="66"/>
        <v>10791.537140686418</v>
      </c>
      <c r="R596" s="18">
        <f t="shared" si="72"/>
        <v>1715590.6628597002</v>
      </c>
      <c r="S596" s="18">
        <f t="shared" si="77"/>
        <v>28321.189648767126</v>
      </c>
    </row>
    <row r="597" spans="1:19" ht="18.75" customHeight="1" x14ac:dyDescent="0.25">
      <c r="A597" s="14">
        <f t="shared" si="76"/>
        <v>594</v>
      </c>
      <c r="B597" s="31" t="s">
        <v>573</v>
      </c>
      <c r="C597" s="15" t="s">
        <v>3</v>
      </c>
      <c r="D597" s="31" t="s">
        <v>500</v>
      </c>
      <c r="E597" s="31"/>
      <c r="F597" s="73" t="s">
        <v>11</v>
      </c>
      <c r="G597" s="32">
        <v>37210</v>
      </c>
      <c r="H597" s="29">
        <v>548382.37286575336</v>
      </c>
      <c r="I597" s="17">
        <v>0</v>
      </c>
      <c r="J597" s="17">
        <v>0</v>
      </c>
      <c r="K597" s="17">
        <f t="shared" si="71"/>
        <v>548382.37286575336</v>
      </c>
      <c r="L597" s="23">
        <f t="shared" si="67"/>
        <v>27419.118643287671</v>
      </c>
      <c r="M597" s="33">
        <v>25</v>
      </c>
      <c r="N597" s="18">
        <f t="shared" si="73"/>
        <v>19.391780821917809</v>
      </c>
      <c r="O597" s="23">
        <v>455116.93691463012</v>
      </c>
      <c r="P597" s="18">
        <f t="shared" si="74"/>
        <v>19.893150684931506</v>
      </c>
      <c r="Q597" s="18">
        <f t="shared" si="66"/>
        <v>10447.811016187487</v>
      </c>
      <c r="R597" s="18">
        <f t="shared" si="72"/>
        <v>465564.7479308176</v>
      </c>
      <c r="S597" s="18">
        <f t="shared" si="75"/>
        <v>82817.624934935768</v>
      </c>
    </row>
    <row r="598" spans="1:19" ht="18.75" customHeight="1" x14ac:dyDescent="0.25">
      <c r="A598" s="14">
        <f t="shared" si="76"/>
        <v>595</v>
      </c>
      <c r="B598" s="31" t="s">
        <v>574</v>
      </c>
      <c r="C598" s="15" t="s">
        <v>3</v>
      </c>
      <c r="D598" s="31" t="s">
        <v>500</v>
      </c>
      <c r="E598" s="31"/>
      <c r="F598" s="73" t="s">
        <v>11</v>
      </c>
      <c r="G598" s="32">
        <v>37587</v>
      </c>
      <c r="H598" s="29">
        <v>536396.16095890407</v>
      </c>
      <c r="I598" s="17">
        <v>0</v>
      </c>
      <c r="J598" s="17">
        <v>0</v>
      </c>
      <c r="K598" s="17">
        <f t="shared" si="71"/>
        <v>536396.16095890407</v>
      </c>
      <c r="L598" s="23">
        <f t="shared" si="67"/>
        <v>26819.808047945204</v>
      </c>
      <c r="M598" s="33">
        <v>25</v>
      </c>
      <c r="N598" s="18">
        <f t="shared" si="73"/>
        <v>18.358904109589041</v>
      </c>
      <c r="O598" s="23">
        <v>80264.586438356171</v>
      </c>
      <c r="P598" s="18">
        <f t="shared" si="74"/>
        <v>18.860273972602741</v>
      </c>
      <c r="Q598" s="18">
        <f t="shared" ref="Q598:Q660" si="78">(P598-N598)/M598*(K598-L598)</f>
        <v>10219.449050159532</v>
      </c>
      <c r="R598" s="18">
        <f t="shared" si="72"/>
        <v>90484.035488515699</v>
      </c>
      <c r="S598" s="18">
        <f t="shared" si="75"/>
        <v>445912.12547038839</v>
      </c>
    </row>
    <row r="599" spans="1:19" ht="18.75" customHeight="1" x14ac:dyDescent="0.25">
      <c r="A599" s="14">
        <f t="shared" si="76"/>
        <v>596</v>
      </c>
      <c r="B599" s="31" t="s">
        <v>575</v>
      </c>
      <c r="C599" s="15" t="s">
        <v>3</v>
      </c>
      <c r="D599" s="31" t="s">
        <v>500</v>
      </c>
      <c r="E599" s="31"/>
      <c r="F599" s="73" t="s">
        <v>8</v>
      </c>
      <c r="G599" s="32">
        <v>35751</v>
      </c>
      <c r="H599" s="29">
        <v>797498.76651506871</v>
      </c>
      <c r="I599" s="17">
        <v>0</v>
      </c>
      <c r="J599" s="17">
        <v>0</v>
      </c>
      <c r="K599" s="17">
        <f t="shared" si="71"/>
        <v>797498.76651506871</v>
      </c>
      <c r="L599" s="23">
        <f t="shared" ref="L599:L662" si="79">H599*0.05</f>
        <v>39874.938325753435</v>
      </c>
      <c r="M599" s="33">
        <v>25</v>
      </c>
      <c r="N599" s="18">
        <f t="shared" si="73"/>
        <v>23.389041095890413</v>
      </c>
      <c r="O599" s="23">
        <v>30749.54266060275</v>
      </c>
      <c r="P599" s="18">
        <f t="shared" si="74"/>
        <v>23.890410958904109</v>
      </c>
      <c r="Q599" s="18">
        <f t="shared" si="78"/>
        <v>15193.990198207573</v>
      </c>
      <c r="R599" s="18">
        <f t="shared" si="72"/>
        <v>45943.532858810322</v>
      </c>
      <c r="S599" s="18">
        <f t="shared" si="75"/>
        <v>751555.23365625844</v>
      </c>
    </row>
    <row r="600" spans="1:19" ht="18.75" customHeight="1" x14ac:dyDescent="0.25">
      <c r="A600" s="14">
        <f t="shared" si="76"/>
        <v>597</v>
      </c>
      <c r="B600" s="31" t="s">
        <v>576</v>
      </c>
      <c r="C600" s="15" t="s">
        <v>3</v>
      </c>
      <c r="D600" s="31" t="s">
        <v>500</v>
      </c>
      <c r="E600" s="31"/>
      <c r="F600" s="73" t="s">
        <v>4</v>
      </c>
      <c r="G600" s="32">
        <v>38720</v>
      </c>
      <c r="H600" s="29">
        <v>514046.30790575338</v>
      </c>
      <c r="I600" s="17">
        <v>0</v>
      </c>
      <c r="J600" s="17">
        <v>0</v>
      </c>
      <c r="K600" s="17">
        <f t="shared" si="71"/>
        <v>514046.30790575338</v>
      </c>
      <c r="L600" s="23">
        <f t="shared" si="79"/>
        <v>25702.315395287671</v>
      </c>
      <c r="M600" s="33">
        <v>25</v>
      </c>
      <c r="N600" s="18">
        <f t="shared" si="73"/>
        <v>15.254794520547945</v>
      </c>
      <c r="O600" s="23">
        <v>742792.81951623014</v>
      </c>
      <c r="P600" s="18">
        <f t="shared" si="74"/>
        <v>15.756164383561643</v>
      </c>
      <c r="Q600" s="18">
        <f t="shared" si="78"/>
        <v>9793.6384251413874</v>
      </c>
      <c r="R600" s="18">
        <f t="shared" si="72"/>
        <v>752586.45794137148</v>
      </c>
      <c r="S600" s="18">
        <f>L600</f>
        <v>25702.315395287671</v>
      </c>
    </row>
    <row r="601" spans="1:19" ht="18.75" customHeight="1" x14ac:dyDescent="0.25">
      <c r="A601" s="14">
        <f t="shared" si="76"/>
        <v>598</v>
      </c>
      <c r="B601" s="31" t="s">
        <v>577</v>
      </c>
      <c r="C601" s="15" t="s">
        <v>3</v>
      </c>
      <c r="D601" s="31" t="s">
        <v>500</v>
      </c>
      <c r="E601" s="31"/>
      <c r="F601" s="73" t="s">
        <v>11</v>
      </c>
      <c r="G601" s="32">
        <v>36129</v>
      </c>
      <c r="H601" s="29">
        <v>601083.7945643838</v>
      </c>
      <c r="I601" s="17">
        <v>0</v>
      </c>
      <c r="J601" s="17">
        <v>0</v>
      </c>
      <c r="K601" s="17">
        <f t="shared" si="71"/>
        <v>601083.7945643838</v>
      </c>
      <c r="L601" s="23">
        <f t="shared" si="79"/>
        <v>30054.189728219193</v>
      </c>
      <c r="M601" s="33">
        <v>25</v>
      </c>
      <c r="N601" s="18">
        <f t="shared" si="73"/>
        <v>22.353424657534248</v>
      </c>
      <c r="O601" s="23">
        <v>52801.259782575355</v>
      </c>
      <c r="P601" s="18">
        <f t="shared" si="74"/>
        <v>22.854794520547944</v>
      </c>
      <c r="Q601" s="18">
        <f t="shared" si="78"/>
        <v>11451.881390138924</v>
      </c>
      <c r="R601" s="18">
        <f t="shared" si="72"/>
        <v>64253.141172714277</v>
      </c>
      <c r="S601" s="18">
        <f t="shared" si="75"/>
        <v>536830.6533916695</v>
      </c>
    </row>
    <row r="602" spans="1:19" ht="18.75" customHeight="1" x14ac:dyDescent="0.25">
      <c r="A602" s="14">
        <f t="shared" si="76"/>
        <v>599</v>
      </c>
      <c r="B602" s="31" t="s">
        <v>578</v>
      </c>
      <c r="C602" s="15" t="s">
        <v>3</v>
      </c>
      <c r="D602" s="31" t="s">
        <v>500</v>
      </c>
      <c r="E602" s="31"/>
      <c r="F602" s="73" t="s">
        <v>13</v>
      </c>
      <c r="G602" s="32">
        <v>36129</v>
      </c>
      <c r="H602" s="29">
        <v>599270.38700821926</v>
      </c>
      <c r="I602" s="17">
        <v>0</v>
      </c>
      <c r="J602" s="17">
        <v>0</v>
      </c>
      <c r="K602" s="17">
        <f t="shared" si="71"/>
        <v>599270.38700821926</v>
      </c>
      <c r="L602" s="23">
        <f t="shared" si="79"/>
        <v>29963.519350410963</v>
      </c>
      <c r="M602" s="33">
        <v>25</v>
      </c>
      <c r="N602" s="18">
        <f t="shared" si="73"/>
        <v>22.353424657534248</v>
      </c>
      <c r="O602" s="23">
        <v>226845.86948032878</v>
      </c>
      <c r="P602" s="18">
        <f t="shared" si="74"/>
        <v>22.854794520547944</v>
      </c>
      <c r="Q602" s="18">
        <f t="shared" si="78"/>
        <v>11417.33225001408</v>
      </c>
      <c r="R602" s="18">
        <f t="shared" si="72"/>
        <v>238263.20173034287</v>
      </c>
      <c r="S602" s="18">
        <f t="shared" si="75"/>
        <v>361007.18527787639</v>
      </c>
    </row>
    <row r="603" spans="1:19" ht="18.75" customHeight="1" x14ac:dyDescent="0.25">
      <c r="A603" s="14">
        <f t="shared" si="76"/>
        <v>600</v>
      </c>
      <c r="B603" s="31" t="s">
        <v>579</v>
      </c>
      <c r="C603" s="15" t="s">
        <v>3</v>
      </c>
      <c r="D603" s="31" t="s">
        <v>500</v>
      </c>
      <c r="E603" s="31"/>
      <c r="F603" s="73" t="s">
        <v>11</v>
      </c>
      <c r="G603" s="32">
        <v>38657</v>
      </c>
      <c r="H603" s="29">
        <v>490636.2711008219</v>
      </c>
      <c r="I603" s="17">
        <v>0</v>
      </c>
      <c r="J603" s="17">
        <v>0</v>
      </c>
      <c r="K603" s="17">
        <f t="shared" si="71"/>
        <v>490636.2711008219</v>
      </c>
      <c r="L603" s="23">
        <f t="shared" si="79"/>
        <v>24531.813555041095</v>
      </c>
      <c r="M603" s="33">
        <v>25</v>
      </c>
      <c r="N603" s="18">
        <f t="shared" si="73"/>
        <v>15.427397260273972</v>
      </c>
      <c r="O603" s="23">
        <v>406699.60888403287</v>
      </c>
      <c r="P603" s="18">
        <f t="shared" si="74"/>
        <v>15.92876712328767</v>
      </c>
      <c r="Q603" s="18">
        <f t="shared" si="78"/>
        <v>9347.6291211920889</v>
      </c>
      <c r="R603" s="18">
        <f t="shared" si="72"/>
        <v>416047.23800522496</v>
      </c>
      <c r="S603" s="18">
        <f t="shared" si="75"/>
        <v>74589.03309559694</v>
      </c>
    </row>
    <row r="604" spans="1:19" ht="18.75" customHeight="1" x14ac:dyDescent="0.25">
      <c r="A604" s="14">
        <f t="shared" si="76"/>
        <v>601</v>
      </c>
      <c r="B604" s="31" t="s">
        <v>580</v>
      </c>
      <c r="C604" s="15" t="s">
        <v>3</v>
      </c>
      <c r="D604" s="31" t="s">
        <v>500</v>
      </c>
      <c r="E604" s="31"/>
      <c r="F604" s="73" t="s">
        <v>14</v>
      </c>
      <c r="G604" s="32">
        <v>37986</v>
      </c>
      <c r="H604" s="29">
        <v>473433.71852273977</v>
      </c>
      <c r="I604" s="17">
        <v>0</v>
      </c>
      <c r="J604" s="17">
        <v>0</v>
      </c>
      <c r="K604" s="17">
        <f t="shared" si="71"/>
        <v>473433.71852273977</v>
      </c>
      <c r="L604" s="23">
        <f t="shared" si="79"/>
        <v>23671.68592613699</v>
      </c>
      <c r="M604" s="33">
        <v>25</v>
      </c>
      <c r="N604" s="18">
        <f t="shared" si="73"/>
        <v>17.265753424657536</v>
      </c>
      <c r="O604" s="23">
        <v>1508339.3069409097</v>
      </c>
      <c r="P604" s="18">
        <f t="shared" si="74"/>
        <v>17.767123287671232</v>
      </c>
      <c r="Q604" s="18">
        <f t="shared" si="78"/>
        <v>9019.8851468688172</v>
      </c>
      <c r="R604" s="18">
        <f t="shared" si="72"/>
        <v>1517359.1920877786</v>
      </c>
      <c r="S604" s="18">
        <f t="shared" ref="S604:S605" si="80">L604</f>
        <v>23671.68592613699</v>
      </c>
    </row>
    <row r="605" spans="1:19" ht="18.75" customHeight="1" x14ac:dyDescent="0.25">
      <c r="A605" s="14">
        <f t="shared" si="76"/>
        <v>602</v>
      </c>
      <c r="B605" s="31" t="s">
        <v>581</v>
      </c>
      <c r="C605" s="15" t="s">
        <v>3</v>
      </c>
      <c r="D605" s="31" t="s">
        <v>500</v>
      </c>
      <c r="E605" s="31"/>
      <c r="F605" s="73" t="s">
        <v>11</v>
      </c>
      <c r="G605" s="32">
        <v>39431</v>
      </c>
      <c r="H605" s="29">
        <v>7251.2000000000116</v>
      </c>
      <c r="I605" s="17">
        <v>0</v>
      </c>
      <c r="J605" s="17">
        <v>0</v>
      </c>
      <c r="K605" s="17">
        <f t="shared" si="71"/>
        <v>7251.2000000000116</v>
      </c>
      <c r="L605" s="23">
        <f t="shared" si="79"/>
        <v>362.56000000000063</v>
      </c>
      <c r="M605" s="33">
        <v>10</v>
      </c>
      <c r="N605" s="18">
        <f t="shared" si="73"/>
        <v>13.306849315068494</v>
      </c>
      <c r="O605" s="23">
        <v>1022866.9</v>
      </c>
      <c r="P605" s="18">
        <f t="shared" si="74"/>
        <v>13.808219178082192</v>
      </c>
      <c r="Q605" s="18">
        <v>0</v>
      </c>
      <c r="R605" s="18">
        <f t="shared" si="72"/>
        <v>1022866.9</v>
      </c>
      <c r="S605" s="18">
        <f t="shared" si="80"/>
        <v>362.56000000000063</v>
      </c>
    </row>
    <row r="606" spans="1:19" ht="18.75" customHeight="1" x14ac:dyDescent="0.25">
      <c r="A606" s="14">
        <f t="shared" si="76"/>
        <v>603</v>
      </c>
      <c r="B606" s="31" t="s">
        <v>582</v>
      </c>
      <c r="C606" s="15" t="s">
        <v>3</v>
      </c>
      <c r="D606" s="31" t="s">
        <v>500</v>
      </c>
      <c r="E606" s="31"/>
      <c r="F606" s="73" t="s">
        <v>13</v>
      </c>
      <c r="G606" s="32">
        <v>38663</v>
      </c>
      <c r="H606" s="29">
        <v>469602.12906230136</v>
      </c>
      <c r="I606" s="17">
        <v>0</v>
      </c>
      <c r="J606" s="17">
        <v>0</v>
      </c>
      <c r="K606" s="17">
        <f t="shared" si="71"/>
        <v>469602.12906230136</v>
      </c>
      <c r="L606" s="23">
        <f t="shared" si="79"/>
        <v>23480.10645311507</v>
      </c>
      <c r="M606" s="33">
        <v>25</v>
      </c>
      <c r="N606" s="18">
        <f t="shared" si="73"/>
        <v>15.41095890410959</v>
      </c>
      <c r="O606" s="23">
        <v>90632.115702492054</v>
      </c>
      <c r="P606" s="18">
        <f t="shared" si="74"/>
        <v>15.912328767123288</v>
      </c>
      <c r="Q606" s="18">
        <f t="shared" si="78"/>
        <v>8946.8854945184685</v>
      </c>
      <c r="R606" s="18">
        <f t="shared" si="72"/>
        <v>99579.001197010526</v>
      </c>
      <c r="S606" s="18">
        <f t="shared" si="75"/>
        <v>370023.12786529085</v>
      </c>
    </row>
    <row r="607" spans="1:19" ht="18.75" customHeight="1" x14ac:dyDescent="0.25">
      <c r="A607" s="14">
        <f t="shared" si="76"/>
        <v>604</v>
      </c>
      <c r="B607" s="31" t="s">
        <v>583</v>
      </c>
      <c r="C607" s="15" t="s">
        <v>3</v>
      </c>
      <c r="D607" s="31" t="s">
        <v>500</v>
      </c>
      <c r="E607" s="31"/>
      <c r="F607" s="73" t="s">
        <v>17</v>
      </c>
      <c r="G607" s="32">
        <v>36495</v>
      </c>
      <c r="H607" s="29">
        <v>485289.72134794516</v>
      </c>
      <c r="I607" s="17">
        <v>0</v>
      </c>
      <c r="J607" s="17">
        <v>0</v>
      </c>
      <c r="K607" s="17">
        <f t="shared" si="71"/>
        <v>485289.72134794516</v>
      </c>
      <c r="L607" s="23">
        <f t="shared" si="79"/>
        <v>24264.486067397258</v>
      </c>
      <c r="M607" s="33">
        <v>25</v>
      </c>
      <c r="N607" s="18">
        <f t="shared" si="73"/>
        <v>21.350684931506848</v>
      </c>
      <c r="O607" s="23">
        <v>714212.84285391786</v>
      </c>
      <c r="P607" s="18">
        <f t="shared" si="74"/>
        <v>21.852054794520548</v>
      </c>
      <c r="Q607" s="18">
        <f t="shared" si="78"/>
        <v>9245.7663623386852</v>
      </c>
      <c r="R607" s="18">
        <f t="shared" si="72"/>
        <v>723458.60921625653</v>
      </c>
      <c r="S607" s="18">
        <f>L607</f>
        <v>24264.486067397258</v>
      </c>
    </row>
    <row r="608" spans="1:19" ht="18.75" customHeight="1" x14ac:dyDescent="0.25">
      <c r="A608" s="14">
        <f t="shared" si="76"/>
        <v>605</v>
      </c>
      <c r="B608" s="31" t="s">
        <v>584</v>
      </c>
      <c r="C608" s="15" t="s">
        <v>3</v>
      </c>
      <c r="D608" s="31" t="s">
        <v>500</v>
      </c>
      <c r="E608" s="31"/>
      <c r="F608" s="73" t="s">
        <v>11</v>
      </c>
      <c r="G608" s="32">
        <v>41618</v>
      </c>
      <c r="H608" s="29">
        <v>566384.10964865761</v>
      </c>
      <c r="I608" s="17">
        <v>0</v>
      </c>
      <c r="J608" s="17">
        <v>0</v>
      </c>
      <c r="K608" s="17">
        <f t="shared" si="71"/>
        <v>566384.10964865761</v>
      </c>
      <c r="L608" s="23">
        <f t="shared" si="79"/>
        <v>28319.205482432881</v>
      </c>
      <c r="M608" s="33">
        <v>25</v>
      </c>
      <c r="N608" s="18">
        <f t="shared" si="73"/>
        <v>7.3150684931506849</v>
      </c>
      <c r="O608" s="23">
        <v>39271.573045946301</v>
      </c>
      <c r="P608" s="18">
        <f t="shared" si="74"/>
        <v>7.816438356164384</v>
      </c>
      <c r="Q608" s="18">
        <f t="shared" si="78"/>
        <v>10790.781091771971</v>
      </c>
      <c r="R608" s="18">
        <f t="shared" si="72"/>
        <v>50062.35413771827</v>
      </c>
      <c r="S608" s="18">
        <f t="shared" si="75"/>
        <v>516321.75551093934</v>
      </c>
    </row>
    <row r="609" spans="1:19" ht="18.75" customHeight="1" x14ac:dyDescent="0.25">
      <c r="A609" s="14">
        <f t="shared" si="76"/>
        <v>606</v>
      </c>
      <c r="B609" s="31" t="s">
        <v>585</v>
      </c>
      <c r="C609" s="15" t="s">
        <v>3</v>
      </c>
      <c r="D609" s="31" t="s">
        <v>500</v>
      </c>
      <c r="E609" s="31"/>
      <c r="F609" s="70" t="s">
        <v>7</v>
      </c>
      <c r="G609" s="32">
        <v>41348</v>
      </c>
      <c r="H609" s="29">
        <v>534021.94031868491</v>
      </c>
      <c r="I609" s="17">
        <v>0</v>
      </c>
      <c r="J609" s="17">
        <v>0</v>
      </c>
      <c r="K609" s="17">
        <f t="shared" si="71"/>
        <v>534021.94031868491</v>
      </c>
      <c r="L609" s="23">
        <f t="shared" si="79"/>
        <v>26701.097015934247</v>
      </c>
      <c r="M609" s="33">
        <v>25</v>
      </c>
      <c r="N609" s="18">
        <f t="shared" si="73"/>
        <v>8.0547945205479454</v>
      </c>
      <c r="O609" s="23">
        <v>24973.013132747394</v>
      </c>
      <c r="P609" s="18">
        <f t="shared" si="74"/>
        <v>8.5561643835616437</v>
      </c>
      <c r="Q609" s="18">
        <f t="shared" si="78"/>
        <v>10174.215268427759</v>
      </c>
      <c r="R609" s="18">
        <f t="shared" si="72"/>
        <v>35147.228401175154</v>
      </c>
      <c r="S609" s="18">
        <f t="shared" si="75"/>
        <v>498874.71191750973</v>
      </c>
    </row>
    <row r="610" spans="1:19" ht="18.75" customHeight="1" x14ac:dyDescent="0.25">
      <c r="A610" s="14">
        <f t="shared" si="76"/>
        <v>607</v>
      </c>
      <c r="B610" s="31" t="s">
        <v>586</v>
      </c>
      <c r="C610" s="15" t="s">
        <v>3</v>
      </c>
      <c r="D610" s="31" t="s">
        <v>500</v>
      </c>
      <c r="E610" s="31"/>
      <c r="F610" s="73" t="s">
        <v>11</v>
      </c>
      <c r="G610" s="32">
        <v>41618</v>
      </c>
      <c r="H610" s="29">
        <v>559432.00748712325</v>
      </c>
      <c r="I610" s="17">
        <v>0</v>
      </c>
      <c r="J610" s="17">
        <v>0</v>
      </c>
      <c r="K610" s="17">
        <f t="shared" si="71"/>
        <v>559432.00748712325</v>
      </c>
      <c r="L610" s="23">
        <f t="shared" si="79"/>
        <v>27971.600374356163</v>
      </c>
      <c r="M610" s="33">
        <v>25</v>
      </c>
      <c r="N610" s="18">
        <f t="shared" si="73"/>
        <v>7.3150684931506849</v>
      </c>
      <c r="O610" s="23">
        <v>402690.58259948494</v>
      </c>
      <c r="P610" s="18">
        <f t="shared" si="74"/>
        <v>7.816438356164384</v>
      </c>
      <c r="Q610" s="18">
        <f t="shared" si="78"/>
        <v>10658.329260453313</v>
      </c>
      <c r="R610" s="18">
        <f t="shared" si="72"/>
        <v>413348.91185993823</v>
      </c>
      <c r="S610" s="18">
        <f t="shared" si="75"/>
        <v>146083.09562718502</v>
      </c>
    </row>
    <row r="611" spans="1:19" ht="18.75" customHeight="1" x14ac:dyDescent="0.25">
      <c r="A611" s="14">
        <f t="shared" si="76"/>
        <v>608</v>
      </c>
      <c r="B611" s="31" t="s">
        <v>587</v>
      </c>
      <c r="C611" s="15" t="s">
        <v>3</v>
      </c>
      <c r="D611" s="31" t="s">
        <v>500</v>
      </c>
      <c r="E611" s="31"/>
      <c r="F611" s="73" t="s">
        <v>4</v>
      </c>
      <c r="G611" s="32">
        <v>36009</v>
      </c>
      <c r="H611" s="29">
        <v>541570.22776438366</v>
      </c>
      <c r="I611" s="17">
        <v>0</v>
      </c>
      <c r="J611" s="17">
        <v>0</v>
      </c>
      <c r="K611" s="17">
        <f t="shared" si="71"/>
        <v>541570.22776438366</v>
      </c>
      <c r="L611" s="23">
        <f t="shared" si="79"/>
        <v>27078.511388219184</v>
      </c>
      <c r="M611" s="33">
        <v>25</v>
      </c>
      <c r="N611" s="18">
        <f t="shared" si="73"/>
        <v>22.682191780821917</v>
      </c>
      <c r="O611" s="23">
        <v>137209.27111057536</v>
      </c>
      <c r="P611" s="18">
        <f t="shared" si="74"/>
        <v>23.183561643835617</v>
      </c>
      <c r="Q611" s="18">
        <f t="shared" si="78"/>
        <v>10318.02565444804</v>
      </c>
      <c r="R611" s="18">
        <f t="shared" si="72"/>
        <v>147527.29676502341</v>
      </c>
      <c r="S611" s="18">
        <f t="shared" si="75"/>
        <v>394042.93099936028</v>
      </c>
    </row>
    <row r="612" spans="1:19" ht="18.75" customHeight="1" x14ac:dyDescent="0.25">
      <c r="A612" s="14">
        <f t="shared" si="76"/>
        <v>609</v>
      </c>
      <c r="B612" s="31" t="s">
        <v>588</v>
      </c>
      <c r="C612" s="15" t="s">
        <v>3</v>
      </c>
      <c r="D612" s="31" t="s">
        <v>500</v>
      </c>
      <c r="E612" s="31"/>
      <c r="F612" s="73" t="s">
        <v>4</v>
      </c>
      <c r="G612" s="32">
        <v>41228</v>
      </c>
      <c r="H612" s="29">
        <v>474031.71269654797</v>
      </c>
      <c r="I612" s="17">
        <v>0</v>
      </c>
      <c r="J612" s="17">
        <v>0</v>
      </c>
      <c r="K612" s="17">
        <f t="shared" si="71"/>
        <v>474031.71269654797</v>
      </c>
      <c r="L612" s="23">
        <f t="shared" si="79"/>
        <v>23701.585634827399</v>
      </c>
      <c r="M612" s="33">
        <v>25</v>
      </c>
      <c r="N612" s="18">
        <f t="shared" si="73"/>
        <v>8.3835616438356162</v>
      </c>
      <c r="O612" s="23">
        <v>25496.251947861918</v>
      </c>
      <c r="P612" s="18">
        <f t="shared" si="74"/>
        <v>8.8849315068493144</v>
      </c>
      <c r="Q612" s="18">
        <f t="shared" si="78"/>
        <v>9031.2781646350468</v>
      </c>
      <c r="R612" s="18">
        <f t="shared" si="72"/>
        <v>34527.530112496963</v>
      </c>
      <c r="S612" s="18">
        <f t="shared" si="75"/>
        <v>439504.18258405098</v>
      </c>
    </row>
    <row r="613" spans="1:19" ht="18.75" customHeight="1" x14ac:dyDescent="0.25">
      <c r="A613" s="14">
        <f t="shared" si="76"/>
        <v>610</v>
      </c>
      <c r="B613" s="31" t="s">
        <v>589</v>
      </c>
      <c r="C613" s="15" t="s">
        <v>3</v>
      </c>
      <c r="D613" s="31" t="s">
        <v>500</v>
      </c>
      <c r="E613" s="31"/>
      <c r="F613" s="73" t="s">
        <v>11</v>
      </c>
      <c r="G613" s="32">
        <v>35751</v>
      </c>
      <c r="H613" s="29">
        <v>563596.88324931497</v>
      </c>
      <c r="I613" s="17">
        <v>0</v>
      </c>
      <c r="J613" s="17">
        <v>0</v>
      </c>
      <c r="K613" s="17">
        <f t="shared" si="71"/>
        <v>563596.88324931497</v>
      </c>
      <c r="L613" s="23">
        <f t="shared" si="79"/>
        <v>28179.84416246575</v>
      </c>
      <c r="M613" s="33">
        <v>25</v>
      </c>
      <c r="N613" s="18">
        <f t="shared" si="73"/>
        <v>23.389041095890413</v>
      </c>
      <c r="O613" s="23">
        <v>130499.2793299726</v>
      </c>
      <c r="P613" s="18">
        <f t="shared" si="74"/>
        <v>23.890410958904109</v>
      </c>
      <c r="Q613" s="18">
        <f t="shared" si="78"/>
        <v>10737.678701686902</v>
      </c>
      <c r="R613" s="18">
        <f t="shared" si="72"/>
        <v>141236.95803165951</v>
      </c>
      <c r="S613" s="18">
        <f t="shared" si="75"/>
        <v>422359.92521765549</v>
      </c>
    </row>
    <row r="614" spans="1:19" ht="18.75" customHeight="1" x14ac:dyDescent="0.25">
      <c r="A614" s="14">
        <f t="shared" si="76"/>
        <v>611</v>
      </c>
      <c r="B614" s="31" t="s">
        <v>590</v>
      </c>
      <c r="C614" s="15" t="s">
        <v>3</v>
      </c>
      <c r="D614" s="31" t="s">
        <v>500</v>
      </c>
      <c r="E614" s="31"/>
      <c r="F614" s="73" t="s">
        <v>11</v>
      </c>
      <c r="G614" s="32">
        <v>38701</v>
      </c>
      <c r="H614" s="29">
        <v>358962.45365534246</v>
      </c>
      <c r="I614" s="17">
        <v>0</v>
      </c>
      <c r="J614" s="17">
        <v>0</v>
      </c>
      <c r="K614" s="17">
        <f t="shared" si="71"/>
        <v>358962.45365534246</v>
      </c>
      <c r="L614" s="23">
        <f t="shared" si="79"/>
        <v>17948.122682767123</v>
      </c>
      <c r="M614" s="33">
        <v>25</v>
      </c>
      <c r="N614" s="18">
        <f t="shared" si="73"/>
        <v>15.306849315068494</v>
      </c>
      <c r="O614" s="23">
        <v>53899.361946213699</v>
      </c>
      <c r="P614" s="18">
        <f t="shared" si="74"/>
        <v>15.808219178082192</v>
      </c>
      <c r="Q614" s="18">
        <f t="shared" si="78"/>
        <v>6838.9723362171217</v>
      </c>
      <c r="R614" s="18">
        <f t="shared" si="72"/>
        <v>60738.33428243082</v>
      </c>
      <c r="S614" s="18">
        <f t="shared" si="75"/>
        <v>298224.11937291163</v>
      </c>
    </row>
    <row r="615" spans="1:19" ht="18.75" customHeight="1" x14ac:dyDescent="0.25">
      <c r="A615" s="14">
        <f t="shared" si="76"/>
        <v>612</v>
      </c>
      <c r="B615" s="31" t="s">
        <v>591</v>
      </c>
      <c r="C615" s="15" t="s">
        <v>3</v>
      </c>
      <c r="D615" s="31" t="s">
        <v>500</v>
      </c>
      <c r="E615" s="31"/>
      <c r="F615" s="73" t="s">
        <v>4</v>
      </c>
      <c r="G615" s="32">
        <v>27030</v>
      </c>
      <c r="H615" s="29">
        <v>386</v>
      </c>
      <c r="I615" s="17">
        <v>0</v>
      </c>
      <c r="J615" s="17">
        <v>0</v>
      </c>
      <c r="K615" s="17">
        <f t="shared" si="71"/>
        <v>386</v>
      </c>
      <c r="L615" s="23">
        <f t="shared" si="79"/>
        <v>19.3</v>
      </c>
      <c r="M615" s="33">
        <v>15</v>
      </c>
      <c r="N615" s="18">
        <f t="shared" si="73"/>
        <v>47.282191780821918</v>
      </c>
      <c r="O615" s="23">
        <v>43058.75</v>
      </c>
      <c r="P615" s="18">
        <f t="shared" si="74"/>
        <v>47.783561643835618</v>
      </c>
      <c r="Q615" s="18">
        <v>0</v>
      </c>
      <c r="R615" s="18">
        <f t="shared" si="72"/>
        <v>43058.75</v>
      </c>
      <c r="S615" s="18">
        <f>L615</f>
        <v>19.3</v>
      </c>
    </row>
    <row r="616" spans="1:19" ht="18.75" customHeight="1" x14ac:dyDescent="0.25">
      <c r="A616" s="14">
        <f t="shared" si="76"/>
        <v>613</v>
      </c>
      <c r="B616" s="31" t="s">
        <v>592</v>
      </c>
      <c r="C616" s="15" t="s">
        <v>3</v>
      </c>
      <c r="D616" s="31" t="s">
        <v>500</v>
      </c>
      <c r="E616" s="31"/>
      <c r="F616" s="73" t="s">
        <v>13</v>
      </c>
      <c r="G616" s="32">
        <v>35751</v>
      </c>
      <c r="H616" s="29">
        <v>526929.78841095907</v>
      </c>
      <c r="I616" s="17">
        <v>0</v>
      </c>
      <c r="J616" s="17">
        <v>0</v>
      </c>
      <c r="K616" s="17">
        <f t="shared" si="71"/>
        <v>526929.78841095907</v>
      </c>
      <c r="L616" s="23">
        <f t="shared" si="79"/>
        <v>26346.489420547954</v>
      </c>
      <c r="M616" s="33">
        <v>25</v>
      </c>
      <c r="N616" s="18">
        <f t="shared" si="73"/>
        <v>23.389041095890413</v>
      </c>
      <c r="O616" s="23">
        <v>29564.921536438364</v>
      </c>
      <c r="P616" s="18">
        <f t="shared" si="74"/>
        <v>23.890410958904109</v>
      </c>
      <c r="Q616" s="18">
        <f t="shared" si="78"/>
        <v>10039.095201670667</v>
      </c>
      <c r="R616" s="18">
        <f t="shared" si="72"/>
        <v>39604.016738109029</v>
      </c>
      <c r="S616" s="18">
        <f t="shared" si="75"/>
        <v>487325.77167285001</v>
      </c>
    </row>
    <row r="617" spans="1:19" ht="18.75" customHeight="1" x14ac:dyDescent="0.25">
      <c r="A617" s="14">
        <f t="shared" si="76"/>
        <v>614</v>
      </c>
      <c r="B617" s="31" t="s">
        <v>593</v>
      </c>
      <c r="C617" s="15" t="s">
        <v>3</v>
      </c>
      <c r="D617" s="31" t="s">
        <v>500</v>
      </c>
      <c r="E617" s="31"/>
      <c r="F617" s="73" t="s">
        <v>11</v>
      </c>
      <c r="G617" s="32">
        <v>39033</v>
      </c>
      <c r="H617" s="29">
        <v>323518.71864054794</v>
      </c>
      <c r="I617" s="17">
        <v>0</v>
      </c>
      <c r="J617" s="17">
        <v>0</v>
      </c>
      <c r="K617" s="17">
        <f t="shared" si="71"/>
        <v>323518.71864054794</v>
      </c>
      <c r="L617" s="23">
        <f t="shared" si="79"/>
        <v>16175.935932027398</v>
      </c>
      <c r="M617" s="33">
        <v>25</v>
      </c>
      <c r="N617" s="18">
        <f t="shared" si="73"/>
        <v>14.397260273972602</v>
      </c>
      <c r="O617" s="23">
        <v>80691.682545621909</v>
      </c>
      <c r="P617" s="18">
        <f t="shared" si="74"/>
        <v>14.898630136986302</v>
      </c>
      <c r="Q617" s="18">
        <f t="shared" si="78"/>
        <v>6163.6963545928129</v>
      </c>
      <c r="R617" s="18">
        <f t="shared" si="72"/>
        <v>86855.378900214724</v>
      </c>
      <c r="S617" s="18">
        <f t="shared" si="75"/>
        <v>236663.33974033321</v>
      </c>
    </row>
    <row r="618" spans="1:19" ht="18.75" customHeight="1" x14ac:dyDescent="0.25">
      <c r="A618" s="14">
        <f t="shared" si="76"/>
        <v>615</v>
      </c>
      <c r="B618" s="31" t="s">
        <v>594</v>
      </c>
      <c r="C618" s="15" t="s">
        <v>3</v>
      </c>
      <c r="D618" s="31" t="s">
        <v>500</v>
      </c>
      <c r="E618" s="31"/>
      <c r="F618" s="73" t="s">
        <v>11</v>
      </c>
      <c r="G618" s="32">
        <v>35397</v>
      </c>
      <c r="H618" s="29">
        <v>914464.12841095915</v>
      </c>
      <c r="I618" s="17">
        <v>0</v>
      </c>
      <c r="J618" s="17">
        <v>0</v>
      </c>
      <c r="K618" s="17">
        <f t="shared" si="71"/>
        <v>914464.12841095915</v>
      </c>
      <c r="L618" s="23">
        <f t="shared" si="79"/>
        <v>45723.206420547962</v>
      </c>
      <c r="M618" s="33">
        <v>25</v>
      </c>
      <c r="N618" s="18">
        <f t="shared" si="73"/>
        <v>24.358904109589041</v>
      </c>
      <c r="O618" s="23">
        <v>682926.70713643834</v>
      </c>
      <c r="P618" s="18">
        <f t="shared" si="74"/>
        <v>24.860273972602741</v>
      </c>
      <c r="Q618" s="18">
        <f t="shared" si="78"/>
        <v>17422.420682109117</v>
      </c>
      <c r="R618" s="18">
        <f t="shared" si="72"/>
        <v>700349.12781854742</v>
      </c>
      <c r="S618" s="18">
        <f t="shared" si="75"/>
        <v>214115.00059241173</v>
      </c>
    </row>
    <row r="619" spans="1:19" ht="18.75" customHeight="1" x14ac:dyDescent="0.25">
      <c r="A619" s="14">
        <f t="shared" si="76"/>
        <v>616</v>
      </c>
      <c r="B619" s="31" t="s">
        <v>595</v>
      </c>
      <c r="C619" s="15" t="s">
        <v>3</v>
      </c>
      <c r="D619" s="31" t="s">
        <v>500</v>
      </c>
      <c r="E619" s="31"/>
      <c r="F619" s="73" t="s">
        <v>11</v>
      </c>
      <c r="G619" s="32">
        <v>41348</v>
      </c>
      <c r="H619" s="29">
        <v>362629.32677260274</v>
      </c>
      <c r="I619" s="17">
        <v>0</v>
      </c>
      <c r="J619" s="17">
        <v>0</v>
      </c>
      <c r="K619" s="17">
        <f t="shared" si="71"/>
        <v>362629.32677260274</v>
      </c>
      <c r="L619" s="23">
        <f t="shared" si="79"/>
        <v>18131.466338630136</v>
      </c>
      <c r="M619" s="33">
        <v>25</v>
      </c>
      <c r="N619" s="18">
        <f t="shared" si="73"/>
        <v>8.0547945205479454</v>
      </c>
      <c r="O619" s="23">
        <v>33224.36507090411</v>
      </c>
      <c r="P619" s="18">
        <f t="shared" si="74"/>
        <v>8.5561643835616437</v>
      </c>
      <c r="Q619" s="18">
        <f t="shared" si="78"/>
        <v>6908.8338037717194</v>
      </c>
      <c r="R619" s="18">
        <f t="shared" si="72"/>
        <v>40133.198874675829</v>
      </c>
      <c r="S619" s="18">
        <f t="shared" si="75"/>
        <v>322496.1278979269</v>
      </c>
    </row>
    <row r="620" spans="1:19" ht="18.75" customHeight="1" x14ac:dyDescent="0.25">
      <c r="A620" s="14">
        <f t="shared" si="76"/>
        <v>617</v>
      </c>
      <c r="B620" s="31" t="s">
        <v>596</v>
      </c>
      <c r="C620" s="15" t="s">
        <v>3</v>
      </c>
      <c r="D620" s="31" t="s">
        <v>500</v>
      </c>
      <c r="E620" s="31"/>
      <c r="F620" s="73" t="s">
        <v>11</v>
      </c>
      <c r="G620" s="32">
        <v>35751</v>
      </c>
      <c r="H620" s="29">
        <v>454862.65163835627</v>
      </c>
      <c r="I620" s="17">
        <v>0</v>
      </c>
      <c r="J620" s="17">
        <v>0</v>
      </c>
      <c r="K620" s="17">
        <f t="shared" si="71"/>
        <v>454862.65163835627</v>
      </c>
      <c r="L620" s="23">
        <f t="shared" si="79"/>
        <v>22743.132581917816</v>
      </c>
      <c r="M620" s="33">
        <v>25</v>
      </c>
      <c r="N620" s="18">
        <f t="shared" si="73"/>
        <v>23.389041095890413</v>
      </c>
      <c r="O620" s="23">
        <v>89510.978065534262</v>
      </c>
      <c r="P620" s="18">
        <f t="shared" si="74"/>
        <v>23.890410958904109</v>
      </c>
      <c r="Q620" s="18">
        <f t="shared" si="78"/>
        <v>8666.0681629948376</v>
      </c>
      <c r="R620" s="18">
        <f t="shared" si="72"/>
        <v>98177.0462285291</v>
      </c>
      <c r="S620" s="18">
        <f t="shared" si="75"/>
        <v>356685.6054098272</v>
      </c>
    </row>
    <row r="621" spans="1:19" ht="18.75" customHeight="1" x14ac:dyDescent="0.25">
      <c r="A621" s="14">
        <f t="shared" si="76"/>
        <v>618</v>
      </c>
      <c r="B621" s="31" t="s">
        <v>592</v>
      </c>
      <c r="C621" s="15" t="s">
        <v>3</v>
      </c>
      <c r="D621" s="31" t="s">
        <v>500</v>
      </c>
      <c r="E621" s="31"/>
      <c r="F621" s="73" t="s">
        <v>13</v>
      </c>
      <c r="G621" s="32">
        <v>35751</v>
      </c>
      <c r="H621" s="29">
        <v>449497.036641096</v>
      </c>
      <c r="I621" s="17">
        <v>0</v>
      </c>
      <c r="J621" s="17">
        <v>0</v>
      </c>
      <c r="K621" s="17">
        <f t="shared" si="71"/>
        <v>449497.036641096</v>
      </c>
      <c r="L621" s="23">
        <f t="shared" si="79"/>
        <v>22474.851832054803</v>
      </c>
      <c r="M621" s="33">
        <v>25</v>
      </c>
      <c r="N621" s="18">
        <f t="shared" si="73"/>
        <v>23.389041095890413</v>
      </c>
      <c r="O621" s="23">
        <v>38894.567465643842</v>
      </c>
      <c r="P621" s="18">
        <f t="shared" si="74"/>
        <v>23.890410958904109</v>
      </c>
      <c r="Q621" s="18">
        <f t="shared" si="78"/>
        <v>8563.8421720607348</v>
      </c>
      <c r="R621" s="18">
        <f t="shared" si="72"/>
        <v>47458.409637704579</v>
      </c>
      <c r="S621" s="18">
        <f t="shared" si="75"/>
        <v>402038.62700339139</v>
      </c>
    </row>
    <row r="622" spans="1:19" ht="18.75" customHeight="1" x14ac:dyDescent="0.25">
      <c r="A622" s="14">
        <f t="shared" si="76"/>
        <v>619</v>
      </c>
      <c r="B622" s="31" t="s">
        <v>597</v>
      </c>
      <c r="C622" s="15" t="s">
        <v>3</v>
      </c>
      <c r="D622" s="31" t="s">
        <v>500</v>
      </c>
      <c r="E622" s="31"/>
      <c r="F622" s="73" t="s">
        <v>11</v>
      </c>
      <c r="G622" s="32">
        <v>35751</v>
      </c>
      <c r="H622" s="29">
        <v>440700.28456438356</v>
      </c>
      <c r="I622" s="17">
        <v>0</v>
      </c>
      <c r="J622" s="17">
        <v>0</v>
      </c>
      <c r="K622" s="17">
        <f t="shared" si="71"/>
        <v>440700.28456438356</v>
      </c>
      <c r="L622" s="23">
        <f t="shared" si="79"/>
        <v>22035.014228219181</v>
      </c>
      <c r="M622" s="33">
        <v>25</v>
      </c>
      <c r="N622" s="18">
        <f t="shared" si="73"/>
        <v>23.389041095890413</v>
      </c>
      <c r="O622" s="23">
        <v>2385113.4353825753</v>
      </c>
      <c r="P622" s="18">
        <f t="shared" si="74"/>
        <v>23.890410958904109</v>
      </c>
      <c r="Q622" s="18">
        <f t="shared" si="78"/>
        <v>8396.245969481397</v>
      </c>
      <c r="R622" s="18">
        <f t="shared" si="72"/>
        <v>2393509.6813520566</v>
      </c>
      <c r="S622" s="18">
        <f t="shared" ref="S622:S623" si="81">L622</f>
        <v>22035.014228219181</v>
      </c>
    </row>
    <row r="623" spans="1:19" ht="18.75" customHeight="1" x14ac:dyDescent="0.25">
      <c r="A623" s="14">
        <f t="shared" si="76"/>
        <v>620</v>
      </c>
      <c r="B623" s="31" t="s">
        <v>598</v>
      </c>
      <c r="C623" s="15" t="s">
        <v>3</v>
      </c>
      <c r="D623" s="31" t="s">
        <v>500</v>
      </c>
      <c r="E623" s="31"/>
      <c r="F623" s="73" t="s">
        <v>11</v>
      </c>
      <c r="G623" s="32">
        <v>36160</v>
      </c>
      <c r="H623" s="29">
        <v>334130.10024109576</v>
      </c>
      <c r="I623" s="17">
        <v>0</v>
      </c>
      <c r="J623" s="17">
        <v>0</v>
      </c>
      <c r="K623" s="17">
        <f t="shared" si="71"/>
        <v>334130.10024109576</v>
      </c>
      <c r="L623" s="23">
        <f t="shared" si="79"/>
        <v>16706.505012054789</v>
      </c>
      <c r="M623" s="33">
        <v>25</v>
      </c>
      <c r="N623" s="18">
        <f t="shared" si="73"/>
        <v>22.268493150684932</v>
      </c>
      <c r="O623" s="23">
        <v>1330660.4300096438</v>
      </c>
      <c r="P623" s="18">
        <f t="shared" si="74"/>
        <v>22.769863013698629</v>
      </c>
      <c r="Q623" s="18">
        <f t="shared" si="78"/>
        <v>6365.864978291972</v>
      </c>
      <c r="R623" s="18">
        <f t="shared" si="72"/>
        <v>1337026.2949879358</v>
      </c>
      <c r="S623" s="18">
        <f t="shared" si="81"/>
        <v>16706.505012054789</v>
      </c>
    </row>
    <row r="624" spans="1:19" ht="18.75" customHeight="1" x14ac:dyDescent="0.25">
      <c r="A624" s="14">
        <f t="shared" si="76"/>
        <v>621</v>
      </c>
      <c r="B624" s="31" t="s">
        <v>599</v>
      </c>
      <c r="C624" s="15" t="s">
        <v>3</v>
      </c>
      <c r="D624" s="31" t="s">
        <v>500</v>
      </c>
      <c r="E624" s="31"/>
      <c r="F624" s="73" t="s">
        <v>17</v>
      </c>
      <c r="G624" s="32">
        <v>40509</v>
      </c>
      <c r="H624" s="29">
        <v>319710.32408520544</v>
      </c>
      <c r="I624" s="17">
        <v>0</v>
      </c>
      <c r="J624" s="17">
        <v>0</v>
      </c>
      <c r="K624" s="17">
        <f t="shared" si="71"/>
        <v>319710.32408520544</v>
      </c>
      <c r="L624" s="23">
        <f t="shared" si="79"/>
        <v>15985.516204260273</v>
      </c>
      <c r="M624" s="33">
        <v>25</v>
      </c>
      <c r="N624" s="18">
        <f t="shared" si="73"/>
        <v>10.353424657534246</v>
      </c>
      <c r="O624" s="23">
        <v>13432.650263408219</v>
      </c>
      <c r="P624" s="18">
        <f t="shared" si="74"/>
        <v>10.854794520547944</v>
      </c>
      <c r="Q624" s="18">
        <f t="shared" si="78"/>
        <v>6091.1386128452514</v>
      </c>
      <c r="R624" s="18">
        <f t="shared" si="72"/>
        <v>19523.788876253471</v>
      </c>
      <c r="S624" s="18">
        <f t="shared" si="75"/>
        <v>300186.53520895197</v>
      </c>
    </row>
    <row r="625" spans="1:19" ht="18.75" customHeight="1" x14ac:dyDescent="0.25">
      <c r="A625" s="14">
        <f t="shared" si="76"/>
        <v>622</v>
      </c>
      <c r="B625" s="31" t="s">
        <v>600</v>
      </c>
      <c r="C625" s="15" t="s">
        <v>3</v>
      </c>
      <c r="D625" s="31" t="s">
        <v>500</v>
      </c>
      <c r="E625" s="31"/>
      <c r="F625" s="73" t="s">
        <v>11</v>
      </c>
      <c r="G625" s="32">
        <v>35504</v>
      </c>
      <c r="H625" s="29">
        <v>607082.80412054784</v>
      </c>
      <c r="I625" s="17">
        <v>0</v>
      </c>
      <c r="J625" s="17">
        <v>0</v>
      </c>
      <c r="K625" s="17">
        <f t="shared" si="71"/>
        <v>607082.80412054784</v>
      </c>
      <c r="L625" s="23">
        <f t="shared" si="79"/>
        <v>30354.140206027394</v>
      </c>
      <c r="M625" s="33">
        <v>25</v>
      </c>
      <c r="N625" s="18">
        <f t="shared" si="73"/>
        <v>24.065753424657533</v>
      </c>
      <c r="O625" s="23">
        <v>20843.064164821913</v>
      </c>
      <c r="P625" s="18">
        <f t="shared" si="74"/>
        <v>24.567123287671233</v>
      </c>
      <c r="Q625" s="18">
        <f t="shared" si="78"/>
        <v>11566.174848915894</v>
      </c>
      <c r="R625" s="18">
        <f t="shared" si="72"/>
        <v>32409.23901373781</v>
      </c>
      <c r="S625" s="18">
        <f t="shared" si="75"/>
        <v>574673.56510681007</v>
      </c>
    </row>
    <row r="626" spans="1:19" ht="18.75" customHeight="1" x14ac:dyDescent="0.25">
      <c r="A626" s="14">
        <f t="shared" si="76"/>
        <v>623</v>
      </c>
      <c r="B626" s="31" t="s">
        <v>601</v>
      </c>
      <c r="C626" s="15" t="s">
        <v>3</v>
      </c>
      <c r="D626" s="31" t="s">
        <v>500</v>
      </c>
      <c r="E626" s="31"/>
      <c r="F626" s="73" t="s">
        <v>13</v>
      </c>
      <c r="G626" s="32">
        <v>37986</v>
      </c>
      <c r="H626" s="29">
        <v>264686.1171550685</v>
      </c>
      <c r="I626" s="17">
        <v>0</v>
      </c>
      <c r="J626" s="17">
        <v>0</v>
      </c>
      <c r="K626" s="17">
        <f t="shared" si="71"/>
        <v>264686.1171550685</v>
      </c>
      <c r="L626" s="23">
        <f t="shared" si="79"/>
        <v>13234.305857753425</v>
      </c>
      <c r="M626" s="33">
        <v>25</v>
      </c>
      <c r="N626" s="18">
        <f t="shared" si="73"/>
        <v>17.265753424657536</v>
      </c>
      <c r="O626" s="23">
        <v>21905.271086202738</v>
      </c>
      <c r="P626" s="18">
        <f t="shared" si="74"/>
        <v>17.767123287671232</v>
      </c>
      <c r="Q626" s="18">
        <f t="shared" si="78"/>
        <v>5042.8144073872281</v>
      </c>
      <c r="R626" s="18">
        <f t="shared" si="72"/>
        <v>26948.085493589966</v>
      </c>
      <c r="S626" s="18">
        <f t="shared" si="75"/>
        <v>237738.03166147854</v>
      </c>
    </row>
    <row r="627" spans="1:19" ht="18.75" customHeight="1" x14ac:dyDescent="0.25">
      <c r="A627" s="14">
        <f t="shared" si="76"/>
        <v>624</v>
      </c>
      <c r="B627" s="31" t="s">
        <v>602</v>
      </c>
      <c r="C627" s="15" t="s">
        <v>3</v>
      </c>
      <c r="D627" s="31" t="s">
        <v>500</v>
      </c>
      <c r="E627" s="31"/>
      <c r="F627" s="73" t="s">
        <v>17</v>
      </c>
      <c r="G627" s="32">
        <v>37955</v>
      </c>
      <c r="H627" s="29">
        <v>261138.51182810962</v>
      </c>
      <c r="I627" s="17">
        <v>0</v>
      </c>
      <c r="J627" s="17">
        <v>0</v>
      </c>
      <c r="K627" s="17">
        <f t="shared" si="71"/>
        <v>261138.51182810962</v>
      </c>
      <c r="L627" s="23">
        <f t="shared" si="79"/>
        <v>13056.925591405481</v>
      </c>
      <c r="M627" s="33">
        <v>25</v>
      </c>
      <c r="N627" s="18">
        <f t="shared" si="73"/>
        <v>17.350684931506848</v>
      </c>
      <c r="O627" s="23">
        <v>86831.456693124375</v>
      </c>
      <c r="P627" s="18">
        <f t="shared" si="74"/>
        <v>17.852054794520548</v>
      </c>
      <c r="Q627" s="18">
        <f t="shared" si="78"/>
        <v>4975.2252363087109</v>
      </c>
      <c r="R627" s="18">
        <f t="shared" si="72"/>
        <v>91806.681929433093</v>
      </c>
      <c r="S627" s="18">
        <f t="shared" si="75"/>
        <v>169331.82989867654</v>
      </c>
    </row>
    <row r="628" spans="1:19" ht="18.75" customHeight="1" x14ac:dyDescent="0.25">
      <c r="A628" s="14">
        <f t="shared" si="76"/>
        <v>625</v>
      </c>
      <c r="B628" s="31" t="s">
        <v>603</v>
      </c>
      <c r="C628" s="15" t="s">
        <v>3</v>
      </c>
      <c r="D628" s="31" t="s">
        <v>500</v>
      </c>
      <c r="E628" s="31"/>
      <c r="F628" s="73" t="s">
        <v>4</v>
      </c>
      <c r="G628" s="32">
        <v>37693</v>
      </c>
      <c r="H628" s="29">
        <v>3777.0500000000029</v>
      </c>
      <c r="I628" s="17">
        <v>0</v>
      </c>
      <c r="J628" s="17">
        <v>0</v>
      </c>
      <c r="K628" s="17">
        <f t="shared" si="71"/>
        <v>3777.0500000000029</v>
      </c>
      <c r="L628" s="23">
        <f t="shared" si="79"/>
        <v>188.85250000000016</v>
      </c>
      <c r="M628" s="33">
        <v>15</v>
      </c>
      <c r="N628" s="18">
        <f t="shared" si="73"/>
        <v>18.068493150684933</v>
      </c>
      <c r="O628" s="23">
        <v>5864.35</v>
      </c>
      <c r="P628" s="18">
        <f t="shared" si="74"/>
        <v>18.56986301369863</v>
      </c>
      <c r="Q628" s="18">
        <v>0</v>
      </c>
      <c r="R628" s="18">
        <f t="shared" si="72"/>
        <v>5864.35</v>
      </c>
      <c r="S628" s="18">
        <f t="shared" ref="S628:S629" si="82">L628</f>
        <v>188.85250000000016</v>
      </c>
    </row>
    <row r="629" spans="1:19" ht="18.75" customHeight="1" x14ac:dyDescent="0.25">
      <c r="A629" s="14">
        <f t="shared" si="76"/>
        <v>626</v>
      </c>
      <c r="B629" s="31" t="s">
        <v>604</v>
      </c>
      <c r="C629" s="15" t="s">
        <v>3</v>
      </c>
      <c r="D629" s="31" t="s">
        <v>500</v>
      </c>
      <c r="E629" s="31"/>
      <c r="F629" s="73" t="s">
        <v>4</v>
      </c>
      <c r="G629" s="32">
        <v>37693</v>
      </c>
      <c r="H629" s="29">
        <v>2956.3499999999985</v>
      </c>
      <c r="I629" s="17">
        <v>0</v>
      </c>
      <c r="J629" s="17">
        <v>0</v>
      </c>
      <c r="K629" s="17">
        <f t="shared" si="71"/>
        <v>2956.3499999999985</v>
      </c>
      <c r="L629" s="23">
        <f t="shared" si="79"/>
        <v>147.81749999999994</v>
      </c>
      <c r="M629" s="33">
        <v>15</v>
      </c>
      <c r="N629" s="18">
        <f t="shared" si="73"/>
        <v>18.068493150684933</v>
      </c>
      <c r="O629" s="23">
        <v>77369.899999999994</v>
      </c>
      <c r="P629" s="18">
        <f t="shared" si="74"/>
        <v>18.56986301369863</v>
      </c>
      <c r="Q629" s="18">
        <v>0</v>
      </c>
      <c r="R629" s="18">
        <f t="shared" si="72"/>
        <v>77369.899999999994</v>
      </c>
      <c r="S629" s="18">
        <f t="shared" si="82"/>
        <v>147.81749999999994</v>
      </c>
    </row>
    <row r="630" spans="1:19" ht="18.75" customHeight="1" x14ac:dyDescent="0.25">
      <c r="A630" s="14">
        <f t="shared" si="76"/>
        <v>627</v>
      </c>
      <c r="B630" s="31" t="s">
        <v>605</v>
      </c>
      <c r="C630" s="15" t="s">
        <v>3</v>
      </c>
      <c r="D630" s="31" t="s">
        <v>500</v>
      </c>
      <c r="E630" s="31"/>
      <c r="F630" s="73" t="s">
        <v>8</v>
      </c>
      <c r="G630" s="32">
        <v>40509</v>
      </c>
      <c r="H630" s="29">
        <v>1087144.7287117809</v>
      </c>
      <c r="I630" s="17">
        <v>0</v>
      </c>
      <c r="J630" s="17">
        <v>0</v>
      </c>
      <c r="K630" s="17">
        <f t="shared" si="71"/>
        <v>1087144.7287117809</v>
      </c>
      <c r="L630" s="23">
        <f t="shared" si="79"/>
        <v>54357.236435589046</v>
      </c>
      <c r="M630" s="33">
        <v>25</v>
      </c>
      <c r="N630" s="18">
        <f t="shared" si="73"/>
        <v>10.353424657534246</v>
      </c>
      <c r="O630" s="23">
        <v>250393.08054847125</v>
      </c>
      <c r="P630" s="18">
        <f t="shared" si="74"/>
        <v>10.854794520547944</v>
      </c>
      <c r="Q630" s="18">
        <f t="shared" si="78"/>
        <v>20712.340940991009</v>
      </c>
      <c r="R630" s="18">
        <f t="shared" si="72"/>
        <v>271105.42148946226</v>
      </c>
      <c r="S630" s="18">
        <f t="shared" si="75"/>
        <v>816039.3072223186</v>
      </c>
    </row>
    <row r="631" spans="1:19" ht="18.75" customHeight="1" x14ac:dyDescent="0.25">
      <c r="A631" s="14">
        <f t="shared" si="76"/>
        <v>628</v>
      </c>
      <c r="B631" s="31" t="s">
        <v>606</v>
      </c>
      <c r="C631" s="15" t="s">
        <v>3</v>
      </c>
      <c r="D631" s="31" t="s">
        <v>500</v>
      </c>
      <c r="E631" s="31"/>
      <c r="F631" s="73" t="s">
        <v>11</v>
      </c>
      <c r="G631" s="32">
        <v>37210</v>
      </c>
      <c r="H631" s="29">
        <v>251038.85128767125</v>
      </c>
      <c r="I631" s="17">
        <v>0</v>
      </c>
      <c r="J631" s="17">
        <v>0</v>
      </c>
      <c r="K631" s="17">
        <f t="shared" si="71"/>
        <v>251038.85128767125</v>
      </c>
      <c r="L631" s="23">
        <f t="shared" si="79"/>
        <v>12551.942564383564</v>
      </c>
      <c r="M631" s="33">
        <v>25</v>
      </c>
      <c r="N631" s="18">
        <f t="shared" si="73"/>
        <v>19.391780821917809</v>
      </c>
      <c r="O631" s="23">
        <v>923686.84405150684</v>
      </c>
      <c r="P631" s="18">
        <f t="shared" si="74"/>
        <v>19.893150684931506</v>
      </c>
      <c r="Q631" s="18">
        <f t="shared" si="78"/>
        <v>4782.805950286187</v>
      </c>
      <c r="R631" s="18">
        <f t="shared" si="72"/>
        <v>928469.65000179305</v>
      </c>
      <c r="S631" s="18">
        <f t="shared" ref="S631:S637" si="83">L631</f>
        <v>12551.942564383564</v>
      </c>
    </row>
    <row r="632" spans="1:19" ht="18.75" customHeight="1" x14ac:dyDescent="0.25">
      <c r="A632" s="14">
        <f t="shared" si="76"/>
        <v>629</v>
      </c>
      <c r="B632" s="31" t="s">
        <v>607</v>
      </c>
      <c r="C632" s="15" t="s">
        <v>3</v>
      </c>
      <c r="D632" s="31" t="s">
        <v>500</v>
      </c>
      <c r="E632" s="31"/>
      <c r="F632" s="73" t="s">
        <v>11</v>
      </c>
      <c r="G632" s="32">
        <v>38663</v>
      </c>
      <c r="H632" s="29">
        <v>256862.31661561644</v>
      </c>
      <c r="I632" s="17">
        <v>0</v>
      </c>
      <c r="J632" s="17">
        <v>0</v>
      </c>
      <c r="K632" s="17">
        <f t="shared" si="71"/>
        <v>256862.31661561644</v>
      </c>
      <c r="L632" s="23">
        <f t="shared" si="79"/>
        <v>12843.115830780822</v>
      </c>
      <c r="M632" s="33">
        <v>25</v>
      </c>
      <c r="N632" s="18">
        <f t="shared" si="73"/>
        <v>15.41095890410959</v>
      </c>
      <c r="O632" s="23">
        <v>887690.14136462461</v>
      </c>
      <c r="P632" s="18">
        <f t="shared" si="74"/>
        <v>15.912328767123288</v>
      </c>
      <c r="Q632" s="18">
        <f t="shared" si="78"/>
        <v>4893.7549308082062</v>
      </c>
      <c r="R632" s="18">
        <f t="shared" si="72"/>
        <v>892583.89629543282</v>
      </c>
      <c r="S632" s="18">
        <f t="shared" si="83"/>
        <v>12843.115830780822</v>
      </c>
    </row>
    <row r="633" spans="1:19" ht="18.75" customHeight="1" x14ac:dyDescent="0.25">
      <c r="A633" s="14">
        <f t="shared" si="76"/>
        <v>630</v>
      </c>
      <c r="B633" s="31" t="s">
        <v>599</v>
      </c>
      <c r="C633" s="15" t="s">
        <v>3</v>
      </c>
      <c r="D633" s="31" t="s">
        <v>500</v>
      </c>
      <c r="E633" s="31"/>
      <c r="F633" s="73" t="s">
        <v>17</v>
      </c>
      <c r="G633" s="32">
        <v>41618</v>
      </c>
      <c r="H633" s="29">
        <v>309467.64015517809</v>
      </c>
      <c r="I633" s="17">
        <v>0</v>
      </c>
      <c r="J633" s="17">
        <v>0</v>
      </c>
      <c r="K633" s="17">
        <f t="shared" si="71"/>
        <v>309467.64015517809</v>
      </c>
      <c r="L633" s="23">
        <f t="shared" si="79"/>
        <v>15473.382007758904</v>
      </c>
      <c r="M633" s="33">
        <v>25</v>
      </c>
      <c r="N633" s="18">
        <f t="shared" si="73"/>
        <v>7.3150684931506849</v>
      </c>
      <c r="O633" s="23">
        <v>387870.69634620711</v>
      </c>
      <c r="P633" s="18">
        <f t="shared" si="74"/>
        <v>7.816438356164384</v>
      </c>
      <c r="Q633" s="18">
        <f t="shared" si="78"/>
        <v>5895.9944373674271</v>
      </c>
      <c r="R633" s="18">
        <f t="shared" si="72"/>
        <v>393766.69078357454</v>
      </c>
      <c r="S633" s="18">
        <f t="shared" si="83"/>
        <v>15473.382007758904</v>
      </c>
    </row>
    <row r="634" spans="1:19" ht="18.75" customHeight="1" x14ac:dyDescent="0.25">
      <c r="A634" s="14">
        <f t="shared" si="76"/>
        <v>631</v>
      </c>
      <c r="B634" s="31" t="s">
        <v>604</v>
      </c>
      <c r="C634" s="15" t="s">
        <v>3</v>
      </c>
      <c r="D634" s="31" t="s">
        <v>500</v>
      </c>
      <c r="E634" s="31"/>
      <c r="F634" s="73" t="s">
        <v>4</v>
      </c>
      <c r="G634" s="32">
        <v>37784</v>
      </c>
      <c r="H634" s="29">
        <v>2909.6999999999971</v>
      </c>
      <c r="I634" s="17">
        <v>0</v>
      </c>
      <c r="J634" s="17">
        <v>0</v>
      </c>
      <c r="K634" s="17">
        <f t="shared" si="71"/>
        <v>2909.6999999999971</v>
      </c>
      <c r="L634" s="23">
        <f t="shared" si="79"/>
        <v>145.48499999999987</v>
      </c>
      <c r="M634" s="33">
        <v>15</v>
      </c>
      <c r="N634" s="18">
        <f t="shared" si="73"/>
        <v>17.81917808219178</v>
      </c>
      <c r="O634" s="23">
        <v>246829</v>
      </c>
      <c r="P634" s="18">
        <f t="shared" si="74"/>
        <v>18.32054794520548</v>
      </c>
      <c r="Q634" s="18">
        <v>0</v>
      </c>
      <c r="R634" s="18">
        <f t="shared" si="72"/>
        <v>246829</v>
      </c>
      <c r="S634" s="18">
        <f t="shared" si="83"/>
        <v>145.48499999999987</v>
      </c>
    </row>
    <row r="635" spans="1:19" ht="18.75" customHeight="1" x14ac:dyDescent="0.25">
      <c r="A635" s="14">
        <f t="shared" si="76"/>
        <v>632</v>
      </c>
      <c r="B635" s="31" t="s">
        <v>608</v>
      </c>
      <c r="C635" s="15" t="s">
        <v>3</v>
      </c>
      <c r="D635" s="31" t="s">
        <v>500</v>
      </c>
      <c r="E635" s="31"/>
      <c r="F635" s="73" t="s">
        <v>4</v>
      </c>
      <c r="G635" s="32">
        <v>37925</v>
      </c>
      <c r="H635" s="29">
        <v>180.34999999999991</v>
      </c>
      <c r="I635" s="17">
        <v>0</v>
      </c>
      <c r="J635" s="17">
        <v>0</v>
      </c>
      <c r="K635" s="17">
        <f t="shared" si="71"/>
        <v>180.34999999999991</v>
      </c>
      <c r="L635" s="23">
        <f t="shared" si="79"/>
        <v>9.0174999999999965</v>
      </c>
      <c r="M635" s="33">
        <v>15</v>
      </c>
      <c r="N635" s="18">
        <f t="shared" si="73"/>
        <v>17.432876712328767</v>
      </c>
      <c r="O635" s="23">
        <v>217575.65</v>
      </c>
      <c r="P635" s="18">
        <f t="shared" si="74"/>
        <v>17.934246575342467</v>
      </c>
      <c r="Q635" s="18">
        <v>0</v>
      </c>
      <c r="R635" s="18">
        <f t="shared" si="72"/>
        <v>217575.65</v>
      </c>
      <c r="S635" s="18">
        <f t="shared" si="83"/>
        <v>9.0174999999999965</v>
      </c>
    </row>
    <row r="636" spans="1:19" ht="18.75" customHeight="1" x14ac:dyDescent="0.25">
      <c r="A636" s="14">
        <f t="shared" si="76"/>
        <v>633</v>
      </c>
      <c r="B636" s="31" t="s">
        <v>609</v>
      </c>
      <c r="C636" s="15" t="s">
        <v>3</v>
      </c>
      <c r="D636" s="31" t="s">
        <v>500</v>
      </c>
      <c r="E636" s="31"/>
      <c r="F636" s="73" t="s">
        <v>11</v>
      </c>
      <c r="G636" s="32">
        <v>35476</v>
      </c>
      <c r="H636" s="29">
        <v>572622.86666301382</v>
      </c>
      <c r="I636" s="17">
        <v>0</v>
      </c>
      <c r="J636" s="17">
        <v>0</v>
      </c>
      <c r="K636" s="17">
        <f t="shared" si="71"/>
        <v>572622.86666301382</v>
      </c>
      <c r="L636" s="23">
        <f t="shared" si="79"/>
        <v>28631.143333150692</v>
      </c>
      <c r="M636" s="33">
        <v>25</v>
      </c>
      <c r="N636" s="18">
        <f t="shared" si="73"/>
        <v>24.142465753424659</v>
      </c>
      <c r="O636" s="23">
        <v>1170973.4126665206</v>
      </c>
      <c r="P636" s="18">
        <f t="shared" si="74"/>
        <v>24.643835616438356</v>
      </c>
      <c r="Q636" s="18">
        <f t="shared" si="78"/>
        <v>10909.642232259126</v>
      </c>
      <c r="R636" s="18">
        <f t="shared" si="72"/>
        <v>1181883.0548987796</v>
      </c>
      <c r="S636" s="18">
        <f t="shared" si="83"/>
        <v>28631.143333150692</v>
      </c>
    </row>
    <row r="637" spans="1:19" ht="18.75" customHeight="1" x14ac:dyDescent="0.25">
      <c r="A637" s="14">
        <f t="shared" si="76"/>
        <v>634</v>
      </c>
      <c r="B637" s="31" t="s">
        <v>610</v>
      </c>
      <c r="C637" s="15" t="s">
        <v>3</v>
      </c>
      <c r="D637" s="31" t="s">
        <v>500</v>
      </c>
      <c r="E637" s="31"/>
      <c r="F637" s="73" t="s">
        <v>13</v>
      </c>
      <c r="G637" s="32">
        <v>38707</v>
      </c>
      <c r="H637" s="29">
        <v>221753.92046575341</v>
      </c>
      <c r="I637" s="17">
        <v>0</v>
      </c>
      <c r="J637" s="17">
        <v>0</v>
      </c>
      <c r="K637" s="17">
        <f t="shared" si="71"/>
        <v>221753.92046575341</v>
      </c>
      <c r="L637" s="23">
        <f t="shared" si="79"/>
        <v>11087.696023287672</v>
      </c>
      <c r="M637" s="33">
        <v>25</v>
      </c>
      <c r="N637" s="18">
        <f t="shared" si="73"/>
        <v>15.29041095890411</v>
      </c>
      <c r="O637" s="23">
        <v>480131.43281863013</v>
      </c>
      <c r="P637" s="18">
        <f t="shared" si="74"/>
        <v>15.791780821917808</v>
      </c>
      <c r="Q637" s="18">
        <f t="shared" si="78"/>
        <v>4224.8678436132823</v>
      </c>
      <c r="R637" s="18">
        <f t="shared" si="72"/>
        <v>484356.30066224339</v>
      </c>
      <c r="S637" s="18">
        <f t="shared" si="83"/>
        <v>11087.696023287672</v>
      </c>
    </row>
    <row r="638" spans="1:19" ht="18.75" customHeight="1" x14ac:dyDescent="0.25">
      <c r="A638" s="14">
        <f t="shared" si="76"/>
        <v>635</v>
      </c>
      <c r="B638" s="31" t="s">
        <v>611</v>
      </c>
      <c r="C638" s="15" t="s">
        <v>3</v>
      </c>
      <c r="D638" s="31" t="s">
        <v>500</v>
      </c>
      <c r="E638" s="31"/>
      <c r="F638" s="73" t="s">
        <v>13</v>
      </c>
      <c r="G638" s="32">
        <v>38297</v>
      </c>
      <c r="H638" s="29">
        <v>214147.97648136987</v>
      </c>
      <c r="I638" s="17">
        <v>0</v>
      </c>
      <c r="J638" s="17">
        <v>0</v>
      </c>
      <c r="K638" s="17">
        <f t="shared" si="71"/>
        <v>214147.97648136987</v>
      </c>
      <c r="L638" s="23">
        <f t="shared" si="79"/>
        <v>10707.398824068494</v>
      </c>
      <c r="M638" s="33">
        <v>25</v>
      </c>
      <c r="N638" s="18">
        <f t="shared" si="73"/>
        <v>16.413698630136988</v>
      </c>
      <c r="O638" s="23">
        <v>92530.724879254805</v>
      </c>
      <c r="P638" s="18">
        <f t="shared" si="74"/>
        <v>16.915068493150685</v>
      </c>
      <c r="Q638" s="18">
        <f t="shared" si="78"/>
        <v>4079.9589820587389</v>
      </c>
      <c r="R638" s="18">
        <f t="shared" si="72"/>
        <v>96610.683861313548</v>
      </c>
      <c r="S638" s="18">
        <f t="shared" si="75"/>
        <v>117537.29262005632</v>
      </c>
    </row>
    <row r="639" spans="1:19" ht="18.75" customHeight="1" x14ac:dyDescent="0.25">
      <c r="A639" s="14">
        <f t="shared" si="76"/>
        <v>636</v>
      </c>
      <c r="B639" s="31" t="s">
        <v>612</v>
      </c>
      <c r="C639" s="15" t="s">
        <v>3</v>
      </c>
      <c r="D639" s="31" t="s">
        <v>500</v>
      </c>
      <c r="E639" s="31"/>
      <c r="F639" s="70" t="s">
        <v>7</v>
      </c>
      <c r="G639" s="32">
        <v>37587</v>
      </c>
      <c r="H639" s="29">
        <v>197688.06506849316</v>
      </c>
      <c r="I639" s="17">
        <v>0</v>
      </c>
      <c r="J639" s="17">
        <v>0</v>
      </c>
      <c r="K639" s="17">
        <f t="shared" si="71"/>
        <v>197688.06506849316</v>
      </c>
      <c r="L639" s="23">
        <f t="shared" si="79"/>
        <v>9884.403253424658</v>
      </c>
      <c r="M639" s="33">
        <v>25</v>
      </c>
      <c r="N639" s="18">
        <f t="shared" si="73"/>
        <v>18.358904109589041</v>
      </c>
      <c r="O639" s="23">
        <v>353770.12260273972</v>
      </c>
      <c r="P639" s="18">
        <f t="shared" si="74"/>
        <v>18.860273972602741</v>
      </c>
      <c r="Q639" s="18">
        <f t="shared" si="78"/>
        <v>3766.3638479076858</v>
      </c>
      <c r="R639" s="18">
        <f t="shared" si="72"/>
        <v>357536.48645064741</v>
      </c>
      <c r="S639" s="18">
        <f t="shared" ref="S639:S640" si="84">L639</f>
        <v>9884.403253424658</v>
      </c>
    </row>
    <row r="640" spans="1:19" ht="18.75" customHeight="1" x14ac:dyDescent="0.25">
      <c r="A640" s="14">
        <f t="shared" si="76"/>
        <v>637</v>
      </c>
      <c r="B640" s="31" t="s">
        <v>613</v>
      </c>
      <c r="C640" s="15" t="s">
        <v>3</v>
      </c>
      <c r="D640" s="31" t="s">
        <v>500</v>
      </c>
      <c r="E640" s="31"/>
      <c r="F640" s="73" t="s">
        <v>4</v>
      </c>
      <c r="G640" s="32">
        <v>35751</v>
      </c>
      <c r="H640" s="29">
        <v>312910.84282191785</v>
      </c>
      <c r="I640" s="17">
        <v>0</v>
      </c>
      <c r="J640" s="17">
        <v>0</v>
      </c>
      <c r="K640" s="17">
        <f t="shared" si="71"/>
        <v>312910.84282191785</v>
      </c>
      <c r="L640" s="23">
        <f t="shared" si="79"/>
        <v>15645.542141095893</v>
      </c>
      <c r="M640" s="33">
        <v>25</v>
      </c>
      <c r="N640" s="18">
        <f t="shared" si="73"/>
        <v>23.389041095890413</v>
      </c>
      <c r="O640" s="23">
        <v>865965.80371287675</v>
      </c>
      <c r="P640" s="18">
        <f t="shared" si="74"/>
        <v>23.890410958904109</v>
      </c>
      <c r="Q640" s="18">
        <f t="shared" si="78"/>
        <v>5961.5945232427594</v>
      </c>
      <c r="R640" s="18">
        <f t="shared" si="72"/>
        <v>871927.39823611954</v>
      </c>
      <c r="S640" s="18">
        <f t="shared" si="84"/>
        <v>15645.542141095893</v>
      </c>
    </row>
    <row r="641" spans="1:19" ht="18.75" customHeight="1" x14ac:dyDescent="0.25">
      <c r="A641" s="14">
        <f t="shared" si="76"/>
        <v>638</v>
      </c>
      <c r="B641" s="31" t="s">
        <v>614</v>
      </c>
      <c r="C641" s="15" t="s">
        <v>3</v>
      </c>
      <c r="D641" s="31" t="s">
        <v>500</v>
      </c>
      <c r="E641" s="31"/>
      <c r="F641" s="73" t="s">
        <v>11</v>
      </c>
      <c r="G641" s="32">
        <v>39033</v>
      </c>
      <c r="H641" s="29">
        <v>193883.77988695889</v>
      </c>
      <c r="I641" s="17">
        <v>0</v>
      </c>
      <c r="J641" s="17">
        <v>0</v>
      </c>
      <c r="K641" s="17">
        <f t="shared" si="71"/>
        <v>193883.77988695889</v>
      </c>
      <c r="L641" s="23">
        <f t="shared" si="79"/>
        <v>9694.1889943479455</v>
      </c>
      <c r="M641" s="33">
        <v>25</v>
      </c>
      <c r="N641" s="18">
        <f t="shared" si="73"/>
        <v>14.397260273972602</v>
      </c>
      <c r="O641" s="23">
        <v>11890.898935478355</v>
      </c>
      <c r="P641" s="18">
        <f t="shared" si="74"/>
        <v>14.898630136986302</v>
      </c>
      <c r="Q641" s="18">
        <f t="shared" si="78"/>
        <v>3693.8843981751124</v>
      </c>
      <c r="R641" s="18">
        <f t="shared" si="72"/>
        <v>15584.783333653468</v>
      </c>
      <c r="S641" s="18">
        <f t="shared" si="75"/>
        <v>178298.99655330542</v>
      </c>
    </row>
    <row r="642" spans="1:19" ht="18.75" customHeight="1" x14ac:dyDescent="0.25">
      <c r="A642" s="14">
        <f t="shared" si="76"/>
        <v>639</v>
      </c>
      <c r="B642" s="31" t="s">
        <v>615</v>
      </c>
      <c r="C642" s="15" t="s">
        <v>3</v>
      </c>
      <c r="D642" s="31" t="s">
        <v>500</v>
      </c>
      <c r="E642" s="31"/>
      <c r="F642" s="73" t="s">
        <v>11</v>
      </c>
      <c r="G642" s="32">
        <v>38663</v>
      </c>
      <c r="H642" s="29">
        <v>186460.43028016441</v>
      </c>
      <c r="I642" s="17">
        <v>0</v>
      </c>
      <c r="J642" s="17">
        <v>0</v>
      </c>
      <c r="K642" s="17">
        <f t="shared" si="71"/>
        <v>186460.43028016441</v>
      </c>
      <c r="L642" s="23">
        <f t="shared" si="79"/>
        <v>9323.02151400822</v>
      </c>
      <c r="M642" s="33">
        <v>25</v>
      </c>
      <c r="N642" s="18">
        <f t="shared" si="73"/>
        <v>15.41095890410959</v>
      </c>
      <c r="O642" s="23">
        <v>28363.746671206576</v>
      </c>
      <c r="P642" s="18">
        <f t="shared" si="74"/>
        <v>15.912328767123288</v>
      </c>
      <c r="Q642" s="18">
        <f t="shared" si="78"/>
        <v>3552.4543347075673</v>
      </c>
      <c r="R642" s="18">
        <f t="shared" si="72"/>
        <v>31916.201005914143</v>
      </c>
      <c r="S642" s="18">
        <f t="shared" si="75"/>
        <v>154544.22927425028</v>
      </c>
    </row>
    <row r="643" spans="1:19" ht="18.75" customHeight="1" x14ac:dyDescent="0.25">
      <c r="A643" s="14">
        <f t="shared" si="76"/>
        <v>640</v>
      </c>
      <c r="B643" s="31" t="s">
        <v>616</v>
      </c>
      <c r="C643" s="15" t="s">
        <v>3</v>
      </c>
      <c r="D643" s="31" t="s">
        <v>500</v>
      </c>
      <c r="E643" s="31"/>
      <c r="F643" s="73" t="s">
        <v>11</v>
      </c>
      <c r="G643" s="32">
        <v>39415</v>
      </c>
      <c r="H643" s="29">
        <v>188168.49813309588</v>
      </c>
      <c r="I643" s="17">
        <v>0</v>
      </c>
      <c r="J643" s="17">
        <v>0</v>
      </c>
      <c r="K643" s="17">
        <f t="shared" si="71"/>
        <v>188168.49813309588</v>
      </c>
      <c r="L643" s="23">
        <f t="shared" si="79"/>
        <v>9408.4249066547945</v>
      </c>
      <c r="M643" s="33">
        <v>25</v>
      </c>
      <c r="N643" s="18">
        <f t="shared" si="73"/>
        <v>13.35068493150685</v>
      </c>
      <c r="O643" s="23">
        <v>16180.104985323836</v>
      </c>
      <c r="P643" s="18">
        <f t="shared" si="74"/>
        <v>13.852054794520548</v>
      </c>
      <c r="Q643" s="18">
        <f t="shared" si="78"/>
        <v>3584.9965370343771</v>
      </c>
      <c r="R643" s="18">
        <f t="shared" si="72"/>
        <v>19765.101522358214</v>
      </c>
      <c r="S643" s="18">
        <f t="shared" si="75"/>
        <v>168403.39661073766</v>
      </c>
    </row>
    <row r="644" spans="1:19" ht="18.75" customHeight="1" x14ac:dyDescent="0.25">
      <c r="A644" s="14">
        <f t="shared" si="76"/>
        <v>641</v>
      </c>
      <c r="B644" s="31" t="s">
        <v>617</v>
      </c>
      <c r="C644" s="15" t="s">
        <v>3</v>
      </c>
      <c r="D644" s="31" t="s">
        <v>500</v>
      </c>
      <c r="E644" s="31"/>
      <c r="F644" s="73" t="s">
        <v>13</v>
      </c>
      <c r="G644" s="32">
        <v>35504</v>
      </c>
      <c r="H644" s="29">
        <v>390865.6201972604</v>
      </c>
      <c r="I644" s="17">
        <v>0</v>
      </c>
      <c r="J644" s="17">
        <v>0</v>
      </c>
      <c r="K644" s="17">
        <f t="shared" ref="K644:K707" si="85">H644+I644-J644</f>
        <v>390865.6201972604</v>
      </c>
      <c r="L644" s="23">
        <f t="shared" si="79"/>
        <v>19543.281009863022</v>
      </c>
      <c r="M644" s="33">
        <v>25</v>
      </c>
      <c r="N644" s="18">
        <f t="shared" si="73"/>
        <v>24.065753424657533</v>
      </c>
      <c r="O644" s="23">
        <v>194127.56080789043</v>
      </c>
      <c r="P644" s="18">
        <f t="shared" si="74"/>
        <v>24.567123287671233</v>
      </c>
      <c r="Q644" s="18">
        <f t="shared" si="78"/>
        <v>7446.7932132924834</v>
      </c>
      <c r="R644" s="18">
        <f t="shared" ref="R644:R707" si="86">Q644+O644</f>
        <v>201574.35402118292</v>
      </c>
      <c r="S644" s="18">
        <f t="shared" ref="S644:S707" si="87">K644-R644</f>
        <v>189291.26617607748</v>
      </c>
    </row>
    <row r="645" spans="1:19" ht="18.75" customHeight="1" x14ac:dyDescent="0.25">
      <c r="A645" s="14">
        <f t="shared" si="76"/>
        <v>642</v>
      </c>
      <c r="B645" s="31" t="s">
        <v>618</v>
      </c>
      <c r="C645" s="15" t="s">
        <v>3</v>
      </c>
      <c r="D645" s="31" t="s">
        <v>500</v>
      </c>
      <c r="E645" s="31"/>
      <c r="F645" s="73" t="s">
        <v>11</v>
      </c>
      <c r="G645" s="32">
        <v>35751</v>
      </c>
      <c r="H645" s="29">
        <v>264056.23578082188</v>
      </c>
      <c r="I645" s="17">
        <v>0</v>
      </c>
      <c r="J645" s="17">
        <v>0</v>
      </c>
      <c r="K645" s="17">
        <f t="shared" si="85"/>
        <v>264056.23578082188</v>
      </c>
      <c r="L645" s="23">
        <f t="shared" si="79"/>
        <v>13202.811789041094</v>
      </c>
      <c r="M645" s="33">
        <v>25</v>
      </c>
      <c r="N645" s="18">
        <f t="shared" ref="N645:N708" si="88">IF(($N$2-G645+1)/365&gt;0,($N$2-G645+1)/365,0)</f>
        <v>23.389041095890413</v>
      </c>
      <c r="O645" s="23">
        <v>72273.389431232878</v>
      </c>
      <c r="P645" s="18">
        <f t="shared" ref="P645:P708" si="89">($P$2-G645+1)/365</f>
        <v>23.890410958904109</v>
      </c>
      <c r="Q645" s="18">
        <f t="shared" si="78"/>
        <v>5030.813872931034</v>
      </c>
      <c r="R645" s="18">
        <f t="shared" si="86"/>
        <v>77304.203304163908</v>
      </c>
      <c r="S645" s="18">
        <f t="shared" si="87"/>
        <v>186752.03247665797</v>
      </c>
    </row>
    <row r="646" spans="1:19" ht="18.75" customHeight="1" x14ac:dyDescent="0.25">
      <c r="A646" s="14">
        <f t="shared" ref="A646:A709" si="90">+A645+1</f>
        <v>643</v>
      </c>
      <c r="B646" s="31" t="s">
        <v>619</v>
      </c>
      <c r="C646" s="15" t="s">
        <v>3</v>
      </c>
      <c r="D646" s="31" t="s">
        <v>500</v>
      </c>
      <c r="E646" s="31"/>
      <c r="F646" s="73" t="s">
        <v>4</v>
      </c>
      <c r="G646" s="32">
        <v>38727</v>
      </c>
      <c r="H646" s="29">
        <v>168308.05677945202</v>
      </c>
      <c r="I646" s="17">
        <v>0</v>
      </c>
      <c r="J646" s="17">
        <v>0</v>
      </c>
      <c r="K646" s="17">
        <f t="shared" si="85"/>
        <v>168308.05677945202</v>
      </c>
      <c r="L646" s="23">
        <f t="shared" si="79"/>
        <v>8415.4028389726009</v>
      </c>
      <c r="M646" s="33">
        <v>25</v>
      </c>
      <c r="N646" s="18">
        <f t="shared" si="88"/>
        <v>15.235616438356164</v>
      </c>
      <c r="O646" s="23">
        <v>556542.18157117814</v>
      </c>
      <c r="P646" s="18">
        <f t="shared" si="89"/>
        <v>15.736986301369862</v>
      </c>
      <c r="Q646" s="18">
        <f t="shared" si="78"/>
        <v>3206.6143201213927</v>
      </c>
      <c r="R646" s="18">
        <f t="shared" si="86"/>
        <v>559748.79589129949</v>
      </c>
      <c r="S646" s="18">
        <f>L646</f>
        <v>8415.4028389726009</v>
      </c>
    </row>
    <row r="647" spans="1:19" ht="18.75" customHeight="1" x14ac:dyDescent="0.25">
      <c r="A647" s="14">
        <f t="shared" si="90"/>
        <v>644</v>
      </c>
      <c r="B647" s="31" t="s">
        <v>620</v>
      </c>
      <c r="C647" s="15" t="s">
        <v>3</v>
      </c>
      <c r="D647" s="31" t="s">
        <v>500</v>
      </c>
      <c r="E647" s="31"/>
      <c r="F647" s="73" t="s">
        <v>10</v>
      </c>
      <c r="G647" s="32">
        <v>35751</v>
      </c>
      <c r="H647" s="29">
        <v>243168.9967178083</v>
      </c>
      <c r="I647" s="17">
        <v>0</v>
      </c>
      <c r="J647" s="17">
        <v>0</v>
      </c>
      <c r="K647" s="17">
        <f t="shared" si="85"/>
        <v>243168.9967178083</v>
      </c>
      <c r="L647" s="23">
        <f t="shared" si="79"/>
        <v>12158.449835890417</v>
      </c>
      <c r="M647" s="33">
        <v>25</v>
      </c>
      <c r="N647" s="18">
        <f t="shared" si="88"/>
        <v>23.389041095890413</v>
      </c>
      <c r="O647" s="23">
        <v>62192.437868712332</v>
      </c>
      <c r="P647" s="18">
        <f t="shared" si="89"/>
        <v>23.890410958904109</v>
      </c>
      <c r="Q647" s="18">
        <f t="shared" si="78"/>
        <v>4632.8690497962516</v>
      </c>
      <c r="R647" s="18">
        <f t="shared" si="86"/>
        <v>66825.306918508577</v>
      </c>
      <c r="S647" s="18">
        <f t="shared" si="87"/>
        <v>176343.68979929973</v>
      </c>
    </row>
    <row r="648" spans="1:19" ht="18.75" customHeight="1" x14ac:dyDescent="0.25">
      <c r="A648" s="14">
        <f t="shared" si="90"/>
        <v>645</v>
      </c>
      <c r="B648" s="31" t="s">
        <v>621</v>
      </c>
      <c r="C648" s="15" t="s">
        <v>3</v>
      </c>
      <c r="D648" s="31" t="s">
        <v>500</v>
      </c>
      <c r="E648" s="31"/>
      <c r="F648" s="73" t="s">
        <v>11</v>
      </c>
      <c r="G648" s="32">
        <v>35397</v>
      </c>
      <c r="H648" s="29">
        <v>470940.77876712312</v>
      </c>
      <c r="I648" s="17">
        <v>0</v>
      </c>
      <c r="J648" s="17">
        <v>0</v>
      </c>
      <c r="K648" s="17">
        <f t="shared" si="85"/>
        <v>470940.77876712312</v>
      </c>
      <c r="L648" s="23">
        <f t="shared" si="79"/>
        <v>23547.038938356156</v>
      </c>
      <c r="M648" s="33">
        <v>25</v>
      </c>
      <c r="N648" s="18">
        <f t="shared" si="88"/>
        <v>24.358904109589041</v>
      </c>
      <c r="O648" s="23">
        <v>3780074.8811506853</v>
      </c>
      <c r="P648" s="18">
        <f t="shared" si="89"/>
        <v>24.860273972602741</v>
      </c>
      <c r="Q648" s="18">
        <f t="shared" si="78"/>
        <v>8972.3895220454342</v>
      </c>
      <c r="R648" s="18">
        <f t="shared" si="86"/>
        <v>3789047.2706727306</v>
      </c>
      <c r="S648" s="18">
        <f t="shared" ref="S648:S649" si="91">L648</f>
        <v>23547.038938356156</v>
      </c>
    </row>
    <row r="649" spans="1:19" ht="18.75" customHeight="1" x14ac:dyDescent="0.25">
      <c r="A649" s="14">
        <f t="shared" si="90"/>
        <v>646</v>
      </c>
      <c r="B649" s="31" t="s">
        <v>622</v>
      </c>
      <c r="C649" s="15" t="s">
        <v>3</v>
      </c>
      <c r="D649" s="31" t="s">
        <v>500</v>
      </c>
      <c r="E649" s="31"/>
      <c r="F649" s="73" t="s">
        <v>11</v>
      </c>
      <c r="G649" s="32">
        <v>37210</v>
      </c>
      <c r="H649" s="29">
        <v>149088.71991232873</v>
      </c>
      <c r="I649" s="17">
        <v>0</v>
      </c>
      <c r="J649" s="17">
        <v>0</v>
      </c>
      <c r="K649" s="17">
        <f t="shared" si="85"/>
        <v>149088.71991232873</v>
      </c>
      <c r="L649" s="23">
        <f t="shared" si="79"/>
        <v>7454.4359956164371</v>
      </c>
      <c r="M649" s="33">
        <v>25</v>
      </c>
      <c r="N649" s="18">
        <f t="shared" si="88"/>
        <v>19.391780821917809</v>
      </c>
      <c r="O649" s="23">
        <v>2587642.184796493</v>
      </c>
      <c r="P649" s="18">
        <f t="shared" si="89"/>
        <v>19.893150684931506</v>
      </c>
      <c r="Q649" s="18">
        <f t="shared" si="78"/>
        <v>2840.4464610146015</v>
      </c>
      <c r="R649" s="18">
        <f t="shared" si="86"/>
        <v>2590482.6312575075</v>
      </c>
      <c r="S649" s="18">
        <f t="shared" si="91"/>
        <v>7454.4359956164371</v>
      </c>
    </row>
    <row r="650" spans="1:19" ht="18.75" customHeight="1" x14ac:dyDescent="0.25">
      <c r="A650" s="14">
        <f t="shared" si="90"/>
        <v>647</v>
      </c>
      <c r="B650" s="31" t="s">
        <v>623</v>
      </c>
      <c r="C650" s="15" t="s">
        <v>3</v>
      </c>
      <c r="D650" s="31" t="s">
        <v>500</v>
      </c>
      <c r="E650" s="31"/>
      <c r="F650" s="73" t="s">
        <v>11</v>
      </c>
      <c r="G650" s="32">
        <v>38663</v>
      </c>
      <c r="H650" s="29">
        <v>152876.11080575344</v>
      </c>
      <c r="I650" s="17">
        <v>0</v>
      </c>
      <c r="J650" s="17">
        <v>0</v>
      </c>
      <c r="K650" s="17">
        <f t="shared" si="85"/>
        <v>152876.11080575344</v>
      </c>
      <c r="L650" s="23">
        <f t="shared" si="79"/>
        <v>7643.8055402876726</v>
      </c>
      <c r="M650" s="33">
        <v>25</v>
      </c>
      <c r="N650" s="18">
        <f t="shared" si="88"/>
        <v>15.41095890410959</v>
      </c>
      <c r="O650" s="23">
        <v>14813.790532230138</v>
      </c>
      <c r="P650" s="18">
        <f t="shared" si="89"/>
        <v>15.912328767123288</v>
      </c>
      <c r="Q650" s="18">
        <f t="shared" si="78"/>
        <v>2912.604039844407</v>
      </c>
      <c r="R650" s="18">
        <f t="shared" si="86"/>
        <v>17726.394572074543</v>
      </c>
      <c r="S650" s="18">
        <f t="shared" si="87"/>
        <v>135149.71623367889</v>
      </c>
    </row>
    <row r="651" spans="1:19" ht="18.75" customHeight="1" x14ac:dyDescent="0.25">
      <c r="A651" s="14">
        <f t="shared" si="90"/>
        <v>648</v>
      </c>
      <c r="B651" s="31" t="s">
        <v>624</v>
      </c>
      <c r="C651" s="15" t="s">
        <v>3</v>
      </c>
      <c r="D651" s="31" t="s">
        <v>500</v>
      </c>
      <c r="E651" s="31"/>
      <c r="F651" s="73" t="s">
        <v>11</v>
      </c>
      <c r="G651" s="32">
        <v>36885</v>
      </c>
      <c r="H651" s="29">
        <v>146372.29446575342</v>
      </c>
      <c r="I651" s="17">
        <v>0</v>
      </c>
      <c r="J651" s="17">
        <v>0</v>
      </c>
      <c r="K651" s="17">
        <f t="shared" si="85"/>
        <v>146372.29446575342</v>
      </c>
      <c r="L651" s="23">
        <f t="shared" si="79"/>
        <v>7318.6147232876719</v>
      </c>
      <c r="M651" s="33">
        <v>25</v>
      </c>
      <c r="N651" s="18">
        <f t="shared" si="88"/>
        <v>20.282191780821918</v>
      </c>
      <c r="O651" s="23">
        <v>1968605.4517786303</v>
      </c>
      <c r="P651" s="18">
        <f t="shared" si="89"/>
        <v>20.783561643835615</v>
      </c>
      <c r="Q651" s="18">
        <f t="shared" si="78"/>
        <v>2788.6929745612192</v>
      </c>
      <c r="R651" s="18">
        <f t="shared" si="86"/>
        <v>1971394.1447531914</v>
      </c>
      <c r="S651" s="18">
        <f t="shared" ref="S651:S652" si="92">L651</f>
        <v>7318.6147232876719</v>
      </c>
    </row>
    <row r="652" spans="1:19" ht="18.75" customHeight="1" x14ac:dyDescent="0.25">
      <c r="A652" s="14">
        <f t="shared" si="90"/>
        <v>649</v>
      </c>
      <c r="B652" s="31" t="s">
        <v>625</v>
      </c>
      <c r="C652" s="15" t="s">
        <v>3</v>
      </c>
      <c r="D652" s="31" t="s">
        <v>500</v>
      </c>
      <c r="E652" s="31"/>
      <c r="F652" s="73" t="s">
        <v>11</v>
      </c>
      <c r="G652" s="32">
        <v>36250</v>
      </c>
      <c r="H652" s="29">
        <v>154447.35684383556</v>
      </c>
      <c r="I652" s="17">
        <v>0</v>
      </c>
      <c r="J652" s="17">
        <v>0</v>
      </c>
      <c r="K652" s="17">
        <f t="shared" si="85"/>
        <v>154447.35684383556</v>
      </c>
      <c r="L652" s="23">
        <f t="shared" si="79"/>
        <v>7722.3678421917784</v>
      </c>
      <c r="M652" s="33">
        <v>25</v>
      </c>
      <c r="N652" s="18">
        <f t="shared" si="88"/>
        <v>22.021917808219179</v>
      </c>
      <c r="O652" s="23">
        <v>445423.31027375342</v>
      </c>
      <c r="P652" s="18">
        <f t="shared" si="89"/>
        <v>22.523287671232875</v>
      </c>
      <c r="Q652" s="18">
        <f t="shared" si="78"/>
        <v>2942.5395054576106</v>
      </c>
      <c r="R652" s="18">
        <f t="shared" si="86"/>
        <v>448365.84977921104</v>
      </c>
      <c r="S652" s="18">
        <f t="shared" si="92"/>
        <v>7722.3678421917784</v>
      </c>
    </row>
    <row r="653" spans="1:19" ht="18.75" customHeight="1" x14ac:dyDescent="0.25">
      <c r="A653" s="14">
        <f t="shared" si="90"/>
        <v>650</v>
      </c>
      <c r="B653" s="31" t="s">
        <v>626</v>
      </c>
      <c r="C653" s="15" t="s">
        <v>3</v>
      </c>
      <c r="D653" s="31" t="s">
        <v>500</v>
      </c>
      <c r="E653" s="31"/>
      <c r="F653" s="73" t="s">
        <v>11</v>
      </c>
      <c r="G653" s="32">
        <v>36525</v>
      </c>
      <c r="H653" s="29">
        <v>142333.87674520546</v>
      </c>
      <c r="I653" s="17">
        <v>0</v>
      </c>
      <c r="J653" s="17">
        <v>0</v>
      </c>
      <c r="K653" s="17">
        <f t="shared" si="85"/>
        <v>142333.87674520546</v>
      </c>
      <c r="L653" s="23">
        <f t="shared" si="79"/>
        <v>7116.6938372602735</v>
      </c>
      <c r="M653" s="33">
        <v>25</v>
      </c>
      <c r="N653" s="18">
        <f t="shared" si="88"/>
        <v>21.268493150684932</v>
      </c>
      <c r="O653" s="23">
        <v>72894.809069808223</v>
      </c>
      <c r="P653" s="18">
        <f t="shared" si="89"/>
        <v>21.769863013698629</v>
      </c>
      <c r="Q653" s="18">
        <f t="shared" si="78"/>
        <v>2711.7528188661768</v>
      </c>
      <c r="R653" s="18">
        <f t="shared" si="86"/>
        <v>75606.561888674405</v>
      </c>
      <c r="S653" s="18">
        <f t="shared" si="87"/>
        <v>66727.314856531055</v>
      </c>
    </row>
    <row r="654" spans="1:19" ht="18.75" customHeight="1" x14ac:dyDescent="0.25">
      <c r="A654" s="14">
        <f t="shared" si="90"/>
        <v>651</v>
      </c>
      <c r="B654" s="31" t="s">
        <v>627</v>
      </c>
      <c r="C654" s="15" t="s">
        <v>3</v>
      </c>
      <c r="D654" s="31" t="s">
        <v>500</v>
      </c>
      <c r="E654" s="31"/>
      <c r="F654" s="73" t="s">
        <v>14</v>
      </c>
      <c r="G654" s="32">
        <v>38663</v>
      </c>
      <c r="H654" s="29">
        <v>131960.23893830139</v>
      </c>
      <c r="I654" s="17">
        <v>0</v>
      </c>
      <c r="J654" s="17">
        <v>0</v>
      </c>
      <c r="K654" s="17">
        <f t="shared" si="85"/>
        <v>131960.23893830139</v>
      </c>
      <c r="L654" s="23">
        <f t="shared" si="79"/>
        <v>6598.0119469150704</v>
      </c>
      <c r="M654" s="33">
        <v>25</v>
      </c>
      <c r="N654" s="18">
        <f t="shared" si="88"/>
        <v>15.41095890410959</v>
      </c>
      <c r="O654" s="23">
        <v>5646324.6576375319</v>
      </c>
      <c r="P654" s="18">
        <f t="shared" si="89"/>
        <v>15.912328767123288</v>
      </c>
      <c r="Q654" s="18">
        <f t="shared" si="78"/>
        <v>2514.1137029505403</v>
      </c>
      <c r="R654" s="18">
        <f t="shared" si="86"/>
        <v>5648838.7713404829</v>
      </c>
      <c r="S654" s="18">
        <f t="shared" ref="S654:S655" si="93">L654</f>
        <v>6598.0119469150704</v>
      </c>
    </row>
    <row r="655" spans="1:19" ht="18.75" customHeight="1" x14ac:dyDescent="0.25">
      <c r="A655" s="14">
        <f t="shared" si="90"/>
        <v>652</v>
      </c>
      <c r="B655" s="31" t="s">
        <v>628</v>
      </c>
      <c r="C655" s="15" t="s">
        <v>3</v>
      </c>
      <c r="D655" s="31" t="s">
        <v>500</v>
      </c>
      <c r="E655" s="31"/>
      <c r="F655" s="73" t="s">
        <v>6</v>
      </c>
      <c r="G655" s="32">
        <v>37210</v>
      </c>
      <c r="H655" s="29">
        <v>128187.73742465753</v>
      </c>
      <c r="I655" s="17">
        <v>0</v>
      </c>
      <c r="J655" s="17">
        <v>0</v>
      </c>
      <c r="K655" s="17">
        <f t="shared" si="85"/>
        <v>128187.73742465753</v>
      </c>
      <c r="L655" s="23">
        <f t="shared" si="79"/>
        <v>6409.3868712328767</v>
      </c>
      <c r="M655" s="33">
        <v>25</v>
      </c>
      <c r="N655" s="18">
        <f t="shared" si="88"/>
        <v>19.391780821917809</v>
      </c>
      <c r="O655" s="23">
        <v>198004.62949698628</v>
      </c>
      <c r="P655" s="18">
        <f t="shared" si="89"/>
        <v>19.893150684931506</v>
      </c>
      <c r="Q655" s="18">
        <f t="shared" si="78"/>
        <v>2442.2397974001769</v>
      </c>
      <c r="R655" s="18">
        <f t="shared" si="86"/>
        <v>200446.86929438644</v>
      </c>
      <c r="S655" s="18">
        <f t="shared" si="93"/>
        <v>6409.3868712328767</v>
      </c>
    </row>
    <row r="656" spans="1:19" ht="18.75" customHeight="1" x14ac:dyDescent="0.25">
      <c r="A656" s="14">
        <f t="shared" si="90"/>
        <v>653</v>
      </c>
      <c r="B656" s="31" t="s">
        <v>629</v>
      </c>
      <c r="C656" s="15" t="s">
        <v>3</v>
      </c>
      <c r="D656" s="31" t="s">
        <v>500</v>
      </c>
      <c r="E656" s="31"/>
      <c r="F656" s="73" t="s">
        <v>4</v>
      </c>
      <c r="G656" s="32">
        <v>39779</v>
      </c>
      <c r="H656" s="29">
        <v>137999.23576043834</v>
      </c>
      <c r="I656" s="17">
        <v>0</v>
      </c>
      <c r="J656" s="17">
        <v>0</v>
      </c>
      <c r="K656" s="17">
        <f t="shared" si="85"/>
        <v>137999.23576043834</v>
      </c>
      <c r="L656" s="23">
        <f t="shared" si="79"/>
        <v>6899.9617880219175</v>
      </c>
      <c r="M656" s="33">
        <v>25</v>
      </c>
      <c r="N656" s="18">
        <f t="shared" si="88"/>
        <v>12.353424657534246</v>
      </c>
      <c r="O656" s="23">
        <v>51977.696710417527</v>
      </c>
      <c r="P656" s="18">
        <f t="shared" si="89"/>
        <v>12.854794520547944</v>
      </c>
      <c r="Q656" s="18">
        <f t="shared" si="78"/>
        <v>2629.1690013098282</v>
      </c>
      <c r="R656" s="18">
        <f t="shared" si="86"/>
        <v>54606.865711727354</v>
      </c>
      <c r="S656" s="18">
        <f t="shared" si="87"/>
        <v>83392.370048710989</v>
      </c>
    </row>
    <row r="657" spans="1:19" ht="18.75" customHeight="1" x14ac:dyDescent="0.25">
      <c r="A657" s="14">
        <f t="shared" si="90"/>
        <v>654</v>
      </c>
      <c r="B657" s="31" t="s">
        <v>630</v>
      </c>
      <c r="C657" s="15" t="s">
        <v>3</v>
      </c>
      <c r="D657" s="31" t="s">
        <v>500</v>
      </c>
      <c r="E657" s="31"/>
      <c r="F657" s="73" t="s">
        <v>4</v>
      </c>
      <c r="G657" s="32">
        <v>35826</v>
      </c>
      <c r="H657" s="29">
        <v>181340.80824109586</v>
      </c>
      <c r="I657" s="17">
        <v>0</v>
      </c>
      <c r="J657" s="17">
        <v>0</v>
      </c>
      <c r="K657" s="17">
        <f t="shared" si="85"/>
        <v>181340.80824109586</v>
      </c>
      <c r="L657" s="23">
        <f t="shared" si="79"/>
        <v>9067.0404120547937</v>
      </c>
      <c r="M657" s="33">
        <v>25</v>
      </c>
      <c r="N657" s="18">
        <f t="shared" si="88"/>
        <v>23.183561643835617</v>
      </c>
      <c r="O657" s="23">
        <v>676738.59432964376</v>
      </c>
      <c r="P657" s="18">
        <f t="shared" si="89"/>
        <v>23.684931506849313</v>
      </c>
      <c r="Q657" s="18">
        <f t="shared" si="78"/>
        <v>3454.9150150919868</v>
      </c>
      <c r="R657" s="18">
        <f t="shared" si="86"/>
        <v>680193.50934473576</v>
      </c>
      <c r="S657" s="18">
        <f>L657</f>
        <v>9067.0404120547937</v>
      </c>
    </row>
    <row r="658" spans="1:19" ht="18.75" customHeight="1" x14ac:dyDescent="0.25">
      <c r="A658" s="14">
        <f t="shared" si="90"/>
        <v>655</v>
      </c>
      <c r="B658" s="31" t="s">
        <v>631</v>
      </c>
      <c r="C658" s="15" t="s">
        <v>3</v>
      </c>
      <c r="D658" s="31" t="s">
        <v>500</v>
      </c>
      <c r="E658" s="31"/>
      <c r="F658" s="73" t="s">
        <v>11</v>
      </c>
      <c r="G658" s="32">
        <v>36616</v>
      </c>
      <c r="H658" s="29">
        <v>130140.52025205479</v>
      </c>
      <c r="I658" s="17">
        <v>0</v>
      </c>
      <c r="J658" s="17">
        <v>0</v>
      </c>
      <c r="K658" s="17">
        <f t="shared" si="85"/>
        <v>130140.52025205479</v>
      </c>
      <c r="L658" s="23">
        <f t="shared" si="79"/>
        <v>6507.0260126027397</v>
      </c>
      <c r="M658" s="33">
        <v>25</v>
      </c>
      <c r="N658" s="18">
        <f t="shared" si="88"/>
        <v>21.019178082191782</v>
      </c>
      <c r="O658" s="23">
        <v>9947.9788100821916</v>
      </c>
      <c r="P658" s="18">
        <f t="shared" si="89"/>
        <v>21.520547945205479</v>
      </c>
      <c r="Q658" s="18">
        <f t="shared" si="78"/>
        <v>2479.4443228295481</v>
      </c>
      <c r="R658" s="18">
        <f t="shared" si="86"/>
        <v>12427.423132911739</v>
      </c>
      <c r="S658" s="18">
        <f t="shared" si="87"/>
        <v>117713.09711914306</v>
      </c>
    </row>
    <row r="659" spans="1:19" ht="18.75" customHeight="1" x14ac:dyDescent="0.25">
      <c r="A659" s="14">
        <f t="shared" si="90"/>
        <v>656</v>
      </c>
      <c r="B659" s="31" t="s">
        <v>632</v>
      </c>
      <c r="C659" s="15" t="s">
        <v>3</v>
      </c>
      <c r="D659" s="31" t="s">
        <v>500</v>
      </c>
      <c r="E659" s="31"/>
      <c r="F659" s="73" t="s">
        <v>11</v>
      </c>
      <c r="G659" s="32">
        <v>36129</v>
      </c>
      <c r="H659" s="29">
        <v>147525.79776986304</v>
      </c>
      <c r="I659" s="17">
        <v>0</v>
      </c>
      <c r="J659" s="17">
        <v>0</v>
      </c>
      <c r="K659" s="17">
        <f t="shared" si="85"/>
        <v>147525.79776986304</v>
      </c>
      <c r="L659" s="23">
        <f t="shared" si="79"/>
        <v>7376.2898884931528</v>
      </c>
      <c r="M659" s="33">
        <v>25</v>
      </c>
      <c r="N659" s="18">
        <f t="shared" si="88"/>
        <v>22.353424657534248</v>
      </c>
      <c r="O659" s="23">
        <v>1601469.0999107945</v>
      </c>
      <c r="P659" s="18">
        <f t="shared" si="89"/>
        <v>22.854794520547944</v>
      </c>
      <c r="Q659" s="18">
        <f t="shared" si="78"/>
        <v>2810.6695827167755</v>
      </c>
      <c r="R659" s="18">
        <f t="shared" si="86"/>
        <v>1604279.7694935114</v>
      </c>
      <c r="S659" s="18">
        <f t="shared" ref="S659:S666" si="94">L659</f>
        <v>7376.2898884931528</v>
      </c>
    </row>
    <row r="660" spans="1:19" ht="18.75" customHeight="1" x14ac:dyDescent="0.25">
      <c r="A660" s="14">
        <f t="shared" si="90"/>
        <v>657</v>
      </c>
      <c r="B660" s="31" t="s">
        <v>633</v>
      </c>
      <c r="C660" s="15" t="s">
        <v>3</v>
      </c>
      <c r="D660" s="31" t="s">
        <v>500</v>
      </c>
      <c r="E660" s="31"/>
      <c r="F660" s="73" t="s">
        <v>4</v>
      </c>
      <c r="G660" s="32">
        <v>35751</v>
      </c>
      <c r="H660" s="29">
        <v>189178.68225753424</v>
      </c>
      <c r="I660" s="17">
        <v>0</v>
      </c>
      <c r="J660" s="17">
        <v>0</v>
      </c>
      <c r="K660" s="17">
        <f t="shared" si="85"/>
        <v>189178.68225753424</v>
      </c>
      <c r="L660" s="23">
        <f t="shared" si="79"/>
        <v>9458.9341128767119</v>
      </c>
      <c r="M660" s="33">
        <v>25</v>
      </c>
      <c r="N660" s="18">
        <f t="shared" si="88"/>
        <v>23.389041095890413</v>
      </c>
      <c r="O660" s="23">
        <v>819105.83329030138</v>
      </c>
      <c r="P660" s="18">
        <f t="shared" si="89"/>
        <v>23.890410958904109</v>
      </c>
      <c r="Q660" s="18">
        <f t="shared" si="78"/>
        <v>3604.2426203257191</v>
      </c>
      <c r="R660" s="18">
        <f t="shared" si="86"/>
        <v>822710.07591062714</v>
      </c>
      <c r="S660" s="18">
        <f t="shared" si="94"/>
        <v>9458.9341128767119</v>
      </c>
    </row>
    <row r="661" spans="1:19" ht="18.75" customHeight="1" x14ac:dyDescent="0.25">
      <c r="A661" s="14">
        <f t="shared" si="90"/>
        <v>658</v>
      </c>
      <c r="B661" s="31" t="s">
        <v>634</v>
      </c>
      <c r="C661" s="15" t="s">
        <v>3</v>
      </c>
      <c r="D661" s="31" t="s">
        <v>500</v>
      </c>
      <c r="E661" s="31"/>
      <c r="F661" s="73" t="s">
        <v>4</v>
      </c>
      <c r="G661" s="32">
        <v>38533</v>
      </c>
      <c r="H661" s="29">
        <v>25162.887534246576</v>
      </c>
      <c r="I661" s="17">
        <v>0</v>
      </c>
      <c r="J661" s="17">
        <v>0</v>
      </c>
      <c r="K661" s="17">
        <f t="shared" si="85"/>
        <v>25162.887534246576</v>
      </c>
      <c r="L661" s="23">
        <f t="shared" si="79"/>
        <v>1258.1443767123289</v>
      </c>
      <c r="M661" s="33">
        <v>15</v>
      </c>
      <c r="N661" s="18">
        <f t="shared" si="88"/>
        <v>15.767123287671232</v>
      </c>
      <c r="O661" s="23">
        <v>786876.82583561644</v>
      </c>
      <c r="P661" s="18">
        <f t="shared" si="89"/>
        <v>16.268493150684932</v>
      </c>
      <c r="Q661" s="18">
        <v>0</v>
      </c>
      <c r="R661" s="18">
        <f t="shared" si="86"/>
        <v>786876.82583561644</v>
      </c>
      <c r="S661" s="18">
        <f t="shared" si="94"/>
        <v>1258.1443767123289</v>
      </c>
    </row>
    <row r="662" spans="1:19" ht="18.75" customHeight="1" x14ac:dyDescent="0.25">
      <c r="A662" s="14">
        <f t="shared" si="90"/>
        <v>659</v>
      </c>
      <c r="B662" s="31" t="s">
        <v>635</v>
      </c>
      <c r="C662" s="15" t="s">
        <v>3</v>
      </c>
      <c r="D662" s="31" t="s">
        <v>500</v>
      </c>
      <c r="E662" s="31"/>
      <c r="F662" s="73" t="s">
        <v>8</v>
      </c>
      <c r="G662" s="32">
        <v>38663</v>
      </c>
      <c r="H662" s="29">
        <v>120984.25404789041</v>
      </c>
      <c r="I662" s="17">
        <v>0</v>
      </c>
      <c r="J662" s="17">
        <v>0</v>
      </c>
      <c r="K662" s="17">
        <f t="shared" si="85"/>
        <v>120984.25404789041</v>
      </c>
      <c r="L662" s="23">
        <f t="shared" si="79"/>
        <v>6049.2127023945213</v>
      </c>
      <c r="M662" s="33">
        <v>25</v>
      </c>
      <c r="N662" s="18">
        <f t="shared" si="88"/>
        <v>15.41095890410959</v>
      </c>
      <c r="O662" s="23">
        <v>476270.83324191562</v>
      </c>
      <c r="P662" s="18">
        <f t="shared" si="89"/>
        <v>15.912328767123288</v>
      </c>
      <c r="Q662" s="18">
        <f t="shared" ref="Q662:Q711" si="95">(P662-N662)/M662*(K662-L662)</f>
        <v>2304.9986373946008</v>
      </c>
      <c r="R662" s="18">
        <f t="shared" si="86"/>
        <v>478575.83187931019</v>
      </c>
      <c r="S662" s="18">
        <f t="shared" si="94"/>
        <v>6049.2127023945213</v>
      </c>
    </row>
    <row r="663" spans="1:19" ht="18.75" customHeight="1" x14ac:dyDescent="0.25">
      <c r="A663" s="14">
        <f t="shared" si="90"/>
        <v>660</v>
      </c>
      <c r="B663" s="31" t="s">
        <v>636</v>
      </c>
      <c r="C663" s="15" t="s">
        <v>3</v>
      </c>
      <c r="D663" s="31" t="s">
        <v>500</v>
      </c>
      <c r="E663" s="31"/>
      <c r="F663" s="73" t="s">
        <v>8</v>
      </c>
      <c r="G663" s="32">
        <v>36160</v>
      </c>
      <c r="H663" s="29">
        <v>133008.32551232877</v>
      </c>
      <c r="I663" s="17">
        <v>0</v>
      </c>
      <c r="J663" s="17">
        <v>0</v>
      </c>
      <c r="K663" s="17">
        <f t="shared" si="85"/>
        <v>133008.32551232877</v>
      </c>
      <c r="L663" s="23">
        <f t="shared" ref="L663:L726" si="96">H663*0.05</f>
        <v>6650.4162756164387</v>
      </c>
      <c r="M663" s="33">
        <v>25</v>
      </c>
      <c r="N663" s="18">
        <f t="shared" si="88"/>
        <v>22.268493150684932</v>
      </c>
      <c r="O663" s="23">
        <v>404277.35702049313</v>
      </c>
      <c r="P663" s="18">
        <f t="shared" si="89"/>
        <v>22.769863013698629</v>
      </c>
      <c r="Q663" s="18">
        <f t="shared" si="95"/>
        <v>2534.0819057883018</v>
      </c>
      <c r="R663" s="18">
        <f t="shared" si="86"/>
        <v>406811.43892628141</v>
      </c>
      <c r="S663" s="18">
        <f t="shared" si="94"/>
        <v>6650.4162756164387</v>
      </c>
    </row>
    <row r="664" spans="1:19" ht="18.75" customHeight="1" x14ac:dyDescent="0.25">
      <c r="A664" s="14">
        <f t="shared" si="90"/>
        <v>661</v>
      </c>
      <c r="B664" s="31" t="s">
        <v>637</v>
      </c>
      <c r="C664" s="15" t="s">
        <v>3</v>
      </c>
      <c r="D664" s="31" t="s">
        <v>500</v>
      </c>
      <c r="E664" s="31"/>
      <c r="F664" s="73" t="s">
        <v>8</v>
      </c>
      <c r="G664" s="32">
        <v>37986</v>
      </c>
      <c r="H664" s="29">
        <v>108590.74583408218</v>
      </c>
      <c r="I664" s="17">
        <v>0</v>
      </c>
      <c r="J664" s="17">
        <v>0</v>
      </c>
      <c r="K664" s="17">
        <f t="shared" si="85"/>
        <v>108590.74583408218</v>
      </c>
      <c r="L664" s="23">
        <f t="shared" si="96"/>
        <v>5429.5372917041095</v>
      </c>
      <c r="M664" s="33">
        <v>25</v>
      </c>
      <c r="N664" s="18">
        <f t="shared" si="88"/>
        <v>17.265753424657536</v>
      </c>
      <c r="O664" s="23">
        <v>322265.77709336329</v>
      </c>
      <c r="P664" s="18">
        <f t="shared" si="89"/>
        <v>17.767123287671232</v>
      </c>
      <c r="Q664" s="18">
        <f t="shared" si="95"/>
        <v>2068.8768398087786</v>
      </c>
      <c r="R664" s="18">
        <f t="shared" si="86"/>
        <v>324334.65393317206</v>
      </c>
      <c r="S664" s="18">
        <f t="shared" si="94"/>
        <v>5429.5372917041095</v>
      </c>
    </row>
    <row r="665" spans="1:19" ht="18.75" customHeight="1" x14ac:dyDescent="0.25">
      <c r="A665" s="14">
        <f t="shared" si="90"/>
        <v>662</v>
      </c>
      <c r="B665" s="31" t="s">
        <v>638</v>
      </c>
      <c r="C665" s="15" t="s">
        <v>3</v>
      </c>
      <c r="D665" s="31" t="s">
        <v>500</v>
      </c>
      <c r="E665" s="31"/>
      <c r="F665" s="73" t="s">
        <v>4</v>
      </c>
      <c r="G665" s="32">
        <v>38663</v>
      </c>
      <c r="H665" s="29">
        <v>109174.26960723288</v>
      </c>
      <c r="I665" s="17">
        <v>0</v>
      </c>
      <c r="J665" s="17">
        <v>0</v>
      </c>
      <c r="K665" s="17">
        <f t="shared" si="85"/>
        <v>109174.26960723288</v>
      </c>
      <c r="L665" s="23">
        <f t="shared" si="96"/>
        <v>5458.7134803616445</v>
      </c>
      <c r="M665" s="33">
        <v>25</v>
      </c>
      <c r="N665" s="18">
        <f t="shared" si="88"/>
        <v>15.41095890410959</v>
      </c>
      <c r="O665" s="23">
        <v>291063.45822428935</v>
      </c>
      <c r="P665" s="18">
        <f t="shared" si="89"/>
        <v>15.912328767123288</v>
      </c>
      <c r="Q665" s="18">
        <f t="shared" si="95"/>
        <v>2079.9941667087583</v>
      </c>
      <c r="R665" s="18">
        <f t="shared" si="86"/>
        <v>293143.45239099814</v>
      </c>
      <c r="S665" s="18">
        <f t="shared" si="94"/>
        <v>5458.7134803616445</v>
      </c>
    </row>
    <row r="666" spans="1:19" ht="18.75" customHeight="1" x14ac:dyDescent="0.25">
      <c r="A666" s="14">
        <f t="shared" si="90"/>
        <v>663</v>
      </c>
      <c r="B666" s="31" t="s">
        <v>639</v>
      </c>
      <c r="C666" s="15" t="s">
        <v>3</v>
      </c>
      <c r="D666" s="31" t="s">
        <v>500</v>
      </c>
      <c r="E666" s="31"/>
      <c r="F666" s="73" t="s">
        <v>4</v>
      </c>
      <c r="G666" s="32">
        <v>41618</v>
      </c>
      <c r="H666" s="29">
        <v>136829.00240482192</v>
      </c>
      <c r="I666" s="17">
        <v>0</v>
      </c>
      <c r="J666" s="17">
        <v>0</v>
      </c>
      <c r="K666" s="17">
        <f t="shared" si="85"/>
        <v>136829.00240482192</v>
      </c>
      <c r="L666" s="23">
        <f t="shared" si="96"/>
        <v>6841.4501202410966</v>
      </c>
      <c r="M666" s="33">
        <v>25</v>
      </c>
      <c r="N666" s="18">
        <f t="shared" si="88"/>
        <v>7.3150684931506849</v>
      </c>
      <c r="O666" s="23">
        <v>250033.7397561929</v>
      </c>
      <c r="P666" s="18">
        <f t="shared" si="89"/>
        <v>7.816438356164384</v>
      </c>
      <c r="Q666" s="18">
        <f t="shared" si="95"/>
        <v>2606.8736512962541</v>
      </c>
      <c r="R666" s="18">
        <f t="shared" si="86"/>
        <v>252640.61340748915</v>
      </c>
      <c r="S666" s="18">
        <f t="shared" si="94"/>
        <v>6841.4501202410966</v>
      </c>
    </row>
    <row r="667" spans="1:19" ht="18.75" customHeight="1" x14ac:dyDescent="0.25">
      <c r="A667" s="14">
        <f t="shared" si="90"/>
        <v>664</v>
      </c>
      <c r="B667" s="31" t="s">
        <v>640</v>
      </c>
      <c r="C667" s="15" t="s">
        <v>3</v>
      </c>
      <c r="D667" s="31" t="s">
        <v>500</v>
      </c>
      <c r="E667" s="31"/>
      <c r="F667" s="70" t="s">
        <v>7</v>
      </c>
      <c r="G667" s="32">
        <v>35445</v>
      </c>
      <c r="H667" s="29">
        <v>278552.54007671238</v>
      </c>
      <c r="I667" s="17">
        <v>0</v>
      </c>
      <c r="J667" s="17">
        <v>0</v>
      </c>
      <c r="K667" s="17">
        <f t="shared" si="85"/>
        <v>278552.54007671238</v>
      </c>
      <c r="L667" s="23">
        <f t="shared" si="96"/>
        <v>13927.62700383562</v>
      </c>
      <c r="M667" s="33">
        <v>25</v>
      </c>
      <c r="N667" s="18">
        <f t="shared" si="88"/>
        <v>24.227397260273971</v>
      </c>
      <c r="O667" s="23">
        <v>14265.437603068494</v>
      </c>
      <c r="P667" s="18">
        <f t="shared" si="89"/>
        <v>24.728767123287671</v>
      </c>
      <c r="Q667" s="18">
        <f t="shared" si="95"/>
        <v>5306.99825669442</v>
      </c>
      <c r="R667" s="18">
        <f t="shared" si="86"/>
        <v>19572.435859762914</v>
      </c>
      <c r="S667" s="18">
        <f t="shared" si="87"/>
        <v>258980.10421694946</v>
      </c>
    </row>
    <row r="668" spans="1:19" ht="18.75" customHeight="1" x14ac:dyDescent="0.25">
      <c r="A668" s="14">
        <f t="shared" si="90"/>
        <v>665</v>
      </c>
      <c r="B668" s="31" t="s">
        <v>641</v>
      </c>
      <c r="C668" s="15" t="s">
        <v>3</v>
      </c>
      <c r="D668" s="31" t="s">
        <v>500</v>
      </c>
      <c r="E668" s="31"/>
      <c r="F668" s="73" t="s">
        <v>11</v>
      </c>
      <c r="G668" s="32">
        <v>38472</v>
      </c>
      <c r="H668" s="29">
        <v>106462.72399287672</v>
      </c>
      <c r="I668" s="17">
        <v>0</v>
      </c>
      <c r="J668" s="17">
        <v>0</v>
      </c>
      <c r="K668" s="17">
        <f t="shared" si="85"/>
        <v>106462.72399287672</v>
      </c>
      <c r="L668" s="23">
        <f t="shared" si="96"/>
        <v>5323.1361996438363</v>
      </c>
      <c r="M668" s="33">
        <v>25</v>
      </c>
      <c r="N668" s="18">
        <f t="shared" si="88"/>
        <v>15.934246575342465</v>
      </c>
      <c r="O668" s="23">
        <v>225895.98649971507</v>
      </c>
      <c r="P668" s="18">
        <f t="shared" si="89"/>
        <v>16.435616438356163</v>
      </c>
      <c r="Q668" s="18">
        <f t="shared" si="95"/>
        <v>2028.333651086203</v>
      </c>
      <c r="R668" s="18">
        <f t="shared" si="86"/>
        <v>227924.32015080127</v>
      </c>
      <c r="S668" s="18">
        <f>L668</f>
        <v>5323.1361996438363</v>
      </c>
    </row>
    <row r="669" spans="1:19" ht="18.75" customHeight="1" x14ac:dyDescent="0.25">
      <c r="A669" s="14">
        <f t="shared" si="90"/>
        <v>666</v>
      </c>
      <c r="B669" s="31" t="s">
        <v>642</v>
      </c>
      <c r="C669" s="15" t="s">
        <v>3</v>
      </c>
      <c r="D669" s="31" t="s">
        <v>500</v>
      </c>
      <c r="E669" s="31"/>
      <c r="F669" s="73" t="s">
        <v>11</v>
      </c>
      <c r="G669" s="32">
        <v>38727</v>
      </c>
      <c r="H669" s="29">
        <v>95939.375692602742</v>
      </c>
      <c r="I669" s="17">
        <v>0</v>
      </c>
      <c r="J669" s="17">
        <v>0</v>
      </c>
      <c r="K669" s="17">
        <f t="shared" si="85"/>
        <v>95939.375692602742</v>
      </c>
      <c r="L669" s="23">
        <f t="shared" si="96"/>
        <v>4796.9687846301376</v>
      </c>
      <c r="M669" s="33">
        <v>25</v>
      </c>
      <c r="N669" s="18">
        <f t="shared" si="88"/>
        <v>15.235616438356164</v>
      </c>
      <c r="O669" s="23">
        <v>3998.6119477041098</v>
      </c>
      <c r="P669" s="18">
        <f t="shared" si="89"/>
        <v>15.736986301369862</v>
      </c>
      <c r="Q669" s="18">
        <f t="shared" si="95"/>
        <v>1827.8422426475586</v>
      </c>
      <c r="R669" s="18">
        <f t="shared" si="86"/>
        <v>5826.4541903516683</v>
      </c>
      <c r="S669" s="18">
        <f t="shared" si="87"/>
        <v>90112.921502251076</v>
      </c>
    </row>
    <row r="670" spans="1:19" ht="18.75" customHeight="1" x14ac:dyDescent="0.25">
      <c r="A670" s="14">
        <f t="shared" si="90"/>
        <v>667</v>
      </c>
      <c r="B670" s="31" t="s">
        <v>643</v>
      </c>
      <c r="C670" s="15" t="s">
        <v>3</v>
      </c>
      <c r="D670" s="31" t="s">
        <v>500</v>
      </c>
      <c r="E670" s="31"/>
      <c r="F670" s="70" t="s">
        <v>7</v>
      </c>
      <c r="G670" s="32">
        <v>33420</v>
      </c>
      <c r="H670" s="29">
        <v>535.54999999999927</v>
      </c>
      <c r="I670" s="17">
        <v>0</v>
      </c>
      <c r="J670" s="17">
        <v>0</v>
      </c>
      <c r="K670" s="17">
        <f t="shared" si="85"/>
        <v>535.54999999999927</v>
      </c>
      <c r="L670" s="23">
        <f t="shared" si="96"/>
        <v>26.777499999999964</v>
      </c>
      <c r="M670" s="33">
        <v>15</v>
      </c>
      <c r="N670" s="18">
        <f t="shared" si="88"/>
        <v>29.775342465753425</v>
      </c>
      <c r="O670" s="23">
        <v>217087.35</v>
      </c>
      <c r="P670" s="18">
        <f t="shared" si="89"/>
        <v>30.276712328767122</v>
      </c>
      <c r="Q670" s="18">
        <v>0</v>
      </c>
      <c r="R670" s="18">
        <f t="shared" si="86"/>
        <v>217087.35</v>
      </c>
      <c r="S670" s="18">
        <f>L670</f>
        <v>26.777499999999964</v>
      </c>
    </row>
    <row r="671" spans="1:19" ht="18.75" customHeight="1" x14ac:dyDescent="0.25">
      <c r="A671" s="14">
        <f t="shared" si="90"/>
        <v>668</v>
      </c>
      <c r="B671" s="31" t="s">
        <v>644</v>
      </c>
      <c r="C671" s="15" t="s">
        <v>3</v>
      </c>
      <c r="D671" s="31" t="s">
        <v>500</v>
      </c>
      <c r="E671" s="31"/>
      <c r="F671" s="70" t="s">
        <v>7</v>
      </c>
      <c r="G671" s="32">
        <v>35445</v>
      </c>
      <c r="H671" s="29">
        <v>230385.21798904112</v>
      </c>
      <c r="I671" s="17">
        <v>0</v>
      </c>
      <c r="J671" s="17">
        <v>0</v>
      </c>
      <c r="K671" s="17">
        <f t="shared" si="85"/>
        <v>230385.21798904112</v>
      </c>
      <c r="L671" s="23">
        <f t="shared" si="96"/>
        <v>11519.260899452056</v>
      </c>
      <c r="M671" s="33">
        <v>25</v>
      </c>
      <c r="N671" s="18">
        <f t="shared" si="88"/>
        <v>24.227397260273971</v>
      </c>
      <c r="O671" s="23">
        <v>169980.15071956164</v>
      </c>
      <c r="P671" s="18">
        <f t="shared" si="89"/>
        <v>24.728767123287671</v>
      </c>
      <c r="Q671" s="18">
        <f t="shared" si="95"/>
        <v>4389.3117969747846</v>
      </c>
      <c r="R671" s="18">
        <f t="shared" si="86"/>
        <v>174369.46251653644</v>
      </c>
      <c r="S671" s="18">
        <f t="shared" si="87"/>
        <v>56015.755472504679</v>
      </c>
    </row>
    <row r="672" spans="1:19" ht="18.75" customHeight="1" x14ac:dyDescent="0.25">
      <c r="A672" s="14">
        <f t="shared" si="90"/>
        <v>669</v>
      </c>
      <c r="B672" s="31" t="s">
        <v>634</v>
      </c>
      <c r="C672" s="15" t="s">
        <v>3</v>
      </c>
      <c r="D672" s="31" t="s">
        <v>500</v>
      </c>
      <c r="E672" s="31"/>
      <c r="F672" s="73" t="s">
        <v>4</v>
      </c>
      <c r="G672" s="32">
        <v>37602</v>
      </c>
      <c r="H672" s="29">
        <v>2366.1999999999971</v>
      </c>
      <c r="I672" s="17">
        <v>0</v>
      </c>
      <c r="J672" s="17">
        <v>0</v>
      </c>
      <c r="K672" s="17">
        <f t="shared" si="85"/>
        <v>2366.1999999999971</v>
      </c>
      <c r="L672" s="23">
        <f t="shared" si="96"/>
        <v>118.30999999999986</v>
      </c>
      <c r="M672" s="33">
        <v>15</v>
      </c>
      <c r="N672" s="18">
        <f t="shared" si="88"/>
        <v>18.317808219178083</v>
      </c>
      <c r="O672" s="23">
        <v>45840.35</v>
      </c>
      <c r="P672" s="18">
        <f t="shared" si="89"/>
        <v>18.81917808219178</v>
      </c>
      <c r="Q672" s="18">
        <v>0</v>
      </c>
      <c r="R672" s="18">
        <f t="shared" si="86"/>
        <v>45840.35</v>
      </c>
      <c r="S672" s="18">
        <f t="shared" ref="S672:S673" si="97">L672</f>
        <v>118.30999999999986</v>
      </c>
    </row>
    <row r="673" spans="1:19" ht="18.75" customHeight="1" x14ac:dyDescent="0.25">
      <c r="A673" s="14">
        <f t="shared" si="90"/>
        <v>670</v>
      </c>
      <c r="B673" s="31" t="s">
        <v>645</v>
      </c>
      <c r="C673" s="15" t="s">
        <v>3</v>
      </c>
      <c r="D673" s="31" t="s">
        <v>500</v>
      </c>
      <c r="E673" s="31"/>
      <c r="F673" s="73" t="s">
        <v>11</v>
      </c>
      <c r="G673" s="32">
        <v>36250</v>
      </c>
      <c r="H673" s="29">
        <v>93845.796471232868</v>
      </c>
      <c r="I673" s="17">
        <v>0</v>
      </c>
      <c r="J673" s="17">
        <v>0</v>
      </c>
      <c r="K673" s="17">
        <f t="shared" si="85"/>
        <v>93845.796471232868</v>
      </c>
      <c r="L673" s="23">
        <f t="shared" si="96"/>
        <v>4692.289823561644</v>
      </c>
      <c r="M673" s="33">
        <v>25</v>
      </c>
      <c r="N673" s="18">
        <f t="shared" si="88"/>
        <v>22.021917808219179</v>
      </c>
      <c r="O673" s="23">
        <v>153935.28585884933</v>
      </c>
      <c r="P673" s="18">
        <f t="shared" si="89"/>
        <v>22.523287671232875</v>
      </c>
      <c r="Q673" s="18">
        <f t="shared" si="95"/>
        <v>1787.9552566053439</v>
      </c>
      <c r="R673" s="18">
        <f t="shared" si="86"/>
        <v>155723.24111545467</v>
      </c>
      <c r="S673" s="18">
        <f t="shared" si="97"/>
        <v>4692.289823561644</v>
      </c>
    </row>
    <row r="674" spans="1:19" ht="18.75" customHeight="1" x14ac:dyDescent="0.25">
      <c r="A674" s="14">
        <f t="shared" si="90"/>
        <v>671</v>
      </c>
      <c r="B674" s="31" t="s">
        <v>633</v>
      </c>
      <c r="C674" s="15" t="s">
        <v>3</v>
      </c>
      <c r="D674" s="31" t="s">
        <v>500</v>
      </c>
      <c r="E674" s="31"/>
      <c r="F674" s="73" t="s">
        <v>4</v>
      </c>
      <c r="G674" s="32">
        <v>36600</v>
      </c>
      <c r="H674" s="29">
        <v>74104.837194520544</v>
      </c>
      <c r="I674" s="17">
        <v>0</v>
      </c>
      <c r="J674" s="17">
        <v>0</v>
      </c>
      <c r="K674" s="17">
        <f t="shared" si="85"/>
        <v>74104.837194520544</v>
      </c>
      <c r="L674" s="23">
        <f t="shared" si="96"/>
        <v>3705.2418597260275</v>
      </c>
      <c r="M674" s="33">
        <v>25</v>
      </c>
      <c r="N674" s="18">
        <f t="shared" si="88"/>
        <v>21.063013698630137</v>
      </c>
      <c r="O674" s="23">
        <v>19397.935487780822</v>
      </c>
      <c r="P674" s="18">
        <f t="shared" si="89"/>
        <v>21.564383561643837</v>
      </c>
      <c r="Q674" s="18">
        <f t="shared" si="95"/>
        <v>1411.8494187690337</v>
      </c>
      <c r="R674" s="18">
        <f t="shared" si="86"/>
        <v>20809.784906549856</v>
      </c>
      <c r="S674" s="18">
        <f t="shared" si="87"/>
        <v>53295.052287970684</v>
      </c>
    </row>
    <row r="675" spans="1:19" ht="18.75" customHeight="1" x14ac:dyDescent="0.25">
      <c r="A675" s="14">
        <f t="shared" si="90"/>
        <v>672</v>
      </c>
      <c r="B675" s="31" t="s">
        <v>646</v>
      </c>
      <c r="C675" s="15" t="s">
        <v>3</v>
      </c>
      <c r="D675" s="31" t="s">
        <v>500</v>
      </c>
      <c r="E675" s="31"/>
      <c r="F675" s="73" t="s">
        <v>10</v>
      </c>
      <c r="G675" s="32">
        <v>36856</v>
      </c>
      <c r="H675" s="29">
        <v>69544.469008219181</v>
      </c>
      <c r="I675" s="17">
        <v>0</v>
      </c>
      <c r="J675" s="17">
        <v>0</v>
      </c>
      <c r="K675" s="17">
        <f t="shared" si="85"/>
        <v>69544.469008219181</v>
      </c>
      <c r="L675" s="23">
        <f t="shared" si="96"/>
        <v>3477.2234504109592</v>
      </c>
      <c r="M675" s="33">
        <v>25</v>
      </c>
      <c r="N675" s="18">
        <f t="shared" si="88"/>
        <v>20.361643835616437</v>
      </c>
      <c r="O675" s="23">
        <v>126516.77076032877</v>
      </c>
      <c r="P675" s="18">
        <f t="shared" si="89"/>
        <v>20.863013698630137</v>
      </c>
      <c r="Q675" s="18">
        <f t="shared" si="95"/>
        <v>1324.9650342004315</v>
      </c>
      <c r="R675" s="18">
        <f t="shared" si="86"/>
        <v>127841.7357945292</v>
      </c>
      <c r="S675" s="18">
        <f t="shared" ref="S675:S682" si="98">L675</f>
        <v>3477.2234504109592</v>
      </c>
    </row>
    <row r="676" spans="1:19" ht="18.75" customHeight="1" x14ac:dyDescent="0.25">
      <c r="A676" s="14">
        <f t="shared" si="90"/>
        <v>673</v>
      </c>
      <c r="B676" s="31" t="s">
        <v>647</v>
      </c>
      <c r="C676" s="15" t="s">
        <v>3</v>
      </c>
      <c r="D676" s="31" t="s">
        <v>500</v>
      </c>
      <c r="E676" s="31"/>
      <c r="F676" s="73" t="s">
        <v>4</v>
      </c>
      <c r="G676" s="32">
        <v>37955</v>
      </c>
      <c r="H676" s="29">
        <v>66699.983540712332</v>
      </c>
      <c r="I676" s="17">
        <v>0</v>
      </c>
      <c r="J676" s="17">
        <v>0</v>
      </c>
      <c r="K676" s="17">
        <f t="shared" si="85"/>
        <v>66699.983540712332</v>
      </c>
      <c r="L676" s="23">
        <f t="shared" si="96"/>
        <v>3334.9991770356169</v>
      </c>
      <c r="M676" s="33">
        <v>25</v>
      </c>
      <c r="N676" s="18">
        <f t="shared" si="88"/>
        <v>17.350684931506848</v>
      </c>
      <c r="O676" s="23">
        <v>98436.020261628495</v>
      </c>
      <c r="P676" s="18">
        <f t="shared" si="89"/>
        <v>17.852054794520548</v>
      </c>
      <c r="Q676" s="18">
        <f t="shared" si="95"/>
        <v>1270.7717412112736</v>
      </c>
      <c r="R676" s="18">
        <f t="shared" si="86"/>
        <v>99706.792002839764</v>
      </c>
      <c r="S676" s="18">
        <f t="shared" si="98"/>
        <v>3334.9991770356169</v>
      </c>
    </row>
    <row r="677" spans="1:19" ht="18.75" customHeight="1" x14ac:dyDescent="0.25">
      <c r="A677" s="14">
        <f t="shared" si="90"/>
        <v>674</v>
      </c>
      <c r="B677" s="31" t="s">
        <v>648</v>
      </c>
      <c r="C677" s="15" t="s">
        <v>3</v>
      </c>
      <c r="D677" s="31" t="s">
        <v>500</v>
      </c>
      <c r="E677" s="31"/>
      <c r="F677" s="73" t="s">
        <v>4</v>
      </c>
      <c r="G677" s="32">
        <v>35397</v>
      </c>
      <c r="H677" s="29">
        <v>196184.13394520548</v>
      </c>
      <c r="I677" s="17">
        <v>0</v>
      </c>
      <c r="J677" s="17">
        <v>0</v>
      </c>
      <c r="K677" s="17">
        <f t="shared" si="85"/>
        <v>196184.13394520548</v>
      </c>
      <c r="L677" s="23">
        <f t="shared" si="96"/>
        <v>9809.2066972602752</v>
      </c>
      <c r="M677" s="33">
        <v>25</v>
      </c>
      <c r="N677" s="18">
        <f t="shared" si="88"/>
        <v>24.358904109589041</v>
      </c>
      <c r="O677" s="23">
        <v>325472.53935780819</v>
      </c>
      <c r="P677" s="18">
        <f t="shared" si="89"/>
        <v>24.860273972602741</v>
      </c>
      <c r="Q677" s="18">
        <f t="shared" si="95"/>
        <v>3737.7108697396243</v>
      </c>
      <c r="R677" s="18">
        <f t="shared" si="86"/>
        <v>329210.25022754783</v>
      </c>
      <c r="S677" s="18">
        <f t="shared" si="98"/>
        <v>9809.2066972602752</v>
      </c>
    </row>
    <row r="678" spans="1:19" ht="18.75" customHeight="1" x14ac:dyDescent="0.25">
      <c r="A678" s="14">
        <f t="shared" si="90"/>
        <v>675</v>
      </c>
      <c r="B678" s="31" t="s">
        <v>649</v>
      </c>
      <c r="C678" s="15" t="s">
        <v>3</v>
      </c>
      <c r="D678" s="31" t="s">
        <v>500</v>
      </c>
      <c r="E678" s="31"/>
      <c r="F678" s="73" t="s">
        <v>11</v>
      </c>
      <c r="G678" s="32">
        <v>36585</v>
      </c>
      <c r="H678" s="29">
        <v>62930.426356164389</v>
      </c>
      <c r="I678" s="17">
        <v>0</v>
      </c>
      <c r="J678" s="17">
        <v>0</v>
      </c>
      <c r="K678" s="17">
        <f t="shared" si="85"/>
        <v>62930.426356164389</v>
      </c>
      <c r="L678" s="23">
        <f t="shared" si="96"/>
        <v>3146.5213178082195</v>
      </c>
      <c r="M678" s="33">
        <v>25</v>
      </c>
      <c r="N678" s="18">
        <f t="shared" si="88"/>
        <v>21.104109589041094</v>
      </c>
      <c r="O678" s="23">
        <v>94507.307054246587</v>
      </c>
      <c r="P678" s="18">
        <f t="shared" si="89"/>
        <v>21.605479452054794</v>
      </c>
      <c r="Q678" s="18">
        <f t="shared" si="95"/>
        <v>1198.9539311801873</v>
      </c>
      <c r="R678" s="18">
        <f t="shared" si="86"/>
        <v>95706.260985426779</v>
      </c>
      <c r="S678" s="18">
        <f t="shared" si="98"/>
        <v>3146.5213178082195</v>
      </c>
    </row>
    <row r="679" spans="1:19" ht="18.75" customHeight="1" x14ac:dyDescent="0.25">
      <c r="A679" s="14">
        <f t="shared" si="90"/>
        <v>676</v>
      </c>
      <c r="B679" s="31" t="s">
        <v>650</v>
      </c>
      <c r="C679" s="15" t="s">
        <v>3</v>
      </c>
      <c r="D679" s="31" t="s">
        <v>500</v>
      </c>
      <c r="E679" s="31"/>
      <c r="F679" s="73" t="s">
        <v>15</v>
      </c>
      <c r="G679" s="32">
        <v>35397</v>
      </c>
      <c r="H679" s="29">
        <v>71999.479041095881</v>
      </c>
      <c r="I679" s="17">
        <v>0</v>
      </c>
      <c r="J679" s="17">
        <v>0</v>
      </c>
      <c r="K679" s="17">
        <f t="shared" si="85"/>
        <v>71999.479041095881</v>
      </c>
      <c r="L679" s="23">
        <f t="shared" si="96"/>
        <v>3599.9739520547942</v>
      </c>
      <c r="M679" s="33">
        <v>25</v>
      </c>
      <c r="N679" s="18">
        <f t="shared" si="88"/>
        <v>24.358904109589041</v>
      </c>
      <c r="O679" s="23">
        <v>75307.839161643846</v>
      </c>
      <c r="P679" s="18">
        <f t="shared" si="89"/>
        <v>24.860273972602741</v>
      </c>
      <c r="Q679" s="18">
        <f t="shared" si="95"/>
        <v>1371.7380198678964</v>
      </c>
      <c r="R679" s="18">
        <f t="shared" si="86"/>
        <v>76679.577181511748</v>
      </c>
      <c r="S679" s="18">
        <f t="shared" si="98"/>
        <v>3599.9739520547942</v>
      </c>
    </row>
    <row r="680" spans="1:19" ht="18.75" customHeight="1" x14ac:dyDescent="0.25">
      <c r="A680" s="14">
        <f t="shared" si="90"/>
        <v>677</v>
      </c>
      <c r="B680" s="31" t="s">
        <v>651</v>
      </c>
      <c r="C680" s="15" t="s">
        <v>3</v>
      </c>
      <c r="D680" s="31" t="s">
        <v>500</v>
      </c>
      <c r="E680" s="31"/>
      <c r="F680" s="73" t="s">
        <v>4</v>
      </c>
      <c r="G680" s="32">
        <v>36922</v>
      </c>
      <c r="H680" s="29">
        <v>55744.425424657529</v>
      </c>
      <c r="I680" s="17">
        <v>0</v>
      </c>
      <c r="J680" s="17">
        <v>0</v>
      </c>
      <c r="K680" s="17">
        <f t="shared" si="85"/>
        <v>55744.425424657529</v>
      </c>
      <c r="L680" s="23">
        <f t="shared" si="96"/>
        <v>2787.2212712328765</v>
      </c>
      <c r="M680" s="33">
        <v>25</v>
      </c>
      <c r="N680" s="18">
        <f t="shared" si="88"/>
        <v>20.18082191780822</v>
      </c>
      <c r="O680" s="23">
        <v>147870.20501698629</v>
      </c>
      <c r="P680" s="18">
        <f t="shared" si="89"/>
        <v>20.682191780821917</v>
      </c>
      <c r="Q680" s="18">
        <f t="shared" si="95"/>
        <v>1062.045847679635</v>
      </c>
      <c r="R680" s="18">
        <f t="shared" si="86"/>
        <v>148932.25086466593</v>
      </c>
      <c r="S680" s="18">
        <f t="shared" si="98"/>
        <v>2787.2212712328765</v>
      </c>
    </row>
    <row r="681" spans="1:19" ht="18.75" customHeight="1" x14ac:dyDescent="0.25">
      <c r="A681" s="14">
        <f t="shared" si="90"/>
        <v>678</v>
      </c>
      <c r="B681" s="31" t="s">
        <v>652</v>
      </c>
      <c r="C681" s="15" t="s">
        <v>3</v>
      </c>
      <c r="D681" s="31" t="s">
        <v>500</v>
      </c>
      <c r="E681" s="31"/>
      <c r="F681" s="73" t="s">
        <v>4</v>
      </c>
      <c r="G681" s="32">
        <v>35751</v>
      </c>
      <c r="H681" s="29">
        <v>81892.597200000018</v>
      </c>
      <c r="I681" s="17">
        <v>0</v>
      </c>
      <c r="J681" s="17">
        <v>0</v>
      </c>
      <c r="K681" s="17">
        <f t="shared" si="85"/>
        <v>81892.597200000018</v>
      </c>
      <c r="L681" s="23">
        <f t="shared" si="96"/>
        <v>4094.6298600000009</v>
      </c>
      <c r="M681" s="33">
        <v>25</v>
      </c>
      <c r="N681" s="18">
        <f t="shared" si="88"/>
        <v>23.389041095890413</v>
      </c>
      <c r="O681" s="23">
        <v>719705.69588800007</v>
      </c>
      <c r="P681" s="18">
        <f t="shared" si="89"/>
        <v>23.890410958904109</v>
      </c>
      <c r="Q681" s="18">
        <f t="shared" si="95"/>
        <v>1560.2222491199936</v>
      </c>
      <c r="R681" s="18">
        <f t="shared" si="86"/>
        <v>721265.91813712008</v>
      </c>
      <c r="S681" s="18">
        <f t="shared" si="98"/>
        <v>4094.6298600000009</v>
      </c>
    </row>
    <row r="682" spans="1:19" ht="18.75" customHeight="1" x14ac:dyDescent="0.25">
      <c r="A682" s="14">
        <f t="shared" si="90"/>
        <v>679</v>
      </c>
      <c r="B682" s="31" t="s">
        <v>653</v>
      </c>
      <c r="C682" s="15" t="s">
        <v>3</v>
      </c>
      <c r="D682" s="31" t="s">
        <v>500</v>
      </c>
      <c r="E682" s="31"/>
      <c r="F682" s="73" t="s">
        <v>8</v>
      </c>
      <c r="G682" s="32">
        <v>35751</v>
      </c>
      <c r="H682" s="29">
        <v>81622.6139890411</v>
      </c>
      <c r="I682" s="17">
        <v>0</v>
      </c>
      <c r="J682" s="17">
        <v>0</v>
      </c>
      <c r="K682" s="17">
        <f t="shared" si="85"/>
        <v>81622.6139890411</v>
      </c>
      <c r="L682" s="23">
        <f t="shared" si="96"/>
        <v>4081.1306994520551</v>
      </c>
      <c r="M682" s="33">
        <v>25</v>
      </c>
      <c r="N682" s="18">
        <f t="shared" si="88"/>
        <v>23.389041095890413</v>
      </c>
      <c r="O682" s="23">
        <v>623010.43855956174</v>
      </c>
      <c r="P682" s="18">
        <f t="shared" si="89"/>
        <v>23.890410958904109</v>
      </c>
      <c r="Q682" s="18">
        <f t="shared" si="95"/>
        <v>1555.0785141912038</v>
      </c>
      <c r="R682" s="18">
        <f t="shared" si="86"/>
        <v>624565.51707375294</v>
      </c>
      <c r="S682" s="18">
        <f t="shared" si="98"/>
        <v>4081.1306994520551</v>
      </c>
    </row>
    <row r="683" spans="1:19" ht="18.75" customHeight="1" x14ac:dyDescent="0.25">
      <c r="A683" s="14">
        <f t="shared" si="90"/>
        <v>680</v>
      </c>
      <c r="B683" s="31" t="s">
        <v>654</v>
      </c>
      <c r="C683" s="15" t="s">
        <v>3</v>
      </c>
      <c r="D683" s="31" t="s">
        <v>500</v>
      </c>
      <c r="E683" s="31"/>
      <c r="F683" s="73" t="s">
        <v>8</v>
      </c>
      <c r="G683" s="32">
        <v>35397</v>
      </c>
      <c r="H683" s="29">
        <v>147728.45413698629</v>
      </c>
      <c r="I683" s="17">
        <v>0</v>
      </c>
      <c r="J683" s="17">
        <v>0</v>
      </c>
      <c r="K683" s="17">
        <f t="shared" si="85"/>
        <v>147728.45413698629</v>
      </c>
      <c r="L683" s="23">
        <f t="shared" si="96"/>
        <v>7386.4227068493146</v>
      </c>
      <c r="M683" s="33">
        <v>25</v>
      </c>
      <c r="N683" s="18">
        <f t="shared" si="88"/>
        <v>24.358904109589041</v>
      </c>
      <c r="O683" s="23">
        <v>19467.554165479451</v>
      </c>
      <c r="P683" s="18">
        <f t="shared" si="89"/>
        <v>24.860273972602741</v>
      </c>
      <c r="Q683" s="18">
        <f t="shared" si="95"/>
        <v>2814.5306029276862</v>
      </c>
      <c r="R683" s="18">
        <f t="shared" si="86"/>
        <v>22282.084768407138</v>
      </c>
      <c r="S683" s="18">
        <f t="shared" si="87"/>
        <v>125446.36936857915</v>
      </c>
    </row>
    <row r="684" spans="1:19" ht="18.75" customHeight="1" x14ac:dyDescent="0.25">
      <c r="A684" s="14">
        <f t="shared" si="90"/>
        <v>681</v>
      </c>
      <c r="B684" s="31" t="s">
        <v>655</v>
      </c>
      <c r="C684" s="15" t="s">
        <v>3</v>
      </c>
      <c r="D684" s="31" t="s">
        <v>500</v>
      </c>
      <c r="E684" s="31"/>
      <c r="F684" s="73" t="s">
        <v>8</v>
      </c>
      <c r="G684" s="32">
        <v>37686</v>
      </c>
      <c r="H684" s="29">
        <v>46549.201424657535</v>
      </c>
      <c r="I684" s="17">
        <v>0</v>
      </c>
      <c r="J684" s="17">
        <v>0</v>
      </c>
      <c r="K684" s="17">
        <f t="shared" si="85"/>
        <v>46549.201424657535</v>
      </c>
      <c r="L684" s="23">
        <f t="shared" si="96"/>
        <v>2327.460071232877</v>
      </c>
      <c r="M684" s="33">
        <v>25</v>
      </c>
      <c r="N684" s="18">
        <f t="shared" si="88"/>
        <v>18.087671232876712</v>
      </c>
      <c r="O684" s="23">
        <v>13509.998056986302</v>
      </c>
      <c r="P684" s="18">
        <f t="shared" si="89"/>
        <v>18.589041095890412</v>
      </c>
      <c r="Q684" s="18">
        <f t="shared" si="95"/>
        <v>886.8579361837518</v>
      </c>
      <c r="R684" s="18">
        <f t="shared" si="86"/>
        <v>14396.855993170053</v>
      </c>
      <c r="S684" s="18">
        <f t="shared" si="87"/>
        <v>32152.345431487483</v>
      </c>
    </row>
    <row r="685" spans="1:19" ht="18.75" customHeight="1" x14ac:dyDescent="0.25">
      <c r="A685" s="14">
        <f t="shared" si="90"/>
        <v>682</v>
      </c>
      <c r="B685" s="31" t="s">
        <v>656</v>
      </c>
      <c r="C685" s="15" t="s">
        <v>3</v>
      </c>
      <c r="D685" s="31" t="s">
        <v>500</v>
      </c>
      <c r="E685" s="31"/>
      <c r="F685" s="73" t="s">
        <v>11</v>
      </c>
      <c r="G685" s="32">
        <v>35277</v>
      </c>
      <c r="H685" s="29">
        <v>236469.48441095895</v>
      </c>
      <c r="I685" s="17">
        <v>0</v>
      </c>
      <c r="J685" s="17">
        <v>0</v>
      </c>
      <c r="K685" s="17">
        <f t="shared" si="85"/>
        <v>236469.48441095895</v>
      </c>
      <c r="L685" s="23">
        <f t="shared" si="96"/>
        <v>11823.474220547949</v>
      </c>
      <c r="M685" s="33">
        <v>25</v>
      </c>
      <c r="N685" s="18">
        <f t="shared" si="88"/>
        <v>24.687671232876713</v>
      </c>
      <c r="O685" s="23">
        <v>462041.88337643835</v>
      </c>
      <c r="P685" s="18">
        <f t="shared" si="89"/>
        <v>25.18904109589041</v>
      </c>
      <c r="Q685" s="18">
        <v>0</v>
      </c>
      <c r="R685" s="18">
        <f t="shared" si="86"/>
        <v>462041.88337643835</v>
      </c>
      <c r="S685" s="18">
        <f>L685</f>
        <v>11823.474220547949</v>
      </c>
    </row>
    <row r="686" spans="1:19" ht="18.75" customHeight="1" x14ac:dyDescent="0.25">
      <c r="A686" s="14">
        <f t="shared" si="90"/>
        <v>683</v>
      </c>
      <c r="B686" s="31" t="s">
        <v>657</v>
      </c>
      <c r="C686" s="15" t="s">
        <v>3</v>
      </c>
      <c r="D686" s="31" t="s">
        <v>500</v>
      </c>
      <c r="E686" s="31"/>
      <c r="F686" s="73" t="s">
        <v>11</v>
      </c>
      <c r="G686" s="32">
        <v>36856</v>
      </c>
      <c r="H686" s="29">
        <v>42989.3397260274</v>
      </c>
      <c r="I686" s="17">
        <v>0</v>
      </c>
      <c r="J686" s="17">
        <v>0</v>
      </c>
      <c r="K686" s="17">
        <f t="shared" si="85"/>
        <v>42989.3397260274</v>
      </c>
      <c r="L686" s="23">
        <f t="shared" si="96"/>
        <v>2149.4669863013701</v>
      </c>
      <c r="M686" s="33">
        <v>25</v>
      </c>
      <c r="N686" s="18">
        <f t="shared" si="88"/>
        <v>20.361643835616437</v>
      </c>
      <c r="O686" s="23">
        <v>11139.423589041096</v>
      </c>
      <c r="P686" s="18">
        <f t="shared" si="89"/>
        <v>20.863013698630137</v>
      </c>
      <c r="Q686" s="18">
        <f t="shared" si="95"/>
        <v>819.03525604053527</v>
      </c>
      <c r="R686" s="18">
        <f t="shared" si="86"/>
        <v>11958.458845081632</v>
      </c>
      <c r="S686" s="18">
        <f t="shared" si="87"/>
        <v>31030.88088094577</v>
      </c>
    </row>
    <row r="687" spans="1:19" ht="18.75" customHeight="1" x14ac:dyDescent="0.25">
      <c r="A687" s="14">
        <f t="shared" si="90"/>
        <v>684</v>
      </c>
      <c r="B687" s="31" t="s">
        <v>658</v>
      </c>
      <c r="C687" s="15" t="s">
        <v>3</v>
      </c>
      <c r="D687" s="31" t="s">
        <v>500</v>
      </c>
      <c r="E687" s="31"/>
      <c r="F687" s="73" t="s">
        <v>8</v>
      </c>
      <c r="G687" s="32">
        <v>35397</v>
      </c>
      <c r="H687" s="29">
        <v>116537.89210958907</v>
      </c>
      <c r="I687" s="17">
        <v>0</v>
      </c>
      <c r="J687" s="17">
        <v>0</v>
      </c>
      <c r="K687" s="17">
        <f t="shared" si="85"/>
        <v>116537.89210958907</v>
      </c>
      <c r="L687" s="23">
        <f t="shared" si="96"/>
        <v>5826.8946054794542</v>
      </c>
      <c r="M687" s="33">
        <v>25</v>
      </c>
      <c r="N687" s="18">
        <f t="shared" si="88"/>
        <v>24.358904109589041</v>
      </c>
      <c r="O687" s="23">
        <v>8273.7076843835639</v>
      </c>
      <c r="P687" s="18">
        <f t="shared" si="89"/>
        <v>24.860273972602741</v>
      </c>
      <c r="Q687" s="18">
        <f t="shared" si="95"/>
        <v>2220.286306109821</v>
      </c>
      <c r="R687" s="18">
        <f t="shared" si="86"/>
        <v>10493.993990493385</v>
      </c>
      <c r="S687" s="18">
        <f t="shared" si="87"/>
        <v>106043.89811909568</v>
      </c>
    </row>
    <row r="688" spans="1:19" ht="18.75" customHeight="1" x14ac:dyDescent="0.25">
      <c r="A688" s="14">
        <f t="shared" si="90"/>
        <v>685</v>
      </c>
      <c r="B688" s="31" t="s">
        <v>659</v>
      </c>
      <c r="C688" s="15" t="s">
        <v>3</v>
      </c>
      <c r="D688" s="31" t="s">
        <v>500</v>
      </c>
      <c r="E688" s="31"/>
      <c r="F688" s="73" t="s">
        <v>4</v>
      </c>
      <c r="G688" s="32">
        <v>36707</v>
      </c>
      <c r="H688" s="29">
        <v>34641.397808219182</v>
      </c>
      <c r="I688" s="17">
        <v>0</v>
      </c>
      <c r="J688" s="17">
        <v>0</v>
      </c>
      <c r="K688" s="17">
        <f t="shared" si="85"/>
        <v>34641.397808219182</v>
      </c>
      <c r="L688" s="23">
        <f t="shared" si="96"/>
        <v>1732.0698904109593</v>
      </c>
      <c r="M688" s="33">
        <v>25</v>
      </c>
      <c r="N688" s="18">
        <f t="shared" si="88"/>
        <v>20.769863013698629</v>
      </c>
      <c r="O688" s="23">
        <v>7762.1159123287671</v>
      </c>
      <c r="P688" s="18">
        <f t="shared" si="89"/>
        <v>21.271232876712329</v>
      </c>
      <c r="Q688" s="18">
        <f t="shared" si="95"/>
        <v>659.98980920097767</v>
      </c>
      <c r="R688" s="18">
        <f t="shared" si="86"/>
        <v>8422.1057215297442</v>
      </c>
      <c r="S688" s="18">
        <f t="shared" si="87"/>
        <v>26219.292086689438</v>
      </c>
    </row>
    <row r="689" spans="1:19" ht="18.75" customHeight="1" x14ac:dyDescent="0.25">
      <c r="A689" s="14">
        <f t="shared" si="90"/>
        <v>686</v>
      </c>
      <c r="B689" s="31" t="s">
        <v>660</v>
      </c>
      <c r="C689" s="15" t="s">
        <v>3</v>
      </c>
      <c r="D689" s="31" t="s">
        <v>500</v>
      </c>
      <c r="E689" s="31"/>
      <c r="F689" s="73" t="s">
        <v>4</v>
      </c>
      <c r="G689" s="32">
        <v>37955</v>
      </c>
      <c r="H689" s="29">
        <v>31762.439834301371</v>
      </c>
      <c r="I689" s="17">
        <v>0</v>
      </c>
      <c r="J689" s="17">
        <v>0</v>
      </c>
      <c r="K689" s="17">
        <f t="shared" si="85"/>
        <v>31762.439834301371</v>
      </c>
      <c r="L689" s="23">
        <f t="shared" si="96"/>
        <v>1588.1219917150686</v>
      </c>
      <c r="M689" s="33">
        <v>25</v>
      </c>
      <c r="N689" s="18">
        <f t="shared" si="88"/>
        <v>17.350684931506848</v>
      </c>
      <c r="O689" s="23">
        <v>7044.6150333720552</v>
      </c>
      <c r="P689" s="18">
        <f t="shared" si="89"/>
        <v>17.852054794520548</v>
      </c>
      <c r="Q689" s="18">
        <f t="shared" si="95"/>
        <v>605.13974413077358</v>
      </c>
      <c r="R689" s="18">
        <f t="shared" si="86"/>
        <v>7649.7547775028288</v>
      </c>
      <c r="S689" s="18">
        <f t="shared" si="87"/>
        <v>24112.685056798542</v>
      </c>
    </row>
    <row r="690" spans="1:19" ht="18.75" customHeight="1" x14ac:dyDescent="0.25">
      <c r="A690" s="14">
        <f t="shared" si="90"/>
        <v>687</v>
      </c>
      <c r="B690" s="31" t="s">
        <v>661</v>
      </c>
      <c r="C690" s="15" t="s">
        <v>3</v>
      </c>
      <c r="D690" s="31" t="s">
        <v>500</v>
      </c>
      <c r="E690" s="31"/>
      <c r="F690" s="73" t="s">
        <v>4</v>
      </c>
      <c r="G690" s="32">
        <v>35397</v>
      </c>
      <c r="H690" s="29">
        <v>38689.224000000002</v>
      </c>
      <c r="I690" s="17">
        <v>0</v>
      </c>
      <c r="J690" s="17">
        <v>0</v>
      </c>
      <c r="K690" s="17">
        <f t="shared" si="85"/>
        <v>38689.224000000002</v>
      </c>
      <c r="L690" s="23">
        <f t="shared" si="96"/>
        <v>1934.4612000000002</v>
      </c>
      <c r="M690" s="33">
        <v>25</v>
      </c>
      <c r="N690" s="18">
        <f t="shared" si="88"/>
        <v>24.358904109589041</v>
      </c>
      <c r="O690" s="23">
        <v>2706.5849600000001</v>
      </c>
      <c r="P690" s="18">
        <f t="shared" si="89"/>
        <v>24.860273972602741</v>
      </c>
      <c r="Q690" s="18">
        <f t="shared" si="95"/>
        <v>737.10921560548161</v>
      </c>
      <c r="R690" s="18">
        <f t="shared" si="86"/>
        <v>3443.6941756054816</v>
      </c>
      <c r="S690" s="18">
        <f t="shared" si="87"/>
        <v>35245.529824394522</v>
      </c>
    </row>
    <row r="691" spans="1:19" ht="18.75" customHeight="1" x14ac:dyDescent="0.25">
      <c r="A691" s="14">
        <f t="shared" si="90"/>
        <v>688</v>
      </c>
      <c r="B691" s="31" t="s">
        <v>662</v>
      </c>
      <c r="C691" s="15" t="s">
        <v>3</v>
      </c>
      <c r="D691" s="31" t="s">
        <v>500</v>
      </c>
      <c r="E691" s="31"/>
      <c r="F691" s="73" t="s">
        <v>4</v>
      </c>
      <c r="G691" s="32">
        <v>38016</v>
      </c>
      <c r="H691" s="29">
        <v>29448.729212054794</v>
      </c>
      <c r="I691" s="17">
        <v>0</v>
      </c>
      <c r="J691" s="17">
        <v>0</v>
      </c>
      <c r="K691" s="17">
        <f t="shared" si="85"/>
        <v>29448.729212054794</v>
      </c>
      <c r="L691" s="23">
        <f t="shared" si="96"/>
        <v>1472.4364606027398</v>
      </c>
      <c r="M691" s="33">
        <v>25</v>
      </c>
      <c r="N691" s="18">
        <f t="shared" si="88"/>
        <v>17.183561643835617</v>
      </c>
      <c r="O691" s="23">
        <v>103949.49676848219</v>
      </c>
      <c r="P691" s="18">
        <f t="shared" si="89"/>
        <v>17.684931506849313</v>
      </c>
      <c r="Q691" s="18">
        <f t="shared" si="95"/>
        <v>561.05880257706337</v>
      </c>
      <c r="R691" s="18">
        <f t="shared" si="86"/>
        <v>104510.55557105926</v>
      </c>
      <c r="S691" s="18">
        <f>L691</f>
        <v>1472.4364606027398</v>
      </c>
    </row>
    <row r="692" spans="1:19" ht="18.75" customHeight="1" x14ac:dyDescent="0.25">
      <c r="A692" s="14">
        <f t="shared" si="90"/>
        <v>689</v>
      </c>
      <c r="B692" s="31" t="s">
        <v>663</v>
      </c>
      <c r="C692" s="15" t="s">
        <v>3</v>
      </c>
      <c r="D692" s="31" t="s">
        <v>500</v>
      </c>
      <c r="E692" s="31"/>
      <c r="F692" s="73" t="s">
        <v>4</v>
      </c>
      <c r="G692" s="32">
        <v>35445</v>
      </c>
      <c r="H692" s="29">
        <v>71092.965830136993</v>
      </c>
      <c r="I692" s="17">
        <v>0</v>
      </c>
      <c r="J692" s="17">
        <v>0</v>
      </c>
      <c r="K692" s="17">
        <f t="shared" si="85"/>
        <v>71092.965830136993</v>
      </c>
      <c r="L692" s="23">
        <f t="shared" si="96"/>
        <v>3554.64829150685</v>
      </c>
      <c r="M692" s="33">
        <v>25</v>
      </c>
      <c r="N692" s="18">
        <f t="shared" si="88"/>
        <v>24.227397260273971</v>
      </c>
      <c r="O692" s="23">
        <v>45239.904633205479</v>
      </c>
      <c r="P692" s="18">
        <f t="shared" si="89"/>
        <v>24.728767123287671</v>
      </c>
      <c r="Q692" s="18">
        <f t="shared" si="95"/>
        <v>1354.4670805007509</v>
      </c>
      <c r="R692" s="18">
        <f t="shared" si="86"/>
        <v>46594.371713706227</v>
      </c>
      <c r="S692" s="18">
        <f t="shared" si="87"/>
        <v>24498.594116430766</v>
      </c>
    </row>
    <row r="693" spans="1:19" ht="18.75" customHeight="1" x14ac:dyDescent="0.25">
      <c r="A693" s="14">
        <f t="shared" si="90"/>
        <v>690</v>
      </c>
      <c r="B693" s="31" t="s">
        <v>664</v>
      </c>
      <c r="C693" s="15" t="s">
        <v>3</v>
      </c>
      <c r="D693" s="31" t="s">
        <v>500</v>
      </c>
      <c r="E693" s="31"/>
      <c r="F693" s="73" t="s">
        <v>12</v>
      </c>
      <c r="G693" s="32">
        <v>37955</v>
      </c>
      <c r="H693" s="29">
        <v>24951.792719342462</v>
      </c>
      <c r="I693" s="17">
        <v>0</v>
      </c>
      <c r="J693" s="17">
        <v>0</v>
      </c>
      <c r="K693" s="17">
        <f t="shared" si="85"/>
        <v>24951.792719342462</v>
      </c>
      <c r="L693" s="23">
        <f t="shared" si="96"/>
        <v>1247.5896359671233</v>
      </c>
      <c r="M693" s="33">
        <v>25</v>
      </c>
      <c r="N693" s="18">
        <f t="shared" si="88"/>
        <v>17.350684931506848</v>
      </c>
      <c r="O693" s="23">
        <v>72215.802028773702</v>
      </c>
      <c r="P693" s="18">
        <f t="shared" si="89"/>
        <v>17.852054794520548</v>
      </c>
      <c r="Q693" s="18">
        <f t="shared" si="95"/>
        <v>475.38292211043279</v>
      </c>
      <c r="R693" s="18">
        <f t="shared" si="86"/>
        <v>72691.184950884141</v>
      </c>
      <c r="S693" s="18">
        <f t="shared" ref="S693:S694" si="99">L693</f>
        <v>1247.5896359671233</v>
      </c>
    </row>
    <row r="694" spans="1:19" ht="18.75" customHeight="1" x14ac:dyDescent="0.25">
      <c r="A694" s="14">
        <f t="shared" si="90"/>
        <v>691</v>
      </c>
      <c r="B694" s="31" t="s">
        <v>665</v>
      </c>
      <c r="C694" s="15" t="s">
        <v>3</v>
      </c>
      <c r="D694" s="31" t="s">
        <v>500</v>
      </c>
      <c r="E694" s="31"/>
      <c r="F694" s="70" t="s">
        <v>7</v>
      </c>
      <c r="G694" s="32">
        <v>24108</v>
      </c>
      <c r="H694" s="29">
        <v>657.20150000000103</v>
      </c>
      <c r="I694" s="17">
        <v>0</v>
      </c>
      <c r="J694" s="17">
        <v>0</v>
      </c>
      <c r="K694" s="17">
        <f t="shared" si="85"/>
        <v>657.20150000000103</v>
      </c>
      <c r="L694" s="23">
        <f t="shared" si="96"/>
        <v>32.860075000000052</v>
      </c>
      <c r="M694" s="33">
        <v>15</v>
      </c>
      <c r="N694" s="18">
        <f t="shared" si="88"/>
        <v>55.287671232876711</v>
      </c>
      <c r="O694" s="23">
        <v>61266.45</v>
      </c>
      <c r="P694" s="18">
        <f t="shared" si="89"/>
        <v>55.789041095890411</v>
      </c>
      <c r="Q694" s="18">
        <v>0</v>
      </c>
      <c r="R694" s="18">
        <f t="shared" si="86"/>
        <v>61266.45</v>
      </c>
      <c r="S694" s="18">
        <f t="shared" si="99"/>
        <v>32.860075000000052</v>
      </c>
    </row>
    <row r="695" spans="1:19" ht="18.75" customHeight="1" x14ac:dyDescent="0.25">
      <c r="A695" s="14">
        <f t="shared" si="90"/>
        <v>692</v>
      </c>
      <c r="B695" s="31" t="s">
        <v>666</v>
      </c>
      <c r="C695" s="15" t="s">
        <v>3</v>
      </c>
      <c r="D695" s="31" t="s">
        <v>500</v>
      </c>
      <c r="E695" s="31"/>
      <c r="F695" s="73" t="s">
        <v>13</v>
      </c>
      <c r="G695" s="32">
        <v>35504</v>
      </c>
      <c r="H695" s="29">
        <v>51250.768142465764</v>
      </c>
      <c r="I695" s="17">
        <v>0</v>
      </c>
      <c r="J695" s="17">
        <v>0</v>
      </c>
      <c r="K695" s="17">
        <f t="shared" si="85"/>
        <v>51250.768142465764</v>
      </c>
      <c r="L695" s="23">
        <f t="shared" si="96"/>
        <v>2562.5384071232884</v>
      </c>
      <c r="M695" s="33">
        <v>25</v>
      </c>
      <c r="N695" s="18">
        <f t="shared" si="88"/>
        <v>24.065753424657533</v>
      </c>
      <c r="O695" s="23">
        <v>40278.516725698631</v>
      </c>
      <c r="P695" s="18">
        <f t="shared" si="89"/>
        <v>24.567123287671233</v>
      </c>
      <c r="Q695" s="18">
        <f t="shared" si="95"/>
        <v>976.43244291152848</v>
      </c>
      <c r="R695" s="18">
        <f t="shared" si="86"/>
        <v>41254.949168610161</v>
      </c>
      <c r="S695" s="18">
        <f t="shared" si="87"/>
        <v>9995.818973855603</v>
      </c>
    </row>
    <row r="696" spans="1:19" ht="18.75" customHeight="1" x14ac:dyDescent="0.25">
      <c r="A696" s="14">
        <f t="shared" si="90"/>
        <v>693</v>
      </c>
      <c r="B696" s="31" t="s">
        <v>667</v>
      </c>
      <c r="C696" s="15" t="s">
        <v>3</v>
      </c>
      <c r="D696" s="31" t="s">
        <v>500</v>
      </c>
      <c r="E696" s="31"/>
      <c r="F696" s="73" t="s">
        <v>11</v>
      </c>
      <c r="G696" s="32">
        <v>35751</v>
      </c>
      <c r="H696" s="29">
        <v>32494.106569863012</v>
      </c>
      <c r="I696" s="17">
        <v>0</v>
      </c>
      <c r="J696" s="17">
        <v>0</v>
      </c>
      <c r="K696" s="17">
        <f t="shared" si="85"/>
        <v>32494.106569863012</v>
      </c>
      <c r="L696" s="23">
        <f t="shared" si="96"/>
        <v>1624.7053284931508</v>
      </c>
      <c r="M696" s="33">
        <v>25</v>
      </c>
      <c r="N696" s="18">
        <f t="shared" si="88"/>
        <v>23.389041095890413</v>
      </c>
      <c r="O696" s="23">
        <v>35620.38626279452</v>
      </c>
      <c r="P696" s="18">
        <f t="shared" si="89"/>
        <v>23.890410958904109</v>
      </c>
      <c r="Q696" s="18">
        <f t="shared" si="95"/>
        <v>619.07949886801759</v>
      </c>
      <c r="R696" s="18">
        <f t="shared" si="86"/>
        <v>36239.465761662541</v>
      </c>
      <c r="S696" s="18">
        <f t="shared" ref="S696:S700" si="100">L696</f>
        <v>1624.7053284931508</v>
      </c>
    </row>
    <row r="697" spans="1:19" ht="18.75" customHeight="1" x14ac:dyDescent="0.25">
      <c r="A697" s="14">
        <f t="shared" si="90"/>
        <v>694</v>
      </c>
      <c r="B697" s="31" t="s">
        <v>668</v>
      </c>
      <c r="C697" s="15" t="s">
        <v>3</v>
      </c>
      <c r="D697" s="31" t="s">
        <v>500</v>
      </c>
      <c r="E697" s="31"/>
      <c r="F697" s="73" t="s">
        <v>11</v>
      </c>
      <c r="G697" s="32">
        <v>36251</v>
      </c>
      <c r="H697" s="29">
        <v>21736.47069041097</v>
      </c>
      <c r="I697" s="17">
        <v>0</v>
      </c>
      <c r="J697" s="17">
        <v>0</v>
      </c>
      <c r="K697" s="17">
        <f t="shared" si="85"/>
        <v>21736.47069041097</v>
      </c>
      <c r="L697" s="23">
        <f t="shared" si="96"/>
        <v>1086.8235345205485</v>
      </c>
      <c r="M697" s="33">
        <v>25</v>
      </c>
      <c r="N697" s="18">
        <f t="shared" si="88"/>
        <v>22.019178082191782</v>
      </c>
      <c r="O697" s="23">
        <v>34100.936827616439</v>
      </c>
      <c r="P697" s="18">
        <f t="shared" si="89"/>
        <v>22.520547945205479</v>
      </c>
      <c r="Q697" s="18">
        <f t="shared" si="95"/>
        <v>414.12443063319796</v>
      </c>
      <c r="R697" s="18">
        <f t="shared" si="86"/>
        <v>34515.06125824964</v>
      </c>
      <c r="S697" s="18">
        <f t="shared" si="100"/>
        <v>1086.8235345205485</v>
      </c>
    </row>
    <row r="698" spans="1:19" ht="18.75" customHeight="1" x14ac:dyDescent="0.25">
      <c r="A698" s="14">
        <f t="shared" si="90"/>
        <v>695</v>
      </c>
      <c r="B698" s="31" t="s">
        <v>669</v>
      </c>
      <c r="C698" s="15" t="s">
        <v>3</v>
      </c>
      <c r="D698" s="31" t="s">
        <v>500</v>
      </c>
      <c r="E698" s="31"/>
      <c r="F698" s="73" t="s">
        <v>10</v>
      </c>
      <c r="G698" s="32">
        <v>35751</v>
      </c>
      <c r="H698" s="29">
        <v>27352.372739726037</v>
      </c>
      <c r="I698" s="17">
        <v>0</v>
      </c>
      <c r="J698" s="17">
        <v>0</v>
      </c>
      <c r="K698" s="17">
        <f t="shared" si="85"/>
        <v>27352.372739726037</v>
      </c>
      <c r="L698" s="23">
        <f t="shared" si="96"/>
        <v>1367.6186369863019</v>
      </c>
      <c r="M698" s="33">
        <v>25</v>
      </c>
      <c r="N698" s="18">
        <f t="shared" si="88"/>
        <v>23.389041095890413</v>
      </c>
      <c r="O698" s="23">
        <v>33247.694909589045</v>
      </c>
      <c r="P698" s="18">
        <f t="shared" si="89"/>
        <v>23.890410958904109</v>
      </c>
      <c r="Q698" s="18">
        <f t="shared" si="95"/>
        <v>521.11890419740837</v>
      </c>
      <c r="R698" s="18">
        <f t="shared" si="86"/>
        <v>33768.813813786452</v>
      </c>
      <c r="S698" s="18">
        <f t="shared" si="100"/>
        <v>1367.6186369863019</v>
      </c>
    </row>
    <row r="699" spans="1:19" ht="18.75" customHeight="1" x14ac:dyDescent="0.25">
      <c r="A699" s="14">
        <f t="shared" si="90"/>
        <v>696</v>
      </c>
      <c r="B699" s="31" t="s">
        <v>670</v>
      </c>
      <c r="C699" s="15" t="s">
        <v>3</v>
      </c>
      <c r="D699" s="31" t="s">
        <v>500</v>
      </c>
      <c r="E699" s="31"/>
      <c r="F699" s="73" t="s">
        <v>11</v>
      </c>
      <c r="G699" s="32">
        <v>36129</v>
      </c>
      <c r="H699" s="29">
        <v>13671.927868493152</v>
      </c>
      <c r="I699" s="17">
        <v>0</v>
      </c>
      <c r="J699" s="17">
        <v>0</v>
      </c>
      <c r="K699" s="17">
        <f t="shared" si="85"/>
        <v>13671.927868493152</v>
      </c>
      <c r="L699" s="23">
        <f t="shared" si="96"/>
        <v>683.59639342465766</v>
      </c>
      <c r="M699" s="33">
        <v>25</v>
      </c>
      <c r="N699" s="18">
        <f t="shared" si="88"/>
        <v>22.353424657534248</v>
      </c>
      <c r="O699" s="23">
        <v>25006.063114739725</v>
      </c>
      <c r="P699" s="18">
        <f t="shared" si="89"/>
        <v>22.854794520547944</v>
      </c>
      <c r="Q699" s="18">
        <f t="shared" si="95"/>
        <v>260.47831889726297</v>
      </c>
      <c r="R699" s="18">
        <f t="shared" si="86"/>
        <v>25266.541433636987</v>
      </c>
      <c r="S699" s="18">
        <f t="shared" si="100"/>
        <v>683.59639342465766</v>
      </c>
    </row>
    <row r="700" spans="1:19" ht="18.75" customHeight="1" x14ac:dyDescent="0.25">
      <c r="A700" s="14">
        <f t="shared" si="90"/>
        <v>697</v>
      </c>
      <c r="B700" s="31" t="s">
        <v>671</v>
      </c>
      <c r="C700" s="15" t="s">
        <v>3</v>
      </c>
      <c r="D700" s="31" t="s">
        <v>500</v>
      </c>
      <c r="E700" s="31"/>
      <c r="F700" s="73" t="s">
        <v>11</v>
      </c>
      <c r="G700" s="32">
        <v>37346</v>
      </c>
      <c r="H700" s="29">
        <v>11149.238794520546</v>
      </c>
      <c r="I700" s="17">
        <v>0</v>
      </c>
      <c r="J700" s="17">
        <v>0</v>
      </c>
      <c r="K700" s="17">
        <f t="shared" si="85"/>
        <v>11149.238794520546</v>
      </c>
      <c r="L700" s="23">
        <f t="shared" si="96"/>
        <v>557.46193972602737</v>
      </c>
      <c r="M700" s="33">
        <v>25</v>
      </c>
      <c r="N700" s="18">
        <f t="shared" si="88"/>
        <v>19.019178082191782</v>
      </c>
      <c r="O700" s="23">
        <v>221113.65955178082</v>
      </c>
      <c r="P700" s="18">
        <f t="shared" si="89"/>
        <v>19.520547945205479</v>
      </c>
      <c r="Q700" s="18">
        <f t="shared" si="95"/>
        <v>212.41590843039876</v>
      </c>
      <c r="R700" s="18">
        <f t="shared" si="86"/>
        <v>221326.07546021123</v>
      </c>
      <c r="S700" s="18">
        <f t="shared" si="100"/>
        <v>557.46193972602737</v>
      </c>
    </row>
    <row r="701" spans="1:19" ht="18.75" customHeight="1" x14ac:dyDescent="0.25">
      <c r="A701" s="14">
        <f t="shared" si="90"/>
        <v>698</v>
      </c>
      <c r="B701" s="31" t="s">
        <v>585</v>
      </c>
      <c r="C701" s="15" t="s">
        <v>3</v>
      </c>
      <c r="D701" s="31" t="s">
        <v>500</v>
      </c>
      <c r="E701" s="31"/>
      <c r="F701" s="70" t="s">
        <v>7</v>
      </c>
      <c r="G701" s="32">
        <v>41348</v>
      </c>
      <c r="H701" s="29">
        <v>13260.328767123288</v>
      </c>
      <c r="I701" s="17">
        <v>0</v>
      </c>
      <c r="J701" s="17">
        <v>0</v>
      </c>
      <c r="K701" s="17">
        <f t="shared" si="85"/>
        <v>13260.328767123288</v>
      </c>
      <c r="L701" s="23">
        <f t="shared" si="96"/>
        <v>663.01643835616449</v>
      </c>
      <c r="M701" s="33">
        <v>25</v>
      </c>
      <c r="N701" s="18">
        <f t="shared" si="88"/>
        <v>8.0547945205479454</v>
      </c>
      <c r="O701" s="23">
        <v>12908.363150684932</v>
      </c>
      <c r="P701" s="18">
        <f t="shared" si="89"/>
        <v>8.5561643835616437</v>
      </c>
      <c r="Q701" s="18">
        <f t="shared" si="95"/>
        <v>252.63651026458979</v>
      </c>
      <c r="R701" s="18">
        <f t="shared" si="86"/>
        <v>13160.999660949523</v>
      </c>
      <c r="S701" s="18">
        <f t="shared" si="87"/>
        <v>99.329106173765467</v>
      </c>
    </row>
    <row r="702" spans="1:19" ht="18.75" customHeight="1" x14ac:dyDescent="0.25">
      <c r="A702" s="14">
        <f t="shared" si="90"/>
        <v>699</v>
      </c>
      <c r="B702" s="31" t="s">
        <v>672</v>
      </c>
      <c r="C702" s="15" t="s">
        <v>3</v>
      </c>
      <c r="D702" s="31" t="s">
        <v>500</v>
      </c>
      <c r="E702" s="31"/>
      <c r="F702" s="73" t="s">
        <v>8</v>
      </c>
      <c r="G702" s="32">
        <v>38663</v>
      </c>
      <c r="H702" s="29">
        <v>10656.960477041099</v>
      </c>
      <c r="I702" s="17">
        <v>0</v>
      </c>
      <c r="J702" s="17">
        <v>0</v>
      </c>
      <c r="K702" s="17">
        <f t="shared" si="85"/>
        <v>10656.960477041099</v>
      </c>
      <c r="L702" s="23">
        <f t="shared" si="96"/>
        <v>532.84802385205501</v>
      </c>
      <c r="M702" s="33">
        <v>25</v>
      </c>
      <c r="N702" s="18">
        <f t="shared" si="88"/>
        <v>15.41095890410959</v>
      </c>
      <c r="O702" s="23">
        <v>56222.518939081645</v>
      </c>
      <c r="P702" s="18">
        <f t="shared" si="89"/>
        <v>15.912328767123288</v>
      </c>
      <c r="Q702" s="18">
        <f t="shared" si="95"/>
        <v>203.03699495162667</v>
      </c>
      <c r="R702" s="18">
        <f t="shared" si="86"/>
        <v>56425.555934033269</v>
      </c>
      <c r="S702" s="18">
        <f t="shared" ref="S702:S706" si="101">L702</f>
        <v>532.84802385205501</v>
      </c>
    </row>
    <row r="703" spans="1:19" ht="18.75" customHeight="1" x14ac:dyDescent="0.25">
      <c r="A703" s="14">
        <f t="shared" si="90"/>
        <v>700</v>
      </c>
      <c r="B703" s="31" t="s">
        <v>673</v>
      </c>
      <c r="C703" s="15" t="s">
        <v>3</v>
      </c>
      <c r="D703" s="31" t="s">
        <v>500</v>
      </c>
      <c r="E703" s="31"/>
      <c r="F703" s="70" t="s">
        <v>7</v>
      </c>
      <c r="G703" s="32">
        <v>36891</v>
      </c>
      <c r="H703" s="29">
        <v>10929.149999999994</v>
      </c>
      <c r="I703" s="17">
        <v>0</v>
      </c>
      <c r="J703" s="17">
        <v>0</v>
      </c>
      <c r="K703" s="17">
        <f t="shared" si="85"/>
        <v>10929.149999999994</v>
      </c>
      <c r="L703" s="23">
        <f t="shared" si="96"/>
        <v>546.45749999999975</v>
      </c>
      <c r="M703" s="33">
        <v>15</v>
      </c>
      <c r="N703" s="18">
        <f t="shared" si="88"/>
        <v>20.265753424657536</v>
      </c>
      <c r="O703" s="23">
        <v>64698.8</v>
      </c>
      <c r="P703" s="18">
        <f t="shared" si="89"/>
        <v>20.767123287671232</v>
      </c>
      <c r="Q703" s="18">
        <v>0</v>
      </c>
      <c r="R703" s="18">
        <f t="shared" si="86"/>
        <v>64698.8</v>
      </c>
      <c r="S703" s="18">
        <f t="shared" si="101"/>
        <v>546.45749999999975</v>
      </c>
    </row>
    <row r="704" spans="1:19" ht="18.75" customHeight="1" x14ac:dyDescent="0.25">
      <c r="A704" s="14">
        <f t="shared" si="90"/>
        <v>701</v>
      </c>
      <c r="B704" s="31" t="s">
        <v>674</v>
      </c>
      <c r="C704" s="15" t="s">
        <v>3</v>
      </c>
      <c r="D704" s="31" t="s">
        <v>500</v>
      </c>
      <c r="E704" s="31"/>
      <c r="F704" s="73" t="s">
        <v>4</v>
      </c>
      <c r="G704" s="32">
        <v>35751</v>
      </c>
      <c r="H704" s="29">
        <v>16271.309589041099</v>
      </c>
      <c r="I704" s="17">
        <v>0</v>
      </c>
      <c r="J704" s="17">
        <v>0</v>
      </c>
      <c r="K704" s="17">
        <f t="shared" si="85"/>
        <v>16271.309589041099</v>
      </c>
      <c r="L704" s="23">
        <f t="shared" si="96"/>
        <v>813.565479452055</v>
      </c>
      <c r="M704" s="33">
        <v>25</v>
      </c>
      <c r="N704" s="18">
        <f t="shared" si="88"/>
        <v>23.389041095890413</v>
      </c>
      <c r="O704" s="23">
        <v>23616.452383561642</v>
      </c>
      <c r="P704" s="18">
        <f t="shared" si="89"/>
        <v>23.890410958904109</v>
      </c>
      <c r="Q704" s="18">
        <f t="shared" si="95"/>
        <v>310.00188186901732</v>
      </c>
      <c r="R704" s="18">
        <f t="shared" si="86"/>
        <v>23926.454265430661</v>
      </c>
      <c r="S704" s="18">
        <f t="shared" si="101"/>
        <v>813.565479452055</v>
      </c>
    </row>
    <row r="705" spans="1:19" ht="18.75" customHeight="1" x14ac:dyDescent="0.25">
      <c r="A705" s="14">
        <f t="shared" si="90"/>
        <v>702</v>
      </c>
      <c r="B705" s="31" t="s">
        <v>675</v>
      </c>
      <c r="C705" s="15" t="s">
        <v>3</v>
      </c>
      <c r="D705" s="31" t="s">
        <v>500</v>
      </c>
      <c r="E705" s="31"/>
      <c r="F705" s="73" t="s">
        <v>4</v>
      </c>
      <c r="G705" s="32">
        <v>38548</v>
      </c>
      <c r="H705" s="29">
        <v>12037.967232876716</v>
      </c>
      <c r="I705" s="17">
        <v>0</v>
      </c>
      <c r="J705" s="17">
        <v>0</v>
      </c>
      <c r="K705" s="17">
        <f t="shared" si="85"/>
        <v>12037.967232876716</v>
      </c>
      <c r="L705" s="23">
        <f t="shared" si="96"/>
        <v>601.89836164383576</v>
      </c>
      <c r="M705" s="33">
        <v>15</v>
      </c>
      <c r="N705" s="18">
        <f t="shared" si="88"/>
        <v>15.726027397260275</v>
      </c>
      <c r="O705" s="23">
        <v>20085.971148858447</v>
      </c>
      <c r="P705" s="18">
        <f t="shared" si="89"/>
        <v>16.227397260273971</v>
      </c>
      <c r="Q705" s="18">
        <v>0</v>
      </c>
      <c r="R705" s="18">
        <f t="shared" si="86"/>
        <v>20085.971148858447</v>
      </c>
      <c r="S705" s="18">
        <f t="shared" si="101"/>
        <v>601.89836164383576</v>
      </c>
    </row>
    <row r="706" spans="1:19" ht="18.75" customHeight="1" x14ac:dyDescent="0.25">
      <c r="A706" s="14">
        <f t="shared" si="90"/>
        <v>703</v>
      </c>
      <c r="B706" s="31" t="s">
        <v>676</v>
      </c>
      <c r="C706" s="15" t="s">
        <v>3</v>
      </c>
      <c r="D706" s="31" t="s">
        <v>500</v>
      </c>
      <c r="E706" s="31"/>
      <c r="F706" s="70" t="s">
        <v>7</v>
      </c>
      <c r="G706" s="32">
        <v>34012</v>
      </c>
      <c r="H706" s="29">
        <v>1123.2999999999993</v>
      </c>
      <c r="I706" s="17">
        <v>0</v>
      </c>
      <c r="J706" s="17">
        <v>0</v>
      </c>
      <c r="K706" s="17">
        <f t="shared" si="85"/>
        <v>1123.2999999999993</v>
      </c>
      <c r="L706" s="23">
        <f t="shared" si="96"/>
        <v>56.164999999999964</v>
      </c>
      <c r="M706" s="33">
        <v>15</v>
      </c>
      <c r="N706" s="18">
        <f t="shared" si="88"/>
        <v>28.153424657534245</v>
      </c>
      <c r="O706" s="23">
        <v>7366.3</v>
      </c>
      <c r="P706" s="18">
        <f t="shared" si="89"/>
        <v>28.654794520547945</v>
      </c>
      <c r="Q706" s="18">
        <v>0</v>
      </c>
      <c r="R706" s="18">
        <f t="shared" si="86"/>
        <v>7366.3</v>
      </c>
      <c r="S706" s="18">
        <f t="shared" si="101"/>
        <v>56.164999999999964</v>
      </c>
    </row>
    <row r="707" spans="1:19" ht="18.75" customHeight="1" x14ac:dyDescent="0.25">
      <c r="A707" s="14">
        <f t="shared" si="90"/>
        <v>704</v>
      </c>
      <c r="B707" s="31" t="s">
        <v>677</v>
      </c>
      <c r="C707" s="15" t="s">
        <v>3</v>
      </c>
      <c r="D707" s="31" t="s">
        <v>500</v>
      </c>
      <c r="E707" s="31"/>
      <c r="F707" s="73" t="s">
        <v>12</v>
      </c>
      <c r="G707" s="32">
        <v>35397</v>
      </c>
      <c r="H707" s="29">
        <v>19259.45402739726</v>
      </c>
      <c r="I707" s="17">
        <v>0</v>
      </c>
      <c r="J707" s="17">
        <v>0</v>
      </c>
      <c r="K707" s="17">
        <f t="shared" si="85"/>
        <v>19259.45402739726</v>
      </c>
      <c r="L707" s="23">
        <f t="shared" si="96"/>
        <v>962.97270136986299</v>
      </c>
      <c r="M707" s="33">
        <v>25</v>
      </c>
      <c r="N707" s="18">
        <f t="shared" si="88"/>
        <v>24.358904109589041</v>
      </c>
      <c r="O707" s="23">
        <v>3436.7301610958903</v>
      </c>
      <c r="P707" s="18">
        <f t="shared" si="89"/>
        <v>24.860273972602741</v>
      </c>
      <c r="Q707" s="18">
        <f t="shared" si="95"/>
        <v>366.93217344252304</v>
      </c>
      <c r="R707" s="18">
        <f t="shared" si="86"/>
        <v>3803.6623345384132</v>
      </c>
      <c r="S707" s="18">
        <f t="shared" si="87"/>
        <v>15455.791692858846</v>
      </c>
    </row>
    <row r="708" spans="1:19" ht="18.75" customHeight="1" x14ac:dyDescent="0.25">
      <c r="A708" s="14">
        <f t="shared" si="90"/>
        <v>705</v>
      </c>
      <c r="B708" s="31" t="s">
        <v>678</v>
      </c>
      <c r="C708" s="15" t="s">
        <v>3</v>
      </c>
      <c r="D708" s="31" t="s">
        <v>500</v>
      </c>
      <c r="E708" s="31"/>
      <c r="F708" s="73" t="s">
        <v>7</v>
      </c>
      <c r="G708" s="32">
        <v>35796</v>
      </c>
      <c r="H708" s="29">
        <v>6120.1095890410961</v>
      </c>
      <c r="I708" s="17">
        <v>0</v>
      </c>
      <c r="J708" s="17">
        <v>0</v>
      </c>
      <c r="K708" s="17">
        <f t="shared" ref="K708:K771" si="102">H708+I708-J708</f>
        <v>6120.1095890410961</v>
      </c>
      <c r="L708" s="23">
        <f t="shared" si="96"/>
        <v>306.00547945205483</v>
      </c>
      <c r="M708" s="33">
        <v>25</v>
      </c>
      <c r="N708" s="18">
        <f t="shared" si="88"/>
        <v>23.265753424657536</v>
      </c>
      <c r="O708" s="23">
        <v>1421.7543835616439</v>
      </c>
      <c r="P708" s="18">
        <f t="shared" si="89"/>
        <v>23.767123287671232</v>
      </c>
      <c r="Q708" s="18">
        <f t="shared" si="95"/>
        <v>116.6006632388811</v>
      </c>
      <c r="R708" s="18">
        <f t="shared" ref="R708:R771" si="103">Q708+O708</f>
        <v>1538.3550468005249</v>
      </c>
      <c r="S708" s="18">
        <f t="shared" ref="S708:S770" si="104">K708-R708</f>
        <v>4581.754542240571</v>
      </c>
    </row>
    <row r="709" spans="1:19" ht="18.75" customHeight="1" x14ac:dyDescent="0.25">
      <c r="A709" s="14">
        <f t="shared" si="90"/>
        <v>706</v>
      </c>
      <c r="B709" s="31" t="s">
        <v>679</v>
      </c>
      <c r="C709" s="15" t="s">
        <v>3</v>
      </c>
      <c r="D709" s="31" t="s">
        <v>500</v>
      </c>
      <c r="E709" s="31"/>
      <c r="F709" s="70" t="s">
        <v>7</v>
      </c>
      <c r="G709" s="32">
        <v>35139</v>
      </c>
      <c r="H709" s="29">
        <v>2424.5999999999985</v>
      </c>
      <c r="I709" s="17">
        <v>0</v>
      </c>
      <c r="J709" s="17">
        <v>0</v>
      </c>
      <c r="K709" s="17">
        <f t="shared" si="102"/>
        <v>2424.5999999999985</v>
      </c>
      <c r="L709" s="23">
        <f t="shared" si="96"/>
        <v>121.22999999999993</v>
      </c>
      <c r="M709" s="33">
        <v>15</v>
      </c>
      <c r="N709" s="18">
        <f t="shared" ref="N709:N772" si="105">IF(($N$2-G709+1)/365&gt;0,($N$2-G709+1)/365,0)</f>
        <v>25.065753424657533</v>
      </c>
      <c r="O709" s="23">
        <v>364.7999999999999</v>
      </c>
      <c r="P709" s="18">
        <f t="shared" ref="P709:P772" si="106">($P$2-G709+1)/365</f>
        <v>25.567123287671233</v>
      </c>
      <c r="Q709" s="18">
        <v>0</v>
      </c>
      <c r="R709" s="18">
        <f t="shared" si="103"/>
        <v>364.7999999999999</v>
      </c>
      <c r="S709" s="18">
        <f t="shared" si="104"/>
        <v>2059.7999999999988</v>
      </c>
    </row>
    <row r="710" spans="1:19" ht="18.75" customHeight="1" x14ac:dyDescent="0.25">
      <c r="A710" s="14">
        <f t="shared" ref="A710:A773" si="107">+A709+1</f>
        <v>707</v>
      </c>
      <c r="B710" s="31" t="s">
        <v>680</v>
      </c>
      <c r="C710" s="15" t="s">
        <v>3</v>
      </c>
      <c r="D710" s="31" t="s">
        <v>500</v>
      </c>
      <c r="E710" s="31"/>
      <c r="F710" s="73" t="s">
        <v>8</v>
      </c>
      <c r="G710" s="32">
        <v>35397</v>
      </c>
      <c r="H710" s="29">
        <v>12266.45057534246</v>
      </c>
      <c r="I710" s="17">
        <v>0</v>
      </c>
      <c r="J710" s="17">
        <v>0</v>
      </c>
      <c r="K710" s="17">
        <f t="shared" si="102"/>
        <v>12266.45057534246</v>
      </c>
      <c r="L710" s="23">
        <f t="shared" si="96"/>
        <v>613.322528767123</v>
      </c>
      <c r="M710" s="33">
        <v>25</v>
      </c>
      <c r="N710" s="18">
        <f t="shared" si="105"/>
        <v>24.358904109589041</v>
      </c>
      <c r="O710" s="23">
        <v>8187.8940230136986</v>
      </c>
      <c r="P710" s="18">
        <f t="shared" si="106"/>
        <v>24.860273972602741</v>
      </c>
      <c r="Q710" s="18">
        <f t="shared" si="95"/>
        <v>233.70108849570332</v>
      </c>
      <c r="R710" s="18">
        <f t="shared" si="103"/>
        <v>8421.5951115094012</v>
      </c>
      <c r="S710" s="18">
        <f t="shared" si="104"/>
        <v>3844.8554638330588</v>
      </c>
    </row>
    <row r="711" spans="1:19" ht="18.75" customHeight="1" x14ac:dyDescent="0.25">
      <c r="A711" s="14">
        <f t="shared" si="107"/>
        <v>708</v>
      </c>
      <c r="B711" s="31" t="s">
        <v>681</v>
      </c>
      <c r="C711" s="15" t="s">
        <v>3</v>
      </c>
      <c r="D711" s="31" t="s">
        <v>500</v>
      </c>
      <c r="E711" s="31"/>
      <c r="F711" s="70" t="s">
        <v>7</v>
      </c>
      <c r="G711" s="32">
        <v>35504</v>
      </c>
      <c r="H711" s="29">
        <v>4340.7863013698625</v>
      </c>
      <c r="I711" s="17">
        <v>0</v>
      </c>
      <c r="J711" s="17">
        <v>0</v>
      </c>
      <c r="K711" s="17">
        <f t="shared" si="102"/>
        <v>4340.7863013698625</v>
      </c>
      <c r="L711" s="23">
        <f t="shared" si="96"/>
        <v>217.03931506849312</v>
      </c>
      <c r="M711" s="33">
        <v>25</v>
      </c>
      <c r="N711" s="18">
        <f t="shared" si="105"/>
        <v>24.065753424657533</v>
      </c>
      <c r="O711" s="23">
        <v>7615.7814520547945</v>
      </c>
      <c r="P711" s="18">
        <f t="shared" si="106"/>
        <v>24.567123287671233</v>
      </c>
      <c r="Q711" s="18">
        <f t="shared" si="95"/>
        <v>82.700898465003036</v>
      </c>
      <c r="R711" s="18">
        <f t="shared" si="103"/>
        <v>7698.4823505197974</v>
      </c>
      <c r="S711" s="18">
        <f t="shared" ref="S711:S713" si="108">L711</f>
        <v>217.03931506849312</v>
      </c>
    </row>
    <row r="712" spans="1:19" ht="18.75" customHeight="1" x14ac:dyDescent="0.25">
      <c r="A712" s="14">
        <f t="shared" si="107"/>
        <v>709</v>
      </c>
      <c r="B712" s="31" t="s">
        <v>682</v>
      </c>
      <c r="C712" s="15" t="s">
        <v>3</v>
      </c>
      <c r="D712" s="31" t="s">
        <v>500</v>
      </c>
      <c r="E712" s="31"/>
      <c r="F712" s="73" t="s">
        <v>11</v>
      </c>
      <c r="G712" s="32">
        <v>33186</v>
      </c>
      <c r="H712" s="29">
        <v>13441.899999999994</v>
      </c>
      <c r="I712" s="17">
        <v>0</v>
      </c>
      <c r="J712" s="17">
        <v>0</v>
      </c>
      <c r="K712" s="17">
        <f t="shared" si="102"/>
        <v>13441.899999999994</v>
      </c>
      <c r="L712" s="23">
        <f t="shared" si="96"/>
        <v>672.0949999999998</v>
      </c>
      <c r="M712" s="33">
        <v>25</v>
      </c>
      <c r="N712" s="18">
        <f t="shared" si="105"/>
        <v>30.416438356164385</v>
      </c>
      <c r="O712" s="23">
        <v>42801.3</v>
      </c>
      <c r="P712" s="18">
        <f t="shared" si="106"/>
        <v>30.917808219178081</v>
      </c>
      <c r="Q712" s="18">
        <v>0</v>
      </c>
      <c r="R712" s="18">
        <f t="shared" si="103"/>
        <v>42801.3</v>
      </c>
      <c r="S712" s="18">
        <f t="shared" si="108"/>
        <v>672.0949999999998</v>
      </c>
    </row>
    <row r="713" spans="1:19" ht="18.75" customHeight="1" x14ac:dyDescent="0.25">
      <c r="A713" s="14">
        <f t="shared" si="107"/>
        <v>710</v>
      </c>
      <c r="B713" s="31" t="s">
        <v>683</v>
      </c>
      <c r="C713" s="15" t="s">
        <v>3</v>
      </c>
      <c r="D713" s="31" t="s">
        <v>500</v>
      </c>
      <c r="E713" s="31"/>
      <c r="F713" s="73" t="s">
        <v>11</v>
      </c>
      <c r="G713" s="32">
        <v>33204</v>
      </c>
      <c r="H713" s="29">
        <v>792.79999999999927</v>
      </c>
      <c r="I713" s="17">
        <v>0</v>
      </c>
      <c r="J713" s="17">
        <v>0</v>
      </c>
      <c r="K713" s="17">
        <f t="shared" si="102"/>
        <v>792.79999999999927</v>
      </c>
      <c r="L713" s="23">
        <f t="shared" si="96"/>
        <v>39.639999999999965</v>
      </c>
      <c r="M713" s="33">
        <v>25</v>
      </c>
      <c r="N713" s="18">
        <f t="shared" si="105"/>
        <v>30.367123287671234</v>
      </c>
      <c r="O713" s="23">
        <v>8732.4</v>
      </c>
      <c r="P713" s="18">
        <f t="shared" si="106"/>
        <v>30.86849315068493</v>
      </c>
      <c r="Q713" s="18">
        <v>0</v>
      </c>
      <c r="R713" s="18">
        <f t="shared" si="103"/>
        <v>8732.4</v>
      </c>
      <c r="S713" s="18">
        <f t="shared" si="108"/>
        <v>39.639999999999965</v>
      </c>
    </row>
    <row r="714" spans="1:19" ht="18.75" customHeight="1" x14ac:dyDescent="0.25">
      <c r="A714" s="14">
        <f t="shared" si="107"/>
        <v>711</v>
      </c>
      <c r="B714" s="31" t="s">
        <v>684</v>
      </c>
      <c r="C714" s="15" t="s">
        <v>3</v>
      </c>
      <c r="D714" s="31" t="s">
        <v>500</v>
      </c>
      <c r="E714" s="31"/>
      <c r="F714" s="73" t="s">
        <v>9</v>
      </c>
      <c r="G714" s="32">
        <v>33207</v>
      </c>
      <c r="H714" s="29">
        <v>11680.399999999994</v>
      </c>
      <c r="I714" s="17">
        <v>0</v>
      </c>
      <c r="J714" s="17">
        <v>0</v>
      </c>
      <c r="K714" s="17">
        <f t="shared" si="102"/>
        <v>11680.399999999994</v>
      </c>
      <c r="L714" s="23">
        <f t="shared" si="96"/>
        <v>584.01999999999975</v>
      </c>
      <c r="M714" s="33">
        <v>25</v>
      </c>
      <c r="N714" s="18">
        <f t="shared" si="105"/>
        <v>30.358904109589041</v>
      </c>
      <c r="O714" s="23">
        <v>2693.2499999999995</v>
      </c>
      <c r="P714" s="18">
        <f t="shared" si="106"/>
        <v>30.860273972602741</v>
      </c>
      <c r="Q714" s="18">
        <v>0</v>
      </c>
      <c r="R714" s="18">
        <f t="shared" si="103"/>
        <v>2693.2499999999995</v>
      </c>
      <c r="S714" s="18">
        <f t="shared" si="104"/>
        <v>8987.1499999999942</v>
      </c>
    </row>
    <row r="715" spans="1:19" ht="18.75" customHeight="1" x14ac:dyDescent="0.25">
      <c r="A715" s="14">
        <f t="shared" si="107"/>
        <v>712</v>
      </c>
      <c r="B715" s="31" t="s">
        <v>556</v>
      </c>
      <c r="C715" s="15" t="s">
        <v>3</v>
      </c>
      <c r="D715" s="31" t="s">
        <v>500</v>
      </c>
      <c r="E715" s="31"/>
      <c r="F715" s="70" t="s">
        <v>7</v>
      </c>
      <c r="G715" s="32">
        <v>33585</v>
      </c>
      <c r="H715" s="29">
        <v>3230.75</v>
      </c>
      <c r="I715" s="17">
        <v>0</v>
      </c>
      <c r="J715" s="17">
        <v>0</v>
      </c>
      <c r="K715" s="17">
        <f t="shared" si="102"/>
        <v>3230.75</v>
      </c>
      <c r="L715" s="23">
        <f t="shared" si="96"/>
        <v>161.53750000000002</v>
      </c>
      <c r="M715" s="33">
        <v>15</v>
      </c>
      <c r="N715" s="18">
        <f t="shared" si="105"/>
        <v>29.323287671232876</v>
      </c>
      <c r="O715" s="23">
        <v>8060.75</v>
      </c>
      <c r="P715" s="18">
        <f t="shared" si="106"/>
        <v>29.824657534246576</v>
      </c>
      <c r="Q715" s="18">
        <v>0</v>
      </c>
      <c r="R715" s="18">
        <f t="shared" si="103"/>
        <v>8060.75</v>
      </c>
      <c r="S715" s="18">
        <f t="shared" ref="S715:S721" si="109">L715</f>
        <v>161.53750000000002</v>
      </c>
    </row>
    <row r="716" spans="1:19" ht="18.75" customHeight="1" x14ac:dyDescent="0.25">
      <c r="A716" s="14">
        <f t="shared" si="107"/>
        <v>713</v>
      </c>
      <c r="B716" s="31" t="s">
        <v>685</v>
      </c>
      <c r="C716" s="15" t="s">
        <v>3</v>
      </c>
      <c r="D716" s="31" t="s">
        <v>500</v>
      </c>
      <c r="E716" s="31"/>
      <c r="F716" s="73" t="s">
        <v>11</v>
      </c>
      <c r="G716" s="32">
        <v>33208</v>
      </c>
      <c r="H716" s="29">
        <v>4865.8000000000029</v>
      </c>
      <c r="I716" s="17">
        <v>0</v>
      </c>
      <c r="J716" s="17">
        <v>0</v>
      </c>
      <c r="K716" s="17">
        <f t="shared" si="102"/>
        <v>4865.8000000000029</v>
      </c>
      <c r="L716" s="23">
        <f t="shared" si="96"/>
        <v>243.29000000000016</v>
      </c>
      <c r="M716" s="33">
        <v>25</v>
      </c>
      <c r="N716" s="18">
        <f t="shared" si="105"/>
        <v>30.356164383561644</v>
      </c>
      <c r="O716" s="23">
        <v>240613.15</v>
      </c>
      <c r="P716" s="18">
        <f t="shared" si="106"/>
        <v>30.857534246575341</v>
      </c>
      <c r="Q716" s="18">
        <v>0</v>
      </c>
      <c r="R716" s="18">
        <f t="shared" si="103"/>
        <v>240613.15</v>
      </c>
      <c r="S716" s="18">
        <f t="shared" si="109"/>
        <v>243.29000000000016</v>
      </c>
    </row>
    <row r="717" spans="1:19" ht="18.75" customHeight="1" x14ac:dyDescent="0.25">
      <c r="A717" s="14">
        <f t="shared" si="107"/>
        <v>714</v>
      </c>
      <c r="B717" s="31" t="s">
        <v>686</v>
      </c>
      <c r="C717" s="15" t="s">
        <v>3</v>
      </c>
      <c r="D717" s="31" t="s">
        <v>500</v>
      </c>
      <c r="E717" s="31"/>
      <c r="F717" s="73" t="s">
        <v>10</v>
      </c>
      <c r="G717" s="32">
        <v>33208</v>
      </c>
      <c r="H717" s="29">
        <v>561.10000000000036</v>
      </c>
      <c r="I717" s="17">
        <v>0</v>
      </c>
      <c r="J717" s="17">
        <v>0</v>
      </c>
      <c r="K717" s="17">
        <f t="shared" si="102"/>
        <v>561.10000000000036</v>
      </c>
      <c r="L717" s="23">
        <f t="shared" si="96"/>
        <v>28.055000000000021</v>
      </c>
      <c r="M717" s="33">
        <v>25</v>
      </c>
      <c r="N717" s="18">
        <f t="shared" si="105"/>
        <v>30.356164383561644</v>
      </c>
      <c r="O717" s="23">
        <v>2835.75</v>
      </c>
      <c r="P717" s="18">
        <f t="shared" si="106"/>
        <v>30.857534246575341</v>
      </c>
      <c r="Q717" s="18">
        <v>0</v>
      </c>
      <c r="R717" s="18">
        <f t="shared" si="103"/>
        <v>2835.75</v>
      </c>
      <c r="S717" s="18">
        <f t="shared" si="109"/>
        <v>28.055000000000021</v>
      </c>
    </row>
    <row r="718" spans="1:19" ht="18.75" customHeight="1" x14ac:dyDescent="0.25">
      <c r="A718" s="14">
        <f t="shared" si="107"/>
        <v>715</v>
      </c>
      <c r="B718" s="31" t="s">
        <v>687</v>
      </c>
      <c r="C718" s="15" t="s">
        <v>3</v>
      </c>
      <c r="D718" s="31" t="s">
        <v>500</v>
      </c>
      <c r="E718" s="31"/>
      <c r="F718" s="73" t="s">
        <v>8</v>
      </c>
      <c r="G718" s="32">
        <v>33209</v>
      </c>
      <c r="H718" s="29">
        <v>912.65000000000146</v>
      </c>
      <c r="I718" s="17">
        <v>0</v>
      </c>
      <c r="J718" s="17">
        <v>0</v>
      </c>
      <c r="K718" s="17">
        <f t="shared" si="102"/>
        <v>912.65000000000146</v>
      </c>
      <c r="L718" s="23">
        <f t="shared" si="96"/>
        <v>45.632500000000078</v>
      </c>
      <c r="M718" s="33">
        <v>25</v>
      </c>
      <c r="N718" s="18">
        <f t="shared" si="105"/>
        <v>30.353424657534248</v>
      </c>
      <c r="O718" s="23">
        <v>2456.6999999999998</v>
      </c>
      <c r="P718" s="18">
        <f t="shared" si="106"/>
        <v>30.854794520547944</v>
      </c>
      <c r="Q718" s="18">
        <v>0</v>
      </c>
      <c r="R718" s="18">
        <f t="shared" si="103"/>
        <v>2456.6999999999998</v>
      </c>
      <c r="S718" s="18">
        <f t="shared" si="109"/>
        <v>45.632500000000078</v>
      </c>
    </row>
    <row r="719" spans="1:19" ht="18.75" customHeight="1" x14ac:dyDescent="0.25">
      <c r="A719" s="14">
        <f t="shared" si="107"/>
        <v>716</v>
      </c>
      <c r="B719" s="31" t="s">
        <v>688</v>
      </c>
      <c r="C719" s="15" t="s">
        <v>3</v>
      </c>
      <c r="D719" s="31" t="s">
        <v>500</v>
      </c>
      <c r="E719" s="31"/>
      <c r="F719" s="73" t="s">
        <v>8</v>
      </c>
      <c r="G719" s="32">
        <v>33294</v>
      </c>
      <c r="H719" s="29">
        <v>830.25</v>
      </c>
      <c r="I719" s="17">
        <v>0</v>
      </c>
      <c r="J719" s="17">
        <v>0</v>
      </c>
      <c r="K719" s="17">
        <f t="shared" si="102"/>
        <v>830.25</v>
      </c>
      <c r="L719" s="23">
        <f t="shared" si="96"/>
        <v>41.512500000000003</v>
      </c>
      <c r="M719" s="33">
        <v>25</v>
      </c>
      <c r="N719" s="18">
        <f t="shared" si="105"/>
        <v>30.12054794520548</v>
      </c>
      <c r="O719" s="23">
        <v>27228.9</v>
      </c>
      <c r="P719" s="18">
        <f t="shared" si="106"/>
        <v>30.621917808219177</v>
      </c>
      <c r="Q719" s="18">
        <v>0</v>
      </c>
      <c r="R719" s="18">
        <f t="shared" si="103"/>
        <v>27228.9</v>
      </c>
      <c r="S719" s="18">
        <f t="shared" si="109"/>
        <v>41.512500000000003</v>
      </c>
    </row>
    <row r="720" spans="1:19" ht="18.75" customHeight="1" x14ac:dyDescent="0.25">
      <c r="A720" s="14">
        <f t="shared" si="107"/>
        <v>717</v>
      </c>
      <c r="B720" s="31" t="s">
        <v>689</v>
      </c>
      <c r="C720" s="15" t="s">
        <v>3</v>
      </c>
      <c r="D720" s="31" t="s">
        <v>500</v>
      </c>
      <c r="E720" s="31"/>
      <c r="F720" s="73" t="s">
        <v>11</v>
      </c>
      <c r="G720" s="32">
        <v>33308</v>
      </c>
      <c r="H720" s="29">
        <v>7757.0499999999884</v>
      </c>
      <c r="I720" s="17">
        <v>0</v>
      </c>
      <c r="J720" s="17">
        <v>0</v>
      </c>
      <c r="K720" s="17">
        <f t="shared" si="102"/>
        <v>7757.0499999999884</v>
      </c>
      <c r="L720" s="23">
        <f t="shared" si="96"/>
        <v>387.85249999999945</v>
      </c>
      <c r="M720" s="33">
        <v>25</v>
      </c>
      <c r="N720" s="18">
        <f t="shared" si="105"/>
        <v>30.082191780821919</v>
      </c>
      <c r="O720" s="23">
        <v>26322.6</v>
      </c>
      <c r="P720" s="18">
        <f t="shared" si="106"/>
        <v>30.583561643835615</v>
      </c>
      <c r="Q720" s="18">
        <v>0</v>
      </c>
      <c r="R720" s="18">
        <f t="shared" si="103"/>
        <v>26322.6</v>
      </c>
      <c r="S720" s="18">
        <f t="shared" si="109"/>
        <v>387.85249999999945</v>
      </c>
    </row>
    <row r="721" spans="1:19" ht="18.75" customHeight="1" x14ac:dyDescent="0.25">
      <c r="A721" s="14">
        <f t="shared" si="107"/>
        <v>718</v>
      </c>
      <c r="B721" s="31" t="s">
        <v>690</v>
      </c>
      <c r="C721" s="15" t="s">
        <v>3</v>
      </c>
      <c r="D721" s="31" t="s">
        <v>500</v>
      </c>
      <c r="E721" s="31"/>
      <c r="F721" s="73" t="s">
        <v>11</v>
      </c>
      <c r="G721" s="32">
        <v>33328</v>
      </c>
      <c r="H721" s="29">
        <v>797.70000000000073</v>
      </c>
      <c r="I721" s="17">
        <v>0</v>
      </c>
      <c r="J721" s="17">
        <v>0</v>
      </c>
      <c r="K721" s="17">
        <f t="shared" si="102"/>
        <v>797.70000000000073</v>
      </c>
      <c r="L721" s="23">
        <f t="shared" si="96"/>
        <v>39.885000000000041</v>
      </c>
      <c r="M721" s="33">
        <v>25</v>
      </c>
      <c r="N721" s="18">
        <f t="shared" si="105"/>
        <v>30.027397260273972</v>
      </c>
      <c r="O721" s="23">
        <v>22055.200000000001</v>
      </c>
      <c r="P721" s="18">
        <f t="shared" si="106"/>
        <v>30.528767123287672</v>
      </c>
      <c r="Q721" s="18">
        <v>0</v>
      </c>
      <c r="R721" s="18">
        <f t="shared" si="103"/>
        <v>22055.200000000001</v>
      </c>
      <c r="S721" s="18">
        <f t="shared" si="109"/>
        <v>39.885000000000041</v>
      </c>
    </row>
    <row r="722" spans="1:19" ht="18.75" customHeight="1" x14ac:dyDescent="0.25">
      <c r="A722" s="14">
        <f t="shared" si="107"/>
        <v>719</v>
      </c>
      <c r="B722" s="31" t="s">
        <v>691</v>
      </c>
      <c r="C722" s="15" t="s">
        <v>3</v>
      </c>
      <c r="D722" s="31" t="s">
        <v>500</v>
      </c>
      <c r="E722" s="31"/>
      <c r="F722" s="73" t="s">
        <v>11</v>
      </c>
      <c r="G722" s="32">
        <v>33352</v>
      </c>
      <c r="H722" s="29">
        <v>7214.0499999999884</v>
      </c>
      <c r="I722" s="17">
        <v>0</v>
      </c>
      <c r="J722" s="17">
        <v>0</v>
      </c>
      <c r="K722" s="17">
        <f t="shared" si="102"/>
        <v>7214.0499999999884</v>
      </c>
      <c r="L722" s="23">
        <f t="shared" si="96"/>
        <v>360.70249999999942</v>
      </c>
      <c r="M722" s="33">
        <v>25</v>
      </c>
      <c r="N722" s="18">
        <f t="shared" si="105"/>
        <v>29.961643835616439</v>
      </c>
      <c r="O722" s="23">
        <v>6725.9999999999991</v>
      </c>
      <c r="P722" s="18">
        <f t="shared" si="106"/>
        <v>30.463013698630139</v>
      </c>
      <c r="Q722" s="18">
        <v>0</v>
      </c>
      <c r="R722" s="18">
        <f t="shared" si="103"/>
        <v>6725.9999999999991</v>
      </c>
      <c r="S722" s="18">
        <f t="shared" si="104"/>
        <v>488.04999999998927</v>
      </c>
    </row>
    <row r="723" spans="1:19" ht="18.75" customHeight="1" x14ac:dyDescent="0.25">
      <c r="A723" s="14">
        <f t="shared" si="107"/>
        <v>720</v>
      </c>
      <c r="B723" s="31" t="s">
        <v>692</v>
      </c>
      <c r="C723" s="15" t="s">
        <v>3</v>
      </c>
      <c r="D723" s="31" t="s">
        <v>500</v>
      </c>
      <c r="E723" s="31"/>
      <c r="F723" s="73" t="s">
        <v>8</v>
      </c>
      <c r="G723" s="32">
        <v>19725</v>
      </c>
      <c r="H723" s="29">
        <v>309.05000000000018</v>
      </c>
      <c r="I723" s="17">
        <v>0</v>
      </c>
      <c r="J723" s="17">
        <v>0</v>
      </c>
      <c r="K723" s="17">
        <f t="shared" si="102"/>
        <v>309.05000000000018</v>
      </c>
      <c r="L723" s="23">
        <f t="shared" si="96"/>
        <v>15.452500000000009</v>
      </c>
      <c r="M723" s="33">
        <v>10</v>
      </c>
      <c r="N723" s="18">
        <f t="shared" si="105"/>
        <v>67.295890410958904</v>
      </c>
      <c r="O723" s="23">
        <v>390.45</v>
      </c>
      <c r="P723" s="18">
        <f t="shared" si="106"/>
        <v>67.797260273972597</v>
      </c>
      <c r="Q723" s="18">
        <v>0</v>
      </c>
      <c r="R723" s="18">
        <f t="shared" si="103"/>
        <v>390.45</v>
      </c>
      <c r="S723" s="18">
        <f t="shared" ref="S723:S727" si="110">L723</f>
        <v>15.452500000000009</v>
      </c>
    </row>
    <row r="724" spans="1:19" ht="18.75" customHeight="1" x14ac:dyDescent="0.25">
      <c r="A724" s="14">
        <f t="shared" si="107"/>
        <v>721</v>
      </c>
      <c r="B724" s="31" t="s">
        <v>693</v>
      </c>
      <c r="C724" s="15" t="s">
        <v>3</v>
      </c>
      <c r="D724" s="31" t="s">
        <v>500</v>
      </c>
      <c r="E724" s="31"/>
      <c r="F724" s="73" t="s">
        <v>11</v>
      </c>
      <c r="G724" s="32">
        <v>33359</v>
      </c>
      <c r="H724" s="29">
        <v>735.14999999999964</v>
      </c>
      <c r="I724" s="17">
        <v>0</v>
      </c>
      <c r="J724" s="17">
        <v>0</v>
      </c>
      <c r="K724" s="17">
        <f t="shared" si="102"/>
        <v>735.14999999999964</v>
      </c>
      <c r="L724" s="23">
        <f t="shared" si="96"/>
        <v>36.757499999999986</v>
      </c>
      <c r="M724" s="33">
        <v>25</v>
      </c>
      <c r="N724" s="18">
        <f t="shared" si="105"/>
        <v>29.942465753424656</v>
      </c>
      <c r="O724" s="23">
        <v>5491</v>
      </c>
      <c r="P724" s="18">
        <f t="shared" si="106"/>
        <v>30.443835616438356</v>
      </c>
      <c r="Q724" s="18">
        <v>0</v>
      </c>
      <c r="R724" s="18">
        <f t="shared" si="103"/>
        <v>5491</v>
      </c>
      <c r="S724" s="18">
        <f t="shared" si="110"/>
        <v>36.757499999999986</v>
      </c>
    </row>
    <row r="725" spans="1:19" ht="18.75" customHeight="1" x14ac:dyDescent="0.25">
      <c r="A725" s="14">
        <f t="shared" si="107"/>
        <v>722</v>
      </c>
      <c r="B725" s="31" t="s">
        <v>694</v>
      </c>
      <c r="C725" s="15" t="s">
        <v>3</v>
      </c>
      <c r="D725" s="31" t="s">
        <v>500</v>
      </c>
      <c r="E725" s="31"/>
      <c r="F725" s="73" t="s">
        <v>4</v>
      </c>
      <c r="G725" s="32">
        <v>38728</v>
      </c>
      <c r="H725" s="29">
        <v>15775.803872146123</v>
      </c>
      <c r="I725" s="17">
        <v>0</v>
      </c>
      <c r="J725" s="17">
        <v>0</v>
      </c>
      <c r="K725" s="17">
        <f t="shared" si="102"/>
        <v>15775.803872146123</v>
      </c>
      <c r="L725" s="23">
        <f t="shared" si="96"/>
        <v>788.79019360730626</v>
      </c>
      <c r="M725" s="33">
        <v>15</v>
      </c>
      <c r="N725" s="18">
        <f t="shared" si="105"/>
        <v>15.232876712328768</v>
      </c>
      <c r="O725" s="23">
        <v>210636.71692480973</v>
      </c>
      <c r="P725" s="18">
        <f t="shared" si="106"/>
        <v>15.734246575342466</v>
      </c>
      <c r="Q725" s="18">
        <v>0</v>
      </c>
      <c r="R725" s="18">
        <f t="shared" si="103"/>
        <v>210636.71692480973</v>
      </c>
      <c r="S725" s="18">
        <f t="shared" si="110"/>
        <v>788.79019360730626</v>
      </c>
    </row>
    <row r="726" spans="1:19" ht="18.75" customHeight="1" x14ac:dyDescent="0.25">
      <c r="A726" s="14">
        <f t="shared" si="107"/>
        <v>723</v>
      </c>
      <c r="B726" s="31" t="s">
        <v>695</v>
      </c>
      <c r="C726" s="15" t="s">
        <v>3</v>
      </c>
      <c r="D726" s="31" t="s">
        <v>500</v>
      </c>
      <c r="E726" s="31"/>
      <c r="F726" s="73" t="s">
        <v>8</v>
      </c>
      <c r="G726" s="32">
        <v>20455</v>
      </c>
      <c r="H726" s="29">
        <v>247.35000000000036</v>
      </c>
      <c r="I726" s="17">
        <v>0</v>
      </c>
      <c r="J726" s="17">
        <v>0</v>
      </c>
      <c r="K726" s="17">
        <f t="shared" si="102"/>
        <v>247.35000000000036</v>
      </c>
      <c r="L726" s="23">
        <f t="shared" si="96"/>
        <v>12.367500000000019</v>
      </c>
      <c r="M726" s="33">
        <v>10</v>
      </c>
      <c r="N726" s="18">
        <f t="shared" si="105"/>
        <v>65.295890410958904</v>
      </c>
      <c r="O726" s="23">
        <v>70134.7</v>
      </c>
      <c r="P726" s="18">
        <f t="shared" si="106"/>
        <v>65.797260273972597</v>
      </c>
      <c r="Q726" s="18">
        <v>0</v>
      </c>
      <c r="R726" s="18">
        <f t="shared" si="103"/>
        <v>70134.7</v>
      </c>
      <c r="S726" s="18">
        <f t="shared" si="110"/>
        <v>12.367500000000019</v>
      </c>
    </row>
    <row r="727" spans="1:19" ht="18.75" customHeight="1" x14ac:dyDescent="0.25">
      <c r="A727" s="14">
        <f t="shared" si="107"/>
        <v>724</v>
      </c>
      <c r="B727" s="31" t="s">
        <v>696</v>
      </c>
      <c r="C727" s="15" t="s">
        <v>3</v>
      </c>
      <c r="D727" s="31" t="s">
        <v>500</v>
      </c>
      <c r="E727" s="31"/>
      <c r="F727" s="73" t="s">
        <v>8</v>
      </c>
      <c r="G727" s="32">
        <v>33559</v>
      </c>
      <c r="H727" s="29">
        <v>4765.1000000000058</v>
      </c>
      <c r="I727" s="17">
        <v>0</v>
      </c>
      <c r="J727" s="17">
        <v>0</v>
      </c>
      <c r="K727" s="17">
        <f t="shared" si="102"/>
        <v>4765.1000000000058</v>
      </c>
      <c r="L727" s="23">
        <f t="shared" ref="L727:L790" si="111">H727*0.05</f>
        <v>238.25500000000031</v>
      </c>
      <c r="M727" s="33">
        <v>25</v>
      </c>
      <c r="N727" s="18">
        <f t="shared" si="105"/>
        <v>29.394520547945206</v>
      </c>
      <c r="O727" s="23">
        <v>40755</v>
      </c>
      <c r="P727" s="18">
        <f t="shared" si="106"/>
        <v>29.895890410958906</v>
      </c>
      <c r="Q727" s="18">
        <v>0</v>
      </c>
      <c r="R727" s="18">
        <f t="shared" si="103"/>
        <v>40755</v>
      </c>
      <c r="S727" s="18">
        <f t="shared" si="110"/>
        <v>238.25500000000031</v>
      </c>
    </row>
    <row r="728" spans="1:19" ht="18.75" customHeight="1" x14ac:dyDescent="0.25">
      <c r="A728" s="14">
        <f t="shared" si="107"/>
        <v>725</v>
      </c>
      <c r="B728" s="31" t="s">
        <v>697</v>
      </c>
      <c r="C728" s="15" t="s">
        <v>3</v>
      </c>
      <c r="D728" s="31" t="s">
        <v>500</v>
      </c>
      <c r="E728" s="31"/>
      <c r="F728" s="70" t="s">
        <v>7</v>
      </c>
      <c r="G728" s="32">
        <v>30317</v>
      </c>
      <c r="H728" s="29">
        <v>3325.4499999999971</v>
      </c>
      <c r="I728" s="17">
        <v>0</v>
      </c>
      <c r="J728" s="17">
        <v>0</v>
      </c>
      <c r="K728" s="17">
        <f t="shared" si="102"/>
        <v>3325.4499999999971</v>
      </c>
      <c r="L728" s="23">
        <f t="shared" si="111"/>
        <v>166.27249999999987</v>
      </c>
      <c r="M728" s="33">
        <v>15</v>
      </c>
      <c r="N728" s="18">
        <f t="shared" si="105"/>
        <v>38.276712328767125</v>
      </c>
      <c r="O728" s="23">
        <v>2793</v>
      </c>
      <c r="P728" s="18">
        <f t="shared" si="106"/>
        <v>38.778082191780825</v>
      </c>
      <c r="Q728" s="18">
        <v>0</v>
      </c>
      <c r="R728" s="18">
        <f t="shared" si="103"/>
        <v>2793</v>
      </c>
      <c r="S728" s="18">
        <f t="shared" si="104"/>
        <v>532.44999999999709</v>
      </c>
    </row>
    <row r="729" spans="1:19" ht="18.75" customHeight="1" x14ac:dyDescent="0.25">
      <c r="A729" s="14">
        <f t="shared" si="107"/>
        <v>726</v>
      </c>
      <c r="B729" s="31" t="s">
        <v>698</v>
      </c>
      <c r="C729" s="15" t="s">
        <v>3</v>
      </c>
      <c r="D729" s="31" t="s">
        <v>500</v>
      </c>
      <c r="E729" s="31"/>
      <c r="F729" s="73" t="s">
        <v>13</v>
      </c>
      <c r="G729" s="32">
        <v>33560</v>
      </c>
      <c r="H729" s="29">
        <v>24543.549999999988</v>
      </c>
      <c r="I729" s="17">
        <v>0</v>
      </c>
      <c r="J729" s="17">
        <v>0</v>
      </c>
      <c r="K729" s="17">
        <f t="shared" si="102"/>
        <v>24543.549999999988</v>
      </c>
      <c r="L729" s="23">
        <f t="shared" si="111"/>
        <v>1227.1774999999996</v>
      </c>
      <c r="M729" s="33">
        <v>25</v>
      </c>
      <c r="N729" s="18">
        <f t="shared" si="105"/>
        <v>29.391780821917809</v>
      </c>
      <c r="O729" s="23">
        <v>2660.9499999999994</v>
      </c>
      <c r="P729" s="18">
        <f t="shared" si="106"/>
        <v>29.893150684931506</v>
      </c>
      <c r="Q729" s="18">
        <v>0</v>
      </c>
      <c r="R729" s="18">
        <f t="shared" si="103"/>
        <v>2660.9499999999994</v>
      </c>
      <c r="S729" s="18">
        <f t="shared" si="104"/>
        <v>21882.599999999988</v>
      </c>
    </row>
    <row r="730" spans="1:19" ht="18.75" customHeight="1" x14ac:dyDescent="0.25">
      <c r="A730" s="14">
        <f t="shared" si="107"/>
        <v>727</v>
      </c>
      <c r="B730" s="31" t="s">
        <v>699</v>
      </c>
      <c r="C730" s="15" t="s">
        <v>3</v>
      </c>
      <c r="D730" s="31" t="s">
        <v>500</v>
      </c>
      <c r="E730" s="31"/>
      <c r="F730" s="73" t="s">
        <v>8</v>
      </c>
      <c r="G730" s="32">
        <v>33560</v>
      </c>
      <c r="H730" s="29">
        <v>9969.6499999999942</v>
      </c>
      <c r="I730" s="17">
        <v>0</v>
      </c>
      <c r="J730" s="17">
        <v>0</v>
      </c>
      <c r="K730" s="17">
        <f t="shared" si="102"/>
        <v>9969.6499999999942</v>
      </c>
      <c r="L730" s="23">
        <f t="shared" si="111"/>
        <v>498.48249999999973</v>
      </c>
      <c r="M730" s="33">
        <v>25</v>
      </c>
      <c r="N730" s="18">
        <f t="shared" si="105"/>
        <v>29.391780821917809</v>
      </c>
      <c r="O730" s="23">
        <v>2467.1499999999996</v>
      </c>
      <c r="P730" s="18">
        <f t="shared" si="106"/>
        <v>29.893150684931506</v>
      </c>
      <c r="Q730" s="18">
        <v>0</v>
      </c>
      <c r="R730" s="18">
        <f t="shared" si="103"/>
        <v>2467.1499999999996</v>
      </c>
      <c r="S730" s="18">
        <f t="shared" si="104"/>
        <v>7502.4999999999945</v>
      </c>
    </row>
    <row r="731" spans="1:19" ht="18.75" customHeight="1" x14ac:dyDescent="0.25">
      <c r="A731" s="14">
        <f t="shared" si="107"/>
        <v>728</v>
      </c>
      <c r="B731" s="31" t="s">
        <v>700</v>
      </c>
      <c r="C731" s="15" t="s">
        <v>3</v>
      </c>
      <c r="D731" s="31" t="s">
        <v>500</v>
      </c>
      <c r="E731" s="31"/>
      <c r="F731" s="73" t="s">
        <v>4</v>
      </c>
      <c r="G731" s="32">
        <v>19360</v>
      </c>
      <c r="H731" s="29">
        <v>594.04999999999927</v>
      </c>
      <c r="I731" s="17">
        <v>0</v>
      </c>
      <c r="J731" s="17">
        <v>0</v>
      </c>
      <c r="K731" s="17">
        <f t="shared" si="102"/>
        <v>594.04999999999927</v>
      </c>
      <c r="L731" s="23">
        <f t="shared" si="111"/>
        <v>29.702499999999965</v>
      </c>
      <c r="M731" s="33">
        <v>15</v>
      </c>
      <c r="N731" s="18">
        <f t="shared" si="105"/>
        <v>68.295890410958904</v>
      </c>
      <c r="O731" s="23">
        <v>2342.6999999999998</v>
      </c>
      <c r="P731" s="18">
        <f t="shared" si="106"/>
        <v>68.797260273972597</v>
      </c>
      <c r="Q731" s="18">
        <v>0</v>
      </c>
      <c r="R731" s="18">
        <f t="shared" si="103"/>
        <v>2342.6999999999998</v>
      </c>
      <c r="S731" s="18">
        <f t="shared" ref="S731:S733" si="112">L731</f>
        <v>29.702499999999965</v>
      </c>
    </row>
    <row r="732" spans="1:19" ht="18.75" customHeight="1" x14ac:dyDescent="0.25">
      <c r="A732" s="14">
        <f t="shared" si="107"/>
        <v>729</v>
      </c>
      <c r="B732" s="31" t="s">
        <v>701</v>
      </c>
      <c r="C732" s="15" t="s">
        <v>3</v>
      </c>
      <c r="D732" s="31" t="s">
        <v>500</v>
      </c>
      <c r="E732" s="31"/>
      <c r="F732" s="73" t="s">
        <v>13</v>
      </c>
      <c r="G732" s="32">
        <v>33560</v>
      </c>
      <c r="H732" s="29">
        <v>5434.6999999999971</v>
      </c>
      <c r="I732" s="17">
        <v>0</v>
      </c>
      <c r="J732" s="17">
        <v>0</v>
      </c>
      <c r="K732" s="17">
        <f t="shared" si="102"/>
        <v>5434.6999999999971</v>
      </c>
      <c r="L732" s="23">
        <f t="shared" si="111"/>
        <v>271.73499999999984</v>
      </c>
      <c r="M732" s="33">
        <v>25</v>
      </c>
      <c r="N732" s="18">
        <f t="shared" si="105"/>
        <v>29.391780821917809</v>
      </c>
      <c r="O732" s="23">
        <v>345866.5</v>
      </c>
      <c r="P732" s="18">
        <f t="shared" si="106"/>
        <v>29.893150684931506</v>
      </c>
      <c r="Q732" s="18">
        <v>0</v>
      </c>
      <c r="R732" s="18">
        <f t="shared" si="103"/>
        <v>345866.5</v>
      </c>
      <c r="S732" s="18">
        <f t="shared" si="112"/>
        <v>271.73499999999984</v>
      </c>
    </row>
    <row r="733" spans="1:19" ht="18.75" customHeight="1" x14ac:dyDescent="0.25">
      <c r="A733" s="14">
        <f t="shared" si="107"/>
        <v>730</v>
      </c>
      <c r="B733" s="31" t="s">
        <v>702</v>
      </c>
      <c r="C733" s="15" t="s">
        <v>3</v>
      </c>
      <c r="D733" s="31" t="s">
        <v>500</v>
      </c>
      <c r="E733" s="31"/>
      <c r="F733" s="73" t="s">
        <v>8</v>
      </c>
      <c r="G733" s="32">
        <v>33560</v>
      </c>
      <c r="H733" s="29">
        <v>1023.5999999999985</v>
      </c>
      <c r="I733" s="17">
        <v>0</v>
      </c>
      <c r="J733" s="17">
        <v>0</v>
      </c>
      <c r="K733" s="17">
        <f t="shared" si="102"/>
        <v>1023.5999999999985</v>
      </c>
      <c r="L733" s="23">
        <f t="shared" si="111"/>
        <v>51.179999999999929</v>
      </c>
      <c r="M733" s="33">
        <v>25</v>
      </c>
      <c r="N733" s="18">
        <f t="shared" si="105"/>
        <v>29.391780821917809</v>
      </c>
      <c r="O733" s="23">
        <v>38000</v>
      </c>
      <c r="P733" s="18">
        <f t="shared" si="106"/>
        <v>29.893150684931506</v>
      </c>
      <c r="Q733" s="18">
        <v>0</v>
      </c>
      <c r="R733" s="18">
        <f t="shared" si="103"/>
        <v>38000</v>
      </c>
      <c r="S733" s="18">
        <f t="shared" si="112"/>
        <v>51.179999999999929</v>
      </c>
    </row>
    <row r="734" spans="1:19" ht="18.75" customHeight="1" x14ac:dyDescent="0.25">
      <c r="A734" s="14">
        <f t="shared" si="107"/>
        <v>731</v>
      </c>
      <c r="B734" s="31" t="s">
        <v>703</v>
      </c>
      <c r="C734" s="15" t="s">
        <v>3</v>
      </c>
      <c r="D734" s="31" t="s">
        <v>500</v>
      </c>
      <c r="E734" s="31"/>
      <c r="F734" s="73" t="s">
        <v>11</v>
      </c>
      <c r="G734" s="32">
        <v>33587</v>
      </c>
      <c r="H734" s="29">
        <v>100585.94999999995</v>
      </c>
      <c r="I734" s="17">
        <v>0</v>
      </c>
      <c r="J734" s="17">
        <v>0</v>
      </c>
      <c r="K734" s="17">
        <f t="shared" si="102"/>
        <v>100585.94999999995</v>
      </c>
      <c r="L734" s="23">
        <f t="shared" si="111"/>
        <v>5029.2974999999979</v>
      </c>
      <c r="M734" s="33">
        <v>25</v>
      </c>
      <c r="N734" s="18">
        <f t="shared" si="105"/>
        <v>29.317808219178083</v>
      </c>
      <c r="O734" s="23">
        <v>3426.6499999999978</v>
      </c>
      <c r="P734" s="18">
        <f t="shared" si="106"/>
        <v>29.81917808219178</v>
      </c>
      <c r="Q734" s="18">
        <v>0</v>
      </c>
      <c r="R734" s="18">
        <f t="shared" si="103"/>
        <v>3426.6499999999978</v>
      </c>
      <c r="S734" s="18">
        <f t="shared" si="104"/>
        <v>97159.299999999959</v>
      </c>
    </row>
    <row r="735" spans="1:19" ht="18.75" customHeight="1" x14ac:dyDescent="0.25">
      <c r="A735" s="14">
        <f t="shared" si="107"/>
        <v>732</v>
      </c>
      <c r="B735" s="31" t="s">
        <v>704</v>
      </c>
      <c r="C735" s="15" t="s">
        <v>3</v>
      </c>
      <c r="D735" s="31" t="s">
        <v>500</v>
      </c>
      <c r="E735" s="31"/>
      <c r="F735" s="73" t="s">
        <v>9</v>
      </c>
      <c r="G735" s="32">
        <v>33587</v>
      </c>
      <c r="H735" s="29">
        <v>75433.300000000047</v>
      </c>
      <c r="I735" s="17">
        <v>0</v>
      </c>
      <c r="J735" s="17">
        <v>0</v>
      </c>
      <c r="K735" s="17">
        <f t="shared" si="102"/>
        <v>75433.300000000047</v>
      </c>
      <c r="L735" s="23">
        <f t="shared" si="111"/>
        <v>3771.6650000000027</v>
      </c>
      <c r="M735" s="33">
        <v>25</v>
      </c>
      <c r="N735" s="18">
        <f t="shared" si="105"/>
        <v>29.317808219178083</v>
      </c>
      <c r="O735" s="23">
        <v>1141.9000000000019</v>
      </c>
      <c r="P735" s="18">
        <f t="shared" si="106"/>
        <v>29.81917808219178</v>
      </c>
      <c r="Q735" s="18">
        <v>0</v>
      </c>
      <c r="R735" s="18">
        <f t="shared" si="103"/>
        <v>1141.9000000000019</v>
      </c>
      <c r="S735" s="18">
        <f t="shared" si="104"/>
        <v>74291.400000000038</v>
      </c>
    </row>
    <row r="736" spans="1:19" ht="18.75" customHeight="1" x14ac:dyDescent="0.25">
      <c r="A736" s="14">
        <f t="shared" si="107"/>
        <v>733</v>
      </c>
      <c r="B736" s="31" t="s">
        <v>705</v>
      </c>
      <c r="C736" s="15" t="s">
        <v>3</v>
      </c>
      <c r="D736" s="31" t="s">
        <v>500</v>
      </c>
      <c r="E736" s="31"/>
      <c r="F736" s="73" t="s">
        <v>9</v>
      </c>
      <c r="G736" s="32">
        <v>33587</v>
      </c>
      <c r="H736" s="29">
        <v>42809.900000000023</v>
      </c>
      <c r="I736" s="17">
        <v>0</v>
      </c>
      <c r="J736" s="17">
        <v>0</v>
      </c>
      <c r="K736" s="17">
        <f t="shared" si="102"/>
        <v>42809.900000000023</v>
      </c>
      <c r="L736" s="23">
        <f t="shared" si="111"/>
        <v>2140.4950000000013</v>
      </c>
      <c r="M736" s="33">
        <v>25</v>
      </c>
      <c r="N736" s="18">
        <f t="shared" si="105"/>
        <v>29.317808219178083</v>
      </c>
      <c r="O736" s="23">
        <v>278.35000000000088</v>
      </c>
      <c r="P736" s="18">
        <f t="shared" si="106"/>
        <v>29.81917808219178</v>
      </c>
      <c r="Q736" s="18">
        <v>0</v>
      </c>
      <c r="R736" s="18">
        <f t="shared" si="103"/>
        <v>278.35000000000088</v>
      </c>
      <c r="S736" s="18">
        <f t="shared" si="104"/>
        <v>42531.550000000025</v>
      </c>
    </row>
    <row r="737" spans="1:19" ht="18.75" customHeight="1" x14ac:dyDescent="0.25">
      <c r="A737" s="14">
        <f t="shared" si="107"/>
        <v>734</v>
      </c>
      <c r="B737" s="31" t="s">
        <v>706</v>
      </c>
      <c r="C737" s="15" t="s">
        <v>3</v>
      </c>
      <c r="D737" s="31" t="s">
        <v>500</v>
      </c>
      <c r="E737" s="31"/>
      <c r="F737" s="73" t="s">
        <v>4</v>
      </c>
      <c r="G737" s="32">
        <v>19360</v>
      </c>
      <c r="H737" s="29">
        <v>40</v>
      </c>
      <c r="I737" s="17">
        <v>0</v>
      </c>
      <c r="J737" s="17">
        <v>0</v>
      </c>
      <c r="K737" s="17">
        <f t="shared" si="102"/>
        <v>40</v>
      </c>
      <c r="L737" s="23">
        <f t="shared" si="111"/>
        <v>2</v>
      </c>
      <c r="M737" s="33">
        <v>15</v>
      </c>
      <c r="N737" s="18">
        <f t="shared" si="105"/>
        <v>68.295890410958904</v>
      </c>
      <c r="O737" s="23">
        <v>24868.15</v>
      </c>
      <c r="P737" s="18">
        <f t="shared" si="106"/>
        <v>68.797260273972597</v>
      </c>
      <c r="Q737" s="18">
        <v>0</v>
      </c>
      <c r="R737" s="18">
        <f t="shared" si="103"/>
        <v>24868.15</v>
      </c>
      <c r="S737" s="18">
        <f t="shared" ref="S737:S740" si="113">L737</f>
        <v>2</v>
      </c>
    </row>
    <row r="738" spans="1:19" ht="18.75" customHeight="1" x14ac:dyDescent="0.25">
      <c r="A738" s="14">
        <f t="shared" si="107"/>
        <v>735</v>
      </c>
      <c r="B738" s="31" t="s">
        <v>707</v>
      </c>
      <c r="C738" s="15" t="s">
        <v>3</v>
      </c>
      <c r="D738" s="31" t="s">
        <v>500</v>
      </c>
      <c r="E738" s="31"/>
      <c r="F738" s="73" t="s">
        <v>11</v>
      </c>
      <c r="G738" s="32">
        <v>33587</v>
      </c>
      <c r="H738" s="29">
        <v>29435.099999999977</v>
      </c>
      <c r="I738" s="17">
        <v>0</v>
      </c>
      <c r="J738" s="17">
        <v>0</v>
      </c>
      <c r="K738" s="17">
        <f t="shared" si="102"/>
        <v>29435.099999999977</v>
      </c>
      <c r="L738" s="23">
        <f t="shared" si="111"/>
        <v>1471.754999999999</v>
      </c>
      <c r="M738" s="33">
        <v>25</v>
      </c>
      <c r="N738" s="18">
        <f t="shared" si="105"/>
        <v>29.317808219178083</v>
      </c>
      <c r="O738" s="23">
        <v>51265.8</v>
      </c>
      <c r="P738" s="18">
        <f t="shared" si="106"/>
        <v>29.81917808219178</v>
      </c>
      <c r="Q738" s="18">
        <v>0</v>
      </c>
      <c r="R738" s="18">
        <f t="shared" si="103"/>
        <v>51265.8</v>
      </c>
      <c r="S738" s="18">
        <f t="shared" si="113"/>
        <v>1471.754999999999</v>
      </c>
    </row>
    <row r="739" spans="1:19" ht="18.75" customHeight="1" x14ac:dyDescent="0.25">
      <c r="A739" s="14">
        <f t="shared" si="107"/>
        <v>736</v>
      </c>
      <c r="B739" s="31" t="s">
        <v>708</v>
      </c>
      <c r="C739" s="15" t="s">
        <v>3</v>
      </c>
      <c r="D739" s="31" t="s">
        <v>500</v>
      </c>
      <c r="E739" s="31"/>
      <c r="F739" s="73" t="s">
        <v>11</v>
      </c>
      <c r="G739" s="32">
        <v>33587</v>
      </c>
      <c r="H739" s="29">
        <v>2155.5999999999985</v>
      </c>
      <c r="I739" s="17">
        <v>0</v>
      </c>
      <c r="J739" s="17">
        <v>0</v>
      </c>
      <c r="K739" s="17">
        <f t="shared" si="102"/>
        <v>2155.5999999999985</v>
      </c>
      <c r="L739" s="23">
        <f t="shared" si="111"/>
        <v>107.77999999999993</v>
      </c>
      <c r="M739" s="33">
        <v>25</v>
      </c>
      <c r="N739" s="18">
        <f t="shared" si="105"/>
        <v>29.317808219178083</v>
      </c>
      <c r="O739" s="23">
        <v>20044.05</v>
      </c>
      <c r="P739" s="18">
        <f t="shared" si="106"/>
        <v>29.81917808219178</v>
      </c>
      <c r="Q739" s="18">
        <v>0</v>
      </c>
      <c r="R739" s="18">
        <f t="shared" si="103"/>
        <v>20044.05</v>
      </c>
      <c r="S739" s="18">
        <f t="shared" si="113"/>
        <v>107.77999999999993</v>
      </c>
    </row>
    <row r="740" spans="1:19" ht="18.75" customHeight="1" x14ac:dyDescent="0.25">
      <c r="A740" s="14">
        <f t="shared" si="107"/>
        <v>737</v>
      </c>
      <c r="B740" s="31" t="s">
        <v>709</v>
      </c>
      <c r="C740" s="15" t="s">
        <v>3</v>
      </c>
      <c r="D740" s="31" t="s">
        <v>500</v>
      </c>
      <c r="E740" s="31"/>
      <c r="F740" s="73" t="s">
        <v>11</v>
      </c>
      <c r="G740" s="32">
        <v>33590</v>
      </c>
      <c r="H740" s="29">
        <v>3030.8499999999985</v>
      </c>
      <c r="I740" s="17">
        <v>0</v>
      </c>
      <c r="J740" s="17">
        <v>0</v>
      </c>
      <c r="K740" s="17">
        <f t="shared" si="102"/>
        <v>3030.8499999999985</v>
      </c>
      <c r="L740" s="23">
        <f t="shared" si="111"/>
        <v>151.54249999999993</v>
      </c>
      <c r="M740" s="33">
        <v>25</v>
      </c>
      <c r="N740" s="18">
        <f t="shared" si="105"/>
        <v>29.30958904109589</v>
      </c>
      <c r="O740" s="23">
        <v>8178.55</v>
      </c>
      <c r="P740" s="18">
        <f t="shared" si="106"/>
        <v>29.81095890410959</v>
      </c>
      <c r="Q740" s="18">
        <v>0</v>
      </c>
      <c r="R740" s="18">
        <f t="shared" si="103"/>
        <v>8178.55</v>
      </c>
      <c r="S740" s="18">
        <f t="shared" si="113"/>
        <v>151.54249999999993</v>
      </c>
    </row>
    <row r="741" spans="1:19" ht="18.75" customHeight="1" x14ac:dyDescent="0.25">
      <c r="A741" s="14">
        <f t="shared" si="107"/>
        <v>738</v>
      </c>
      <c r="B741" s="31" t="s">
        <v>710</v>
      </c>
      <c r="C741" s="15" t="s">
        <v>3</v>
      </c>
      <c r="D741" s="31" t="s">
        <v>500</v>
      </c>
      <c r="E741" s="31"/>
      <c r="F741" s="73" t="s">
        <v>11</v>
      </c>
      <c r="G741" s="32">
        <v>33598</v>
      </c>
      <c r="H741" s="29">
        <v>37000.400000000023</v>
      </c>
      <c r="I741" s="17">
        <v>0</v>
      </c>
      <c r="J741" s="17">
        <v>0</v>
      </c>
      <c r="K741" s="17">
        <f t="shared" si="102"/>
        <v>37000.400000000023</v>
      </c>
      <c r="L741" s="23">
        <f t="shared" si="111"/>
        <v>1850.0200000000013</v>
      </c>
      <c r="M741" s="33">
        <v>25</v>
      </c>
      <c r="N741" s="18">
        <f t="shared" si="105"/>
        <v>29.287671232876711</v>
      </c>
      <c r="O741" s="23">
        <v>6874.2000000000007</v>
      </c>
      <c r="P741" s="18">
        <f t="shared" si="106"/>
        <v>29.789041095890411</v>
      </c>
      <c r="Q741" s="18">
        <v>0</v>
      </c>
      <c r="R741" s="18">
        <f t="shared" si="103"/>
        <v>6874.2000000000007</v>
      </c>
      <c r="S741" s="18">
        <f t="shared" si="104"/>
        <v>30126.200000000023</v>
      </c>
    </row>
    <row r="742" spans="1:19" ht="18.75" customHeight="1" x14ac:dyDescent="0.25">
      <c r="A742" s="14">
        <f t="shared" si="107"/>
        <v>739</v>
      </c>
      <c r="B742" s="31" t="s">
        <v>711</v>
      </c>
      <c r="C742" s="15" t="s">
        <v>3</v>
      </c>
      <c r="D742" s="31" t="s">
        <v>500</v>
      </c>
      <c r="E742" s="31"/>
      <c r="F742" s="73" t="s">
        <v>11</v>
      </c>
      <c r="G742" s="32">
        <v>33598</v>
      </c>
      <c r="H742" s="29">
        <v>9617.5499999999884</v>
      </c>
      <c r="I742" s="17">
        <v>0</v>
      </c>
      <c r="J742" s="17">
        <v>0</v>
      </c>
      <c r="K742" s="17">
        <f t="shared" si="102"/>
        <v>9617.5499999999884</v>
      </c>
      <c r="L742" s="23">
        <f t="shared" si="111"/>
        <v>480.87749999999943</v>
      </c>
      <c r="M742" s="33">
        <v>25</v>
      </c>
      <c r="N742" s="18">
        <f t="shared" si="105"/>
        <v>29.287671232876711</v>
      </c>
      <c r="O742" s="23">
        <v>5843.4499999999989</v>
      </c>
      <c r="P742" s="18">
        <f t="shared" si="106"/>
        <v>29.789041095890411</v>
      </c>
      <c r="Q742" s="18">
        <v>0</v>
      </c>
      <c r="R742" s="18">
        <f t="shared" si="103"/>
        <v>5843.4499999999989</v>
      </c>
      <c r="S742" s="18">
        <f t="shared" si="104"/>
        <v>3774.0999999999894</v>
      </c>
    </row>
    <row r="743" spans="1:19" ht="18.75" customHeight="1" x14ac:dyDescent="0.25">
      <c r="A743" s="14">
        <f t="shared" si="107"/>
        <v>740</v>
      </c>
      <c r="B743" s="31" t="s">
        <v>712</v>
      </c>
      <c r="C743" s="15" t="s">
        <v>3</v>
      </c>
      <c r="D743" s="31" t="s">
        <v>500</v>
      </c>
      <c r="E743" s="31"/>
      <c r="F743" s="73" t="s">
        <v>11</v>
      </c>
      <c r="G743" s="32">
        <v>33667</v>
      </c>
      <c r="H743" s="29">
        <v>85994.5</v>
      </c>
      <c r="I743" s="17">
        <v>0</v>
      </c>
      <c r="J743" s="17">
        <v>0</v>
      </c>
      <c r="K743" s="17">
        <f t="shared" si="102"/>
        <v>85994.5</v>
      </c>
      <c r="L743" s="23">
        <f t="shared" si="111"/>
        <v>4299.7250000000004</v>
      </c>
      <c r="M743" s="33">
        <v>25</v>
      </c>
      <c r="N743" s="18">
        <f t="shared" si="105"/>
        <v>29.098630136986301</v>
      </c>
      <c r="O743" s="23">
        <v>5256.35</v>
      </c>
      <c r="P743" s="18">
        <f t="shared" si="106"/>
        <v>29.6</v>
      </c>
      <c r="Q743" s="18">
        <v>0</v>
      </c>
      <c r="R743" s="18">
        <f t="shared" si="103"/>
        <v>5256.35</v>
      </c>
      <c r="S743" s="18">
        <f t="shared" si="104"/>
        <v>80738.149999999994</v>
      </c>
    </row>
    <row r="744" spans="1:19" ht="18.75" customHeight="1" x14ac:dyDescent="0.25">
      <c r="A744" s="14">
        <f t="shared" si="107"/>
        <v>741</v>
      </c>
      <c r="B744" s="31" t="s">
        <v>713</v>
      </c>
      <c r="C744" s="15" t="s">
        <v>3</v>
      </c>
      <c r="D744" s="31" t="s">
        <v>500</v>
      </c>
      <c r="E744" s="31"/>
      <c r="F744" s="73" t="s">
        <v>11</v>
      </c>
      <c r="G744" s="32">
        <v>19725</v>
      </c>
      <c r="H744" s="29">
        <v>339.5</v>
      </c>
      <c r="I744" s="17">
        <v>0</v>
      </c>
      <c r="J744" s="17">
        <v>0</v>
      </c>
      <c r="K744" s="17">
        <f t="shared" si="102"/>
        <v>339.5</v>
      </c>
      <c r="L744" s="23">
        <f t="shared" si="111"/>
        <v>16.975000000000001</v>
      </c>
      <c r="M744" s="33">
        <v>15</v>
      </c>
      <c r="N744" s="18">
        <f t="shared" si="105"/>
        <v>67.295890410958904</v>
      </c>
      <c r="O744" s="23">
        <v>2400.65</v>
      </c>
      <c r="P744" s="18">
        <f t="shared" si="106"/>
        <v>67.797260273972597</v>
      </c>
      <c r="Q744" s="18">
        <v>0</v>
      </c>
      <c r="R744" s="18">
        <f t="shared" si="103"/>
        <v>2400.65</v>
      </c>
      <c r="S744" s="18">
        <f>L744</f>
        <v>16.975000000000001</v>
      </c>
    </row>
    <row r="745" spans="1:19" ht="18.75" customHeight="1" x14ac:dyDescent="0.25">
      <c r="A745" s="14">
        <f t="shared" si="107"/>
        <v>742</v>
      </c>
      <c r="B745" s="31" t="s">
        <v>714</v>
      </c>
      <c r="C745" s="15" t="s">
        <v>3</v>
      </c>
      <c r="D745" s="31" t="s">
        <v>500</v>
      </c>
      <c r="E745" s="31"/>
      <c r="F745" s="73" t="s">
        <v>11</v>
      </c>
      <c r="G745" s="32">
        <v>33585</v>
      </c>
      <c r="H745" s="29">
        <v>3402.3499999999985</v>
      </c>
      <c r="I745" s="17">
        <v>0</v>
      </c>
      <c r="J745" s="17">
        <v>0</v>
      </c>
      <c r="K745" s="17">
        <f t="shared" si="102"/>
        <v>3402.3499999999985</v>
      </c>
      <c r="L745" s="23">
        <f t="shared" si="111"/>
        <v>170.11749999999995</v>
      </c>
      <c r="M745" s="33">
        <v>15</v>
      </c>
      <c r="N745" s="18">
        <f t="shared" si="105"/>
        <v>29.323287671232876</v>
      </c>
      <c r="O745" s="23">
        <v>2075.75</v>
      </c>
      <c r="P745" s="18">
        <f t="shared" si="106"/>
        <v>29.824657534246576</v>
      </c>
      <c r="Q745" s="18">
        <v>0</v>
      </c>
      <c r="R745" s="18">
        <f t="shared" si="103"/>
        <v>2075.75</v>
      </c>
      <c r="S745" s="18">
        <f t="shared" si="104"/>
        <v>1326.5999999999985</v>
      </c>
    </row>
    <row r="746" spans="1:19" ht="18.75" customHeight="1" x14ac:dyDescent="0.25">
      <c r="A746" s="14">
        <f t="shared" si="107"/>
        <v>743</v>
      </c>
      <c r="B746" s="31" t="s">
        <v>715</v>
      </c>
      <c r="C746" s="15" t="s">
        <v>3</v>
      </c>
      <c r="D746" s="31" t="s">
        <v>500</v>
      </c>
      <c r="E746" s="31"/>
      <c r="F746" s="70" t="s">
        <v>7</v>
      </c>
      <c r="G746" s="32">
        <v>39859</v>
      </c>
      <c r="H746" s="29">
        <v>2775.9606164383558</v>
      </c>
      <c r="I746" s="17">
        <v>0</v>
      </c>
      <c r="J746" s="17">
        <v>0</v>
      </c>
      <c r="K746" s="17">
        <f t="shared" si="102"/>
        <v>2775.9606164383558</v>
      </c>
      <c r="L746" s="23">
        <f t="shared" si="111"/>
        <v>138.79803082191779</v>
      </c>
      <c r="M746" s="33">
        <v>15</v>
      </c>
      <c r="N746" s="18">
        <f t="shared" si="105"/>
        <v>12.134246575342466</v>
      </c>
      <c r="O746" s="23">
        <v>1059.2890410958903</v>
      </c>
      <c r="P746" s="18">
        <f t="shared" si="106"/>
        <v>12.635616438356164</v>
      </c>
      <c r="Q746" s="18">
        <f t="shared" ref="Q746" si="114">(P746-N746)/M746*(K746-L746)</f>
        <v>88.146256286357584</v>
      </c>
      <c r="R746" s="18">
        <f t="shared" si="103"/>
        <v>1147.4352973822479</v>
      </c>
      <c r="S746" s="18">
        <f t="shared" si="104"/>
        <v>1628.5253190561079</v>
      </c>
    </row>
    <row r="747" spans="1:19" ht="18.75" customHeight="1" x14ac:dyDescent="0.25">
      <c r="A747" s="14">
        <f t="shared" si="107"/>
        <v>744</v>
      </c>
      <c r="B747" s="31" t="s">
        <v>716</v>
      </c>
      <c r="C747" s="15" t="s">
        <v>3</v>
      </c>
      <c r="D747" s="31" t="s">
        <v>500</v>
      </c>
      <c r="E747" s="31"/>
      <c r="F747" s="73" t="s">
        <v>11</v>
      </c>
      <c r="G747" s="32">
        <v>33667</v>
      </c>
      <c r="H747" s="29">
        <v>46444.349999999977</v>
      </c>
      <c r="I747" s="17">
        <v>0</v>
      </c>
      <c r="J747" s="17">
        <v>0</v>
      </c>
      <c r="K747" s="17">
        <f t="shared" si="102"/>
        <v>46444.349999999977</v>
      </c>
      <c r="L747" s="23">
        <f t="shared" si="111"/>
        <v>2322.2174999999988</v>
      </c>
      <c r="M747" s="33">
        <v>25</v>
      </c>
      <c r="N747" s="18">
        <f t="shared" si="105"/>
        <v>29.098630136986301</v>
      </c>
      <c r="O747" s="23">
        <v>370.49999999999886</v>
      </c>
      <c r="P747" s="18">
        <f t="shared" si="106"/>
        <v>29.6</v>
      </c>
      <c r="Q747" s="18">
        <v>0</v>
      </c>
      <c r="R747" s="18">
        <f t="shared" si="103"/>
        <v>370.49999999999886</v>
      </c>
      <c r="S747" s="18">
        <f t="shared" si="104"/>
        <v>46073.849999999977</v>
      </c>
    </row>
    <row r="748" spans="1:19" ht="18.75" customHeight="1" x14ac:dyDescent="0.25">
      <c r="A748" s="14">
        <f t="shared" si="107"/>
        <v>745</v>
      </c>
      <c r="B748" s="31" t="s">
        <v>717</v>
      </c>
      <c r="C748" s="15" t="s">
        <v>3</v>
      </c>
      <c r="D748" s="31" t="s">
        <v>500</v>
      </c>
      <c r="E748" s="31"/>
      <c r="F748" s="73" t="s">
        <v>11</v>
      </c>
      <c r="G748" s="32">
        <v>19725</v>
      </c>
      <c r="H748" s="29">
        <v>152.34999999999991</v>
      </c>
      <c r="I748" s="17">
        <v>0</v>
      </c>
      <c r="J748" s="17">
        <v>0</v>
      </c>
      <c r="K748" s="17">
        <f t="shared" si="102"/>
        <v>152.34999999999991</v>
      </c>
      <c r="L748" s="23">
        <f t="shared" si="111"/>
        <v>7.6174999999999962</v>
      </c>
      <c r="M748" s="33">
        <v>15</v>
      </c>
      <c r="N748" s="18">
        <f t="shared" si="105"/>
        <v>67.295890410958904</v>
      </c>
      <c r="O748" s="23">
        <v>28544.65</v>
      </c>
      <c r="P748" s="18">
        <f t="shared" si="106"/>
        <v>67.797260273972597</v>
      </c>
      <c r="Q748" s="18">
        <v>0</v>
      </c>
      <c r="R748" s="18">
        <f t="shared" si="103"/>
        <v>28544.65</v>
      </c>
      <c r="S748" s="18">
        <f>L748</f>
        <v>7.6174999999999962</v>
      </c>
    </row>
    <row r="749" spans="1:19" ht="18.75" customHeight="1" x14ac:dyDescent="0.25">
      <c r="A749" s="14">
        <f t="shared" si="107"/>
        <v>746</v>
      </c>
      <c r="B749" s="31" t="s">
        <v>718</v>
      </c>
      <c r="C749" s="15" t="s">
        <v>3</v>
      </c>
      <c r="D749" s="31" t="s">
        <v>500</v>
      </c>
      <c r="E749" s="31"/>
      <c r="F749" s="73" t="s">
        <v>11</v>
      </c>
      <c r="G749" s="32">
        <v>33669</v>
      </c>
      <c r="H749" s="29">
        <v>73890.25</v>
      </c>
      <c r="I749" s="17">
        <v>0</v>
      </c>
      <c r="J749" s="17">
        <v>0</v>
      </c>
      <c r="K749" s="17">
        <f t="shared" si="102"/>
        <v>73890.25</v>
      </c>
      <c r="L749" s="23">
        <f t="shared" si="111"/>
        <v>3694.5125000000003</v>
      </c>
      <c r="M749" s="33">
        <v>25</v>
      </c>
      <c r="N749" s="18">
        <f t="shared" si="105"/>
        <v>29.093150684931508</v>
      </c>
      <c r="O749" s="23">
        <v>15938.15</v>
      </c>
      <c r="P749" s="18">
        <f t="shared" si="106"/>
        <v>29.594520547945205</v>
      </c>
      <c r="Q749" s="18">
        <v>0</v>
      </c>
      <c r="R749" s="18">
        <f t="shared" si="103"/>
        <v>15938.15</v>
      </c>
      <c r="S749" s="18">
        <f t="shared" si="104"/>
        <v>57952.1</v>
      </c>
    </row>
    <row r="750" spans="1:19" ht="18.75" customHeight="1" x14ac:dyDescent="0.25">
      <c r="A750" s="14">
        <f t="shared" si="107"/>
        <v>747</v>
      </c>
      <c r="B750" s="31" t="s">
        <v>719</v>
      </c>
      <c r="C750" s="15" t="s">
        <v>3</v>
      </c>
      <c r="D750" s="31" t="s">
        <v>500</v>
      </c>
      <c r="E750" s="31"/>
      <c r="F750" s="73" t="s">
        <v>11</v>
      </c>
      <c r="G750" s="32">
        <v>33669</v>
      </c>
      <c r="H750" s="29">
        <v>47456.25</v>
      </c>
      <c r="I750" s="17">
        <v>0</v>
      </c>
      <c r="J750" s="17">
        <v>0</v>
      </c>
      <c r="K750" s="17">
        <f t="shared" si="102"/>
        <v>47456.25</v>
      </c>
      <c r="L750" s="23">
        <f t="shared" si="111"/>
        <v>2372.8125</v>
      </c>
      <c r="M750" s="33">
        <v>25</v>
      </c>
      <c r="N750" s="18">
        <f t="shared" si="105"/>
        <v>29.093150684931508</v>
      </c>
      <c r="O750" s="23">
        <v>7219.05</v>
      </c>
      <c r="P750" s="18">
        <f t="shared" si="106"/>
        <v>29.594520547945205</v>
      </c>
      <c r="Q750" s="18">
        <v>0</v>
      </c>
      <c r="R750" s="18">
        <f t="shared" si="103"/>
        <v>7219.05</v>
      </c>
      <c r="S750" s="18">
        <f t="shared" si="104"/>
        <v>40237.199999999997</v>
      </c>
    </row>
    <row r="751" spans="1:19" ht="18.75" customHeight="1" x14ac:dyDescent="0.25">
      <c r="A751" s="14">
        <f t="shared" si="107"/>
        <v>748</v>
      </c>
      <c r="B751" s="31" t="s">
        <v>720</v>
      </c>
      <c r="C751" s="15" t="s">
        <v>3</v>
      </c>
      <c r="D751" s="31" t="s">
        <v>500</v>
      </c>
      <c r="E751" s="31"/>
      <c r="F751" s="73" t="s">
        <v>11</v>
      </c>
      <c r="G751" s="32">
        <v>33694</v>
      </c>
      <c r="H751" s="29">
        <v>1798.8000000000029</v>
      </c>
      <c r="I751" s="17">
        <v>0</v>
      </c>
      <c r="J751" s="17">
        <v>0</v>
      </c>
      <c r="K751" s="17">
        <f t="shared" si="102"/>
        <v>1798.8000000000029</v>
      </c>
      <c r="L751" s="23">
        <f t="shared" si="111"/>
        <v>89.940000000000154</v>
      </c>
      <c r="M751" s="33">
        <v>25</v>
      </c>
      <c r="N751" s="18">
        <f t="shared" si="105"/>
        <v>29.024657534246575</v>
      </c>
      <c r="O751" s="23">
        <v>6950.2</v>
      </c>
      <c r="P751" s="18">
        <f t="shared" si="106"/>
        <v>29.526027397260275</v>
      </c>
      <c r="Q751" s="18">
        <v>0</v>
      </c>
      <c r="R751" s="18">
        <f t="shared" si="103"/>
        <v>6950.2</v>
      </c>
      <c r="S751" s="18">
        <f t="shared" ref="S751:S752" si="115">L751</f>
        <v>89.940000000000154</v>
      </c>
    </row>
    <row r="752" spans="1:19" ht="18.75" customHeight="1" x14ac:dyDescent="0.25">
      <c r="A752" s="14">
        <f t="shared" si="107"/>
        <v>749</v>
      </c>
      <c r="B752" s="31" t="s">
        <v>721</v>
      </c>
      <c r="C752" s="15" t="s">
        <v>3</v>
      </c>
      <c r="D752" s="31" t="s">
        <v>500</v>
      </c>
      <c r="E752" s="31"/>
      <c r="F752" s="73" t="s">
        <v>8</v>
      </c>
      <c r="G752" s="32">
        <v>33694</v>
      </c>
      <c r="H752" s="29">
        <v>541.5</v>
      </c>
      <c r="I752" s="17">
        <v>0</v>
      </c>
      <c r="J752" s="17">
        <v>0</v>
      </c>
      <c r="K752" s="17">
        <f t="shared" si="102"/>
        <v>541.5</v>
      </c>
      <c r="L752" s="23">
        <f t="shared" si="111"/>
        <v>27.075000000000003</v>
      </c>
      <c r="M752" s="33">
        <v>25</v>
      </c>
      <c r="N752" s="18">
        <f t="shared" si="105"/>
        <v>29.024657534246575</v>
      </c>
      <c r="O752" s="23">
        <v>6650.95</v>
      </c>
      <c r="P752" s="18">
        <f t="shared" si="106"/>
        <v>29.526027397260275</v>
      </c>
      <c r="Q752" s="18">
        <v>0</v>
      </c>
      <c r="R752" s="18">
        <f t="shared" si="103"/>
        <v>6650.95</v>
      </c>
      <c r="S752" s="18">
        <f t="shared" si="115"/>
        <v>27.075000000000003</v>
      </c>
    </row>
    <row r="753" spans="1:19" ht="18.75" customHeight="1" x14ac:dyDescent="0.25">
      <c r="A753" s="14">
        <f t="shared" si="107"/>
        <v>750</v>
      </c>
      <c r="B753" s="31" t="s">
        <v>722</v>
      </c>
      <c r="C753" s="15" t="s">
        <v>3</v>
      </c>
      <c r="D753" s="31" t="s">
        <v>500</v>
      </c>
      <c r="E753" s="31"/>
      <c r="F753" s="73" t="s">
        <v>11</v>
      </c>
      <c r="G753" s="32">
        <v>33724</v>
      </c>
      <c r="H753" s="29">
        <v>21774.400000000023</v>
      </c>
      <c r="I753" s="17">
        <v>0</v>
      </c>
      <c r="J753" s="17">
        <v>0</v>
      </c>
      <c r="K753" s="17">
        <f t="shared" si="102"/>
        <v>21774.400000000023</v>
      </c>
      <c r="L753" s="23">
        <f t="shared" si="111"/>
        <v>1088.7200000000012</v>
      </c>
      <c r="M753" s="33">
        <v>25</v>
      </c>
      <c r="N753" s="18">
        <f t="shared" si="105"/>
        <v>28.942465753424656</v>
      </c>
      <c r="O753" s="23">
        <v>4939.0500000000011</v>
      </c>
      <c r="P753" s="18">
        <f t="shared" si="106"/>
        <v>29.443835616438356</v>
      </c>
      <c r="Q753" s="18">
        <v>0</v>
      </c>
      <c r="R753" s="18">
        <f t="shared" si="103"/>
        <v>4939.0500000000011</v>
      </c>
      <c r="S753" s="18">
        <f t="shared" si="104"/>
        <v>16835.35000000002</v>
      </c>
    </row>
    <row r="754" spans="1:19" ht="18.75" customHeight="1" x14ac:dyDescent="0.25">
      <c r="A754" s="14">
        <f t="shared" si="107"/>
        <v>751</v>
      </c>
      <c r="B754" s="31" t="s">
        <v>723</v>
      </c>
      <c r="C754" s="15" t="s">
        <v>3</v>
      </c>
      <c r="D754" s="31" t="s">
        <v>500</v>
      </c>
      <c r="E754" s="31"/>
      <c r="F754" s="73" t="s">
        <v>11</v>
      </c>
      <c r="G754" s="32">
        <v>33724</v>
      </c>
      <c r="H754" s="29">
        <v>3654.8500000000058</v>
      </c>
      <c r="I754" s="17">
        <v>0</v>
      </c>
      <c r="J754" s="17">
        <v>0</v>
      </c>
      <c r="K754" s="17">
        <f t="shared" si="102"/>
        <v>3654.8500000000058</v>
      </c>
      <c r="L754" s="23">
        <f t="shared" si="111"/>
        <v>182.74250000000029</v>
      </c>
      <c r="M754" s="33">
        <v>25</v>
      </c>
      <c r="N754" s="18">
        <f t="shared" si="105"/>
        <v>28.942465753424656</v>
      </c>
      <c r="O754" s="23">
        <v>3984.3</v>
      </c>
      <c r="P754" s="18">
        <f t="shared" si="106"/>
        <v>29.443835616438356</v>
      </c>
      <c r="Q754" s="18">
        <v>0</v>
      </c>
      <c r="R754" s="18">
        <f t="shared" si="103"/>
        <v>3984.3</v>
      </c>
      <c r="S754" s="18">
        <f t="shared" ref="S754:S755" si="116">L754</f>
        <v>182.74250000000029</v>
      </c>
    </row>
    <row r="755" spans="1:19" ht="18.75" customHeight="1" x14ac:dyDescent="0.25">
      <c r="A755" s="14">
        <f t="shared" si="107"/>
        <v>752</v>
      </c>
      <c r="B755" s="31" t="s">
        <v>724</v>
      </c>
      <c r="C755" s="15" t="s">
        <v>3</v>
      </c>
      <c r="D755" s="31" t="s">
        <v>500</v>
      </c>
      <c r="E755" s="31"/>
      <c r="F755" s="73" t="s">
        <v>11</v>
      </c>
      <c r="G755" s="32">
        <v>33725</v>
      </c>
      <c r="H755" s="29">
        <v>965.90000000000146</v>
      </c>
      <c r="I755" s="17">
        <v>0</v>
      </c>
      <c r="J755" s="17">
        <v>0</v>
      </c>
      <c r="K755" s="17">
        <f t="shared" si="102"/>
        <v>965.90000000000146</v>
      </c>
      <c r="L755" s="23">
        <f t="shared" si="111"/>
        <v>48.295000000000073</v>
      </c>
      <c r="M755" s="33">
        <v>25</v>
      </c>
      <c r="N755" s="18">
        <f t="shared" si="105"/>
        <v>28.93972602739726</v>
      </c>
      <c r="O755" s="23">
        <v>3473.2</v>
      </c>
      <c r="P755" s="18">
        <f t="shared" si="106"/>
        <v>29.44109589041096</v>
      </c>
      <c r="Q755" s="18">
        <v>0</v>
      </c>
      <c r="R755" s="18">
        <f t="shared" si="103"/>
        <v>3473.2</v>
      </c>
      <c r="S755" s="18">
        <f t="shared" si="116"/>
        <v>48.295000000000073</v>
      </c>
    </row>
    <row r="756" spans="1:19" ht="18.75" customHeight="1" x14ac:dyDescent="0.25">
      <c r="A756" s="14">
        <f t="shared" si="107"/>
        <v>753</v>
      </c>
      <c r="B756" s="31" t="s">
        <v>725</v>
      </c>
      <c r="C756" s="15" t="s">
        <v>3</v>
      </c>
      <c r="D756" s="31" t="s">
        <v>500</v>
      </c>
      <c r="E756" s="31"/>
      <c r="F756" s="70" t="s">
        <v>7</v>
      </c>
      <c r="G756" s="32">
        <v>31778</v>
      </c>
      <c r="H756" s="29">
        <v>3640</v>
      </c>
      <c r="I756" s="17">
        <v>0</v>
      </c>
      <c r="J756" s="17">
        <v>0</v>
      </c>
      <c r="K756" s="17">
        <f t="shared" si="102"/>
        <v>3640</v>
      </c>
      <c r="L756" s="23">
        <f t="shared" si="111"/>
        <v>182</v>
      </c>
      <c r="M756" s="33">
        <v>15</v>
      </c>
      <c r="N756" s="18">
        <f t="shared" si="105"/>
        <v>34.273972602739725</v>
      </c>
      <c r="O756" s="23">
        <v>1560.85</v>
      </c>
      <c r="P756" s="18">
        <f t="shared" si="106"/>
        <v>34.775342465753425</v>
      </c>
      <c r="Q756" s="18">
        <v>0</v>
      </c>
      <c r="R756" s="18">
        <f t="shared" si="103"/>
        <v>1560.85</v>
      </c>
      <c r="S756" s="18">
        <f t="shared" si="104"/>
        <v>2079.15</v>
      </c>
    </row>
    <row r="757" spans="1:19" ht="18.75" customHeight="1" x14ac:dyDescent="0.25">
      <c r="A757" s="14">
        <f t="shared" si="107"/>
        <v>754</v>
      </c>
      <c r="B757" s="31" t="s">
        <v>726</v>
      </c>
      <c r="C757" s="15" t="s">
        <v>3</v>
      </c>
      <c r="D757" s="31" t="s">
        <v>500</v>
      </c>
      <c r="E757" s="31"/>
      <c r="F757" s="73" t="s">
        <v>11</v>
      </c>
      <c r="G757" s="32">
        <v>33770</v>
      </c>
      <c r="H757" s="29">
        <v>1304</v>
      </c>
      <c r="I757" s="17">
        <v>0</v>
      </c>
      <c r="J757" s="17">
        <v>0</v>
      </c>
      <c r="K757" s="17">
        <f t="shared" si="102"/>
        <v>1304</v>
      </c>
      <c r="L757" s="23">
        <f t="shared" si="111"/>
        <v>65.2</v>
      </c>
      <c r="M757" s="33">
        <v>25</v>
      </c>
      <c r="N757" s="18">
        <f t="shared" si="105"/>
        <v>28.816438356164383</v>
      </c>
      <c r="O757" s="23">
        <v>553.85</v>
      </c>
      <c r="P757" s="18">
        <f t="shared" si="106"/>
        <v>29.317808219178083</v>
      </c>
      <c r="Q757" s="18">
        <v>0</v>
      </c>
      <c r="R757" s="18">
        <f t="shared" si="103"/>
        <v>553.85</v>
      </c>
      <c r="S757" s="18">
        <f t="shared" si="104"/>
        <v>750.15</v>
      </c>
    </row>
    <row r="758" spans="1:19" ht="18.75" customHeight="1" x14ac:dyDescent="0.25">
      <c r="A758" s="14">
        <f t="shared" si="107"/>
        <v>755</v>
      </c>
      <c r="B758" s="31" t="s">
        <v>727</v>
      </c>
      <c r="C758" s="15" t="s">
        <v>3</v>
      </c>
      <c r="D758" s="31" t="s">
        <v>500</v>
      </c>
      <c r="E758" s="31"/>
      <c r="F758" s="73" t="s">
        <v>4</v>
      </c>
      <c r="G758" s="32">
        <v>19725</v>
      </c>
      <c r="H758" s="29">
        <v>149.94999999999982</v>
      </c>
      <c r="I758" s="17">
        <v>0</v>
      </c>
      <c r="J758" s="17">
        <v>0</v>
      </c>
      <c r="K758" s="17">
        <f t="shared" si="102"/>
        <v>149.94999999999982</v>
      </c>
      <c r="L758" s="23">
        <f t="shared" si="111"/>
        <v>7.4974999999999916</v>
      </c>
      <c r="M758" s="33">
        <v>15</v>
      </c>
      <c r="N758" s="18">
        <f t="shared" si="105"/>
        <v>67.295890410958904</v>
      </c>
      <c r="O758" s="23">
        <v>22.799999999999986</v>
      </c>
      <c r="P758" s="18">
        <f t="shared" si="106"/>
        <v>67.797260273972597</v>
      </c>
      <c r="Q758" s="18">
        <v>0</v>
      </c>
      <c r="R758" s="18">
        <f t="shared" si="103"/>
        <v>22.799999999999986</v>
      </c>
      <c r="S758" s="18">
        <f t="shared" si="104"/>
        <v>127.14999999999984</v>
      </c>
    </row>
    <row r="759" spans="1:19" ht="18.75" customHeight="1" x14ac:dyDescent="0.25">
      <c r="A759" s="14">
        <f t="shared" si="107"/>
        <v>756</v>
      </c>
      <c r="B759" s="31" t="s">
        <v>728</v>
      </c>
      <c r="C759" s="15" t="s">
        <v>3</v>
      </c>
      <c r="D759" s="31" t="s">
        <v>500</v>
      </c>
      <c r="E759" s="31"/>
      <c r="F759" s="73" t="s">
        <v>11</v>
      </c>
      <c r="G759" s="32">
        <v>33770</v>
      </c>
      <c r="H759" s="29">
        <v>904.75</v>
      </c>
      <c r="I759" s="17">
        <v>0</v>
      </c>
      <c r="J759" s="17">
        <v>0</v>
      </c>
      <c r="K759" s="17">
        <f t="shared" si="102"/>
        <v>904.75</v>
      </c>
      <c r="L759" s="23">
        <f t="shared" si="111"/>
        <v>45.237500000000004</v>
      </c>
      <c r="M759" s="33">
        <v>25</v>
      </c>
      <c r="N759" s="18">
        <f t="shared" si="105"/>
        <v>28.816438356164383</v>
      </c>
      <c r="O759" s="23">
        <v>12132.45</v>
      </c>
      <c r="P759" s="18">
        <f t="shared" si="106"/>
        <v>29.317808219178083</v>
      </c>
      <c r="Q759" s="18">
        <v>0</v>
      </c>
      <c r="R759" s="18">
        <f t="shared" si="103"/>
        <v>12132.45</v>
      </c>
      <c r="S759" s="18">
        <f t="shared" ref="S759:S760" si="117">L759</f>
        <v>45.237500000000004</v>
      </c>
    </row>
    <row r="760" spans="1:19" ht="18.75" customHeight="1" x14ac:dyDescent="0.25">
      <c r="A760" s="14">
        <f t="shared" si="107"/>
        <v>757</v>
      </c>
      <c r="B760" s="31" t="s">
        <v>729</v>
      </c>
      <c r="C760" s="15" t="s">
        <v>3</v>
      </c>
      <c r="D760" s="31" t="s">
        <v>500</v>
      </c>
      <c r="E760" s="31"/>
      <c r="F760" s="73" t="s">
        <v>8</v>
      </c>
      <c r="G760" s="32">
        <v>33878</v>
      </c>
      <c r="H760" s="29">
        <v>3459.4499999999971</v>
      </c>
      <c r="I760" s="17">
        <v>0</v>
      </c>
      <c r="J760" s="17">
        <v>0</v>
      </c>
      <c r="K760" s="17">
        <f t="shared" si="102"/>
        <v>3459.4499999999971</v>
      </c>
      <c r="L760" s="23">
        <f t="shared" si="111"/>
        <v>172.97249999999985</v>
      </c>
      <c r="M760" s="33">
        <v>25</v>
      </c>
      <c r="N760" s="18">
        <f t="shared" si="105"/>
        <v>28.520547945205479</v>
      </c>
      <c r="O760" s="23">
        <v>138655.35</v>
      </c>
      <c r="P760" s="18">
        <f t="shared" si="106"/>
        <v>29.021917808219179</v>
      </c>
      <c r="Q760" s="18">
        <v>0</v>
      </c>
      <c r="R760" s="18">
        <f t="shared" si="103"/>
        <v>138655.35</v>
      </c>
      <c r="S760" s="18">
        <f t="shared" si="117"/>
        <v>172.97249999999985</v>
      </c>
    </row>
    <row r="761" spans="1:19" ht="18.75" customHeight="1" x14ac:dyDescent="0.25">
      <c r="A761" s="14">
        <f t="shared" si="107"/>
        <v>758</v>
      </c>
      <c r="B761" s="31" t="s">
        <v>730</v>
      </c>
      <c r="C761" s="15" t="s">
        <v>3</v>
      </c>
      <c r="D761" s="31" t="s">
        <v>500</v>
      </c>
      <c r="E761" s="31"/>
      <c r="F761" s="73" t="s">
        <v>11</v>
      </c>
      <c r="G761" s="32">
        <v>33935</v>
      </c>
      <c r="H761" s="29">
        <v>443997.94999999925</v>
      </c>
      <c r="I761" s="17">
        <v>0</v>
      </c>
      <c r="J761" s="17">
        <v>0</v>
      </c>
      <c r="K761" s="17">
        <f t="shared" si="102"/>
        <v>443997.94999999925</v>
      </c>
      <c r="L761" s="23">
        <f t="shared" si="111"/>
        <v>22199.897499999963</v>
      </c>
      <c r="M761" s="33">
        <v>25</v>
      </c>
      <c r="N761" s="18">
        <f t="shared" si="105"/>
        <v>28.364383561643837</v>
      </c>
      <c r="O761" s="23">
        <v>126355.69999999997</v>
      </c>
      <c r="P761" s="18">
        <f t="shared" si="106"/>
        <v>28.865753424657534</v>
      </c>
      <c r="Q761" s="18">
        <v>0</v>
      </c>
      <c r="R761" s="18">
        <f t="shared" si="103"/>
        <v>126355.69999999997</v>
      </c>
      <c r="S761" s="18">
        <f t="shared" si="104"/>
        <v>317642.2499999993</v>
      </c>
    </row>
    <row r="762" spans="1:19" ht="18.75" customHeight="1" x14ac:dyDescent="0.25">
      <c r="A762" s="14">
        <f t="shared" si="107"/>
        <v>759</v>
      </c>
      <c r="B762" s="31" t="s">
        <v>731</v>
      </c>
      <c r="C762" s="15" t="s">
        <v>3</v>
      </c>
      <c r="D762" s="31" t="s">
        <v>500</v>
      </c>
      <c r="E762" s="31"/>
      <c r="F762" s="73" t="s">
        <v>11</v>
      </c>
      <c r="G762" s="32">
        <v>33935</v>
      </c>
      <c r="H762" s="29">
        <v>56205.949999999953</v>
      </c>
      <c r="I762" s="17">
        <v>0</v>
      </c>
      <c r="J762" s="17">
        <v>0</v>
      </c>
      <c r="K762" s="17">
        <f t="shared" si="102"/>
        <v>56205.949999999953</v>
      </c>
      <c r="L762" s="23">
        <f t="shared" si="111"/>
        <v>2810.2974999999979</v>
      </c>
      <c r="M762" s="33">
        <v>25</v>
      </c>
      <c r="N762" s="18">
        <f t="shared" si="105"/>
        <v>28.364383561643837</v>
      </c>
      <c r="O762" s="23">
        <v>39078.25</v>
      </c>
      <c r="P762" s="18">
        <f t="shared" si="106"/>
        <v>28.865753424657534</v>
      </c>
      <c r="Q762" s="18">
        <v>0</v>
      </c>
      <c r="R762" s="18">
        <f t="shared" si="103"/>
        <v>39078.25</v>
      </c>
      <c r="S762" s="18">
        <f t="shared" si="104"/>
        <v>17127.699999999953</v>
      </c>
    </row>
    <row r="763" spans="1:19" ht="18.75" customHeight="1" x14ac:dyDescent="0.25">
      <c r="A763" s="14">
        <f t="shared" si="107"/>
        <v>760</v>
      </c>
      <c r="B763" s="31" t="s">
        <v>732</v>
      </c>
      <c r="C763" s="15" t="s">
        <v>3</v>
      </c>
      <c r="D763" s="31" t="s">
        <v>500</v>
      </c>
      <c r="E763" s="31"/>
      <c r="F763" s="73" t="s">
        <v>11</v>
      </c>
      <c r="G763" s="32">
        <v>33935</v>
      </c>
      <c r="H763" s="29">
        <v>11395</v>
      </c>
      <c r="I763" s="17">
        <v>0</v>
      </c>
      <c r="J763" s="17">
        <v>0</v>
      </c>
      <c r="K763" s="17">
        <f t="shared" si="102"/>
        <v>11395</v>
      </c>
      <c r="L763" s="23">
        <f t="shared" si="111"/>
        <v>569.75</v>
      </c>
      <c r="M763" s="33">
        <v>25</v>
      </c>
      <c r="N763" s="18">
        <f t="shared" si="105"/>
        <v>28.364383561643837</v>
      </c>
      <c r="O763" s="23">
        <v>9860.0499999999993</v>
      </c>
      <c r="P763" s="18">
        <f t="shared" si="106"/>
        <v>28.865753424657534</v>
      </c>
      <c r="Q763" s="18">
        <v>0</v>
      </c>
      <c r="R763" s="18">
        <f t="shared" si="103"/>
        <v>9860.0499999999993</v>
      </c>
      <c r="S763" s="18">
        <f t="shared" si="104"/>
        <v>1534.9500000000007</v>
      </c>
    </row>
    <row r="764" spans="1:19" ht="18.75" customHeight="1" x14ac:dyDescent="0.25">
      <c r="A764" s="14">
        <f t="shared" si="107"/>
        <v>761</v>
      </c>
      <c r="B764" s="31" t="s">
        <v>733</v>
      </c>
      <c r="C764" s="15" t="s">
        <v>3</v>
      </c>
      <c r="D764" s="31" t="s">
        <v>500</v>
      </c>
      <c r="E764" s="31"/>
      <c r="F764" s="73" t="s">
        <v>11</v>
      </c>
      <c r="G764" s="32">
        <v>23377</v>
      </c>
      <c r="H764" s="29">
        <v>82.450000000000045</v>
      </c>
      <c r="I764" s="17">
        <v>0</v>
      </c>
      <c r="J764" s="17">
        <v>0</v>
      </c>
      <c r="K764" s="17">
        <f t="shared" si="102"/>
        <v>82.450000000000045</v>
      </c>
      <c r="L764" s="23">
        <f t="shared" si="111"/>
        <v>4.1225000000000023</v>
      </c>
      <c r="M764" s="33">
        <v>10</v>
      </c>
      <c r="N764" s="18">
        <f t="shared" si="105"/>
        <v>57.290410958904111</v>
      </c>
      <c r="O764" s="23">
        <v>6581.6</v>
      </c>
      <c r="P764" s="18">
        <f t="shared" si="106"/>
        <v>57.791780821917811</v>
      </c>
      <c r="Q764" s="18">
        <v>0</v>
      </c>
      <c r="R764" s="18">
        <f t="shared" si="103"/>
        <v>6581.6</v>
      </c>
      <c r="S764" s="18">
        <f t="shared" ref="S764:S766" si="118">L764</f>
        <v>4.1225000000000023</v>
      </c>
    </row>
    <row r="765" spans="1:19" ht="18.75" customHeight="1" x14ac:dyDescent="0.25">
      <c r="A765" s="14">
        <f t="shared" si="107"/>
        <v>762</v>
      </c>
      <c r="B765" s="31" t="s">
        <v>734</v>
      </c>
      <c r="C765" s="15" t="s">
        <v>3</v>
      </c>
      <c r="D765" s="31" t="s">
        <v>500</v>
      </c>
      <c r="E765" s="31"/>
      <c r="F765" s="73" t="s">
        <v>4</v>
      </c>
      <c r="G765" s="32">
        <v>33939</v>
      </c>
      <c r="H765" s="29">
        <v>3009.3499999999985</v>
      </c>
      <c r="I765" s="17">
        <v>0</v>
      </c>
      <c r="J765" s="17">
        <v>0</v>
      </c>
      <c r="K765" s="17">
        <f t="shared" si="102"/>
        <v>3009.3499999999985</v>
      </c>
      <c r="L765" s="23">
        <f t="shared" si="111"/>
        <v>150.46749999999994</v>
      </c>
      <c r="M765" s="33">
        <v>25</v>
      </c>
      <c r="N765" s="18">
        <f t="shared" si="105"/>
        <v>28.353424657534248</v>
      </c>
      <c r="O765" s="23">
        <v>6402.05</v>
      </c>
      <c r="P765" s="18">
        <f t="shared" si="106"/>
        <v>28.854794520547944</v>
      </c>
      <c r="Q765" s="18">
        <v>0</v>
      </c>
      <c r="R765" s="18">
        <f t="shared" si="103"/>
        <v>6402.05</v>
      </c>
      <c r="S765" s="18">
        <f t="shared" si="118"/>
        <v>150.46749999999994</v>
      </c>
    </row>
    <row r="766" spans="1:19" ht="18.75" customHeight="1" x14ac:dyDescent="0.25">
      <c r="A766" s="14">
        <f t="shared" si="107"/>
        <v>763</v>
      </c>
      <c r="B766" s="31" t="s">
        <v>735</v>
      </c>
      <c r="C766" s="15" t="s">
        <v>3</v>
      </c>
      <c r="D766" s="31" t="s">
        <v>500</v>
      </c>
      <c r="E766" s="31"/>
      <c r="F766" s="73" t="s">
        <v>4</v>
      </c>
      <c r="G766" s="32">
        <v>22282</v>
      </c>
      <c r="H766" s="29">
        <v>137.59999999999991</v>
      </c>
      <c r="I766" s="17">
        <v>0</v>
      </c>
      <c r="J766" s="17">
        <v>0</v>
      </c>
      <c r="K766" s="17">
        <f t="shared" si="102"/>
        <v>137.59999999999991</v>
      </c>
      <c r="L766" s="23">
        <f t="shared" si="111"/>
        <v>6.8799999999999955</v>
      </c>
      <c r="M766" s="33">
        <v>15</v>
      </c>
      <c r="N766" s="18">
        <f t="shared" si="105"/>
        <v>60.290410958904111</v>
      </c>
      <c r="O766" s="23">
        <v>6079.05</v>
      </c>
      <c r="P766" s="18">
        <f t="shared" si="106"/>
        <v>60.791780821917811</v>
      </c>
      <c r="Q766" s="18">
        <v>0</v>
      </c>
      <c r="R766" s="18">
        <f t="shared" si="103"/>
        <v>6079.05</v>
      </c>
      <c r="S766" s="18">
        <f t="shared" si="118"/>
        <v>6.8799999999999955</v>
      </c>
    </row>
    <row r="767" spans="1:19" ht="18.75" customHeight="1" x14ac:dyDescent="0.25">
      <c r="A767" s="14">
        <f t="shared" si="107"/>
        <v>764</v>
      </c>
      <c r="B767" s="31" t="s">
        <v>736</v>
      </c>
      <c r="C767" s="15" t="s">
        <v>3</v>
      </c>
      <c r="D767" s="31" t="s">
        <v>500</v>
      </c>
      <c r="E767" s="31"/>
      <c r="F767" s="73" t="s">
        <v>4</v>
      </c>
      <c r="G767" s="32">
        <v>33952</v>
      </c>
      <c r="H767" s="29">
        <v>8605.8999999999942</v>
      </c>
      <c r="I767" s="17">
        <v>0</v>
      </c>
      <c r="J767" s="17">
        <v>0</v>
      </c>
      <c r="K767" s="17">
        <f t="shared" si="102"/>
        <v>8605.8999999999942</v>
      </c>
      <c r="L767" s="23">
        <f t="shared" si="111"/>
        <v>430.29499999999973</v>
      </c>
      <c r="M767" s="33">
        <v>25</v>
      </c>
      <c r="N767" s="18">
        <f t="shared" si="105"/>
        <v>28.317808219178083</v>
      </c>
      <c r="O767" s="23">
        <v>2712.25</v>
      </c>
      <c r="P767" s="18">
        <f t="shared" si="106"/>
        <v>28.81917808219178</v>
      </c>
      <c r="Q767" s="18">
        <v>0</v>
      </c>
      <c r="R767" s="18">
        <f t="shared" si="103"/>
        <v>2712.25</v>
      </c>
      <c r="S767" s="18">
        <f t="shared" si="104"/>
        <v>5893.6499999999942</v>
      </c>
    </row>
    <row r="768" spans="1:19" ht="18.75" customHeight="1" x14ac:dyDescent="0.25">
      <c r="A768" s="14">
        <f t="shared" si="107"/>
        <v>765</v>
      </c>
      <c r="B768" s="31" t="s">
        <v>737</v>
      </c>
      <c r="C768" s="15" t="s">
        <v>3</v>
      </c>
      <c r="D768" s="31" t="s">
        <v>500</v>
      </c>
      <c r="E768" s="31"/>
      <c r="F768" s="73" t="s">
        <v>11</v>
      </c>
      <c r="G768" s="32">
        <v>33958</v>
      </c>
      <c r="H768" s="29">
        <v>137704.04999999981</v>
      </c>
      <c r="I768" s="17">
        <v>0</v>
      </c>
      <c r="J768" s="17">
        <v>0</v>
      </c>
      <c r="K768" s="17">
        <f t="shared" si="102"/>
        <v>137704.04999999981</v>
      </c>
      <c r="L768" s="23">
        <f t="shared" si="111"/>
        <v>6885.2024999999912</v>
      </c>
      <c r="M768" s="33">
        <v>25</v>
      </c>
      <c r="N768" s="18">
        <f t="shared" si="105"/>
        <v>28.301369863013697</v>
      </c>
      <c r="O768" s="23">
        <v>1626.3999999999919</v>
      </c>
      <c r="P768" s="18">
        <f t="shared" si="106"/>
        <v>28.802739726027397</v>
      </c>
      <c r="Q768" s="18">
        <v>0</v>
      </c>
      <c r="R768" s="18">
        <f t="shared" si="103"/>
        <v>1626.3999999999919</v>
      </c>
      <c r="S768" s="18">
        <f t="shared" si="104"/>
        <v>136077.64999999982</v>
      </c>
    </row>
    <row r="769" spans="1:19" ht="18.75" customHeight="1" x14ac:dyDescent="0.25">
      <c r="A769" s="14">
        <f t="shared" si="107"/>
        <v>766</v>
      </c>
      <c r="B769" s="31" t="s">
        <v>738</v>
      </c>
      <c r="C769" s="15" t="s">
        <v>3</v>
      </c>
      <c r="D769" s="31" t="s">
        <v>500</v>
      </c>
      <c r="E769" s="31"/>
      <c r="F769" s="73" t="s">
        <v>11</v>
      </c>
      <c r="G769" s="32">
        <v>33958</v>
      </c>
      <c r="H769" s="29">
        <v>88677</v>
      </c>
      <c r="I769" s="17">
        <v>0</v>
      </c>
      <c r="J769" s="17">
        <v>0</v>
      </c>
      <c r="K769" s="17">
        <f t="shared" si="102"/>
        <v>88677</v>
      </c>
      <c r="L769" s="23">
        <f t="shared" si="111"/>
        <v>4433.8500000000004</v>
      </c>
      <c r="M769" s="33">
        <v>25</v>
      </c>
      <c r="N769" s="18">
        <f t="shared" si="105"/>
        <v>28.301369863013697</v>
      </c>
      <c r="O769" s="23">
        <v>1170.4000000000001</v>
      </c>
      <c r="P769" s="18">
        <f t="shared" si="106"/>
        <v>28.802739726027397</v>
      </c>
      <c r="Q769" s="18">
        <v>0</v>
      </c>
      <c r="R769" s="18">
        <f t="shared" si="103"/>
        <v>1170.4000000000001</v>
      </c>
      <c r="S769" s="18">
        <f t="shared" si="104"/>
        <v>87506.6</v>
      </c>
    </row>
    <row r="770" spans="1:19" ht="18.75" customHeight="1" x14ac:dyDescent="0.25">
      <c r="A770" s="14">
        <f t="shared" si="107"/>
        <v>767</v>
      </c>
      <c r="B770" s="31" t="s">
        <v>739</v>
      </c>
      <c r="C770" s="15" t="s">
        <v>3</v>
      </c>
      <c r="D770" s="31" t="s">
        <v>500</v>
      </c>
      <c r="E770" s="31"/>
      <c r="F770" s="73" t="s">
        <v>11</v>
      </c>
      <c r="G770" s="32">
        <v>33969</v>
      </c>
      <c r="H770" s="29">
        <v>22926.400000000023</v>
      </c>
      <c r="I770" s="17">
        <v>0</v>
      </c>
      <c r="J770" s="17">
        <v>0</v>
      </c>
      <c r="K770" s="17">
        <f t="shared" si="102"/>
        <v>22926.400000000023</v>
      </c>
      <c r="L770" s="23">
        <f t="shared" si="111"/>
        <v>1146.3200000000013</v>
      </c>
      <c r="M770" s="33">
        <v>25</v>
      </c>
      <c r="N770" s="18">
        <f t="shared" si="105"/>
        <v>28.271232876712329</v>
      </c>
      <c r="O770" s="23">
        <v>211.85000000000088</v>
      </c>
      <c r="P770" s="18">
        <f t="shared" si="106"/>
        <v>28.772602739726029</v>
      </c>
      <c r="Q770" s="18">
        <v>0</v>
      </c>
      <c r="R770" s="18">
        <f t="shared" si="103"/>
        <v>211.85000000000088</v>
      </c>
      <c r="S770" s="18">
        <f t="shared" si="104"/>
        <v>22714.550000000021</v>
      </c>
    </row>
    <row r="771" spans="1:19" ht="18.75" customHeight="1" x14ac:dyDescent="0.25">
      <c r="A771" s="14">
        <f t="shared" si="107"/>
        <v>768</v>
      </c>
      <c r="B771" s="31" t="s">
        <v>740</v>
      </c>
      <c r="C771" s="15" t="s">
        <v>3</v>
      </c>
      <c r="D771" s="31" t="s">
        <v>500</v>
      </c>
      <c r="E771" s="31"/>
      <c r="F771" s="73" t="s">
        <v>11</v>
      </c>
      <c r="G771" s="32">
        <v>33969</v>
      </c>
      <c r="H771" s="29">
        <v>3209.8499999999985</v>
      </c>
      <c r="I771" s="17">
        <v>0</v>
      </c>
      <c r="J771" s="17">
        <v>0</v>
      </c>
      <c r="K771" s="17">
        <f t="shared" si="102"/>
        <v>3209.8499999999985</v>
      </c>
      <c r="L771" s="23">
        <f t="shared" si="111"/>
        <v>160.49249999999995</v>
      </c>
      <c r="M771" s="33">
        <v>25</v>
      </c>
      <c r="N771" s="18">
        <f t="shared" si="105"/>
        <v>28.271232876712329</v>
      </c>
      <c r="O771" s="23">
        <v>42428.9</v>
      </c>
      <c r="P771" s="18">
        <f t="shared" si="106"/>
        <v>28.772602739726029</v>
      </c>
      <c r="Q771" s="18">
        <v>0</v>
      </c>
      <c r="R771" s="18">
        <f t="shared" si="103"/>
        <v>42428.9</v>
      </c>
      <c r="S771" s="18">
        <f t="shared" ref="S771:S772" si="119">L771</f>
        <v>160.49249999999995</v>
      </c>
    </row>
    <row r="772" spans="1:19" ht="18.75" customHeight="1" x14ac:dyDescent="0.25">
      <c r="A772" s="14">
        <f t="shared" si="107"/>
        <v>769</v>
      </c>
      <c r="B772" s="31" t="s">
        <v>741</v>
      </c>
      <c r="C772" s="15" t="s">
        <v>3</v>
      </c>
      <c r="D772" s="31" t="s">
        <v>500</v>
      </c>
      <c r="E772" s="31"/>
      <c r="F772" s="73" t="s">
        <v>11</v>
      </c>
      <c r="G772" s="32">
        <v>33969</v>
      </c>
      <c r="H772" s="29">
        <v>218.05000000000018</v>
      </c>
      <c r="I772" s="17">
        <v>0</v>
      </c>
      <c r="J772" s="17">
        <v>0</v>
      </c>
      <c r="K772" s="17">
        <f t="shared" ref="K772:K835" si="120">H772+I772-J772</f>
        <v>218.05000000000018</v>
      </c>
      <c r="L772" s="23">
        <f t="shared" si="111"/>
        <v>10.902500000000011</v>
      </c>
      <c r="M772" s="33">
        <v>25</v>
      </c>
      <c r="N772" s="18">
        <f t="shared" si="105"/>
        <v>28.271232876712329</v>
      </c>
      <c r="O772" s="23">
        <v>34891.599999999999</v>
      </c>
      <c r="P772" s="18">
        <f t="shared" si="106"/>
        <v>28.772602739726029</v>
      </c>
      <c r="Q772" s="18">
        <v>0</v>
      </c>
      <c r="R772" s="18">
        <f t="shared" ref="R772:R835" si="121">Q772+O772</f>
        <v>34891.599999999999</v>
      </c>
      <c r="S772" s="18">
        <f t="shared" si="119"/>
        <v>10.902500000000011</v>
      </c>
    </row>
    <row r="773" spans="1:19" ht="18.75" customHeight="1" x14ac:dyDescent="0.25">
      <c r="A773" s="14">
        <f t="shared" si="107"/>
        <v>770</v>
      </c>
      <c r="B773" s="31" t="s">
        <v>732</v>
      </c>
      <c r="C773" s="15" t="s">
        <v>3</v>
      </c>
      <c r="D773" s="31" t="s">
        <v>500</v>
      </c>
      <c r="E773" s="31"/>
      <c r="F773" s="73" t="s">
        <v>11</v>
      </c>
      <c r="G773" s="32">
        <v>33984</v>
      </c>
      <c r="H773" s="29">
        <v>38100.800000000047</v>
      </c>
      <c r="I773" s="17">
        <v>0</v>
      </c>
      <c r="J773" s="17">
        <v>0</v>
      </c>
      <c r="K773" s="17">
        <f t="shared" si="120"/>
        <v>38100.800000000047</v>
      </c>
      <c r="L773" s="23">
        <f t="shared" si="111"/>
        <v>1905.0400000000025</v>
      </c>
      <c r="M773" s="33">
        <v>25</v>
      </c>
      <c r="N773" s="18">
        <f t="shared" ref="N773:N836" si="122">IF(($N$2-G773+1)/365&gt;0,($N$2-G773+1)/365,0)</f>
        <v>28.230136986301371</v>
      </c>
      <c r="O773" s="23">
        <v>28687.15</v>
      </c>
      <c r="P773" s="18">
        <f t="shared" ref="P773:P836" si="123">($P$2-G773+1)/365</f>
        <v>28.731506849315068</v>
      </c>
      <c r="Q773" s="18">
        <v>0</v>
      </c>
      <c r="R773" s="18">
        <f t="shared" si="121"/>
        <v>28687.15</v>
      </c>
      <c r="S773" s="18">
        <f t="shared" ref="S773:S833" si="124">K773-R773</f>
        <v>9413.6500000000451</v>
      </c>
    </row>
    <row r="774" spans="1:19" ht="18.75" customHeight="1" x14ac:dyDescent="0.25">
      <c r="A774" s="14">
        <f t="shared" ref="A774:A837" si="125">+A773+1</f>
        <v>771</v>
      </c>
      <c r="B774" s="31" t="s">
        <v>688</v>
      </c>
      <c r="C774" s="15" t="s">
        <v>3</v>
      </c>
      <c r="D774" s="31" t="s">
        <v>500</v>
      </c>
      <c r="E774" s="31"/>
      <c r="F774" s="73" t="s">
        <v>13</v>
      </c>
      <c r="G774" s="32">
        <v>33984</v>
      </c>
      <c r="H774" s="29">
        <v>1699.2999999999993</v>
      </c>
      <c r="I774" s="17">
        <v>0</v>
      </c>
      <c r="J774" s="17">
        <v>0</v>
      </c>
      <c r="K774" s="17">
        <f t="shared" si="120"/>
        <v>1699.2999999999993</v>
      </c>
      <c r="L774" s="23">
        <f t="shared" si="111"/>
        <v>84.964999999999975</v>
      </c>
      <c r="M774" s="33">
        <v>25</v>
      </c>
      <c r="N774" s="18">
        <f t="shared" si="122"/>
        <v>28.230136986301371</v>
      </c>
      <c r="O774" s="23">
        <v>11681.2</v>
      </c>
      <c r="P774" s="18">
        <f t="shared" si="123"/>
        <v>28.731506849315068</v>
      </c>
      <c r="Q774" s="18">
        <v>0</v>
      </c>
      <c r="R774" s="18">
        <f t="shared" si="121"/>
        <v>11681.2</v>
      </c>
      <c r="S774" s="18">
        <f>L774</f>
        <v>84.964999999999975</v>
      </c>
    </row>
    <row r="775" spans="1:19" ht="18.75" customHeight="1" x14ac:dyDescent="0.25">
      <c r="A775" s="14">
        <f t="shared" si="125"/>
        <v>772</v>
      </c>
      <c r="B775" s="31" t="s">
        <v>742</v>
      </c>
      <c r="C775" s="15" t="s">
        <v>3</v>
      </c>
      <c r="D775" s="31" t="s">
        <v>500</v>
      </c>
      <c r="E775" s="31"/>
      <c r="F775" s="73" t="s">
        <v>11</v>
      </c>
      <c r="G775" s="32">
        <v>34001</v>
      </c>
      <c r="H775" s="29">
        <v>10862.799999999988</v>
      </c>
      <c r="I775" s="17">
        <v>0</v>
      </c>
      <c r="J775" s="17">
        <v>0</v>
      </c>
      <c r="K775" s="17">
        <f t="shared" si="120"/>
        <v>10862.799999999988</v>
      </c>
      <c r="L775" s="23">
        <f t="shared" si="111"/>
        <v>543.13999999999942</v>
      </c>
      <c r="M775" s="33">
        <v>25</v>
      </c>
      <c r="N775" s="18">
        <f t="shared" si="122"/>
        <v>28.183561643835617</v>
      </c>
      <c r="O775" s="23">
        <v>10819.55</v>
      </c>
      <c r="P775" s="18">
        <f t="shared" si="123"/>
        <v>28.684931506849313</v>
      </c>
      <c r="Q775" s="18">
        <v>0</v>
      </c>
      <c r="R775" s="18">
        <f t="shared" si="121"/>
        <v>10819.55</v>
      </c>
      <c r="S775" s="18">
        <f t="shared" si="124"/>
        <v>43.249999999989086</v>
      </c>
    </row>
    <row r="776" spans="1:19" ht="18.75" customHeight="1" x14ac:dyDescent="0.25">
      <c r="A776" s="14">
        <f t="shared" si="125"/>
        <v>773</v>
      </c>
      <c r="B776" s="31" t="s">
        <v>743</v>
      </c>
      <c r="C776" s="15" t="s">
        <v>3</v>
      </c>
      <c r="D776" s="31" t="s">
        <v>500</v>
      </c>
      <c r="E776" s="31"/>
      <c r="F776" s="73" t="s">
        <v>13</v>
      </c>
      <c r="G776" s="32">
        <v>34005</v>
      </c>
      <c r="H776" s="29">
        <v>20457.849999999977</v>
      </c>
      <c r="I776" s="17">
        <v>0</v>
      </c>
      <c r="J776" s="17">
        <v>0</v>
      </c>
      <c r="K776" s="17">
        <f t="shared" si="120"/>
        <v>20457.849999999977</v>
      </c>
      <c r="L776" s="23">
        <f t="shared" si="111"/>
        <v>1022.8924999999989</v>
      </c>
      <c r="M776" s="33">
        <v>25</v>
      </c>
      <c r="N776" s="18">
        <f t="shared" si="122"/>
        <v>28.172602739726027</v>
      </c>
      <c r="O776" s="23">
        <v>3023.849999999999</v>
      </c>
      <c r="P776" s="18">
        <f t="shared" si="123"/>
        <v>28.673972602739727</v>
      </c>
      <c r="Q776" s="18">
        <v>0</v>
      </c>
      <c r="R776" s="18">
        <f t="shared" si="121"/>
        <v>3023.849999999999</v>
      </c>
      <c r="S776" s="18">
        <f t="shared" si="124"/>
        <v>17433.999999999978</v>
      </c>
    </row>
    <row r="777" spans="1:19" ht="18.75" customHeight="1" x14ac:dyDescent="0.25">
      <c r="A777" s="14">
        <f t="shared" si="125"/>
        <v>774</v>
      </c>
      <c r="B777" s="31" t="s">
        <v>744</v>
      </c>
      <c r="C777" s="15" t="s">
        <v>3</v>
      </c>
      <c r="D777" s="31" t="s">
        <v>500</v>
      </c>
      <c r="E777" s="31"/>
      <c r="F777" s="73" t="s">
        <v>11</v>
      </c>
      <c r="G777" s="32">
        <v>34006</v>
      </c>
      <c r="H777" s="29">
        <v>78482.899999999907</v>
      </c>
      <c r="I777" s="17">
        <v>0</v>
      </c>
      <c r="J777" s="17">
        <v>0</v>
      </c>
      <c r="K777" s="17">
        <f t="shared" si="120"/>
        <v>78482.899999999907</v>
      </c>
      <c r="L777" s="23">
        <f t="shared" si="111"/>
        <v>3924.1449999999954</v>
      </c>
      <c r="M777" s="33">
        <v>25</v>
      </c>
      <c r="N777" s="18">
        <f t="shared" si="122"/>
        <v>28.169863013698631</v>
      </c>
      <c r="O777" s="23">
        <v>1028.8499999999958</v>
      </c>
      <c r="P777" s="18">
        <f t="shared" si="123"/>
        <v>28.671232876712327</v>
      </c>
      <c r="Q777" s="18">
        <v>0</v>
      </c>
      <c r="R777" s="18">
        <f t="shared" si="121"/>
        <v>1028.8499999999958</v>
      </c>
      <c r="S777" s="18">
        <f t="shared" si="124"/>
        <v>77454.049999999916</v>
      </c>
    </row>
    <row r="778" spans="1:19" ht="18.75" customHeight="1" x14ac:dyDescent="0.25">
      <c r="A778" s="14">
        <f t="shared" si="125"/>
        <v>775</v>
      </c>
      <c r="B778" s="31" t="s">
        <v>745</v>
      </c>
      <c r="C778" s="15" t="s">
        <v>3</v>
      </c>
      <c r="D778" s="31" t="s">
        <v>500</v>
      </c>
      <c r="E778" s="31"/>
      <c r="F778" s="73" t="s">
        <v>11</v>
      </c>
      <c r="G778" s="32">
        <v>34006</v>
      </c>
      <c r="H778" s="29">
        <v>53835.099999999977</v>
      </c>
      <c r="I778" s="17">
        <v>0</v>
      </c>
      <c r="J778" s="17">
        <v>0</v>
      </c>
      <c r="K778" s="17">
        <f t="shared" si="120"/>
        <v>53835.099999999977</v>
      </c>
      <c r="L778" s="23">
        <f t="shared" si="111"/>
        <v>2691.7549999999992</v>
      </c>
      <c r="M778" s="33">
        <v>25</v>
      </c>
      <c r="N778" s="18">
        <f t="shared" si="122"/>
        <v>28.169863013698631</v>
      </c>
      <c r="O778" s="23">
        <v>406.59999999999889</v>
      </c>
      <c r="P778" s="18">
        <f t="shared" si="123"/>
        <v>28.671232876712327</v>
      </c>
      <c r="Q778" s="18">
        <v>0</v>
      </c>
      <c r="R778" s="18">
        <f t="shared" si="121"/>
        <v>406.59999999999889</v>
      </c>
      <c r="S778" s="18">
        <f t="shared" si="124"/>
        <v>53428.499999999978</v>
      </c>
    </row>
    <row r="779" spans="1:19" ht="18.75" customHeight="1" x14ac:dyDescent="0.25">
      <c r="A779" s="14">
        <f t="shared" si="125"/>
        <v>776</v>
      </c>
      <c r="B779" s="31" t="s">
        <v>746</v>
      </c>
      <c r="C779" s="15" t="s">
        <v>3</v>
      </c>
      <c r="D779" s="31" t="s">
        <v>500</v>
      </c>
      <c r="E779" s="31"/>
      <c r="F779" s="70" t="s">
        <v>7</v>
      </c>
      <c r="G779" s="32">
        <v>35886</v>
      </c>
      <c r="H779" s="29">
        <v>3863.25</v>
      </c>
      <c r="I779" s="17">
        <v>0</v>
      </c>
      <c r="J779" s="17">
        <v>0</v>
      </c>
      <c r="K779" s="17">
        <f t="shared" si="120"/>
        <v>3863.25</v>
      </c>
      <c r="L779" s="23">
        <f t="shared" si="111"/>
        <v>193.16250000000002</v>
      </c>
      <c r="M779" s="33">
        <v>15</v>
      </c>
      <c r="N779" s="18">
        <f t="shared" si="122"/>
        <v>23.019178082191782</v>
      </c>
      <c r="O779" s="23">
        <v>53054.65</v>
      </c>
      <c r="P779" s="18">
        <f t="shared" si="123"/>
        <v>23.520547945205479</v>
      </c>
      <c r="Q779" s="18">
        <v>0</v>
      </c>
      <c r="R779" s="18">
        <f t="shared" si="121"/>
        <v>53054.65</v>
      </c>
      <c r="S779" s="18">
        <f>L779</f>
        <v>193.16250000000002</v>
      </c>
    </row>
    <row r="780" spans="1:19" ht="18.75" customHeight="1" x14ac:dyDescent="0.25">
      <c r="A780" s="14">
        <f t="shared" si="125"/>
        <v>777</v>
      </c>
      <c r="B780" s="31" t="s">
        <v>747</v>
      </c>
      <c r="C780" s="15" t="s">
        <v>3</v>
      </c>
      <c r="D780" s="31" t="s">
        <v>500</v>
      </c>
      <c r="E780" s="31"/>
      <c r="F780" s="73" t="s">
        <v>11</v>
      </c>
      <c r="G780" s="32">
        <v>34006</v>
      </c>
      <c r="H780" s="29">
        <v>36703.349999999977</v>
      </c>
      <c r="I780" s="17">
        <v>0</v>
      </c>
      <c r="J780" s="17">
        <v>0</v>
      </c>
      <c r="K780" s="17">
        <f t="shared" si="120"/>
        <v>36703.349999999977</v>
      </c>
      <c r="L780" s="23">
        <f t="shared" si="111"/>
        <v>1835.1674999999989</v>
      </c>
      <c r="M780" s="33">
        <v>25</v>
      </c>
      <c r="N780" s="18">
        <f t="shared" si="122"/>
        <v>28.169863013698631</v>
      </c>
      <c r="O780" s="23">
        <v>16047.4</v>
      </c>
      <c r="P780" s="18">
        <f t="shared" si="123"/>
        <v>28.671232876712327</v>
      </c>
      <c r="Q780" s="18">
        <v>0</v>
      </c>
      <c r="R780" s="18">
        <f t="shared" si="121"/>
        <v>16047.4</v>
      </c>
      <c r="S780" s="18">
        <f t="shared" si="124"/>
        <v>20655.949999999975</v>
      </c>
    </row>
    <row r="781" spans="1:19" ht="18.75" customHeight="1" x14ac:dyDescent="0.25">
      <c r="A781" s="14">
        <f t="shared" si="125"/>
        <v>778</v>
      </c>
      <c r="B781" s="31" t="s">
        <v>748</v>
      </c>
      <c r="C781" s="15" t="s">
        <v>3</v>
      </c>
      <c r="D781" s="31" t="s">
        <v>500</v>
      </c>
      <c r="E781" s="31"/>
      <c r="F781" s="73" t="s">
        <v>8</v>
      </c>
      <c r="G781" s="32">
        <v>24473</v>
      </c>
      <c r="H781" s="29">
        <v>939.90000000000146</v>
      </c>
      <c r="I781" s="17">
        <v>0</v>
      </c>
      <c r="J781" s="17">
        <v>0</v>
      </c>
      <c r="K781" s="17">
        <f t="shared" si="120"/>
        <v>939.90000000000146</v>
      </c>
      <c r="L781" s="23">
        <f t="shared" si="111"/>
        <v>46.995000000000076</v>
      </c>
      <c r="M781" s="33">
        <v>10</v>
      </c>
      <c r="N781" s="18">
        <f t="shared" si="122"/>
        <v>54.287671232876711</v>
      </c>
      <c r="O781" s="23">
        <v>14465.65</v>
      </c>
      <c r="P781" s="18">
        <f t="shared" si="123"/>
        <v>54.789041095890411</v>
      </c>
      <c r="Q781" s="18">
        <v>0</v>
      </c>
      <c r="R781" s="18">
        <f t="shared" si="121"/>
        <v>14465.65</v>
      </c>
      <c r="S781" s="18">
        <f t="shared" ref="S781:S782" si="126">L781</f>
        <v>46.995000000000076</v>
      </c>
    </row>
    <row r="782" spans="1:19" ht="18.75" customHeight="1" x14ac:dyDescent="0.25">
      <c r="A782" s="14">
        <f t="shared" si="125"/>
        <v>779</v>
      </c>
      <c r="B782" s="31" t="s">
        <v>749</v>
      </c>
      <c r="C782" s="15" t="s">
        <v>3</v>
      </c>
      <c r="D782" s="31" t="s">
        <v>500</v>
      </c>
      <c r="E782" s="31"/>
      <c r="F782" s="73" t="s">
        <v>8</v>
      </c>
      <c r="G782" s="32">
        <v>34027</v>
      </c>
      <c r="H782" s="29">
        <v>253.69999999999982</v>
      </c>
      <c r="I782" s="17">
        <v>0</v>
      </c>
      <c r="J782" s="17">
        <v>0</v>
      </c>
      <c r="K782" s="17">
        <f t="shared" si="120"/>
        <v>253.69999999999982</v>
      </c>
      <c r="L782" s="23">
        <f t="shared" si="111"/>
        <v>12.684999999999992</v>
      </c>
      <c r="M782" s="33">
        <v>25</v>
      </c>
      <c r="N782" s="18">
        <f t="shared" si="122"/>
        <v>28.112328767123287</v>
      </c>
      <c r="O782" s="23">
        <v>6096.15</v>
      </c>
      <c r="P782" s="18">
        <f t="shared" si="123"/>
        <v>28.613698630136987</v>
      </c>
      <c r="Q782" s="18">
        <v>0</v>
      </c>
      <c r="R782" s="18">
        <f t="shared" si="121"/>
        <v>6096.15</v>
      </c>
      <c r="S782" s="18">
        <f t="shared" si="126"/>
        <v>12.684999999999992</v>
      </c>
    </row>
    <row r="783" spans="1:19" ht="18.75" customHeight="1" x14ac:dyDescent="0.25">
      <c r="A783" s="14">
        <f t="shared" si="125"/>
        <v>780</v>
      </c>
      <c r="B783" s="31" t="s">
        <v>750</v>
      </c>
      <c r="C783" s="15" t="s">
        <v>3</v>
      </c>
      <c r="D783" s="31" t="s">
        <v>500</v>
      </c>
      <c r="E783" s="31"/>
      <c r="F783" s="73" t="s">
        <v>13</v>
      </c>
      <c r="G783" s="32">
        <v>34029</v>
      </c>
      <c r="H783" s="29">
        <v>20081.049999999988</v>
      </c>
      <c r="I783" s="17">
        <v>0</v>
      </c>
      <c r="J783" s="17">
        <v>0</v>
      </c>
      <c r="K783" s="17">
        <f t="shared" si="120"/>
        <v>20081.049999999988</v>
      </c>
      <c r="L783" s="23">
        <f t="shared" si="111"/>
        <v>1004.0524999999994</v>
      </c>
      <c r="M783" s="33">
        <v>25</v>
      </c>
      <c r="N783" s="18">
        <f t="shared" si="122"/>
        <v>28.106849315068494</v>
      </c>
      <c r="O783" s="23">
        <v>5163.2499999999991</v>
      </c>
      <c r="P783" s="18">
        <f t="shared" si="123"/>
        <v>28.608219178082191</v>
      </c>
      <c r="Q783" s="18">
        <v>0</v>
      </c>
      <c r="R783" s="18">
        <f t="shared" si="121"/>
        <v>5163.2499999999991</v>
      </c>
      <c r="S783" s="18">
        <f t="shared" si="124"/>
        <v>14917.799999999988</v>
      </c>
    </row>
    <row r="784" spans="1:19" ht="18.75" customHeight="1" x14ac:dyDescent="0.25">
      <c r="A784" s="14">
        <f t="shared" si="125"/>
        <v>781</v>
      </c>
      <c r="B784" s="31" t="s">
        <v>751</v>
      </c>
      <c r="C784" s="15" t="s">
        <v>3</v>
      </c>
      <c r="D784" s="31" t="s">
        <v>500</v>
      </c>
      <c r="E784" s="31"/>
      <c r="F784" s="73" t="s">
        <v>11</v>
      </c>
      <c r="G784" s="32">
        <v>34029</v>
      </c>
      <c r="H784" s="29">
        <v>6255.1000000000058</v>
      </c>
      <c r="I784" s="17">
        <v>0</v>
      </c>
      <c r="J784" s="17">
        <v>0</v>
      </c>
      <c r="K784" s="17">
        <f t="shared" si="120"/>
        <v>6255.1000000000058</v>
      </c>
      <c r="L784" s="23">
        <f t="shared" si="111"/>
        <v>312.75500000000034</v>
      </c>
      <c r="M784" s="33">
        <v>25</v>
      </c>
      <c r="N784" s="18">
        <f t="shared" si="122"/>
        <v>28.106849315068494</v>
      </c>
      <c r="O784" s="23">
        <v>433482.15</v>
      </c>
      <c r="P784" s="18">
        <f t="shared" si="123"/>
        <v>28.608219178082191</v>
      </c>
      <c r="Q784" s="18">
        <v>0</v>
      </c>
      <c r="R784" s="18">
        <f t="shared" si="121"/>
        <v>433482.15</v>
      </c>
      <c r="S784" s="18">
        <f t="shared" ref="S784:S790" si="127">L784</f>
        <v>312.75500000000034</v>
      </c>
    </row>
    <row r="785" spans="1:19" ht="18.75" customHeight="1" x14ac:dyDescent="0.25">
      <c r="A785" s="14">
        <f t="shared" si="125"/>
        <v>782</v>
      </c>
      <c r="B785" s="31" t="s">
        <v>752</v>
      </c>
      <c r="C785" s="15" t="s">
        <v>3</v>
      </c>
      <c r="D785" s="31" t="s">
        <v>500</v>
      </c>
      <c r="E785" s="31"/>
      <c r="F785" s="73" t="s">
        <v>15</v>
      </c>
      <c r="G785" s="32">
        <v>19360</v>
      </c>
      <c r="H785" s="29">
        <v>401.19999999999982</v>
      </c>
      <c r="I785" s="17">
        <v>0</v>
      </c>
      <c r="J785" s="17">
        <v>0</v>
      </c>
      <c r="K785" s="17">
        <f t="shared" si="120"/>
        <v>401.19999999999982</v>
      </c>
      <c r="L785" s="23">
        <f t="shared" si="111"/>
        <v>20.059999999999992</v>
      </c>
      <c r="M785" s="33">
        <v>25</v>
      </c>
      <c r="N785" s="18">
        <f t="shared" si="122"/>
        <v>68.295890410958904</v>
      </c>
      <c r="O785" s="23">
        <v>37385.35</v>
      </c>
      <c r="P785" s="18">
        <f t="shared" si="123"/>
        <v>68.797260273972597</v>
      </c>
      <c r="Q785" s="18">
        <v>0</v>
      </c>
      <c r="R785" s="18">
        <f t="shared" si="121"/>
        <v>37385.35</v>
      </c>
      <c r="S785" s="18">
        <f t="shared" si="127"/>
        <v>20.059999999999992</v>
      </c>
    </row>
    <row r="786" spans="1:19" ht="18.75" customHeight="1" x14ac:dyDescent="0.25">
      <c r="A786" s="14">
        <f t="shared" si="125"/>
        <v>783</v>
      </c>
      <c r="B786" s="31" t="s">
        <v>753</v>
      </c>
      <c r="C786" s="15" t="s">
        <v>3</v>
      </c>
      <c r="D786" s="31" t="s">
        <v>500</v>
      </c>
      <c r="E786" s="31"/>
      <c r="F786" s="73" t="s">
        <v>8</v>
      </c>
      <c r="G786" s="32">
        <v>34029</v>
      </c>
      <c r="H786" s="29">
        <v>5878.75</v>
      </c>
      <c r="I786" s="17">
        <v>0</v>
      </c>
      <c r="J786" s="17">
        <v>0</v>
      </c>
      <c r="K786" s="17">
        <f t="shared" si="120"/>
        <v>5878.75</v>
      </c>
      <c r="L786" s="23">
        <f t="shared" si="111"/>
        <v>293.9375</v>
      </c>
      <c r="M786" s="33">
        <v>25</v>
      </c>
      <c r="N786" s="18">
        <f t="shared" si="122"/>
        <v>28.106849315068494</v>
      </c>
      <c r="O786" s="23">
        <v>16339.05</v>
      </c>
      <c r="P786" s="18">
        <f t="shared" si="123"/>
        <v>28.608219178082191</v>
      </c>
      <c r="Q786" s="18">
        <v>0</v>
      </c>
      <c r="R786" s="18">
        <f t="shared" si="121"/>
        <v>16339.05</v>
      </c>
      <c r="S786" s="18">
        <f t="shared" si="127"/>
        <v>293.9375</v>
      </c>
    </row>
    <row r="787" spans="1:19" ht="18.75" customHeight="1" x14ac:dyDescent="0.25">
      <c r="A787" s="14">
        <f t="shared" si="125"/>
        <v>784</v>
      </c>
      <c r="B787" s="31" t="s">
        <v>754</v>
      </c>
      <c r="C787" s="15" t="s">
        <v>3</v>
      </c>
      <c r="D787" s="31" t="s">
        <v>500</v>
      </c>
      <c r="E787" s="31"/>
      <c r="F787" s="73" t="s">
        <v>11</v>
      </c>
      <c r="G787" s="32">
        <v>34029</v>
      </c>
      <c r="H787" s="29">
        <v>2143.1999999999971</v>
      </c>
      <c r="I787" s="17">
        <v>0</v>
      </c>
      <c r="J787" s="17">
        <v>0</v>
      </c>
      <c r="K787" s="17">
        <f t="shared" si="120"/>
        <v>2143.1999999999971</v>
      </c>
      <c r="L787" s="23">
        <f t="shared" si="111"/>
        <v>107.15999999999985</v>
      </c>
      <c r="M787" s="33">
        <v>25</v>
      </c>
      <c r="N787" s="18">
        <f t="shared" si="122"/>
        <v>28.106849315068494</v>
      </c>
      <c r="O787" s="23">
        <v>5936.55</v>
      </c>
      <c r="P787" s="18">
        <f t="shared" si="123"/>
        <v>28.608219178082191</v>
      </c>
      <c r="Q787" s="18">
        <v>0</v>
      </c>
      <c r="R787" s="18">
        <f t="shared" si="121"/>
        <v>5936.55</v>
      </c>
      <c r="S787" s="18">
        <f t="shared" si="127"/>
        <v>107.15999999999985</v>
      </c>
    </row>
    <row r="788" spans="1:19" ht="18.75" customHeight="1" x14ac:dyDescent="0.25">
      <c r="A788" s="14">
        <f t="shared" si="125"/>
        <v>785</v>
      </c>
      <c r="B788" s="31" t="s">
        <v>755</v>
      </c>
      <c r="C788" s="15" t="s">
        <v>3</v>
      </c>
      <c r="D788" s="31" t="s">
        <v>500</v>
      </c>
      <c r="E788" s="31"/>
      <c r="F788" s="73" t="s">
        <v>11</v>
      </c>
      <c r="G788" s="32">
        <v>34069</v>
      </c>
      <c r="H788" s="29">
        <v>2266.25</v>
      </c>
      <c r="I788" s="17">
        <v>0</v>
      </c>
      <c r="J788" s="17">
        <v>0</v>
      </c>
      <c r="K788" s="17">
        <f t="shared" si="120"/>
        <v>2266.25</v>
      </c>
      <c r="L788" s="23">
        <f t="shared" si="111"/>
        <v>113.3125</v>
      </c>
      <c r="M788" s="33">
        <v>25</v>
      </c>
      <c r="N788" s="18">
        <f t="shared" si="122"/>
        <v>27.997260273972604</v>
      </c>
      <c r="O788" s="23">
        <v>13688.55</v>
      </c>
      <c r="P788" s="18">
        <f t="shared" si="123"/>
        <v>28.4986301369863</v>
      </c>
      <c r="Q788" s="18">
        <v>0</v>
      </c>
      <c r="R788" s="18">
        <f t="shared" si="121"/>
        <v>13688.55</v>
      </c>
      <c r="S788" s="18">
        <f t="shared" si="127"/>
        <v>113.3125</v>
      </c>
    </row>
    <row r="789" spans="1:19" ht="18.75" customHeight="1" x14ac:dyDescent="0.25">
      <c r="A789" s="14">
        <f t="shared" si="125"/>
        <v>786</v>
      </c>
      <c r="B789" s="31" t="s">
        <v>756</v>
      </c>
      <c r="C789" s="15" t="s">
        <v>3</v>
      </c>
      <c r="D789" s="31" t="s">
        <v>500</v>
      </c>
      <c r="E789" s="31"/>
      <c r="F789" s="73" t="s">
        <v>4</v>
      </c>
      <c r="G789" s="32">
        <v>34069</v>
      </c>
      <c r="H789" s="29">
        <v>630.79999999999927</v>
      </c>
      <c r="I789" s="17">
        <v>0</v>
      </c>
      <c r="J789" s="17">
        <v>0</v>
      </c>
      <c r="K789" s="17">
        <f t="shared" si="120"/>
        <v>630.79999999999927</v>
      </c>
      <c r="L789" s="23">
        <f t="shared" si="111"/>
        <v>31.539999999999964</v>
      </c>
      <c r="M789" s="33">
        <v>25</v>
      </c>
      <c r="N789" s="18">
        <f t="shared" si="122"/>
        <v>27.997260273972604</v>
      </c>
      <c r="O789" s="23">
        <v>13426.35</v>
      </c>
      <c r="P789" s="18">
        <f t="shared" si="123"/>
        <v>28.4986301369863</v>
      </c>
      <c r="Q789" s="18">
        <v>0</v>
      </c>
      <c r="R789" s="18">
        <f t="shared" si="121"/>
        <v>13426.35</v>
      </c>
      <c r="S789" s="18">
        <f t="shared" si="127"/>
        <v>31.539999999999964</v>
      </c>
    </row>
    <row r="790" spans="1:19" ht="18.75" customHeight="1" x14ac:dyDescent="0.25">
      <c r="A790" s="14">
        <f t="shared" si="125"/>
        <v>787</v>
      </c>
      <c r="B790" s="31" t="s">
        <v>757</v>
      </c>
      <c r="C790" s="15" t="s">
        <v>3</v>
      </c>
      <c r="D790" s="31" t="s">
        <v>500</v>
      </c>
      <c r="E790" s="31"/>
      <c r="F790" s="73" t="s">
        <v>13</v>
      </c>
      <c r="G790" s="32">
        <v>34079</v>
      </c>
      <c r="H790" s="29">
        <v>3618.8000000000029</v>
      </c>
      <c r="I790" s="17">
        <v>0</v>
      </c>
      <c r="J790" s="17">
        <v>0</v>
      </c>
      <c r="K790" s="17">
        <f t="shared" si="120"/>
        <v>3618.8000000000029</v>
      </c>
      <c r="L790" s="23">
        <f t="shared" si="111"/>
        <v>180.94000000000017</v>
      </c>
      <c r="M790" s="33">
        <v>25</v>
      </c>
      <c r="N790" s="18">
        <f t="shared" si="122"/>
        <v>27.969863013698632</v>
      </c>
      <c r="O790" s="23">
        <v>13289.55</v>
      </c>
      <c r="P790" s="18">
        <f t="shared" si="123"/>
        <v>28.471232876712328</v>
      </c>
      <c r="Q790" s="18">
        <v>0</v>
      </c>
      <c r="R790" s="18">
        <f t="shared" si="121"/>
        <v>13289.55</v>
      </c>
      <c r="S790" s="18">
        <f t="shared" si="127"/>
        <v>180.94000000000017</v>
      </c>
    </row>
    <row r="791" spans="1:19" ht="18.75" customHeight="1" x14ac:dyDescent="0.25">
      <c r="A791" s="14">
        <f t="shared" si="125"/>
        <v>788</v>
      </c>
      <c r="B791" s="31" t="s">
        <v>758</v>
      </c>
      <c r="C791" s="15" t="s">
        <v>3</v>
      </c>
      <c r="D791" s="31" t="s">
        <v>500</v>
      </c>
      <c r="E791" s="31"/>
      <c r="F791" s="73" t="s">
        <v>11</v>
      </c>
      <c r="G791" s="32">
        <v>34284</v>
      </c>
      <c r="H791" s="29">
        <v>34382.300000000047</v>
      </c>
      <c r="I791" s="17">
        <v>0</v>
      </c>
      <c r="J791" s="17">
        <v>0</v>
      </c>
      <c r="K791" s="17">
        <f t="shared" si="120"/>
        <v>34382.300000000047</v>
      </c>
      <c r="L791" s="23">
        <f t="shared" ref="L791:L854" si="128">H791*0.05</f>
        <v>1719.1150000000025</v>
      </c>
      <c r="M791" s="33">
        <v>25</v>
      </c>
      <c r="N791" s="18">
        <f t="shared" si="122"/>
        <v>27.408219178082192</v>
      </c>
      <c r="O791" s="23">
        <v>11742.950000000003</v>
      </c>
      <c r="P791" s="18">
        <f t="shared" si="123"/>
        <v>27.909589041095892</v>
      </c>
      <c r="Q791" s="18">
        <v>0</v>
      </c>
      <c r="R791" s="18">
        <f t="shared" si="121"/>
        <v>11742.950000000003</v>
      </c>
      <c r="S791" s="18">
        <f t="shared" si="124"/>
        <v>22639.350000000042</v>
      </c>
    </row>
    <row r="792" spans="1:19" ht="18.75" customHeight="1" x14ac:dyDescent="0.25">
      <c r="A792" s="14">
        <f t="shared" si="125"/>
        <v>789</v>
      </c>
      <c r="B792" s="31" t="s">
        <v>759</v>
      </c>
      <c r="C792" s="15" t="s">
        <v>3</v>
      </c>
      <c r="D792" s="31" t="s">
        <v>500</v>
      </c>
      <c r="E792" s="31"/>
      <c r="F792" s="73" t="s">
        <v>11</v>
      </c>
      <c r="G792" s="32">
        <v>34293</v>
      </c>
      <c r="H792" s="29">
        <v>1028.4000000000015</v>
      </c>
      <c r="I792" s="17">
        <v>0</v>
      </c>
      <c r="J792" s="17">
        <v>0</v>
      </c>
      <c r="K792" s="17">
        <f t="shared" si="120"/>
        <v>1028.4000000000015</v>
      </c>
      <c r="L792" s="23">
        <f t="shared" si="128"/>
        <v>51.420000000000073</v>
      </c>
      <c r="M792" s="33">
        <v>25</v>
      </c>
      <c r="N792" s="18">
        <f t="shared" si="122"/>
        <v>27.383561643835616</v>
      </c>
      <c r="O792" s="23">
        <v>11470.3</v>
      </c>
      <c r="P792" s="18">
        <f t="shared" si="123"/>
        <v>27.884931506849316</v>
      </c>
      <c r="Q792" s="18">
        <v>0</v>
      </c>
      <c r="R792" s="18">
        <f t="shared" si="121"/>
        <v>11470.3</v>
      </c>
      <c r="S792" s="18">
        <f t="shared" ref="S792:S794" si="129">L792</f>
        <v>51.420000000000073</v>
      </c>
    </row>
    <row r="793" spans="1:19" ht="18.75" customHeight="1" x14ac:dyDescent="0.25">
      <c r="A793" s="14">
        <f t="shared" si="125"/>
        <v>790</v>
      </c>
      <c r="B793" s="31" t="s">
        <v>760</v>
      </c>
      <c r="C793" s="15" t="s">
        <v>3</v>
      </c>
      <c r="D793" s="31" t="s">
        <v>500</v>
      </c>
      <c r="E793" s="31"/>
      <c r="F793" s="70" t="s">
        <v>7</v>
      </c>
      <c r="G793" s="32">
        <v>34294</v>
      </c>
      <c r="H793" s="29">
        <v>3912.3999999999942</v>
      </c>
      <c r="I793" s="17">
        <v>0</v>
      </c>
      <c r="J793" s="17">
        <v>0</v>
      </c>
      <c r="K793" s="17">
        <f t="shared" si="120"/>
        <v>3912.3999999999942</v>
      </c>
      <c r="L793" s="23">
        <f t="shared" si="128"/>
        <v>195.61999999999972</v>
      </c>
      <c r="M793" s="33">
        <v>15</v>
      </c>
      <c r="N793" s="18">
        <f t="shared" si="122"/>
        <v>27.38082191780822</v>
      </c>
      <c r="O793" s="23">
        <v>9555.1</v>
      </c>
      <c r="P793" s="18">
        <f t="shared" si="123"/>
        <v>27.882191780821916</v>
      </c>
      <c r="Q793" s="18">
        <v>0</v>
      </c>
      <c r="R793" s="18">
        <f t="shared" si="121"/>
        <v>9555.1</v>
      </c>
      <c r="S793" s="18">
        <f t="shared" si="129"/>
        <v>195.61999999999972</v>
      </c>
    </row>
    <row r="794" spans="1:19" ht="18.75" customHeight="1" x14ac:dyDescent="0.25">
      <c r="A794" s="14">
        <f t="shared" si="125"/>
        <v>791</v>
      </c>
      <c r="B794" s="31" t="s">
        <v>750</v>
      </c>
      <c r="C794" s="15" t="s">
        <v>3</v>
      </c>
      <c r="D794" s="31" t="s">
        <v>500</v>
      </c>
      <c r="E794" s="31"/>
      <c r="F794" s="73" t="s">
        <v>13</v>
      </c>
      <c r="G794" s="32">
        <v>34294</v>
      </c>
      <c r="H794" s="29">
        <v>1257.7999999999993</v>
      </c>
      <c r="I794" s="17">
        <v>0</v>
      </c>
      <c r="J794" s="17">
        <v>0</v>
      </c>
      <c r="K794" s="17">
        <f t="shared" si="120"/>
        <v>1257.7999999999993</v>
      </c>
      <c r="L794" s="23">
        <f t="shared" si="128"/>
        <v>62.889999999999965</v>
      </c>
      <c r="M794" s="33">
        <v>25</v>
      </c>
      <c r="N794" s="18">
        <f t="shared" si="122"/>
        <v>27.38082191780822</v>
      </c>
      <c r="O794" s="23">
        <v>8813.15</v>
      </c>
      <c r="P794" s="18">
        <f t="shared" si="123"/>
        <v>27.882191780821916</v>
      </c>
      <c r="Q794" s="18">
        <v>0</v>
      </c>
      <c r="R794" s="18">
        <f t="shared" si="121"/>
        <v>8813.15</v>
      </c>
      <c r="S794" s="18">
        <f t="shared" si="129"/>
        <v>62.889999999999965</v>
      </c>
    </row>
    <row r="795" spans="1:19" ht="18.75" customHeight="1" x14ac:dyDescent="0.25">
      <c r="A795" s="14">
        <f t="shared" si="125"/>
        <v>792</v>
      </c>
      <c r="B795" s="31" t="s">
        <v>761</v>
      </c>
      <c r="C795" s="15" t="s">
        <v>3</v>
      </c>
      <c r="D795" s="31" t="s">
        <v>500</v>
      </c>
      <c r="E795" s="31"/>
      <c r="F795" s="73" t="s">
        <v>11</v>
      </c>
      <c r="G795" s="32">
        <v>34295</v>
      </c>
      <c r="H795" s="29">
        <v>124758.45000000019</v>
      </c>
      <c r="I795" s="17">
        <v>0</v>
      </c>
      <c r="J795" s="17">
        <v>0</v>
      </c>
      <c r="K795" s="17">
        <f t="shared" si="120"/>
        <v>124758.45000000019</v>
      </c>
      <c r="L795" s="23">
        <f t="shared" si="128"/>
        <v>6237.9225000000097</v>
      </c>
      <c r="M795" s="33">
        <v>25</v>
      </c>
      <c r="N795" s="18">
        <f t="shared" si="122"/>
        <v>27.378082191780823</v>
      </c>
      <c r="O795" s="23">
        <v>7399.5500000000075</v>
      </c>
      <c r="P795" s="18">
        <f t="shared" si="123"/>
        <v>27.87945205479452</v>
      </c>
      <c r="Q795" s="18">
        <v>0</v>
      </c>
      <c r="R795" s="18">
        <f t="shared" si="121"/>
        <v>7399.5500000000075</v>
      </c>
      <c r="S795" s="18">
        <f t="shared" si="124"/>
        <v>117358.90000000018</v>
      </c>
    </row>
    <row r="796" spans="1:19" ht="18.75" customHeight="1" x14ac:dyDescent="0.25">
      <c r="A796" s="14">
        <f t="shared" si="125"/>
        <v>793</v>
      </c>
      <c r="B796" s="31" t="s">
        <v>762</v>
      </c>
      <c r="C796" s="15" t="s">
        <v>3</v>
      </c>
      <c r="D796" s="31" t="s">
        <v>500</v>
      </c>
      <c r="E796" s="31"/>
      <c r="F796" s="73" t="s">
        <v>8</v>
      </c>
      <c r="G796" s="32">
        <v>34295</v>
      </c>
      <c r="H796" s="29">
        <v>69433.600000000093</v>
      </c>
      <c r="I796" s="17">
        <v>0</v>
      </c>
      <c r="J796" s="17">
        <v>0</v>
      </c>
      <c r="K796" s="17">
        <f t="shared" si="120"/>
        <v>69433.600000000093</v>
      </c>
      <c r="L796" s="23">
        <f t="shared" si="128"/>
        <v>3471.6800000000048</v>
      </c>
      <c r="M796" s="33">
        <v>25</v>
      </c>
      <c r="N796" s="18">
        <f t="shared" si="122"/>
        <v>27.378082191780823</v>
      </c>
      <c r="O796" s="23">
        <v>5072.0500000000038</v>
      </c>
      <c r="P796" s="18">
        <f t="shared" si="123"/>
        <v>27.87945205479452</v>
      </c>
      <c r="Q796" s="18">
        <v>0</v>
      </c>
      <c r="R796" s="18">
        <f t="shared" si="121"/>
        <v>5072.0500000000038</v>
      </c>
      <c r="S796" s="18">
        <f t="shared" si="124"/>
        <v>64361.55000000009</v>
      </c>
    </row>
    <row r="797" spans="1:19" ht="18.75" customHeight="1" x14ac:dyDescent="0.25">
      <c r="A797" s="14">
        <f t="shared" si="125"/>
        <v>794</v>
      </c>
      <c r="B797" s="31" t="s">
        <v>763</v>
      </c>
      <c r="C797" s="15" t="s">
        <v>3</v>
      </c>
      <c r="D797" s="31" t="s">
        <v>500</v>
      </c>
      <c r="E797" s="31"/>
      <c r="F797" s="73" t="s">
        <v>13</v>
      </c>
      <c r="G797" s="32">
        <v>19360</v>
      </c>
      <c r="H797" s="29">
        <v>76.150000000000091</v>
      </c>
      <c r="I797" s="17">
        <v>0</v>
      </c>
      <c r="J797" s="17">
        <v>0</v>
      </c>
      <c r="K797" s="17">
        <f t="shared" si="120"/>
        <v>76.150000000000091</v>
      </c>
      <c r="L797" s="23">
        <f t="shared" si="128"/>
        <v>3.8075000000000045</v>
      </c>
      <c r="M797" s="33">
        <v>25</v>
      </c>
      <c r="N797" s="18">
        <f t="shared" si="122"/>
        <v>68.295890410958904</v>
      </c>
      <c r="O797" s="23">
        <v>220715.4</v>
      </c>
      <c r="P797" s="18">
        <f t="shared" si="123"/>
        <v>68.797260273972597</v>
      </c>
      <c r="Q797" s="18">
        <v>0</v>
      </c>
      <c r="R797" s="18">
        <f t="shared" si="121"/>
        <v>220715.4</v>
      </c>
      <c r="S797" s="18">
        <f t="shared" ref="S797:S801" si="130">L797</f>
        <v>3.8075000000000045</v>
      </c>
    </row>
    <row r="798" spans="1:19" ht="18.75" customHeight="1" x14ac:dyDescent="0.25">
      <c r="A798" s="14">
        <f t="shared" si="125"/>
        <v>795</v>
      </c>
      <c r="B798" s="31" t="s">
        <v>764</v>
      </c>
      <c r="C798" s="15" t="s">
        <v>3</v>
      </c>
      <c r="D798" s="31" t="s">
        <v>500</v>
      </c>
      <c r="E798" s="31"/>
      <c r="F798" s="73" t="s">
        <v>4</v>
      </c>
      <c r="G798" s="32">
        <v>19360</v>
      </c>
      <c r="H798" s="29">
        <v>50.799999999999955</v>
      </c>
      <c r="I798" s="17">
        <v>0</v>
      </c>
      <c r="J798" s="17">
        <v>0</v>
      </c>
      <c r="K798" s="17">
        <f t="shared" si="120"/>
        <v>50.799999999999955</v>
      </c>
      <c r="L798" s="23">
        <f t="shared" si="128"/>
        <v>2.5399999999999978</v>
      </c>
      <c r="M798" s="33">
        <v>25</v>
      </c>
      <c r="N798" s="18">
        <f t="shared" si="122"/>
        <v>68.295890410958904</v>
      </c>
      <c r="O798" s="23">
        <v>543.4</v>
      </c>
      <c r="P798" s="18">
        <f t="shared" si="123"/>
        <v>68.797260273972597</v>
      </c>
      <c r="Q798" s="18">
        <v>0</v>
      </c>
      <c r="R798" s="18">
        <f t="shared" si="121"/>
        <v>543.4</v>
      </c>
      <c r="S798" s="18">
        <f t="shared" si="130"/>
        <v>2.5399999999999978</v>
      </c>
    </row>
    <row r="799" spans="1:19" ht="18.75" customHeight="1" x14ac:dyDescent="0.25">
      <c r="A799" s="14">
        <f t="shared" si="125"/>
        <v>796</v>
      </c>
      <c r="B799" s="31" t="s">
        <v>765</v>
      </c>
      <c r="C799" s="15" t="s">
        <v>3</v>
      </c>
      <c r="D799" s="31" t="s">
        <v>500</v>
      </c>
      <c r="E799" s="31"/>
      <c r="F799" s="73" t="s">
        <v>4</v>
      </c>
      <c r="G799" s="32">
        <v>23012</v>
      </c>
      <c r="H799" s="29">
        <v>647.85000000000036</v>
      </c>
      <c r="I799" s="17">
        <v>0</v>
      </c>
      <c r="J799" s="17">
        <v>0</v>
      </c>
      <c r="K799" s="17">
        <f t="shared" si="120"/>
        <v>647.85000000000036</v>
      </c>
      <c r="L799" s="23">
        <f t="shared" si="128"/>
        <v>32.39250000000002</v>
      </c>
      <c r="M799" s="33">
        <v>15</v>
      </c>
      <c r="N799" s="18">
        <f t="shared" si="122"/>
        <v>58.290410958904111</v>
      </c>
      <c r="O799" s="23">
        <v>48845.2</v>
      </c>
      <c r="P799" s="18">
        <f t="shared" si="123"/>
        <v>58.791780821917811</v>
      </c>
      <c r="Q799" s="18">
        <v>0</v>
      </c>
      <c r="R799" s="18">
        <f t="shared" si="121"/>
        <v>48845.2</v>
      </c>
      <c r="S799" s="18">
        <f t="shared" si="130"/>
        <v>32.39250000000002</v>
      </c>
    </row>
    <row r="800" spans="1:19" ht="18.75" customHeight="1" x14ac:dyDescent="0.25">
      <c r="A800" s="14">
        <f t="shared" si="125"/>
        <v>797</v>
      </c>
      <c r="B800" s="31" t="s">
        <v>766</v>
      </c>
      <c r="C800" s="15" t="s">
        <v>3</v>
      </c>
      <c r="D800" s="31" t="s">
        <v>500</v>
      </c>
      <c r="E800" s="31"/>
      <c r="F800" s="70" t="s">
        <v>7</v>
      </c>
      <c r="G800" s="32">
        <v>34644</v>
      </c>
      <c r="H800" s="29">
        <v>4072.1000000000058</v>
      </c>
      <c r="I800" s="17">
        <v>0</v>
      </c>
      <c r="J800" s="17">
        <v>0</v>
      </c>
      <c r="K800" s="17">
        <f t="shared" si="120"/>
        <v>4072.1000000000058</v>
      </c>
      <c r="L800" s="23">
        <f t="shared" si="128"/>
        <v>203.6050000000003</v>
      </c>
      <c r="M800" s="33">
        <v>15</v>
      </c>
      <c r="N800" s="18">
        <f t="shared" si="122"/>
        <v>26.421917808219177</v>
      </c>
      <c r="O800" s="23">
        <v>33820.949999999997</v>
      </c>
      <c r="P800" s="18">
        <f t="shared" si="123"/>
        <v>26.923287671232877</v>
      </c>
      <c r="Q800" s="18">
        <v>0</v>
      </c>
      <c r="R800" s="18">
        <f t="shared" si="121"/>
        <v>33820.949999999997</v>
      </c>
      <c r="S800" s="18">
        <f t="shared" si="130"/>
        <v>203.6050000000003</v>
      </c>
    </row>
    <row r="801" spans="1:19" ht="18.75" customHeight="1" x14ac:dyDescent="0.25">
      <c r="A801" s="14">
        <f t="shared" si="125"/>
        <v>798</v>
      </c>
      <c r="B801" s="31" t="s">
        <v>767</v>
      </c>
      <c r="C801" s="15" t="s">
        <v>3</v>
      </c>
      <c r="D801" s="31" t="s">
        <v>500</v>
      </c>
      <c r="E801" s="31"/>
      <c r="F801" s="73" t="s">
        <v>4</v>
      </c>
      <c r="G801" s="32">
        <v>23012</v>
      </c>
      <c r="H801" s="29">
        <v>308.64999999999964</v>
      </c>
      <c r="I801" s="17">
        <v>0</v>
      </c>
      <c r="J801" s="17">
        <v>0</v>
      </c>
      <c r="K801" s="17">
        <f t="shared" si="120"/>
        <v>308.64999999999964</v>
      </c>
      <c r="L801" s="23">
        <f t="shared" si="128"/>
        <v>15.432499999999983</v>
      </c>
      <c r="M801" s="33">
        <v>15</v>
      </c>
      <c r="N801" s="18">
        <f t="shared" si="122"/>
        <v>58.290410958904111</v>
      </c>
      <c r="O801" s="23">
        <v>3289.85</v>
      </c>
      <c r="P801" s="18">
        <f t="shared" si="123"/>
        <v>58.791780821917811</v>
      </c>
      <c r="Q801" s="18">
        <v>0</v>
      </c>
      <c r="R801" s="18">
        <f t="shared" si="121"/>
        <v>3289.85</v>
      </c>
      <c r="S801" s="18">
        <f t="shared" si="130"/>
        <v>15.432499999999983</v>
      </c>
    </row>
    <row r="802" spans="1:19" ht="18.75" customHeight="1" x14ac:dyDescent="0.25">
      <c r="A802" s="14">
        <f t="shared" si="125"/>
        <v>799</v>
      </c>
      <c r="B802" s="31" t="s">
        <v>768</v>
      </c>
      <c r="C802" s="15" t="s">
        <v>3</v>
      </c>
      <c r="D802" s="31" t="s">
        <v>500</v>
      </c>
      <c r="E802" s="31"/>
      <c r="F802" s="70" t="s">
        <v>7</v>
      </c>
      <c r="G802" s="32">
        <v>34663</v>
      </c>
      <c r="H802" s="29">
        <v>4072.1000000000058</v>
      </c>
      <c r="I802" s="17">
        <v>0</v>
      </c>
      <c r="J802" s="17">
        <v>0</v>
      </c>
      <c r="K802" s="17">
        <f t="shared" si="120"/>
        <v>4072.1000000000058</v>
      </c>
      <c r="L802" s="23">
        <f t="shared" si="128"/>
        <v>203.6050000000003</v>
      </c>
      <c r="M802" s="33">
        <v>15</v>
      </c>
      <c r="N802" s="18">
        <f t="shared" si="122"/>
        <v>26.36986301369863</v>
      </c>
      <c r="O802" s="23">
        <v>1729.9500000000005</v>
      </c>
      <c r="P802" s="18">
        <f t="shared" si="123"/>
        <v>26.87123287671233</v>
      </c>
      <c r="Q802" s="18">
        <v>0</v>
      </c>
      <c r="R802" s="18">
        <f t="shared" si="121"/>
        <v>1729.9500000000005</v>
      </c>
      <c r="S802" s="18">
        <f t="shared" si="124"/>
        <v>2342.1500000000051</v>
      </c>
    </row>
    <row r="803" spans="1:19" ht="18.75" customHeight="1" x14ac:dyDescent="0.25">
      <c r="A803" s="14">
        <f t="shared" si="125"/>
        <v>800</v>
      </c>
      <c r="B803" s="31" t="s">
        <v>673</v>
      </c>
      <c r="C803" s="15" t="s">
        <v>3</v>
      </c>
      <c r="D803" s="31" t="s">
        <v>500</v>
      </c>
      <c r="E803" s="31"/>
      <c r="F803" s="70" t="s">
        <v>7</v>
      </c>
      <c r="G803" s="32">
        <v>36922</v>
      </c>
      <c r="H803" s="29">
        <v>11033.5</v>
      </c>
      <c r="I803" s="17">
        <v>0</v>
      </c>
      <c r="J803" s="17">
        <v>0</v>
      </c>
      <c r="K803" s="17">
        <f t="shared" si="120"/>
        <v>11033.5</v>
      </c>
      <c r="L803" s="23">
        <f t="shared" si="128"/>
        <v>551.67500000000007</v>
      </c>
      <c r="M803" s="33">
        <v>15</v>
      </c>
      <c r="N803" s="18">
        <f t="shared" si="122"/>
        <v>20.18082191780822</v>
      </c>
      <c r="O803" s="23">
        <v>354.35</v>
      </c>
      <c r="P803" s="18">
        <f t="shared" si="123"/>
        <v>20.682191780821917</v>
      </c>
      <c r="Q803" s="18">
        <v>0</v>
      </c>
      <c r="R803" s="18">
        <f t="shared" si="121"/>
        <v>354.35</v>
      </c>
      <c r="S803" s="18">
        <f t="shared" si="124"/>
        <v>10679.15</v>
      </c>
    </row>
    <row r="804" spans="1:19" ht="18.75" customHeight="1" x14ac:dyDescent="0.25">
      <c r="A804" s="14">
        <f t="shared" si="125"/>
        <v>801</v>
      </c>
      <c r="B804" s="31" t="s">
        <v>769</v>
      </c>
      <c r="C804" s="15" t="s">
        <v>3</v>
      </c>
      <c r="D804" s="31" t="s">
        <v>500</v>
      </c>
      <c r="E804" s="31"/>
      <c r="F804" s="70" t="s">
        <v>7</v>
      </c>
      <c r="G804" s="32">
        <v>34295</v>
      </c>
      <c r="H804" s="29">
        <v>48144.900000000023</v>
      </c>
      <c r="I804" s="17">
        <v>0</v>
      </c>
      <c r="J804" s="17">
        <v>0</v>
      </c>
      <c r="K804" s="17">
        <f t="shared" si="120"/>
        <v>48144.900000000023</v>
      </c>
      <c r="L804" s="23">
        <f t="shared" si="128"/>
        <v>2407.2450000000013</v>
      </c>
      <c r="M804" s="33">
        <v>25</v>
      </c>
      <c r="N804" s="18">
        <f t="shared" si="122"/>
        <v>27.378082191780823</v>
      </c>
      <c r="O804" s="23">
        <v>27760.9</v>
      </c>
      <c r="P804" s="18">
        <f t="shared" si="123"/>
        <v>27.87945205479452</v>
      </c>
      <c r="Q804" s="18">
        <v>0</v>
      </c>
      <c r="R804" s="18">
        <f t="shared" si="121"/>
        <v>27760.9</v>
      </c>
      <c r="S804" s="18">
        <f t="shared" si="124"/>
        <v>20384.000000000022</v>
      </c>
    </row>
    <row r="805" spans="1:19" ht="18.75" customHeight="1" x14ac:dyDescent="0.25">
      <c r="A805" s="14">
        <f t="shared" si="125"/>
        <v>802</v>
      </c>
      <c r="B805" s="31" t="s">
        <v>770</v>
      </c>
      <c r="C805" s="15" t="s">
        <v>3</v>
      </c>
      <c r="D805" s="31" t="s">
        <v>500</v>
      </c>
      <c r="E805" s="31"/>
      <c r="F805" s="73" t="s">
        <v>15</v>
      </c>
      <c r="G805" s="32">
        <v>34295</v>
      </c>
      <c r="H805" s="29">
        <v>46224.5</v>
      </c>
      <c r="I805" s="17">
        <v>0</v>
      </c>
      <c r="J805" s="17">
        <v>0</v>
      </c>
      <c r="K805" s="17">
        <f t="shared" si="120"/>
        <v>46224.5</v>
      </c>
      <c r="L805" s="23">
        <f t="shared" si="128"/>
        <v>2311.2249999999999</v>
      </c>
      <c r="M805" s="33">
        <v>25</v>
      </c>
      <c r="N805" s="18">
        <f t="shared" si="122"/>
        <v>27.378082191780823</v>
      </c>
      <c r="O805" s="23">
        <v>2612.5</v>
      </c>
      <c r="P805" s="18">
        <f t="shared" si="123"/>
        <v>27.87945205479452</v>
      </c>
      <c r="Q805" s="18">
        <v>0</v>
      </c>
      <c r="R805" s="18">
        <f t="shared" si="121"/>
        <v>2612.5</v>
      </c>
      <c r="S805" s="18">
        <f t="shared" si="124"/>
        <v>43612</v>
      </c>
    </row>
    <row r="806" spans="1:19" ht="18.75" customHeight="1" x14ac:dyDescent="0.25">
      <c r="A806" s="14">
        <f t="shared" si="125"/>
        <v>803</v>
      </c>
      <c r="B806" s="31" t="s">
        <v>771</v>
      </c>
      <c r="C806" s="15" t="s">
        <v>3</v>
      </c>
      <c r="D806" s="31" t="s">
        <v>500</v>
      </c>
      <c r="E806" s="31"/>
      <c r="F806" s="73" t="s">
        <v>8</v>
      </c>
      <c r="G806" s="32">
        <v>34295</v>
      </c>
      <c r="H806" s="29">
        <v>19798.450000000012</v>
      </c>
      <c r="I806" s="17">
        <v>0</v>
      </c>
      <c r="J806" s="17">
        <v>0</v>
      </c>
      <c r="K806" s="17">
        <f t="shared" si="120"/>
        <v>19798.450000000012</v>
      </c>
      <c r="L806" s="23">
        <f t="shared" si="128"/>
        <v>989.92250000000058</v>
      </c>
      <c r="M806" s="33">
        <v>25</v>
      </c>
      <c r="N806" s="18">
        <f t="shared" si="122"/>
        <v>27.378082191780823</v>
      </c>
      <c r="O806" s="23">
        <v>2299.0000000000005</v>
      </c>
      <c r="P806" s="18">
        <f t="shared" si="123"/>
        <v>27.87945205479452</v>
      </c>
      <c r="Q806" s="18">
        <v>0</v>
      </c>
      <c r="R806" s="18">
        <f t="shared" si="121"/>
        <v>2299.0000000000005</v>
      </c>
      <c r="S806" s="18">
        <f t="shared" si="124"/>
        <v>17499.450000000012</v>
      </c>
    </row>
    <row r="807" spans="1:19" ht="18.75" customHeight="1" x14ac:dyDescent="0.25">
      <c r="A807" s="14">
        <f t="shared" si="125"/>
        <v>804</v>
      </c>
      <c r="B807" s="31" t="s">
        <v>772</v>
      </c>
      <c r="C807" s="15" t="s">
        <v>3</v>
      </c>
      <c r="D807" s="31" t="s">
        <v>500</v>
      </c>
      <c r="E807" s="31"/>
      <c r="F807" s="73" t="s">
        <v>11</v>
      </c>
      <c r="G807" s="32">
        <v>34295</v>
      </c>
      <c r="H807" s="29">
        <v>12991</v>
      </c>
      <c r="I807" s="17">
        <v>0</v>
      </c>
      <c r="J807" s="17">
        <v>0</v>
      </c>
      <c r="K807" s="17">
        <f t="shared" si="120"/>
        <v>12991</v>
      </c>
      <c r="L807" s="23">
        <f t="shared" si="128"/>
        <v>649.55000000000007</v>
      </c>
      <c r="M807" s="33">
        <v>25</v>
      </c>
      <c r="N807" s="18">
        <f t="shared" si="122"/>
        <v>27.378082191780823</v>
      </c>
      <c r="O807" s="23">
        <v>1747.05</v>
      </c>
      <c r="P807" s="18">
        <f t="shared" si="123"/>
        <v>27.87945205479452</v>
      </c>
      <c r="Q807" s="18">
        <v>0</v>
      </c>
      <c r="R807" s="18">
        <f t="shared" si="121"/>
        <v>1747.05</v>
      </c>
      <c r="S807" s="18">
        <f t="shared" si="124"/>
        <v>11243.95</v>
      </c>
    </row>
    <row r="808" spans="1:19" ht="18.75" customHeight="1" x14ac:dyDescent="0.25">
      <c r="A808" s="14">
        <f t="shared" si="125"/>
        <v>805</v>
      </c>
      <c r="B808" s="31" t="s">
        <v>773</v>
      </c>
      <c r="C808" s="15" t="s">
        <v>3</v>
      </c>
      <c r="D808" s="31" t="s">
        <v>500</v>
      </c>
      <c r="E808" s="31"/>
      <c r="F808" s="73" t="s">
        <v>8</v>
      </c>
      <c r="G808" s="32">
        <v>34295</v>
      </c>
      <c r="H808" s="29">
        <v>11451.350000000006</v>
      </c>
      <c r="I808" s="17">
        <v>0</v>
      </c>
      <c r="J808" s="17">
        <v>0</v>
      </c>
      <c r="K808" s="17">
        <f t="shared" si="120"/>
        <v>11451.350000000006</v>
      </c>
      <c r="L808" s="23">
        <f t="shared" si="128"/>
        <v>572.56750000000034</v>
      </c>
      <c r="M808" s="33">
        <v>25</v>
      </c>
      <c r="N808" s="18">
        <f t="shared" si="122"/>
        <v>27.378082191780823</v>
      </c>
      <c r="O808" s="23">
        <v>805.60000000000025</v>
      </c>
      <c r="P808" s="18">
        <f t="shared" si="123"/>
        <v>27.87945205479452</v>
      </c>
      <c r="Q808" s="18">
        <v>0</v>
      </c>
      <c r="R808" s="18">
        <f t="shared" si="121"/>
        <v>805.60000000000025</v>
      </c>
      <c r="S808" s="18">
        <f t="shared" si="124"/>
        <v>10645.750000000005</v>
      </c>
    </row>
    <row r="809" spans="1:19" ht="18.75" customHeight="1" x14ac:dyDescent="0.25">
      <c r="A809" s="14">
        <f t="shared" si="125"/>
        <v>806</v>
      </c>
      <c r="B809" s="31" t="s">
        <v>774</v>
      </c>
      <c r="C809" s="15" t="s">
        <v>3</v>
      </c>
      <c r="D809" s="31" t="s">
        <v>500</v>
      </c>
      <c r="E809" s="31"/>
      <c r="F809" s="73" t="s">
        <v>11</v>
      </c>
      <c r="G809" s="32">
        <v>34296</v>
      </c>
      <c r="H809" s="29">
        <v>60645.699999999953</v>
      </c>
      <c r="I809" s="17">
        <v>0</v>
      </c>
      <c r="J809" s="17">
        <v>0</v>
      </c>
      <c r="K809" s="17">
        <f t="shared" si="120"/>
        <v>60645.699999999953</v>
      </c>
      <c r="L809" s="23">
        <f t="shared" si="128"/>
        <v>3032.284999999998</v>
      </c>
      <c r="M809" s="33">
        <v>25</v>
      </c>
      <c r="N809" s="18">
        <f t="shared" si="122"/>
        <v>27.375342465753423</v>
      </c>
      <c r="O809" s="23">
        <v>493.99999999999795</v>
      </c>
      <c r="P809" s="18">
        <f t="shared" si="123"/>
        <v>27.876712328767123</v>
      </c>
      <c r="Q809" s="18">
        <v>0</v>
      </c>
      <c r="R809" s="18">
        <f t="shared" si="121"/>
        <v>493.99999999999795</v>
      </c>
      <c r="S809" s="18">
        <f t="shared" si="124"/>
        <v>60151.699999999953</v>
      </c>
    </row>
    <row r="810" spans="1:19" ht="18.75" customHeight="1" x14ac:dyDescent="0.25">
      <c r="A810" s="14">
        <f t="shared" si="125"/>
        <v>807</v>
      </c>
      <c r="B810" s="31" t="s">
        <v>775</v>
      </c>
      <c r="C810" s="15" t="s">
        <v>3</v>
      </c>
      <c r="D810" s="31" t="s">
        <v>500</v>
      </c>
      <c r="E810" s="31"/>
      <c r="F810" s="73" t="s">
        <v>8</v>
      </c>
      <c r="G810" s="32">
        <v>34296</v>
      </c>
      <c r="H810" s="29">
        <v>24841.549999999988</v>
      </c>
      <c r="I810" s="17">
        <v>0</v>
      </c>
      <c r="J810" s="17">
        <v>0</v>
      </c>
      <c r="K810" s="17">
        <f t="shared" si="120"/>
        <v>24841.549999999988</v>
      </c>
      <c r="L810" s="23">
        <f t="shared" si="128"/>
        <v>1242.0774999999994</v>
      </c>
      <c r="M810" s="33">
        <v>25</v>
      </c>
      <c r="N810" s="18">
        <f t="shared" si="122"/>
        <v>27.375342465753423</v>
      </c>
      <c r="O810" s="23">
        <v>381.89999999999941</v>
      </c>
      <c r="P810" s="18">
        <f t="shared" si="123"/>
        <v>27.876712328767123</v>
      </c>
      <c r="Q810" s="18">
        <v>0</v>
      </c>
      <c r="R810" s="18">
        <f t="shared" si="121"/>
        <v>381.89999999999941</v>
      </c>
      <c r="S810" s="18">
        <f t="shared" si="124"/>
        <v>24459.649999999991</v>
      </c>
    </row>
    <row r="811" spans="1:19" ht="18.75" customHeight="1" x14ac:dyDescent="0.25">
      <c r="A811" s="14">
        <f t="shared" si="125"/>
        <v>808</v>
      </c>
      <c r="B811" s="31" t="s">
        <v>776</v>
      </c>
      <c r="C811" s="15" t="s">
        <v>3</v>
      </c>
      <c r="D811" s="31" t="s">
        <v>500</v>
      </c>
      <c r="E811" s="31"/>
      <c r="F811" s="70" t="s">
        <v>7</v>
      </c>
      <c r="G811" s="32">
        <v>35020</v>
      </c>
      <c r="H811" s="29">
        <v>4459</v>
      </c>
      <c r="I811" s="17">
        <v>0</v>
      </c>
      <c r="J811" s="17">
        <v>0</v>
      </c>
      <c r="K811" s="17">
        <f t="shared" si="120"/>
        <v>4459</v>
      </c>
      <c r="L811" s="23">
        <f t="shared" si="128"/>
        <v>222.95000000000002</v>
      </c>
      <c r="M811" s="33">
        <v>15</v>
      </c>
      <c r="N811" s="18">
        <f t="shared" si="122"/>
        <v>25.391780821917809</v>
      </c>
      <c r="O811" s="23">
        <v>27634.55</v>
      </c>
      <c r="P811" s="18">
        <f t="shared" si="123"/>
        <v>25.893150684931506</v>
      </c>
      <c r="Q811" s="18">
        <v>0</v>
      </c>
      <c r="R811" s="18">
        <f t="shared" si="121"/>
        <v>27634.55</v>
      </c>
      <c r="S811" s="18">
        <f>L811</f>
        <v>222.95000000000002</v>
      </c>
    </row>
    <row r="812" spans="1:19" ht="18.75" customHeight="1" x14ac:dyDescent="0.25">
      <c r="A812" s="14">
        <f t="shared" si="125"/>
        <v>809</v>
      </c>
      <c r="B812" s="31" t="s">
        <v>777</v>
      </c>
      <c r="C812" s="15" t="s">
        <v>3</v>
      </c>
      <c r="D812" s="31" t="s">
        <v>500</v>
      </c>
      <c r="E812" s="31"/>
      <c r="F812" s="73" t="s">
        <v>8</v>
      </c>
      <c r="G812" s="32">
        <v>34296</v>
      </c>
      <c r="H812" s="29">
        <v>18245.549999999988</v>
      </c>
      <c r="I812" s="17">
        <v>0</v>
      </c>
      <c r="J812" s="17">
        <v>0</v>
      </c>
      <c r="K812" s="17">
        <f t="shared" si="120"/>
        <v>18245.549999999988</v>
      </c>
      <c r="L812" s="23">
        <f t="shared" si="128"/>
        <v>912.27749999999946</v>
      </c>
      <c r="M812" s="33">
        <v>25</v>
      </c>
      <c r="N812" s="18">
        <f t="shared" si="122"/>
        <v>27.375342465753423</v>
      </c>
      <c r="O812" s="23">
        <v>17051.55</v>
      </c>
      <c r="P812" s="18">
        <f t="shared" si="123"/>
        <v>27.876712328767123</v>
      </c>
      <c r="Q812" s="18">
        <v>0</v>
      </c>
      <c r="R812" s="18">
        <f t="shared" si="121"/>
        <v>17051.55</v>
      </c>
      <c r="S812" s="18">
        <f t="shared" si="124"/>
        <v>1193.9999999999891</v>
      </c>
    </row>
    <row r="813" spans="1:19" ht="18.75" customHeight="1" x14ac:dyDescent="0.25">
      <c r="A813" s="14">
        <f t="shared" si="125"/>
        <v>810</v>
      </c>
      <c r="B813" s="31" t="s">
        <v>778</v>
      </c>
      <c r="C813" s="15" t="s">
        <v>3</v>
      </c>
      <c r="D813" s="31" t="s">
        <v>500</v>
      </c>
      <c r="E813" s="31"/>
      <c r="F813" s="73" t="s">
        <v>4</v>
      </c>
      <c r="G813" s="32">
        <v>34298</v>
      </c>
      <c r="H813" s="29">
        <v>45027.699999999953</v>
      </c>
      <c r="I813" s="17">
        <v>0</v>
      </c>
      <c r="J813" s="17">
        <v>0</v>
      </c>
      <c r="K813" s="17">
        <f t="shared" si="120"/>
        <v>45027.699999999953</v>
      </c>
      <c r="L813" s="23">
        <f t="shared" si="128"/>
        <v>2251.3849999999979</v>
      </c>
      <c r="M813" s="33">
        <v>25</v>
      </c>
      <c r="N813" s="18">
        <f t="shared" si="122"/>
        <v>27.36986301369863</v>
      </c>
      <c r="O813" s="23">
        <v>5180.3499999999985</v>
      </c>
      <c r="P813" s="18">
        <f t="shared" si="123"/>
        <v>27.87123287671233</v>
      </c>
      <c r="Q813" s="18">
        <v>0</v>
      </c>
      <c r="R813" s="18">
        <f t="shared" si="121"/>
        <v>5180.3499999999985</v>
      </c>
      <c r="S813" s="18">
        <f t="shared" si="124"/>
        <v>39847.349999999955</v>
      </c>
    </row>
    <row r="814" spans="1:19" ht="18.75" customHeight="1" x14ac:dyDescent="0.25">
      <c r="A814" s="14">
        <f t="shared" si="125"/>
        <v>811</v>
      </c>
      <c r="B814" s="31" t="s">
        <v>779</v>
      </c>
      <c r="C814" s="15" t="s">
        <v>3</v>
      </c>
      <c r="D814" s="31" t="s">
        <v>500</v>
      </c>
      <c r="E814" s="31"/>
      <c r="F814" s="73" t="s">
        <v>4</v>
      </c>
      <c r="G814" s="32">
        <v>34301</v>
      </c>
      <c r="H814" s="29">
        <v>249.39999999999964</v>
      </c>
      <c r="I814" s="17">
        <v>0</v>
      </c>
      <c r="J814" s="17">
        <v>0</v>
      </c>
      <c r="K814" s="17">
        <f t="shared" si="120"/>
        <v>249.39999999999964</v>
      </c>
      <c r="L814" s="23">
        <f t="shared" si="128"/>
        <v>12.469999999999983</v>
      </c>
      <c r="M814" s="33">
        <v>25</v>
      </c>
      <c r="N814" s="18">
        <f t="shared" si="122"/>
        <v>27.361643835616437</v>
      </c>
      <c r="O814" s="23">
        <v>1927.55</v>
      </c>
      <c r="P814" s="18">
        <f t="shared" si="123"/>
        <v>27.863013698630137</v>
      </c>
      <c r="Q814" s="18">
        <v>0</v>
      </c>
      <c r="R814" s="18">
        <f t="shared" si="121"/>
        <v>1927.55</v>
      </c>
      <c r="S814" s="18">
        <f>L814</f>
        <v>12.469999999999983</v>
      </c>
    </row>
    <row r="815" spans="1:19" ht="18.75" customHeight="1" x14ac:dyDescent="0.25">
      <c r="A815" s="14">
        <f t="shared" si="125"/>
        <v>812</v>
      </c>
      <c r="B815" s="31" t="s">
        <v>780</v>
      </c>
      <c r="C815" s="15" t="s">
        <v>3</v>
      </c>
      <c r="D815" s="31" t="s">
        <v>500</v>
      </c>
      <c r="E815" s="31"/>
      <c r="F815" s="73" t="s">
        <v>8</v>
      </c>
      <c r="G815" s="32">
        <v>19725</v>
      </c>
      <c r="H815" s="29">
        <v>1132.75</v>
      </c>
      <c r="I815" s="17">
        <v>0</v>
      </c>
      <c r="J815" s="17">
        <v>0</v>
      </c>
      <c r="K815" s="17">
        <f t="shared" si="120"/>
        <v>1132.75</v>
      </c>
      <c r="L815" s="23">
        <f t="shared" si="128"/>
        <v>56.637500000000003</v>
      </c>
      <c r="M815" s="33">
        <v>25</v>
      </c>
      <c r="N815" s="18">
        <f t="shared" si="122"/>
        <v>67.295890410958904</v>
      </c>
      <c r="O815" s="23">
        <v>1082.05</v>
      </c>
      <c r="P815" s="18">
        <f t="shared" si="123"/>
        <v>67.797260273972597</v>
      </c>
      <c r="Q815" s="18">
        <v>0</v>
      </c>
      <c r="R815" s="18">
        <f t="shared" si="121"/>
        <v>1082.05</v>
      </c>
      <c r="S815" s="18">
        <f t="shared" si="124"/>
        <v>50.700000000000045</v>
      </c>
    </row>
    <row r="816" spans="1:19" ht="18.75" customHeight="1" x14ac:dyDescent="0.25">
      <c r="A816" s="14">
        <f t="shared" si="125"/>
        <v>813</v>
      </c>
      <c r="B816" s="31" t="s">
        <v>781</v>
      </c>
      <c r="C816" s="15" t="s">
        <v>3</v>
      </c>
      <c r="D816" s="31" t="s">
        <v>500</v>
      </c>
      <c r="E816" s="31"/>
      <c r="F816" s="70" t="s">
        <v>7</v>
      </c>
      <c r="G816" s="32">
        <v>39859</v>
      </c>
      <c r="H816" s="29">
        <v>4626.6010273972606</v>
      </c>
      <c r="I816" s="17">
        <v>0</v>
      </c>
      <c r="J816" s="17">
        <v>0</v>
      </c>
      <c r="K816" s="17">
        <f t="shared" si="120"/>
        <v>4626.6010273972606</v>
      </c>
      <c r="L816" s="23">
        <f t="shared" si="128"/>
        <v>231.33005136986304</v>
      </c>
      <c r="M816" s="33">
        <v>15</v>
      </c>
      <c r="N816" s="18">
        <f t="shared" si="122"/>
        <v>12.134246575342466</v>
      </c>
      <c r="O816" s="23">
        <v>474.11506849315072</v>
      </c>
      <c r="P816" s="18">
        <f t="shared" si="123"/>
        <v>12.635616438356164</v>
      </c>
      <c r="Q816" s="18">
        <f t="shared" ref="Q816:Q844" si="131">(P816-N816)/M816*(K816-L816)</f>
        <v>146.91042714392933</v>
      </c>
      <c r="R816" s="18">
        <f t="shared" si="121"/>
        <v>621.02549563707998</v>
      </c>
      <c r="S816" s="18">
        <f t="shared" si="124"/>
        <v>4005.5755317601806</v>
      </c>
    </row>
    <row r="817" spans="1:19" ht="18.75" customHeight="1" x14ac:dyDescent="0.25">
      <c r="A817" s="14">
        <f t="shared" si="125"/>
        <v>814</v>
      </c>
      <c r="B817" s="31" t="s">
        <v>782</v>
      </c>
      <c r="C817" s="15" t="s">
        <v>3</v>
      </c>
      <c r="D817" s="31" t="s">
        <v>500</v>
      </c>
      <c r="E817" s="31"/>
      <c r="F817" s="73" t="s">
        <v>8</v>
      </c>
      <c r="G817" s="32">
        <v>19725</v>
      </c>
      <c r="H817" s="29">
        <v>484.45000000000073</v>
      </c>
      <c r="I817" s="17">
        <v>0</v>
      </c>
      <c r="J817" s="17">
        <v>0</v>
      </c>
      <c r="K817" s="17">
        <f t="shared" si="120"/>
        <v>484.45000000000073</v>
      </c>
      <c r="L817" s="23">
        <f t="shared" si="128"/>
        <v>24.222500000000039</v>
      </c>
      <c r="M817" s="33">
        <v>25</v>
      </c>
      <c r="N817" s="18">
        <f t="shared" si="122"/>
        <v>67.295890410958904</v>
      </c>
      <c r="O817" s="23">
        <v>56022.45</v>
      </c>
      <c r="P817" s="18">
        <f t="shared" si="123"/>
        <v>67.797260273972597</v>
      </c>
      <c r="Q817" s="18">
        <v>0</v>
      </c>
      <c r="R817" s="18">
        <f t="shared" si="121"/>
        <v>56022.45</v>
      </c>
      <c r="S817" s="18">
        <f t="shared" ref="S817:S818" si="132">L817</f>
        <v>24.222500000000039</v>
      </c>
    </row>
    <row r="818" spans="1:19" ht="18.75" customHeight="1" x14ac:dyDescent="0.25">
      <c r="A818" s="14">
        <f t="shared" si="125"/>
        <v>815</v>
      </c>
      <c r="B818" s="31" t="s">
        <v>525</v>
      </c>
      <c r="C818" s="15" t="s">
        <v>3</v>
      </c>
      <c r="D818" s="31" t="s">
        <v>500</v>
      </c>
      <c r="E818" s="31"/>
      <c r="F818" s="70" t="s">
        <v>7</v>
      </c>
      <c r="G818" s="32">
        <v>41713</v>
      </c>
      <c r="H818" s="29">
        <v>8319.0369862100451</v>
      </c>
      <c r="I818" s="17">
        <v>0</v>
      </c>
      <c r="J818" s="17">
        <v>0</v>
      </c>
      <c r="K818" s="17">
        <f t="shared" si="120"/>
        <v>8319.0369862100451</v>
      </c>
      <c r="L818" s="23">
        <f t="shared" si="128"/>
        <v>415.95184931050227</v>
      </c>
      <c r="M818" s="33">
        <v>15</v>
      </c>
      <c r="N818" s="18">
        <f t="shared" si="122"/>
        <v>7.0547945205479454</v>
      </c>
      <c r="O818" s="23">
        <v>24331.63009908067</v>
      </c>
      <c r="P818" s="18">
        <f t="shared" si="123"/>
        <v>7.5561643835616437</v>
      </c>
      <c r="Q818" s="18">
        <f t="shared" si="131"/>
        <v>264.15791416486121</v>
      </c>
      <c r="R818" s="18">
        <f t="shared" si="121"/>
        <v>24595.788013245532</v>
      </c>
      <c r="S818" s="18">
        <f t="shared" si="132"/>
        <v>415.95184931050227</v>
      </c>
    </row>
    <row r="819" spans="1:19" ht="18.75" customHeight="1" x14ac:dyDescent="0.25">
      <c r="A819" s="14">
        <f t="shared" si="125"/>
        <v>816</v>
      </c>
      <c r="B819" s="31" t="s">
        <v>783</v>
      </c>
      <c r="C819" s="15" t="s">
        <v>3</v>
      </c>
      <c r="D819" s="31" t="s">
        <v>500</v>
      </c>
      <c r="E819" s="31"/>
      <c r="F819" s="70" t="s">
        <v>7</v>
      </c>
      <c r="G819" s="32">
        <v>36160</v>
      </c>
      <c r="H819" s="29">
        <v>9543.6499999999942</v>
      </c>
      <c r="I819" s="17">
        <v>0</v>
      </c>
      <c r="J819" s="17">
        <v>0</v>
      </c>
      <c r="K819" s="17">
        <f t="shared" si="120"/>
        <v>9543.6499999999942</v>
      </c>
      <c r="L819" s="23">
        <f t="shared" si="128"/>
        <v>477.18249999999972</v>
      </c>
      <c r="M819" s="33">
        <v>15</v>
      </c>
      <c r="N819" s="18">
        <f t="shared" si="122"/>
        <v>22.268493150684932</v>
      </c>
      <c r="O819" s="23">
        <v>3239.4999999999995</v>
      </c>
      <c r="P819" s="18">
        <f t="shared" si="123"/>
        <v>22.769863013698629</v>
      </c>
      <c r="Q819" s="18">
        <v>0</v>
      </c>
      <c r="R819" s="18">
        <f t="shared" si="121"/>
        <v>3239.4999999999995</v>
      </c>
      <c r="S819" s="18">
        <f t="shared" si="124"/>
        <v>6304.1499999999942</v>
      </c>
    </row>
    <row r="820" spans="1:19" ht="18.75" customHeight="1" x14ac:dyDescent="0.25">
      <c r="A820" s="14">
        <f t="shared" si="125"/>
        <v>817</v>
      </c>
      <c r="B820" s="31" t="s">
        <v>784</v>
      </c>
      <c r="C820" s="15" t="s">
        <v>3</v>
      </c>
      <c r="D820" s="31" t="s">
        <v>500</v>
      </c>
      <c r="E820" s="31"/>
      <c r="F820" s="73" t="s">
        <v>11</v>
      </c>
      <c r="G820" s="32">
        <v>37346</v>
      </c>
      <c r="H820" s="29">
        <v>3340.1999999999971</v>
      </c>
      <c r="I820" s="17">
        <v>0</v>
      </c>
      <c r="J820" s="17">
        <v>0</v>
      </c>
      <c r="K820" s="17">
        <f t="shared" si="120"/>
        <v>3340.1999999999971</v>
      </c>
      <c r="L820" s="23">
        <f t="shared" si="128"/>
        <v>167.00999999999988</v>
      </c>
      <c r="M820" s="33">
        <v>15</v>
      </c>
      <c r="N820" s="18">
        <f t="shared" si="122"/>
        <v>19.019178082191782</v>
      </c>
      <c r="O820" s="23">
        <v>1939.8999999999999</v>
      </c>
      <c r="P820" s="18">
        <f t="shared" si="123"/>
        <v>19.520547945205479</v>
      </c>
      <c r="Q820" s="18">
        <v>0</v>
      </c>
      <c r="R820" s="18">
        <f t="shared" si="121"/>
        <v>1939.8999999999999</v>
      </c>
      <c r="S820" s="18">
        <f t="shared" si="124"/>
        <v>1400.2999999999972</v>
      </c>
    </row>
    <row r="821" spans="1:19" ht="18.75" customHeight="1" x14ac:dyDescent="0.25">
      <c r="A821" s="14">
        <f t="shared" si="125"/>
        <v>818</v>
      </c>
      <c r="B821" s="31" t="s">
        <v>785</v>
      </c>
      <c r="C821" s="15" t="s">
        <v>3</v>
      </c>
      <c r="D821" s="31" t="s">
        <v>500</v>
      </c>
      <c r="E821" s="31"/>
      <c r="F821" s="73" t="s">
        <v>11</v>
      </c>
      <c r="G821" s="32">
        <v>34303</v>
      </c>
      <c r="H821" s="29">
        <v>28966.349999999977</v>
      </c>
      <c r="I821" s="17">
        <v>0</v>
      </c>
      <c r="J821" s="17">
        <v>0</v>
      </c>
      <c r="K821" s="17">
        <f t="shared" si="120"/>
        <v>28966.349999999977</v>
      </c>
      <c r="L821" s="23">
        <f t="shared" si="128"/>
        <v>1448.317499999999</v>
      </c>
      <c r="M821" s="33">
        <v>25</v>
      </c>
      <c r="N821" s="18">
        <f t="shared" si="122"/>
        <v>27.356164383561644</v>
      </c>
      <c r="O821" s="23">
        <v>254625.65</v>
      </c>
      <c r="P821" s="18">
        <f t="shared" si="123"/>
        <v>27.857534246575341</v>
      </c>
      <c r="Q821" s="18">
        <v>0</v>
      </c>
      <c r="R821" s="18">
        <f t="shared" si="121"/>
        <v>254625.65</v>
      </c>
      <c r="S821" s="18">
        <f t="shared" ref="S821:S822" si="133">L821</f>
        <v>1448.317499999999</v>
      </c>
    </row>
    <row r="822" spans="1:19" ht="18.75" customHeight="1" x14ac:dyDescent="0.25">
      <c r="A822" s="14">
        <f t="shared" si="125"/>
        <v>819</v>
      </c>
      <c r="B822" s="31" t="s">
        <v>786</v>
      </c>
      <c r="C822" s="15" t="s">
        <v>3</v>
      </c>
      <c r="D822" s="31" t="s">
        <v>500</v>
      </c>
      <c r="E822" s="31"/>
      <c r="F822" s="73" t="s">
        <v>11</v>
      </c>
      <c r="G822" s="32">
        <v>34303</v>
      </c>
      <c r="H822" s="29">
        <v>2846.3000000000029</v>
      </c>
      <c r="I822" s="17">
        <v>0</v>
      </c>
      <c r="J822" s="17">
        <v>0</v>
      </c>
      <c r="K822" s="17">
        <f t="shared" si="120"/>
        <v>2846.3000000000029</v>
      </c>
      <c r="L822" s="23">
        <f t="shared" si="128"/>
        <v>142.31500000000014</v>
      </c>
      <c r="M822" s="33">
        <v>25</v>
      </c>
      <c r="N822" s="18">
        <f t="shared" si="122"/>
        <v>27.356164383561644</v>
      </c>
      <c r="O822" s="23">
        <v>26429</v>
      </c>
      <c r="P822" s="18">
        <f t="shared" si="123"/>
        <v>27.857534246575341</v>
      </c>
      <c r="Q822" s="18">
        <v>0</v>
      </c>
      <c r="R822" s="18">
        <f t="shared" si="121"/>
        <v>26429</v>
      </c>
      <c r="S822" s="18">
        <f t="shared" si="133"/>
        <v>142.31500000000014</v>
      </c>
    </row>
    <row r="823" spans="1:19" ht="18.75" customHeight="1" x14ac:dyDescent="0.25">
      <c r="A823" s="14">
        <f t="shared" si="125"/>
        <v>820</v>
      </c>
      <c r="B823" s="31" t="s">
        <v>787</v>
      </c>
      <c r="C823" s="15" t="s">
        <v>3</v>
      </c>
      <c r="D823" s="31" t="s">
        <v>500</v>
      </c>
      <c r="E823" s="31"/>
      <c r="F823" s="73" t="s">
        <v>11</v>
      </c>
      <c r="G823" s="32">
        <v>34304</v>
      </c>
      <c r="H823" s="29">
        <v>198147.29999999981</v>
      </c>
      <c r="I823" s="17">
        <v>0</v>
      </c>
      <c r="J823" s="17">
        <v>0</v>
      </c>
      <c r="K823" s="17">
        <f t="shared" si="120"/>
        <v>198147.29999999981</v>
      </c>
      <c r="L823" s="23">
        <f t="shared" si="128"/>
        <v>9907.3649999999907</v>
      </c>
      <c r="M823" s="33">
        <v>25</v>
      </c>
      <c r="N823" s="18">
        <f t="shared" si="122"/>
        <v>27.353424657534248</v>
      </c>
      <c r="O823" s="23">
        <v>1500.9999999999918</v>
      </c>
      <c r="P823" s="18">
        <f t="shared" si="123"/>
        <v>27.854794520547944</v>
      </c>
      <c r="Q823" s="18">
        <v>0</v>
      </c>
      <c r="R823" s="18">
        <f t="shared" si="121"/>
        <v>1500.9999999999918</v>
      </c>
      <c r="S823" s="18">
        <f t="shared" si="124"/>
        <v>196646.29999999981</v>
      </c>
    </row>
    <row r="824" spans="1:19" ht="18.75" customHeight="1" x14ac:dyDescent="0.25">
      <c r="A824" s="14">
        <f t="shared" si="125"/>
        <v>821</v>
      </c>
      <c r="B824" s="31" t="s">
        <v>788</v>
      </c>
      <c r="C824" s="15" t="s">
        <v>3</v>
      </c>
      <c r="D824" s="31" t="s">
        <v>500</v>
      </c>
      <c r="E824" s="31"/>
      <c r="F824" s="73" t="s">
        <v>11</v>
      </c>
      <c r="G824" s="32">
        <v>34304</v>
      </c>
      <c r="H824" s="29">
        <v>135912.45000000019</v>
      </c>
      <c r="I824" s="17">
        <v>0</v>
      </c>
      <c r="J824" s="17">
        <v>0</v>
      </c>
      <c r="K824" s="17">
        <f t="shared" si="120"/>
        <v>135912.45000000019</v>
      </c>
      <c r="L824" s="23">
        <f t="shared" si="128"/>
        <v>6795.6225000000095</v>
      </c>
      <c r="M824" s="33">
        <v>25</v>
      </c>
      <c r="N824" s="18">
        <f t="shared" si="122"/>
        <v>27.353424657534248</v>
      </c>
      <c r="O824" s="23">
        <v>209444.6</v>
      </c>
      <c r="P824" s="18">
        <f t="shared" si="123"/>
        <v>27.854794520547944</v>
      </c>
      <c r="Q824" s="18">
        <v>0</v>
      </c>
      <c r="R824" s="18">
        <f t="shared" si="121"/>
        <v>209444.6</v>
      </c>
      <c r="S824" s="18">
        <f t="shared" ref="S824:S825" si="134">L824</f>
        <v>6795.6225000000095</v>
      </c>
    </row>
    <row r="825" spans="1:19" ht="18.75" customHeight="1" x14ac:dyDescent="0.25">
      <c r="A825" s="14">
        <f t="shared" si="125"/>
        <v>822</v>
      </c>
      <c r="B825" s="31" t="s">
        <v>789</v>
      </c>
      <c r="C825" s="15" t="s">
        <v>3</v>
      </c>
      <c r="D825" s="31" t="s">
        <v>500</v>
      </c>
      <c r="E825" s="31"/>
      <c r="F825" s="73" t="s">
        <v>8</v>
      </c>
      <c r="G825" s="32">
        <v>19725</v>
      </c>
      <c r="H825" s="29">
        <v>484.45000000000073</v>
      </c>
      <c r="I825" s="17">
        <v>0</v>
      </c>
      <c r="J825" s="17">
        <v>0</v>
      </c>
      <c r="K825" s="17">
        <f t="shared" si="120"/>
        <v>484.45000000000073</v>
      </c>
      <c r="L825" s="23">
        <f t="shared" si="128"/>
        <v>24.222500000000039</v>
      </c>
      <c r="M825" s="33">
        <v>25</v>
      </c>
      <c r="N825" s="18">
        <f t="shared" si="122"/>
        <v>67.295890410958904</v>
      </c>
      <c r="O825" s="23">
        <v>36314.699999999997</v>
      </c>
      <c r="P825" s="18">
        <f t="shared" si="123"/>
        <v>67.797260273972597</v>
      </c>
      <c r="Q825" s="18">
        <v>0</v>
      </c>
      <c r="R825" s="18">
        <f t="shared" si="121"/>
        <v>36314.699999999997</v>
      </c>
      <c r="S825" s="18">
        <f t="shared" si="134"/>
        <v>24.222500000000039</v>
      </c>
    </row>
    <row r="826" spans="1:19" ht="18.75" customHeight="1" x14ac:dyDescent="0.25">
      <c r="A826" s="14">
        <f t="shared" si="125"/>
        <v>823</v>
      </c>
      <c r="B826" s="31" t="s">
        <v>790</v>
      </c>
      <c r="C826" s="15" t="s">
        <v>3</v>
      </c>
      <c r="D826" s="31" t="s">
        <v>500</v>
      </c>
      <c r="E826" s="31"/>
      <c r="F826" s="73" t="s">
        <v>11</v>
      </c>
      <c r="G826" s="32">
        <v>34304</v>
      </c>
      <c r="H826" s="29">
        <v>103339.39999999991</v>
      </c>
      <c r="I826" s="17">
        <v>0</v>
      </c>
      <c r="J826" s="17">
        <v>0</v>
      </c>
      <c r="K826" s="17">
        <f t="shared" si="120"/>
        <v>103339.39999999991</v>
      </c>
      <c r="L826" s="23">
        <f t="shared" si="128"/>
        <v>5166.9699999999957</v>
      </c>
      <c r="M826" s="33">
        <v>25</v>
      </c>
      <c r="N826" s="18">
        <f t="shared" si="122"/>
        <v>27.353424657534248</v>
      </c>
      <c r="O826" s="23">
        <v>24318.099999999995</v>
      </c>
      <c r="P826" s="18">
        <f t="shared" si="123"/>
        <v>27.854794520547944</v>
      </c>
      <c r="Q826" s="18">
        <v>0</v>
      </c>
      <c r="R826" s="18">
        <f t="shared" si="121"/>
        <v>24318.099999999995</v>
      </c>
      <c r="S826" s="18">
        <f t="shared" si="124"/>
        <v>79021.299999999916</v>
      </c>
    </row>
    <row r="827" spans="1:19" ht="18.75" customHeight="1" x14ac:dyDescent="0.25">
      <c r="A827" s="14">
        <f t="shared" si="125"/>
        <v>824</v>
      </c>
      <c r="B827" s="31" t="s">
        <v>791</v>
      </c>
      <c r="C827" s="15" t="s">
        <v>3</v>
      </c>
      <c r="D827" s="31" t="s">
        <v>500</v>
      </c>
      <c r="E827" s="31"/>
      <c r="F827" s="73" t="s">
        <v>4</v>
      </c>
      <c r="G827" s="32">
        <v>34304</v>
      </c>
      <c r="H827" s="29">
        <v>23164.200000000012</v>
      </c>
      <c r="I827" s="17">
        <v>0</v>
      </c>
      <c r="J827" s="17">
        <v>0</v>
      </c>
      <c r="K827" s="17">
        <f t="shared" si="120"/>
        <v>23164.200000000012</v>
      </c>
      <c r="L827" s="23">
        <f t="shared" si="128"/>
        <v>1158.2100000000007</v>
      </c>
      <c r="M827" s="33">
        <v>25</v>
      </c>
      <c r="N827" s="18">
        <f t="shared" si="122"/>
        <v>27.353424657534248</v>
      </c>
      <c r="O827" s="23">
        <v>440082.75</v>
      </c>
      <c r="P827" s="18">
        <f t="shared" si="123"/>
        <v>27.854794520547944</v>
      </c>
      <c r="Q827" s="18">
        <v>0</v>
      </c>
      <c r="R827" s="18">
        <f t="shared" si="121"/>
        <v>440082.75</v>
      </c>
      <c r="S827" s="18">
        <f t="shared" ref="S827:S829" si="135">L827</f>
        <v>1158.2100000000007</v>
      </c>
    </row>
    <row r="828" spans="1:19" ht="18.75" customHeight="1" x14ac:dyDescent="0.25">
      <c r="A828" s="14">
        <f t="shared" si="125"/>
        <v>825</v>
      </c>
      <c r="B828" s="31" t="s">
        <v>507</v>
      </c>
      <c r="C828" s="15" t="s">
        <v>3</v>
      </c>
      <c r="D828" s="31" t="s">
        <v>500</v>
      </c>
      <c r="E828" s="31"/>
      <c r="F828" s="70" t="s">
        <v>7</v>
      </c>
      <c r="G828" s="32">
        <v>39493</v>
      </c>
      <c r="H828" s="29">
        <v>9242.0918949771676</v>
      </c>
      <c r="I828" s="17">
        <v>0</v>
      </c>
      <c r="J828" s="17">
        <v>0</v>
      </c>
      <c r="K828" s="17">
        <f t="shared" si="120"/>
        <v>9242.0918949771676</v>
      </c>
      <c r="L828" s="23">
        <f t="shared" si="128"/>
        <v>462.1045947488584</v>
      </c>
      <c r="M828" s="33">
        <v>15</v>
      </c>
      <c r="N828" s="18">
        <f t="shared" si="122"/>
        <v>13.136986301369863</v>
      </c>
      <c r="O828" s="23">
        <v>71955.547792998477</v>
      </c>
      <c r="P828" s="18">
        <f t="shared" si="123"/>
        <v>13.638356164383561</v>
      </c>
      <c r="Q828" s="18">
        <f t="shared" si="131"/>
        <v>293.46806866516516</v>
      </c>
      <c r="R828" s="18">
        <f t="shared" si="121"/>
        <v>72249.015861663647</v>
      </c>
      <c r="S828" s="18">
        <f t="shared" si="135"/>
        <v>462.1045947488584</v>
      </c>
    </row>
    <row r="829" spans="1:19" ht="18.75" customHeight="1" x14ac:dyDescent="0.25">
      <c r="A829" s="14">
        <f t="shared" si="125"/>
        <v>826</v>
      </c>
      <c r="B829" s="31" t="s">
        <v>792</v>
      </c>
      <c r="C829" s="15" t="s">
        <v>3</v>
      </c>
      <c r="D829" s="31" t="s">
        <v>500</v>
      </c>
      <c r="E829" s="31"/>
      <c r="F829" s="70" t="s">
        <v>7</v>
      </c>
      <c r="G829" s="32">
        <v>34323</v>
      </c>
      <c r="H829" s="29">
        <v>3576.1499999999942</v>
      </c>
      <c r="I829" s="17">
        <v>0</v>
      </c>
      <c r="J829" s="17">
        <v>0</v>
      </c>
      <c r="K829" s="17">
        <f t="shared" si="120"/>
        <v>3576.1499999999942</v>
      </c>
      <c r="L829" s="23">
        <f t="shared" si="128"/>
        <v>178.80749999999972</v>
      </c>
      <c r="M829" s="33">
        <v>25</v>
      </c>
      <c r="N829" s="18">
        <f t="shared" si="122"/>
        <v>27.301369863013697</v>
      </c>
      <c r="O829" s="23">
        <v>22626.15</v>
      </c>
      <c r="P829" s="18">
        <f t="shared" si="123"/>
        <v>27.802739726027397</v>
      </c>
      <c r="Q829" s="18">
        <v>0</v>
      </c>
      <c r="R829" s="18">
        <f t="shared" si="121"/>
        <v>22626.15</v>
      </c>
      <c r="S829" s="18">
        <f t="shared" si="135"/>
        <v>178.80749999999972</v>
      </c>
    </row>
    <row r="830" spans="1:19" ht="18.75" customHeight="1" x14ac:dyDescent="0.25">
      <c r="A830" s="14">
        <f t="shared" si="125"/>
        <v>827</v>
      </c>
      <c r="B830" s="31" t="s">
        <v>793</v>
      </c>
      <c r="C830" s="15" t="s">
        <v>3</v>
      </c>
      <c r="D830" s="31" t="s">
        <v>500</v>
      </c>
      <c r="E830" s="31"/>
      <c r="F830" s="73" t="s">
        <v>11</v>
      </c>
      <c r="G830" s="32">
        <v>34328</v>
      </c>
      <c r="H830" s="29">
        <v>296920.15000000037</v>
      </c>
      <c r="I830" s="17">
        <v>0</v>
      </c>
      <c r="J830" s="17">
        <v>0</v>
      </c>
      <c r="K830" s="17">
        <f t="shared" si="120"/>
        <v>296920.15000000037</v>
      </c>
      <c r="L830" s="23">
        <f t="shared" si="128"/>
        <v>14846.00750000002</v>
      </c>
      <c r="M830" s="33">
        <v>25</v>
      </c>
      <c r="N830" s="18">
        <f t="shared" si="122"/>
        <v>27.287671232876711</v>
      </c>
      <c r="O830" s="23">
        <v>3495.0500000000143</v>
      </c>
      <c r="P830" s="18">
        <f t="shared" si="123"/>
        <v>27.789041095890411</v>
      </c>
      <c r="Q830" s="18">
        <v>0</v>
      </c>
      <c r="R830" s="18">
        <f t="shared" si="121"/>
        <v>3495.0500000000143</v>
      </c>
      <c r="S830" s="18">
        <f t="shared" si="124"/>
        <v>293425.10000000038</v>
      </c>
    </row>
    <row r="831" spans="1:19" ht="18.75" customHeight="1" x14ac:dyDescent="0.25">
      <c r="A831" s="14">
        <f t="shared" si="125"/>
        <v>828</v>
      </c>
      <c r="B831" s="31" t="s">
        <v>794</v>
      </c>
      <c r="C831" s="15" t="s">
        <v>3</v>
      </c>
      <c r="D831" s="31" t="s">
        <v>500</v>
      </c>
      <c r="E831" s="31"/>
      <c r="F831" s="73" t="s">
        <v>12</v>
      </c>
      <c r="G831" s="32">
        <v>34331</v>
      </c>
      <c r="H831" s="29">
        <v>10181.200000000012</v>
      </c>
      <c r="I831" s="17">
        <v>0</v>
      </c>
      <c r="J831" s="17">
        <v>0</v>
      </c>
      <c r="K831" s="17">
        <f t="shared" si="120"/>
        <v>10181.200000000012</v>
      </c>
      <c r="L831" s="23">
        <f t="shared" si="128"/>
        <v>509.06000000000063</v>
      </c>
      <c r="M831" s="33">
        <v>25</v>
      </c>
      <c r="N831" s="18">
        <f t="shared" si="122"/>
        <v>27.279452054794522</v>
      </c>
      <c r="O831" s="23">
        <v>5415</v>
      </c>
      <c r="P831" s="18">
        <f t="shared" si="123"/>
        <v>27.780821917808218</v>
      </c>
      <c r="Q831" s="18">
        <v>0</v>
      </c>
      <c r="R831" s="18">
        <f t="shared" si="121"/>
        <v>5415</v>
      </c>
      <c r="S831" s="18">
        <f t="shared" si="124"/>
        <v>4766.2000000000116</v>
      </c>
    </row>
    <row r="832" spans="1:19" ht="18.75" customHeight="1" x14ac:dyDescent="0.25">
      <c r="A832" s="14">
        <f t="shared" si="125"/>
        <v>829</v>
      </c>
      <c r="B832" s="31" t="s">
        <v>795</v>
      </c>
      <c r="C832" s="15" t="s">
        <v>3</v>
      </c>
      <c r="D832" s="31" t="s">
        <v>500</v>
      </c>
      <c r="E832" s="31"/>
      <c r="F832" s="73" t="s">
        <v>11</v>
      </c>
      <c r="G832" s="32">
        <v>34349</v>
      </c>
      <c r="H832" s="29">
        <v>2465.3000000000029</v>
      </c>
      <c r="I832" s="17">
        <v>0</v>
      </c>
      <c r="J832" s="17">
        <v>0</v>
      </c>
      <c r="K832" s="17">
        <f t="shared" si="120"/>
        <v>2465.3000000000029</v>
      </c>
      <c r="L832" s="23">
        <f t="shared" si="128"/>
        <v>123.26500000000016</v>
      </c>
      <c r="M832" s="33">
        <v>25</v>
      </c>
      <c r="N832" s="18">
        <f t="shared" si="122"/>
        <v>27.230136986301371</v>
      </c>
      <c r="O832" s="23">
        <v>88.350000000000108</v>
      </c>
      <c r="P832" s="18">
        <f t="shared" si="123"/>
        <v>27.731506849315068</v>
      </c>
      <c r="Q832" s="18">
        <v>0</v>
      </c>
      <c r="R832" s="18">
        <f t="shared" si="121"/>
        <v>88.350000000000108</v>
      </c>
      <c r="S832" s="18">
        <f t="shared" si="124"/>
        <v>2376.950000000003</v>
      </c>
    </row>
    <row r="833" spans="1:19" ht="18.75" customHeight="1" x14ac:dyDescent="0.25">
      <c r="A833" s="14">
        <f t="shared" si="125"/>
        <v>830</v>
      </c>
      <c r="B833" s="31" t="s">
        <v>796</v>
      </c>
      <c r="C833" s="15" t="s">
        <v>3</v>
      </c>
      <c r="D833" s="31" t="s">
        <v>500</v>
      </c>
      <c r="E833" s="31"/>
      <c r="F833" s="73" t="s">
        <v>11</v>
      </c>
      <c r="G833" s="32">
        <v>34424</v>
      </c>
      <c r="H833" s="29">
        <v>35297.800000000047</v>
      </c>
      <c r="I833" s="17">
        <v>0</v>
      </c>
      <c r="J833" s="17">
        <v>0</v>
      </c>
      <c r="K833" s="17">
        <f t="shared" si="120"/>
        <v>35297.800000000047</v>
      </c>
      <c r="L833" s="23">
        <f t="shared" si="128"/>
        <v>1764.8900000000024</v>
      </c>
      <c r="M833" s="33">
        <v>25</v>
      </c>
      <c r="N833" s="18">
        <f t="shared" si="122"/>
        <v>27.024657534246575</v>
      </c>
      <c r="O833" s="23">
        <v>17340.349999999999</v>
      </c>
      <c r="P833" s="18">
        <f t="shared" si="123"/>
        <v>27.526027397260275</v>
      </c>
      <c r="Q833" s="18">
        <v>0</v>
      </c>
      <c r="R833" s="18">
        <f t="shared" si="121"/>
        <v>17340.349999999999</v>
      </c>
      <c r="S833" s="18">
        <f t="shared" si="124"/>
        <v>17957.450000000048</v>
      </c>
    </row>
    <row r="834" spans="1:19" ht="18.75" customHeight="1" x14ac:dyDescent="0.25">
      <c r="A834" s="14">
        <f t="shared" si="125"/>
        <v>831</v>
      </c>
      <c r="B834" s="31" t="s">
        <v>797</v>
      </c>
      <c r="C834" s="15" t="s">
        <v>3</v>
      </c>
      <c r="D834" s="31" t="s">
        <v>500</v>
      </c>
      <c r="E834" s="31"/>
      <c r="F834" s="73" t="s">
        <v>4</v>
      </c>
      <c r="G834" s="32">
        <v>19725</v>
      </c>
      <c r="H834" s="29">
        <v>284.60000000000036</v>
      </c>
      <c r="I834" s="17">
        <v>0</v>
      </c>
      <c r="J834" s="17">
        <v>0</v>
      </c>
      <c r="K834" s="17">
        <f t="shared" si="120"/>
        <v>284.60000000000036</v>
      </c>
      <c r="L834" s="23">
        <f t="shared" si="128"/>
        <v>14.230000000000018</v>
      </c>
      <c r="M834" s="33">
        <v>25</v>
      </c>
      <c r="N834" s="18">
        <f t="shared" si="122"/>
        <v>67.295890410958904</v>
      </c>
      <c r="O834" s="23">
        <v>103907.2</v>
      </c>
      <c r="P834" s="18">
        <f t="shared" si="123"/>
        <v>67.797260273972597</v>
      </c>
      <c r="Q834" s="18">
        <v>0</v>
      </c>
      <c r="R834" s="18">
        <f t="shared" si="121"/>
        <v>103907.2</v>
      </c>
      <c r="S834" s="18">
        <f t="shared" ref="S834:S836" si="136">L834</f>
        <v>14.230000000000018</v>
      </c>
    </row>
    <row r="835" spans="1:19" ht="18.75" customHeight="1" x14ac:dyDescent="0.25">
      <c r="A835" s="14">
        <f t="shared" si="125"/>
        <v>832</v>
      </c>
      <c r="B835" s="31" t="s">
        <v>798</v>
      </c>
      <c r="C835" s="15" t="s">
        <v>3</v>
      </c>
      <c r="D835" s="31" t="s">
        <v>500</v>
      </c>
      <c r="E835" s="31"/>
      <c r="F835" s="73" t="s">
        <v>11</v>
      </c>
      <c r="G835" s="32">
        <v>34644</v>
      </c>
      <c r="H835" s="29">
        <v>84022.850000000093</v>
      </c>
      <c r="I835" s="17">
        <v>0</v>
      </c>
      <c r="J835" s="17">
        <v>0</v>
      </c>
      <c r="K835" s="17">
        <f t="shared" si="120"/>
        <v>84022.850000000093</v>
      </c>
      <c r="L835" s="23">
        <f t="shared" si="128"/>
        <v>4201.1425000000045</v>
      </c>
      <c r="M835" s="33">
        <v>25</v>
      </c>
      <c r="N835" s="18">
        <f t="shared" si="122"/>
        <v>26.421917808219177</v>
      </c>
      <c r="O835" s="23">
        <v>91215.2</v>
      </c>
      <c r="P835" s="18">
        <f t="shared" si="123"/>
        <v>26.923287671232877</v>
      </c>
      <c r="Q835" s="18">
        <v>0</v>
      </c>
      <c r="R835" s="18">
        <f t="shared" si="121"/>
        <v>91215.2</v>
      </c>
      <c r="S835" s="18">
        <f t="shared" si="136"/>
        <v>4201.1425000000045</v>
      </c>
    </row>
    <row r="836" spans="1:19" ht="18.75" customHeight="1" x14ac:dyDescent="0.25">
      <c r="A836" s="14">
        <f t="shared" si="125"/>
        <v>833</v>
      </c>
      <c r="B836" s="31" t="s">
        <v>799</v>
      </c>
      <c r="C836" s="15" t="s">
        <v>3</v>
      </c>
      <c r="D836" s="31" t="s">
        <v>500</v>
      </c>
      <c r="E836" s="31"/>
      <c r="F836" s="73" t="s">
        <v>8</v>
      </c>
      <c r="G836" s="32">
        <v>34644</v>
      </c>
      <c r="H836" s="29">
        <v>42778.650000000023</v>
      </c>
      <c r="I836" s="17">
        <v>0</v>
      </c>
      <c r="J836" s="17">
        <v>0</v>
      </c>
      <c r="K836" s="17">
        <f t="shared" ref="K836:K899" si="137">H836+I836-J836</f>
        <v>42778.650000000023</v>
      </c>
      <c r="L836" s="23">
        <f t="shared" si="128"/>
        <v>2138.9325000000013</v>
      </c>
      <c r="M836" s="33">
        <v>25</v>
      </c>
      <c r="N836" s="18">
        <f t="shared" si="122"/>
        <v>26.421917808219177</v>
      </c>
      <c r="O836" s="23">
        <v>47140.9</v>
      </c>
      <c r="P836" s="18">
        <f t="shared" si="123"/>
        <v>26.923287671232877</v>
      </c>
      <c r="Q836" s="18">
        <v>0</v>
      </c>
      <c r="R836" s="18">
        <f t="shared" ref="R836:R899" si="138">Q836+O836</f>
        <v>47140.9</v>
      </c>
      <c r="S836" s="18">
        <f t="shared" si="136"/>
        <v>2138.9325000000013</v>
      </c>
    </row>
    <row r="837" spans="1:19" ht="18.75" customHeight="1" x14ac:dyDescent="0.25">
      <c r="A837" s="14">
        <f t="shared" si="125"/>
        <v>834</v>
      </c>
      <c r="B837" s="31" t="s">
        <v>800</v>
      </c>
      <c r="C837" s="15" t="s">
        <v>3</v>
      </c>
      <c r="D837" s="31" t="s">
        <v>500</v>
      </c>
      <c r="E837" s="31"/>
      <c r="F837" s="73" t="s">
        <v>11</v>
      </c>
      <c r="G837" s="32">
        <v>34644</v>
      </c>
      <c r="H837" s="29">
        <v>41340.150000000023</v>
      </c>
      <c r="I837" s="17">
        <v>0</v>
      </c>
      <c r="J837" s="17">
        <v>0</v>
      </c>
      <c r="K837" s="17">
        <f t="shared" si="137"/>
        <v>41340.150000000023</v>
      </c>
      <c r="L837" s="23">
        <f t="shared" si="128"/>
        <v>2067.0075000000011</v>
      </c>
      <c r="M837" s="33">
        <v>25</v>
      </c>
      <c r="N837" s="18">
        <f t="shared" ref="N837:N900" si="139">IF(($N$2-G837+1)/365&gt;0,($N$2-G837+1)/365,0)</f>
        <v>26.421917808219177</v>
      </c>
      <c r="O837" s="23">
        <v>5939.4000000000005</v>
      </c>
      <c r="P837" s="18">
        <f t="shared" ref="P837:P900" si="140">($P$2-G837+1)/365</f>
        <v>26.923287671232877</v>
      </c>
      <c r="Q837" s="18">
        <v>0</v>
      </c>
      <c r="R837" s="18">
        <f t="shared" si="138"/>
        <v>5939.4000000000005</v>
      </c>
      <c r="S837" s="18">
        <f t="shared" ref="S837:S899" si="141">K837-R837</f>
        <v>35400.750000000022</v>
      </c>
    </row>
    <row r="838" spans="1:19" ht="18.75" customHeight="1" x14ac:dyDescent="0.25">
      <c r="A838" s="14">
        <f t="shared" ref="A838:A901" si="142">+A837+1</f>
        <v>835</v>
      </c>
      <c r="B838" s="31" t="s">
        <v>801</v>
      </c>
      <c r="C838" s="15" t="s">
        <v>3</v>
      </c>
      <c r="D838" s="31" t="s">
        <v>500</v>
      </c>
      <c r="E838" s="31"/>
      <c r="F838" s="73" t="s">
        <v>11</v>
      </c>
      <c r="G838" s="32">
        <v>34644</v>
      </c>
      <c r="H838" s="29">
        <v>24833.25</v>
      </c>
      <c r="I838" s="17">
        <v>0</v>
      </c>
      <c r="J838" s="17">
        <v>0</v>
      </c>
      <c r="K838" s="17">
        <f t="shared" si="137"/>
        <v>24833.25</v>
      </c>
      <c r="L838" s="23">
        <f t="shared" si="128"/>
        <v>1241.6625000000001</v>
      </c>
      <c r="M838" s="33">
        <v>25</v>
      </c>
      <c r="N838" s="18">
        <f t="shared" si="139"/>
        <v>26.421917808219177</v>
      </c>
      <c r="O838" s="23">
        <v>685013.65</v>
      </c>
      <c r="P838" s="18">
        <f t="shared" si="140"/>
        <v>26.923287671232877</v>
      </c>
      <c r="Q838" s="18">
        <v>0</v>
      </c>
      <c r="R838" s="18">
        <f t="shared" si="138"/>
        <v>685013.65</v>
      </c>
      <c r="S838" s="18">
        <f>L838</f>
        <v>1241.6625000000001</v>
      </c>
    </row>
    <row r="839" spans="1:19" ht="18.75" customHeight="1" x14ac:dyDescent="0.25">
      <c r="A839" s="14">
        <f t="shared" si="142"/>
        <v>836</v>
      </c>
      <c r="B839" s="31" t="s">
        <v>802</v>
      </c>
      <c r="C839" s="15" t="s">
        <v>3</v>
      </c>
      <c r="D839" s="31" t="s">
        <v>500</v>
      </c>
      <c r="E839" s="31"/>
      <c r="F839" s="73" t="s">
        <v>11</v>
      </c>
      <c r="G839" s="32">
        <v>34644</v>
      </c>
      <c r="H839" s="29">
        <v>21038.450000000012</v>
      </c>
      <c r="I839" s="17">
        <v>0</v>
      </c>
      <c r="J839" s="17">
        <v>0</v>
      </c>
      <c r="K839" s="17">
        <f t="shared" si="137"/>
        <v>21038.450000000012</v>
      </c>
      <c r="L839" s="23">
        <f t="shared" si="128"/>
        <v>1051.9225000000006</v>
      </c>
      <c r="M839" s="33">
        <v>25</v>
      </c>
      <c r="N839" s="18">
        <f t="shared" si="139"/>
        <v>26.421917808219177</v>
      </c>
      <c r="O839" s="23">
        <v>19308.75</v>
      </c>
      <c r="P839" s="18">
        <f t="shared" si="140"/>
        <v>26.923287671232877</v>
      </c>
      <c r="Q839" s="18">
        <v>0</v>
      </c>
      <c r="R839" s="18">
        <f t="shared" si="138"/>
        <v>19308.75</v>
      </c>
      <c r="S839" s="18">
        <f t="shared" si="141"/>
        <v>1729.7000000000116</v>
      </c>
    </row>
    <row r="840" spans="1:19" ht="18.75" customHeight="1" x14ac:dyDescent="0.25">
      <c r="A840" s="14">
        <f t="shared" si="142"/>
        <v>837</v>
      </c>
      <c r="B840" s="31" t="s">
        <v>803</v>
      </c>
      <c r="C840" s="15" t="s">
        <v>3</v>
      </c>
      <c r="D840" s="31" t="s">
        <v>500</v>
      </c>
      <c r="E840" s="31"/>
      <c r="F840" s="73" t="s">
        <v>11</v>
      </c>
      <c r="G840" s="32">
        <v>34644</v>
      </c>
      <c r="H840" s="29">
        <v>16754.150000000023</v>
      </c>
      <c r="I840" s="17">
        <v>0</v>
      </c>
      <c r="J840" s="17">
        <v>0</v>
      </c>
      <c r="K840" s="17">
        <f t="shared" si="137"/>
        <v>16754.150000000023</v>
      </c>
      <c r="L840" s="23">
        <f t="shared" si="128"/>
        <v>837.70750000000123</v>
      </c>
      <c r="M840" s="33">
        <v>25</v>
      </c>
      <c r="N840" s="18">
        <f t="shared" si="139"/>
        <v>26.421917808219177</v>
      </c>
      <c r="O840" s="23">
        <v>755314.6</v>
      </c>
      <c r="P840" s="18">
        <f t="shared" si="140"/>
        <v>26.923287671232877</v>
      </c>
      <c r="Q840" s="18">
        <v>0</v>
      </c>
      <c r="R840" s="18">
        <f t="shared" si="138"/>
        <v>755314.6</v>
      </c>
      <c r="S840" s="18">
        <f>L840</f>
        <v>837.70750000000123</v>
      </c>
    </row>
    <row r="841" spans="1:19" ht="18.75" customHeight="1" x14ac:dyDescent="0.25">
      <c r="A841" s="14">
        <f t="shared" si="142"/>
        <v>838</v>
      </c>
      <c r="B841" s="31" t="s">
        <v>804</v>
      </c>
      <c r="C841" s="15" t="s">
        <v>3</v>
      </c>
      <c r="D841" s="31" t="s">
        <v>500</v>
      </c>
      <c r="E841" s="31"/>
      <c r="F841" s="73" t="s">
        <v>11</v>
      </c>
      <c r="G841" s="32">
        <v>34644</v>
      </c>
      <c r="H841" s="29">
        <v>15108.299999999988</v>
      </c>
      <c r="I841" s="17">
        <v>0</v>
      </c>
      <c r="J841" s="17">
        <v>0</v>
      </c>
      <c r="K841" s="17">
        <f t="shared" si="137"/>
        <v>15108.299999999988</v>
      </c>
      <c r="L841" s="23">
        <f t="shared" si="128"/>
        <v>755.41499999999951</v>
      </c>
      <c r="M841" s="33">
        <v>25</v>
      </c>
      <c r="N841" s="18">
        <f t="shared" si="139"/>
        <v>26.421917808219177</v>
      </c>
      <c r="O841" s="23">
        <v>13418.75</v>
      </c>
      <c r="P841" s="18">
        <f t="shared" si="140"/>
        <v>26.923287671232877</v>
      </c>
      <c r="Q841" s="18">
        <v>0</v>
      </c>
      <c r="R841" s="18">
        <f t="shared" si="138"/>
        <v>13418.75</v>
      </c>
      <c r="S841" s="18">
        <f t="shared" si="141"/>
        <v>1689.5499999999884</v>
      </c>
    </row>
    <row r="842" spans="1:19" ht="18.75" customHeight="1" x14ac:dyDescent="0.25">
      <c r="A842" s="14">
        <f t="shared" si="142"/>
        <v>839</v>
      </c>
      <c r="B842" s="31" t="s">
        <v>805</v>
      </c>
      <c r="C842" s="15" t="s">
        <v>3</v>
      </c>
      <c r="D842" s="31" t="s">
        <v>500</v>
      </c>
      <c r="E842" s="31"/>
      <c r="F842" s="73" t="s">
        <v>8</v>
      </c>
      <c r="G842" s="32">
        <v>34644</v>
      </c>
      <c r="H842" s="29">
        <v>12887.399999999994</v>
      </c>
      <c r="I842" s="17">
        <v>0</v>
      </c>
      <c r="J842" s="17">
        <v>0</v>
      </c>
      <c r="K842" s="17">
        <f t="shared" si="137"/>
        <v>12887.399999999994</v>
      </c>
      <c r="L842" s="23">
        <f t="shared" si="128"/>
        <v>644.36999999999978</v>
      </c>
      <c r="M842" s="33">
        <v>25</v>
      </c>
      <c r="N842" s="18">
        <f t="shared" si="139"/>
        <v>26.421917808219177</v>
      </c>
      <c r="O842" s="23">
        <v>2280926.25</v>
      </c>
      <c r="P842" s="18">
        <f t="shared" si="140"/>
        <v>26.923287671232877</v>
      </c>
      <c r="Q842" s="18">
        <v>0</v>
      </c>
      <c r="R842" s="18">
        <f t="shared" si="138"/>
        <v>2280926.25</v>
      </c>
      <c r="S842" s="18">
        <f t="shared" ref="S842:S857" si="143">L842</f>
        <v>644.36999999999978</v>
      </c>
    </row>
    <row r="843" spans="1:19" ht="18.75" customHeight="1" x14ac:dyDescent="0.25">
      <c r="A843" s="14">
        <f t="shared" si="142"/>
        <v>840</v>
      </c>
      <c r="B843" s="31" t="s">
        <v>806</v>
      </c>
      <c r="C843" s="15" t="s">
        <v>3</v>
      </c>
      <c r="D843" s="31" t="s">
        <v>500</v>
      </c>
      <c r="E843" s="31"/>
      <c r="F843" s="73" t="s">
        <v>4</v>
      </c>
      <c r="G843" s="32">
        <v>19725</v>
      </c>
      <c r="H843" s="29">
        <v>273.19999999999982</v>
      </c>
      <c r="I843" s="17">
        <v>0</v>
      </c>
      <c r="J843" s="17">
        <v>0</v>
      </c>
      <c r="K843" s="17">
        <f t="shared" si="137"/>
        <v>273.19999999999982</v>
      </c>
      <c r="L843" s="23">
        <f t="shared" si="128"/>
        <v>13.659999999999991</v>
      </c>
      <c r="M843" s="33">
        <v>25</v>
      </c>
      <c r="N843" s="18">
        <f t="shared" si="139"/>
        <v>67.295890410958904</v>
      </c>
      <c r="O843" s="23">
        <v>772032.7</v>
      </c>
      <c r="P843" s="18">
        <f t="shared" si="140"/>
        <v>67.797260273972597</v>
      </c>
      <c r="Q843" s="18">
        <v>0</v>
      </c>
      <c r="R843" s="18">
        <f t="shared" si="138"/>
        <v>772032.7</v>
      </c>
      <c r="S843" s="18">
        <f t="shared" si="143"/>
        <v>13.659999999999991</v>
      </c>
    </row>
    <row r="844" spans="1:19" ht="18.75" customHeight="1" x14ac:dyDescent="0.25">
      <c r="A844" s="14">
        <f t="shared" si="142"/>
        <v>841</v>
      </c>
      <c r="B844" s="31" t="s">
        <v>807</v>
      </c>
      <c r="C844" s="15" t="s">
        <v>3</v>
      </c>
      <c r="D844" s="31" t="s">
        <v>500</v>
      </c>
      <c r="E844" s="31"/>
      <c r="F844" s="70" t="s">
        <v>7</v>
      </c>
      <c r="G844" s="32">
        <v>39828</v>
      </c>
      <c r="H844" s="29">
        <v>10078.674657534246</v>
      </c>
      <c r="I844" s="17">
        <v>0</v>
      </c>
      <c r="J844" s="17">
        <v>0</v>
      </c>
      <c r="K844" s="17">
        <f t="shared" si="137"/>
        <v>10078.674657534246</v>
      </c>
      <c r="L844" s="23">
        <f t="shared" si="128"/>
        <v>503.93373287671233</v>
      </c>
      <c r="M844" s="33">
        <v>15</v>
      </c>
      <c r="N844" s="18">
        <f t="shared" si="139"/>
        <v>12.219178082191782</v>
      </c>
      <c r="O844" s="23">
        <v>514914.38664383558</v>
      </c>
      <c r="P844" s="18">
        <f t="shared" si="140"/>
        <v>12.72054794520548</v>
      </c>
      <c r="Q844" s="18">
        <f t="shared" si="131"/>
        <v>320.03243638581318</v>
      </c>
      <c r="R844" s="18">
        <f t="shared" si="138"/>
        <v>515234.41908022139</v>
      </c>
      <c r="S844" s="18">
        <f t="shared" si="143"/>
        <v>503.93373287671233</v>
      </c>
    </row>
    <row r="845" spans="1:19" ht="18.75" customHeight="1" x14ac:dyDescent="0.25">
      <c r="A845" s="14">
        <f t="shared" si="142"/>
        <v>842</v>
      </c>
      <c r="B845" s="31" t="s">
        <v>808</v>
      </c>
      <c r="C845" s="15" t="s">
        <v>3</v>
      </c>
      <c r="D845" s="31" t="s">
        <v>500</v>
      </c>
      <c r="E845" s="31"/>
      <c r="F845" s="73" t="s">
        <v>4</v>
      </c>
      <c r="G845" s="32">
        <v>34644</v>
      </c>
      <c r="H845" s="29">
        <v>11684.299999999988</v>
      </c>
      <c r="I845" s="17">
        <v>0</v>
      </c>
      <c r="J845" s="17">
        <v>0</v>
      </c>
      <c r="K845" s="17">
        <f t="shared" si="137"/>
        <v>11684.299999999988</v>
      </c>
      <c r="L845" s="23">
        <f t="shared" si="128"/>
        <v>584.21499999999946</v>
      </c>
      <c r="M845" s="33">
        <v>25</v>
      </c>
      <c r="N845" s="18">
        <f t="shared" si="139"/>
        <v>26.421917808219177</v>
      </c>
      <c r="O845" s="23">
        <v>446139</v>
      </c>
      <c r="P845" s="18">
        <f t="shared" si="140"/>
        <v>26.923287671232877</v>
      </c>
      <c r="Q845" s="18">
        <v>0</v>
      </c>
      <c r="R845" s="18">
        <f t="shared" si="138"/>
        <v>446139</v>
      </c>
      <c r="S845" s="18">
        <f t="shared" si="143"/>
        <v>584.21499999999946</v>
      </c>
    </row>
    <row r="846" spans="1:19" ht="18.75" customHeight="1" x14ac:dyDescent="0.25">
      <c r="A846" s="14">
        <f t="shared" si="142"/>
        <v>843</v>
      </c>
      <c r="B846" s="31" t="s">
        <v>809</v>
      </c>
      <c r="C846" s="15" t="s">
        <v>3</v>
      </c>
      <c r="D846" s="31" t="s">
        <v>500</v>
      </c>
      <c r="E846" s="31"/>
      <c r="F846" s="73" t="s">
        <v>4</v>
      </c>
      <c r="G846" s="32">
        <v>19725</v>
      </c>
      <c r="H846" s="29">
        <v>25</v>
      </c>
      <c r="I846" s="17">
        <v>0</v>
      </c>
      <c r="J846" s="17">
        <v>0</v>
      </c>
      <c r="K846" s="17">
        <f t="shared" si="137"/>
        <v>25</v>
      </c>
      <c r="L846" s="23">
        <f t="shared" si="128"/>
        <v>1.25</v>
      </c>
      <c r="M846" s="33">
        <v>25</v>
      </c>
      <c r="N846" s="18">
        <f t="shared" si="139"/>
        <v>67.295890410958904</v>
      </c>
      <c r="O846" s="23">
        <v>378357.45</v>
      </c>
      <c r="P846" s="18">
        <f t="shared" si="140"/>
        <v>67.797260273972597</v>
      </c>
      <c r="Q846" s="18">
        <v>0</v>
      </c>
      <c r="R846" s="18">
        <f t="shared" si="138"/>
        <v>378357.45</v>
      </c>
      <c r="S846" s="18">
        <f t="shared" si="143"/>
        <v>1.25</v>
      </c>
    </row>
    <row r="847" spans="1:19" ht="18.75" customHeight="1" x14ac:dyDescent="0.25">
      <c r="A847" s="14">
        <f t="shared" si="142"/>
        <v>844</v>
      </c>
      <c r="B847" s="31" t="s">
        <v>810</v>
      </c>
      <c r="C847" s="15" t="s">
        <v>3</v>
      </c>
      <c r="D847" s="31" t="s">
        <v>500</v>
      </c>
      <c r="E847" s="31"/>
      <c r="F847" s="73" t="s">
        <v>12</v>
      </c>
      <c r="G847" s="32">
        <v>34644</v>
      </c>
      <c r="H847" s="29">
        <v>11425.649999999994</v>
      </c>
      <c r="I847" s="17">
        <v>0</v>
      </c>
      <c r="J847" s="17">
        <v>0</v>
      </c>
      <c r="K847" s="17">
        <f t="shared" si="137"/>
        <v>11425.649999999994</v>
      </c>
      <c r="L847" s="23">
        <f t="shared" si="128"/>
        <v>571.28249999999969</v>
      </c>
      <c r="M847" s="33">
        <v>25</v>
      </c>
      <c r="N847" s="18">
        <f t="shared" si="139"/>
        <v>26.421917808219177</v>
      </c>
      <c r="O847" s="23">
        <v>299935.90000000002</v>
      </c>
      <c r="P847" s="18">
        <f t="shared" si="140"/>
        <v>26.923287671232877</v>
      </c>
      <c r="Q847" s="18">
        <v>0</v>
      </c>
      <c r="R847" s="18">
        <f t="shared" si="138"/>
        <v>299935.90000000002</v>
      </c>
      <c r="S847" s="18">
        <f t="shared" si="143"/>
        <v>571.28249999999969</v>
      </c>
    </row>
    <row r="848" spans="1:19" ht="18.75" customHeight="1" x14ac:dyDescent="0.25">
      <c r="A848" s="14">
        <f t="shared" si="142"/>
        <v>845</v>
      </c>
      <c r="B848" s="31" t="s">
        <v>811</v>
      </c>
      <c r="C848" s="15" t="s">
        <v>3</v>
      </c>
      <c r="D848" s="31" t="s">
        <v>500</v>
      </c>
      <c r="E848" s="31"/>
      <c r="F848" s="73" t="s">
        <v>8</v>
      </c>
      <c r="G848" s="32">
        <v>34644</v>
      </c>
      <c r="H848" s="29">
        <v>8551.2999999999884</v>
      </c>
      <c r="I848" s="17">
        <v>0</v>
      </c>
      <c r="J848" s="17">
        <v>0</v>
      </c>
      <c r="K848" s="17">
        <f t="shared" si="137"/>
        <v>8551.2999999999884</v>
      </c>
      <c r="L848" s="23">
        <f t="shared" si="128"/>
        <v>427.56499999999943</v>
      </c>
      <c r="M848" s="33">
        <v>25</v>
      </c>
      <c r="N848" s="18">
        <f t="shared" si="139"/>
        <v>26.421917808219177</v>
      </c>
      <c r="O848" s="23">
        <v>289036.55</v>
      </c>
      <c r="P848" s="18">
        <f t="shared" si="140"/>
        <v>26.923287671232877</v>
      </c>
      <c r="Q848" s="18">
        <v>0</v>
      </c>
      <c r="R848" s="18">
        <f t="shared" si="138"/>
        <v>289036.55</v>
      </c>
      <c r="S848" s="18">
        <f t="shared" si="143"/>
        <v>427.56499999999943</v>
      </c>
    </row>
    <row r="849" spans="1:19" ht="18.75" customHeight="1" x14ac:dyDescent="0.25">
      <c r="A849" s="14">
        <f t="shared" si="142"/>
        <v>846</v>
      </c>
      <c r="B849" s="31" t="s">
        <v>812</v>
      </c>
      <c r="C849" s="15" t="s">
        <v>3</v>
      </c>
      <c r="D849" s="31" t="s">
        <v>500</v>
      </c>
      <c r="E849" s="31"/>
      <c r="F849" s="73" t="s">
        <v>8</v>
      </c>
      <c r="G849" s="32">
        <v>20090</v>
      </c>
      <c r="H849" s="29">
        <v>2412.6500000000015</v>
      </c>
      <c r="I849" s="17">
        <v>0</v>
      </c>
      <c r="J849" s="17">
        <v>0</v>
      </c>
      <c r="K849" s="17">
        <f t="shared" si="137"/>
        <v>2412.6500000000015</v>
      </c>
      <c r="L849" s="23">
        <f t="shared" si="128"/>
        <v>120.63250000000008</v>
      </c>
      <c r="M849" s="33">
        <v>25</v>
      </c>
      <c r="N849" s="18">
        <f t="shared" si="139"/>
        <v>66.295890410958904</v>
      </c>
      <c r="O849" s="23">
        <v>96093.45</v>
      </c>
      <c r="P849" s="18">
        <f t="shared" si="140"/>
        <v>66.797260273972597</v>
      </c>
      <c r="Q849" s="18">
        <v>0</v>
      </c>
      <c r="R849" s="18">
        <f t="shared" si="138"/>
        <v>96093.45</v>
      </c>
      <c r="S849" s="18">
        <f t="shared" si="143"/>
        <v>120.63250000000008</v>
      </c>
    </row>
    <row r="850" spans="1:19" ht="18.75" customHeight="1" x14ac:dyDescent="0.25">
      <c r="A850" s="14">
        <f t="shared" si="142"/>
        <v>847</v>
      </c>
      <c r="B850" s="31" t="s">
        <v>813</v>
      </c>
      <c r="C850" s="15" t="s">
        <v>3</v>
      </c>
      <c r="D850" s="31" t="s">
        <v>500</v>
      </c>
      <c r="E850" s="31"/>
      <c r="F850" s="73" t="s">
        <v>4</v>
      </c>
      <c r="G850" s="32">
        <v>34644</v>
      </c>
      <c r="H850" s="29">
        <v>7932.25</v>
      </c>
      <c r="I850" s="17">
        <v>0</v>
      </c>
      <c r="J850" s="17">
        <v>0</v>
      </c>
      <c r="K850" s="17">
        <f t="shared" si="137"/>
        <v>7932.25</v>
      </c>
      <c r="L850" s="23">
        <f t="shared" si="128"/>
        <v>396.61250000000001</v>
      </c>
      <c r="M850" s="33">
        <v>25</v>
      </c>
      <c r="N850" s="18">
        <f t="shared" si="139"/>
        <v>26.421917808219177</v>
      </c>
      <c r="O850" s="23">
        <v>92200.35</v>
      </c>
      <c r="P850" s="18">
        <f t="shared" si="140"/>
        <v>26.923287671232877</v>
      </c>
      <c r="Q850" s="18">
        <v>0</v>
      </c>
      <c r="R850" s="18">
        <f t="shared" si="138"/>
        <v>92200.35</v>
      </c>
      <c r="S850" s="18">
        <f t="shared" si="143"/>
        <v>396.61250000000001</v>
      </c>
    </row>
    <row r="851" spans="1:19" ht="18.75" customHeight="1" x14ac:dyDescent="0.25">
      <c r="A851" s="14">
        <f t="shared" si="142"/>
        <v>848</v>
      </c>
      <c r="B851" s="31" t="s">
        <v>814</v>
      </c>
      <c r="C851" s="15" t="s">
        <v>3</v>
      </c>
      <c r="D851" s="31" t="s">
        <v>500</v>
      </c>
      <c r="E851" s="31"/>
      <c r="F851" s="73" t="s">
        <v>4</v>
      </c>
      <c r="G851" s="32">
        <v>20090</v>
      </c>
      <c r="H851" s="29">
        <v>884.95000000000073</v>
      </c>
      <c r="I851" s="17">
        <v>0</v>
      </c>
      <c r="J851" s="17">
        <v>0</v>
      </c>
      <c r="K851" s="17">
        <f t="shared" si="137"/>
        <v>884.95000000000073</v>
      </c>
      <c r="L851" s="23">
        <f t="shared" si="128"/>
        <v>44.247500000000038</v>
      </c>
      <c r="M851" s="33">
        <v>25</v>
      </c>
      <c r="N851" s="18">
        <f t="shared" si="139"/>
        <v>66.295890410958904</v>
      </c>
      <c r="O851" s="23">
        <v>77608.350000000006</v>
      </c>
      <c r="P851" s="18">
        <f t="shared" si="140"/>
        <v>66.797260273972597</v>
      </c>
      <c r="Q851" s="18">
        <v>0</v>
      </c>
      <c r="R851" s="18">
        <f t="shared" si="138"/>
        <v>77608.350000000006</v>
      </c>
      <c r="S851" s="18">
        <f t="shared" si="143"/>
        <v>44.247500000000038</v>
      </c>
    </row>
    <row r="852" spans="1:19" ht="18.75" customHeight="1" x14ac:dyDescent="0.25">
      <c r="A852" s="14">
        <f t="shared" si="142"/>
        <v>849</v>
      </c>
      <c r="B852" s="31" t="s">
        <v>815</v>
      </c>
      <c r="C852" s="15" t="s">
        <v>3</v>
      </c>
      <c r="D852" s="31" t="s">
        <v>500</v>
      </c>
      <c r="E852" s="31"/>
      <c r="F852" s="73" t="s">
        <v>8</v>
      </c>
      <c r="G852" s="32">
        <v>34644</v>
      </c>
      <c r="H852" s="29">
        <v>6529.9499999999971</v>
      </c>
      <c r="I852" s="17">
        <v>0</v>
      </c>
      <c r="J852" s="17">
        <v>0</v>
      </c>
      <c r="K852" s="17">
        <f t="shared" si="137"/>
        <v>6529.9499999999971</v>
      </c>
      <c r="L852" s="23">
        <f t="shared" si="128"/>
        <v>326.49749999999989</v>
      </c>
      <c r="M852" s="33">
        <v>25</v>
      </c>
      <c r="N852" s="18">
        <f t="shared" si="139"/>
        <v>26.421917808219177</v>
      </c>
      <c r="O852" s="23">
        <v>72230.399999999994</v>
      </c>
      <c r="P852" s="18">
        <f t="shared" si="140"/>
        <v>26.923287671232877</v>
      </c>
      <c r="Q852" s="18">
        <v>0</v>
      </c>
      <c r="R852" s="18">
        <f t="shared" si="138"/>
        <v>72230.399999999994</v>
      </c>
      <c r="S852" s="18">
        <f t="shared" si="143"/>
        <v>326.49749999999989</v>
      </c>
    </row>
    <row r="853" spans="1:19" ht="18.75" customHeight="1" x14ac:dyDescent="0.25">
      <c r="A853" s="14">
        <f t="shared" si="142"/>
        <v>850</v>
      </c>
      <c r="B853" s="31" t="s">
        <v>816</v>
      </c>
      <c r="C853" s="15" t="s">
        <v>3</v>
      </c>
      <c r="D853" s="31" t="s">
        <v>500</v>
      </c>
      <c r="E853" s="31"/>
      <c r="F853" s="73" t="s">
        <v>12</v>
      </c>
      <c r="G853" s="32">
        <v>34644</v>
      </c>
      <c r="H853" s="29">
        <v>5053.6499999999942</v>
      </c>
      <c r="I853" s="17">
        <v>0</v>
      </c>
      <c r="J853" s="17">
        <v>0</v>
      </c>
      <c r="K853" s="17">
        <f t="shared" si="137"/>
        <v>5053.6499999999942</v>
      </c>
      <c r="L853" s="23">
        <f t="shared" si="128"/>
        <v>252.68249999999972</v>
      </c>
      <c r="M853" s="33">
        <v>25</v>
      </c>
      <c r="N853" s="18">
        <f t="shared" si="139"/>
        <v>26.421917808219177</v>
      </c>
      <c r="O853" s="23">
        <v>60451.35</v>
      </c>
      <c r="P853" s="18">
        <f t="shared" si="140"/>
        <v>26.923287671232877</v>
      </c>
      <c r="Q853" s="18">
        <v>0</v>
      </c>
      <c r="R853" s="18">
        <f t="shared" si="138"/>
        <v>60451.35</v>
      </c>
      <c r="S853" s="18">
        <f t="shared" si="143"/>
        <v>252.68249999999972</v>
      </c>
    </row>
    <row r="854" spans="1:19" ht="18.75" customHeight="1" x14ac:dyDescent="0.25">
      <c r="A854" s="14">
        <f t="shared" si="142"/>
        <v>851</v>
      </c>
      <c r="B854" s="31" t="s">
        <v>817</v>
      </c>
      <c r="C854" s="15" t="s">
        <v>3</v>
      </c>
      <c r="D854" s="31" t="s">
        <v>500</v>
      </c>
      <c r="E854" s="31"/>
      <c r="F854" s="70" t="s">
        <v>7</v>
      </c>
      <c r="G854" s="32">
        <v>35397</v>
      </c>
      <c r="H854" s="29">
        <v>16795.200000000012</v>
      </c>
      <c r="I854" s="17">
        <v>0</v>
      </c>
      <c r="J854" s="17">
        <v>0</v>
      </c>
      <c r="K854" s="17">
        <f t="shared" si="137"/>
        <v>16795.200000000012</v>
      </c>
      <c r="L854" s="23">
        <f t="shared" si="128"/>
        <v>839.76000000000067</v>
      </c>
      <c r="M854" s="33">
        <v>15</v>
      </c>
      <c r="N854" s="18">
        <f t="shared" si="139"/>
        <v>24.358904109589041</v>
      </c>
      <c r="O854" s="23">
        <v>59873.75</v>
      </c>
      <c r="P854" s="18">
        <f t="shared" si="140"/>
        <v>24.860273972602741</v>
      </c>
      <c r="Q854" s="18">
        <v>0</v>
      </c>
      <c r="R854" s="18">
        <f t="shared" si="138"/>
        <v>59873.75</v>
      </c>
      <c r="S854" s="18">
        <f t="shared" si="143"/>
        <v>839.76000000000067</v>
      </c>
    </row>
    <row r="855" spans="1:19" ht="18.75" customHeight="1" x14ac:dyDescent="0.25">
      <c r="A855" s="14">
        <f t="shared" si="142"/>
        <v>852</v>
      </c>
      <c r="B855" s="31" t="s">
        <v>818</v>
      </c>
      <c r="C855" s="15" t="s">
        <v>3</v>
      </c>
      <c r="D855" s="31" t="s">
        <v>500</v>
      </c>
      <c r="E855" s="31"/>
      <c r="F855" s="73" t="s">
        <v>4</v>
      </c>
      <c r="G855" s="32">
        <v>34644</v>
      </c>
      <c r="H855" s="29">
        <v>4858.6499999999942</v>
      </c>
      <c r="I855" s="17">
        <v>0</v>
      </c>
      <c r="J855" s="17">
        <v>0</v>
      </c>
      <c r="K855" s="17">
        <f t="shared" si="137"/>
        <v>4858.6499999999942</v>
      </c>
      <c r="L855" s="23">
        <f t="shared" ref="L855:L918" si="144">H855*0.05</f>
        <v>242.93249999999972</v>
      </c>
      <c r="M855" s="33">
        <v>25</v>
      </c>
      <c r="N855" s="18">
        <f t="shared" si="139"/>
        <v>26.421917808219177</v>
      </c>
      <c r="O855" s="23">
        <v>34209.5</v>
      </c>
      <c r="P855" s="18">
        <f t="shared" si="140"/>
        <v>26.923287671232877</v>
      </c>
      <c r="Q855" s="18">
        <v>0</v>
      </c>
      <c r="R855" s="18">
        <f t="shared" si="138"/>
        <v>34209.5</v>
      </c>
      <c r="S855" s="18">
        <f t="shared" si="143"/>
        <v>242.93249999999972</v>
      </c>
    </row>
    <row r="856" spans="1:19" ht="18.75" customHeight="1" x14ac:dyDescent="0.25">
      <c r="A856" s="14">
        <f t="shared" si="142"/>
        <v>853</v>
      </c>
      <c r="B856" s="31" t="s">
        <v>589</v>
      </c>
      <c r="C856" s="15" t="s">
        <v>3</v>
      </c>
      <c r="D856" s="31" t="s">
        <v>500</v>
      </c>
      <c r="E856" s="31"/>
      <c r="F856" s="73" t="s">
        <v>11</v>
      </c>
      <c r="G856" s="32">
        <v>34644</v>
      </c>
      <c r="H856" s="29">
        <v>3840.6499999999942</v>
      </c>
      <c r="I856" s="17">
        <v>0</v>
      </c>
      <c r="J856" s="17">
        <v>0</v>
      </c>
      <c r="K856" s="17">
        <f t="shared" si="137"/>
        <v>3840.6499999999942</v>
      </c>
      <c r="L856" s="23">
        <f t="shared" si="144"/>
        <v>192.03249999999971</v>
      </c>
      <c r="M856" s="33">
        <v>25</v>
      </c>
      <c r="N856" s="18">
        <f t="shared" si="139"/>
        <v>26.421917808219177</v>
      </c>
      <c r="O856" s="23">
        <v>29564</v>
      </c>
      <c r="P856" s="18">
        <f t="shared" si="140"/>
        <v>26.923287671232877</v>
      </c>
      <c r="Q856" s="18">
        <v>0</v>
      </c>
      <c r="R856" s="18">
        <f t="shared" si="138"/>
        <v>29564</v>
      </c>
      <c r="S856" s="18">
        <f t="shared" si="143"/>
        <v>192.03249999999971</v>
      </c>
    </row>
    <row r="857" spans="1:19" ht="18.75" customHeight="1" x14ac:dyDescent="0.25">
      <c r="A857" s="14">
        <f t="shared" si="142"/>
        <v>854</v>
      </c>
      <c r="B857" s="31" t="s">
        <v>819</v>
      </c>
      <c r="C857" s="15" t="s">
        <v>3</v>
      </c>
      <c r="D857" s="31" t="s">
        <v>500</v>
      </c>
      <c r="E857" s="31"/>
      <c r="F857" s="73" t="s">
        <v>13</v>
      </c>
      <c r="G857" s="32">
        <v>34648</v>
      </c>
      <c r="H857" s="29">
        <v>7679.1499999999942</v>
      </c>
      <c r="I857" s="17">
        <v>0</v>
      </c>
      <c r="J857" s="17">
        <v>0</v>
      </c>
      <c r="K857" s="17">
        <f t="shared" si="137"/>
        <v>7679.1499999999942</v>
      </c>
      <c r="L857" s="23">
        <f t="shared" si="144"/>
        <v>383.95749999999975</v>
      </c>
      <c r="M857" s="33">
        <v>25</v>
      </c>
      <c r="N857" s="18">
        <f t="shared" si="139"/>
        <v>26.410958904109588</v>
      </c>
      <c r="O857" s="23">
        <v>24086.3</v>
      </c>
      <c r="P857" s="18">
        <f t="shared" si="140"/>
        <v>26.912328767123288</v>
      </c>
      <c r="Q857" s="18">
        <v>0</v>
      </c>
      <c r="R857" s="18">
        <f t="shared" si="138"/>
        <v>24086.3</v>
      </c>
      <c r="S857" s="18">
        <f t="shared" si="143"/>
        <v>383.95749999999975</v>
      </c>
    </row>
    <row r="858" spans="1:19" ht="18.75" customHeight="1" x14ac:dyDescent="0.25">
      <c r="A858" s="14">
        <f t="shared" si="142"/>
        <v>855</v>
      </c>
      <c r="B858" s="31" t="s">
        <v>820</v>
      </c>
      <c r="C858" s="15" t="s">
        <v>3</v>
      </c>
      <c r="D858" s="31" t="s">
        <v>500</v>
      </c>
      <c r="E858" s="31"/>
      <c r="F858" s="73" t="s">
        <v>11</v>
      </c>
      <c r="G858" s="32">
        <v>34653</v>
      </c>
      <c r="H858" s="29">
        <v>37735.449999999953</v>
      </c>
      <c r="I858" s="17">
        <v>0</v>
      </c>
      <c r="J858" s="17">
        <v>0</v>
      </c>
      <c r="K858" s="17">
        <f t="shared" si="137"/>
        <v>37735.449999999953</v>
      </c>
      <c r="L858" s="23">
        <f t="shared" si="144"/>
        <v>1886.7724999999978</v>
      </c>
      <c r="M858" s="33">
        <v>25</v>
      </c>
      <c r="N858" s="18">
        <f t="shared" si="139"/>
        <v>26.397260273972602</v>
      </c>
      <c r="O858" s="23">
        <v>17954.999999999996</v>
      </c>
      <c r="P858" s="18">
        <f t="shared" si="140"/>
        <v>26.898630136986302</v>
      </c>
      <c r="Q858" s="18">
        <v>0</v>
      </c>
      <c r="R858" s="18">
        <f t="shared" si="138"/>
        <v>17954.999999999996</v>
      </c>
      <c r="S858" s="18">
        <f t="shared" si="141"/>
        <v>19780.449999999957</v>
      </c>
    </row>
    <row r="859" spans="1:19" ht="18.75" customHeight="1" x14ac:dyDescent="0.25">
      <c r="A859" s="14">
        <f t="shared" si="142"/>
        <v>856</v>
      </c>
      <c r="B859" s="31" t="s">
        <v>821</v>
      </c>
      <c r="C859" s="15" t="s">
        <v>3</v>
      </c>
      <c r="D859" s="31" t="s">
        <v>500</v>
      </c>
      <c r="E859" s="31"/>
      <c r="F859" s="73" t="s">
        <v>11</v>
      </c>
      <c r="G859" s="32">
        <v>34675</v>
      </c>
      <c r="H859" s="29">
        <v>32646.699999999953</v>
      </c>
      <c r="I859" s="17">
        <v>0</v>
      </c>
      <c r="J859" s="17">
        <v>0</v>
      </c>
      <c r="K859" s="17">
        <f t="shared" si="137"/>
        <v>32646.699999999953</v>
      </c>
      <c r="L859" s="23">
        <f t="shared" si="144"/>
        <v>1632.3349999999978</v>
      </c>
      <c r="M859" s="33">
        <v>25</v>
      </c>
      <c r="N859" s="18">
        <f t="shared" si="139"/>
        <v>26.336986301369862</v>
      </c>
      <c r="O859" s="23">
        <v>15856.449999999999</v>
      </c>
      <c r="P859" s="18">
        <f t="shared" si="140"/>
        <v>26.838356164383562</v>
      </c>
      <c r="Q859" s="18">
        <v>0</v>
      </c>
      <c r="R859" s="18">
        <f t="shared" si="138"/>
        <v>15856.449999999999</v>
      </c>
      <c r="S859" s="18">
        <f t="shared" si="141"/>
        <v>16790.249999999956</v>
      </c>
    </row>
    <row r="860" spans="1:19" ht="18.75" customHeight="1" x14ac:dyDescent="0.25">
      <c r="A860" s="14">
        <f t="shared" si="142"/>
        <v>857</v>
      </c>
      <c r="B860" s="31" t="s">
        <v>822</v>
      </c>
      <c r="C860" s="15" t="s">
        <v>3</v>
      </c>
      <c r="D860" s="31" t="s">
        <v>500</v>
      </c>
      <c r="E860" s="31"/>
      <c r="F860" s="73" t="s">
        <v>11</v>
      </c>
      <c r="G860" s="32">
        <v>20090</v>
      </c>
      <c r="H860" s="29">
        <v>772.39999999999964</v>
      </c>
      <c r="I860" s="17">
        <v>0</v>
      </c>
      <c r="J860" s="17">
        <v>0</v>
      </c>
      <c r="K860" s="17">
        <f t="shared" si="137"/>
        <v>772.39999999999964</v>
      </c>
      <c r="L860" s="23">
        <f t="shared" si="144"/>
        <v>38.619999999999983</v>
      </c>
      <c r="M860" s="33">
        <v>25</v>
      </c>
      <c r="N860" s="18">
        <f t="shared" si="139"/>
        <v>66.295890410958904</v>
      </c>
      <c r="O860" s="23">
        <v>12211.3</v>
      </c>
      <c r="P860" s="18">
        <f t="shared" si="140"/>
        <v>66.797260273972597</v>
      </c>
      <c r="Q860" s="18">
        <v>0</v>
      </c>
      <c r="R860" s="18">
        <f t="shared" si="138"/>
        <v>12211.3</v>
      </c>
      <c r="S860" s="18">
        <f t="shared" ref="S860:S868" si="145">L860</f>
        <v>38.619999999999983</v>
      </c>
    </row>
    <row r="861" spans="1:19" ht="18.75" customHeight="1" x14ac:dyDescent="0.25">
      <c r="A861" s="14">
        <f t="shared" si="142"/>
        <v>858</v>
      </c>
      <c r="B861" s="31" t="s">
        <v>823</v>
      </c>
      <c r="C861" s="15" t="s">
        <v>3</v>
      </c>
      <c r="D861" s="31" t="s">
        <v>500</v>
      </c>
      <c r="E861" s="31"/>
      <c r="F861" s="73" t="s">
        <v>11</v>
      </c>
      <c r="G861" s="32">
        <v>20090</v>
      </c>
      <c r="H861" s="29">
        <v>622.79999999999927</v>
      </c>
      <c r="I861" s="17">
        <v>0</v>
      </c>
      <c r="J861" s="17">
        <v>0</v>
      </c>
      <c r="K861" s="17">
        <f t="shared" si="137"/>
        <v>622.79999999999927</v>
      </c>
      <c r="L861" s="23">
        <f t="shared" si="144"/>
        <v>31.139999999999965</v>
      </c>
      <c r="M861" s="33">
        <v>25</v>
      </c>
      <c r="N861" s="18">
        <f t="shared" si="139"/>
        <v>66.295890410958904</v>
      </c>
      <c r="O861" s="23">
        <v>11984.25</v>
      </c>
      <c r="P861" s="18">
        <f t="shared" si="140"/>
        <v>66.797260273972597</v>
      </c>
      <c r="Q861" s="18">
        <v>0</v>
      </c>
      <c r="R861" s="18">
        <f t="shared" si="138"/>
        <v>11984.25</v>
      </c>
      <c r="S861" s="18">
        <f t="shared" si="145"/>
        <v>31.139999999999965</v>
      </c>
    </row>
    <row r="862" spans="1:19" ht="18.75" customHeight="1" x14ac:dyDescent="0.25">
      <c r="A862" s="14">
        <f t="shared" si="142"/>
        <v>859</v>
      </c>
      <c r="B862" s="31" t="s">
        <v>824</v>
      </c>
      <c r="C862" s="15" t="s">
        <v>3</v>
      </c>
      <c r="D862" s="31" t="s">
        <v>500</v>
      </c>
      <c r="E862" s="31"/>
      <c r="F862" s="73" t="s">
        <v>11</v>
      </c>
      <c r="G862" s="32">
        <v>34683</v>
      </c>
      <c r="H862" s="29">
        <v>23918.950000000012</v>
      </c>
      <c r="I862" s="17">
        <v>0</v>
      </c>
      <c r="J862" s="17">
        <v>0</v>
      </c>
      <c r="K862" s="17">
        <f t="shared" si="137"/>
        <v>23918.950000000012</v>
      </c>
      <c r="L862" s="23">
        <f t="shared" si="144"/>
        <v>1195.9475000000007</v>
      </c>
      <c r="M862" s="33">
        <v>25</v>
      </c>
      <c r="N862" s="18">
        <f t="shared" si="139"/>
        <v>26.315068493150687</v>
      </c>
      <c r="O862" s="23">
        <v>174174.9</v>
      </c>
      <c r="P862" s="18">
        <f t="shared" si="140"/>
        <v>26.816438356164383</v>
      </c>
      <c r="Q862" s="18">
        <v>0</v>
      </c>
      <c r="R862" s="18">
        <f t="shared" si="138"/>
        <v>174174.9</v>
      </c>
      <c r="S862" s="18">
        <f t="shared" si="145"/>
        <v>1195.9475000000007</v>
      </c>
    </row>
    <row r="863" spans="1:19" ht="18.75" customHeight="1" x14ac:dyDescent="0.25">
      <c r="A863" s="14">
        <f t="shared" si="142"/>
        <v>860</v>
      </c>
      <c r="B863" s="31" t="s">
        <v>825</v>
      </c>
      <c r="C863" s="15" t="s">
        <v>3</v>
      </c>
      <c r="D863" s="31" t="s">
        <v>500</v>
      </c>
      <c r="E863" s="31"/>
      <c r="F863" s="73" t="s">
        <v>4</v>
      </c>
      <c r="G863" s="32">
        <v>20090</v>
      </c>
      <c r="H863" s="29">
        <v>506.64999999999964</v>
      </c>
      <c r="I863" s="17">
        <v>0</v>
      </c>
      <c r="J863" s="17">
        <v>0</v>
      </c>
      <c r="K863" s="17">
        <f t="shared" si="137"/>
        <v>506.64999999999964</v>
      </c>
      <c r="L863" s="23">
        <f t="shared" si="144"/>
        <v>25.332499999999982</v>
      </c>
      <c r="M863" s="33">
        <v>25</v>
      </c>
      <c r="N863" s="18">
        <f t="shared" si="139"/>
        <v>66.295890410958904</v>
      </c>
      <c r="O863" s="23">
        <v>20487.7</v>
      </c>
      <c r="P863" s="18">
        <f t="shared" si="140"/>
        <v>66.797260273972597</v>
      </c>
      <c r="Q863" s="18">
        <v>0</v>
      </c>
      <c r="R863" s="18">
        <f t="shared" si="138"/>
        <v>20487.7</v>
      </c>
      <c r="S863" s="18">
        <f t="shared" si="145"/>
        <v>25.332499999999982</v>
      </c>
    </row>
    <row r="864" spans="1:19" ht="18.75" customHeight="1" x14ac:dyDescent="0.25">
      <c r="A864" s="14">
        <f t="shared" si="142"/>
        <v>861</v>
      </c>
      <c r="B864" s="31" t="s">
        <v>826</v>
      </c>
      <c r="C864" s="15" t="s">
        <v>3</v>
      </c>
      <c r="D864" s="31" t="s">
        <v>500</v>
      </c>
      <c r="E864" s="31"/>
      <c r="F864" s="73" t="s">
        <v>4</v>
      </c>
      <c r="G864" s="32">
        <v>34789</v>
      </c>
      <c r="H864" s="29">
        <v>236.5</v>
      </c>
      <c r="I864" s="17">
        <v>0</v>
      </c>
      <c r="J864" s="17">
        <v>0</v>
      </c>
      <c r="K864" s="17">
        <f t="shared" si="137"/>
        <v>236.5</v>
      </c>
      <c r="L864" s="23">
        <f t="shared" si="144"/>
        <v>11.825000000000001</v>
      </c>
      <c r="M864" s="33">
        <v>25</v>
      </c>
      <c r="N864" s="18">
        <f t="shared" si="139"/>
        <v>26.024657534246575</v>
      </c>
      <c r="O864" s="23">
        <v>184986.85</v>
      </c>
      <c r="P864" s="18">
        <f t="shared" si="140"/>
        <v>26.526027397260275</v>
      </c>
      <c r="Q864" s="18">
        <v>0</v>
      </c>
      <c r="R864" s="18">
        <f t="shared" si="138"/>
        <v>184986.85</v>
      </c>
      <c r="S864" s="18">
        <f t="shared" si="145"/>
        <v>11.825000000000001</v>
      </c>
    </row>
    <row r="865" spans="1:19" ht="18.75" customHeight="1" x14ac:dyDescent="0.25">
      <c r="A865" s="14">
        <f t="shared" si="142"/>
        <v>862</v>
      </c>
      <c r="B865" s="31" t="s">
        <v>827</v>
      </c>
      <c r="C865" s="15" t="s">
        <v>3</v>
      </c>
      <c r="D865" s="31" t="s">
        <v>500</v>
      </c>
      <c r="E865" s="31"/>
      <c r="F865" s="73" t="s">
        <v>11</v>
      </c>
      <c r="G865" s="32">
        <v>20090</v>
      </c>
      <c r="H865" s="29">
        <v>344.69999999999982</v>
      </c>
      <c r="I865" s="17">
        <v>0</v>
      </c>
      <c r="J865" s="17">
        <v>0</v>
      </c>
      <c r="K865" s="17">
        <f t="shared" si="137"/>
        <v>344.69999999999982</v>
      </c>
      <c r="L865" s="23">
        <f t="shared" si="144"/>
        <v>17.234999999999992</v>
      </c>
      <c r="M865" s="33">
        <v>25</v>
      </c>
      <c r="N865" s="18">
        <f t="shared" si="139"/>
        <v>66.295890410958904</v>
      </c>
      <c r="O865" s="23">
        <v>55838.15</v>
      </c>
      <c r="P865" s="18">
        <f t="shared" si="140"/>
        <v>66.797260273972597</v>
      </c>
      <c r="Q865" s="18">
        <v>0</v>
      </c>
      <c r="R865" s="18">
        <f t="shared" si="138"/>
        <v>55838.15</v>
      </c>
      <c r="S865" s="18">
        <f t="shared" si="145"/>
        <v>17.234999999999992</v>
      </c>
    </row>
    <row r="866" spans="1:19" ht="18.75" customHeight="1" x14ac:dyDescent="0.25">
      <c r="A866" s="14">
        <f t="shared" si="142"/>
        <v>863</v>
      </c>
      <c r="B866" s="31" t="s">
        <v>828</v>
      </c>
      <c r="C866" s="15" t="s">
        <v>3</v>
      </c>
      <c r="D866" s="31" t="s">
        <v>500</v>
      </c>
      <c r="E866" s="31"/>
      <c r="F866" s="73" t="s">
        <v>11</v>
      </c>
      <c r="G866" s="32">
        <v>20090</v>
      </c>
      <c r="H866" s="29">
        <v>310.19999999999982</v>
      </c>
      <c r="I866" s="17">
        <v>0</v>
      </c>
      <c r="J866" s="17">
        <v>0</v>
      </c>
      <c r="K866" s="17">
        <f t="shared" si="137"/>
        <v>310.19999999999982</v>
      </c>
      <c r="L866" s="23">
        <f t="shared" si="144"/>
        <v>15.509999999999991</v>
      </c>
      <c r="M866" s="33">
        <v>25</v>
      </c>
      <c r="N866" s="18">
        <f t="shared" si="139"/>
        <v>66.295890410958904</v>
      </c>
      <c r="O866" s="23">
        <v>33690.800000000003</v>
      </c>
      <c r="P866" s="18">
        <f t="shared" si="140"/>
        <v>66.797260273972597</v>
      </c>
      <c r="Q866" s="18">
        <v>0</v>
      </c>
      <c r="R866" s="18">
        <f t="shared" si="138"/>
        <v>33690.800000000003</v>
      </c>
      <c r="S866" s="18">
        <f t="shared" si="145"/>
        <v>15.509999999999991</v>
      </c>
    </row>
    <row r="867" spans="1:19" ht="18.75" customHeight="1" x14ac:dyDescent="0.25">
      <c r="A867" s="14">
        <f t="shared" si="142"/>
        <v>864</v>
      </c>
      <c r="B867" s="31" t="s">
        <v>829</v>
      </c>
      <c r="C867" s="15" t="s">
        <v>3</v>
      </c>
      <c r="D867" s="31" t="s">
        <v>500</v>
      </c>
      <c r="E867" s="31"/>
      <c r="F867" s="73" t="s">
        <v>11</v>
      </c>
      <c r="G867" s="32">
        <v>20090</v>
      </c>
      <c r="H867" s="29">
        <v>76.400000000000091</v>
      </c>
      <c r="I867" s="17">
        <v>0</v>
      </c>
      <c r="J867" s="17">
        <v>0</v>
      </c>
      <c r="K867" s="17">
        <f t="shared" si="137"/>
        <v>76.400000000000091</v>
      </c>
      <c r="L867" s="23">
        <f t="shared" si="144"/>
        <v>3.8200000000000047</v>
      </c>
      <c r="M867" s="33">
        <v>25</v>
      </c>
      <c r="N867" s="18">
        <f t="shared" si="139"/>
        <v>66.295890410958904</v>
      </c>
      <c r="O867" s="23">
        <v>19676.400000000001</v>
      </c>
      <c r="P867" s="18">
        <f t="shared" si="140"/>
        <v>66.797260273972597</v>
      </c>
      <c r="Q867" s="18">
        <v>0</v>
      </c>
      <c r="R867" s="18">
        <f t="shared" si="138"/>
        <v>19676.400000000001</v>
      </c>
      <c r="S867" s="18">
        <f t="shared" si="145"/>
        <v>3.8200000000000047</v>
      </c>
    </row>
    <row r="868" spans="1:19" ht="18.75" customHeight="1" x14ac:dyDescent="0.25">
      <c r="A868" s="14">
        <f t="shared" si="142"/>
        <v>865</v>
      </c>
      <c r="B868" s="31" t="s">
        <v>830</v>
      </c>
      <c r="C868" s="15" t="s">
        <v>3</v>
      </c>
      <c r="D868" s="31" t="s">
        <v>500</v>
      </c>
      <c r="E868" s="31"/>
      <c r="F868" s="73" t="s">
        <v>11</v>
      </c>
      <c r="G868" s="32">
        <v>35011</v>
      </c>
      <c r="H868" s="29">
        <v>10860.732465753419</v>
      </c>
      <c r="I868" s="17">
        <v>0</v>
      </c>
      <c r="J868" s="17">
        <v>0</v>
      </c>
      <c r="K868" s="17">
        <f t="shared" si="137"/>
        <v>10860.732465753419</v>
      </c>
      <c r="L868" s="23">
        <f t="shared" si="144"/>
        <v>543.03662328767098</v>
      </c>
      <c r="M868" s="33">
        <v>25</v>
      </c>
      <c r="N868" s="18">
        <f t="shared" si="139"/>
        <v>25.416438356164385</v>
      </c>
      <c r="O868" s="23">
        <v>13990.979298630136</v>
      </c>
      <c r="P868" s="18">
        <f t="shared" si="140"/>
        <v>25.917808219178081</v>
      </c>
      <c r="Q868" s="18">
        <v>0</v>
      </c>
      <c r="R868" s="18">
        <f t="shared" si="138"/>
        <v>13990.979298630136</v>
      </c>
      <c r="S868" s="18">
        <f t="shared" si="145"/>
        <v>543.03662328767098</v>
      </c>
    </row>
    <row r="869" spans="1:19" ht="18.75" customHeight="1" x14ac:dyDescent="0.25">
      <c r="A869" s="14">
        <f t="shared" si="142"/>
        <v>866</v>
      </c>
      <c r="B869" s="31" t="s">
        <v>831</v>
      </c>
      <c r="C869" s="15" t="s">
        <v>3</v>
      </c>
      <c r="D869" s="31" t="s">
        <v>500</v>
      </c>
      <c r="E869" s="31"/>
      <c r="F869" s="73" t="s">
        <v>11</v>
      </c>
      <c r="G869" s="32">
        <v>35014</v>
      </c>
      <c r="H869" s="29">
        <v>507729.02410958917</v>
      </c>
      <c r="I869" s="17">
        <v>0</v>
      </c>
      <c r="J869" s="17">
        <v>0</v>
      </c>
      <c r="K869" s="17">
        <f t="shared" si="137"/>
        <v>507729.02410958917</v>
      </c>
      <c r="L869" s="23">
        <f t="shared" si="144"/>
        <v>25386.451205479461</v>
      </c>
      <c r="M869" s="33">
        <v>25</v>
      </c>
      <c r="N869" s="18">
        <f t="shared" si="139"/>
        <v>25.408219178082192</v>
      </c>
      <c r="O869" s="23">
        <v>27759.710964383565</v>
      </c>
      <c r="P869" s="18">
        <f t="shared" si="140"/>
        <v>25.909589041095892</v>
      </c>
      <c r="Q869" s="18">
        <v>0</v>
      </c>
      <c r="R869" s="18">
        <f t="shared" si="138"/>
        <v>27759.710964383565</v>
      </c>
      <c r="S869" s="18">
        <f t="shared" si="141"/>
        <v>479969.31314520561</v>
      </c>
    </row>
    <row r="870" spans="1:19" ht="18.75" customHeight="1" x14ac:dyDescent="0.25">
      <c r="A870" s="14">
        <f t="shared" si="142"/>
        <v>867</v>
      </c>
      <c r="B870" s="31" t="s">
        <v>652</v>
      </c>
      <c r="C870" s="15" t="s">
        <v>3</v>
      </c>
      <c r="D870" s="31" t="s">
        <v>500</v>
      </c>
      <c r="E870" s="31"/>
      <c r="F870" s="73" t="s">
        <v>11</v>
      </c>
      <c r="G870" s="32">
        <v>35014</v>
      </c>
      <c r="H870" s="29">
        <v>243578.76997260284</v>
      </c>
      <c r="I870" s="17">
        <v>0</v>
      </c>
      <c r="J870" s="17">
        <v>0</v>
      </c>
      <c r="K870" s="17">
        <f t="shared" si="137"/>
        <v>243578.76997260284</v>
      </c>
      <c r="L870" s="23">
        <f t="shared" si="144"/>
        <v>12178.938498630143</v>
      </c>
      <c r="M870" s="33">
        <v>25</v>
      </c>
      <c r="N870" s="18">
        <f t="shared" si="139"/>
        <v>25.408219178082192</v>
      </c>
      <c r="O870" s="23">
        <v>11305.670798904113</v>
      </c>
      <c r="P870" s="18">
        <f t="shared" si="140"/>
        <v>25.909589041095892</v>
      </c>
      <c r="Q870" s="18">
        <v>0</v>
      </c>
      <c r="R870" s="18">
        <f t="shared" si="138"/>
        <v>11305.670798904113</v>
      </c>
      <c r="S870" s="18">
        <f t="shared" si="141"/>
        <v>232273.09917369872</v>
      </c>
    </row>
    <row r="871" spans="1:19" ht="18.75" customHeight="1" x14ac:dyDescent="0.25">
      <c r="A871" s="14">
        <f t="shared" si="142"/>
        <v>868</v>
      </c>
      <c r="B871" s="31" t="s">
        <v>832</v>
      </c>
      <c r="C871" s="15" t="s">
        <v>3</v>
      </c>
      <c r="D871" s="31" t="s">
        <v>500</v>
      </c>
      <c r="E871" s="31"/>
      <c r="F871" s="73" t="s">
        <v>11</v>
      </c>
      <c r="G871" s="32">
        <v>35014</v>
      </c>
      <c r="H871" s="29">
        <v>218184.40190684923</v>
      </c>
      <c r="I871" s="17">
        <v>0</v>
      </c>
      <c r="J871" s="17">
        <v>0</v>
      </c>
      <c r="K871" s="17">
        <f t="shared" si="137"/>
        <v>218184.40190684923</v>
      </c>
      <c r="L871" s="23">
        <f t="shared" si="144"/>
        <v>10909.220095342462</v>
      </c>
      <c r="M871" s="33">
        <v>25</v>
      </c>
      <c r="N871" s="18">
        <f t="shared" si="139"/>
        <v>25.408219178082192</v>
      </c>
      <c r="O871" s="23">
        <v>104882.38407627397</v>
      </c>
      <c r="P871" s="18">
        <f t="shared" si="140"/>
        <v>25.909589041095892</v>
      </c>
      <c r="Q871" s="18">
        <v>0</v>
      </c>
      <c r="R871" s="18">
        <f t="shared" si="138"/>
        <v>104882.38407627397</v>
      </c>
      <c r="S871" s="18">
        <f t="shared" si="141"/>
        <v>113302.01783057526</v>
      </c>
    </row>
    <row r="872" spans="1:19" ht="18.75" customHeight="1" x14ac:dyDescent="0.25">
      <c r="A872" s="14">
        <f t="shared" si="142"/>
        <v>869</v>
      </c>
      <c r="B872" s="31" t="s">
        <v>571</v>
      </c>
      <c r="C872" s="15" t="s">
        <v>3</v>
      </c>
      <c r="D872" s="31" t="s">
        <v>500</v>
      </c>
      <c r="E872" s="31"/>
      <c r="F872" s="73" t="s">
        <v>15</v>
      </c>
      <c r="G872" s="32">
        <v>35014</v>
      </c>
      <c r="H872" s="29">
        <v>170077.74082191777</v>
      </c>
      <c r="I872" s="17">
        <v>0</v>
      </c>
      <c r="J872" s="17">
        <v>0</v>
      </c>
      <c r="K872" s="17">
        <f t="shared" si="137"/>
        <v>170077.74082191777</v>
      </c>
      <c r="L872" s="23">
        <f t="shared" si="144"/>
        <v>8503.8870410958898</v>
      </c>
      <c r="M872" s="33">
        <v>25</v>
      </c>
      <c r="N872" s="18">
        <f t="shared" si="139"/>
        <v>25.408219178082192</v>
      </c>
      <c r="O872" s="23">
        <v>336360.70963287674</v>
      </c>
      <c r="P872" s="18">
        <f t="shared" si="140"/>
        <v>25.909589041095892</v>
      </c>
      <c r="Q872" s="18">
        <v>0</v>
      </c>
      <c r="R872" s="18">
        <f t="shared" si="138"/>
        <v>336360.70963287674</v>
      </c>
      <c r="S872" s="18">
        <f t="shared" ref="S872:S875" si="146">L872</f>
        <v>8503.8870410958898</v>
      </c>
    </row>
    <row r="873" spans="1:19" ht="18.75" customHeight="1" x14ac:dyDescent="0.25">
      <c r="A873" s="14">
        <f t="shared" si="142"/>
        <v>870</v>
      </c>
      <c r="B873" s="31" t="s">
        <v>833</v>
      </c>
      <c r="C873" s="15" t="s">
        <v>3</v>
      </c>
      <c r="D873" s="31" t="s">
        <v>500</v>
      </c>
      <c r="E873" s="31"/>
      <c r="F873" s="73" t="s">
        <v>8</v>
      </c>
      <c r="G873" s="32">
        <v>35014</v>
      </c>
      <c r="H873" s="29">
        <v>101164.22338630137</v>
      </c>
      <c r="I873" s="17">
        <v>0</v>
      </c>
      <c r="J873" s="17">
        <v>0</v>
      </c>
      <c r="K873" s="17">
        <f t="shared" si="137"/>
        <v>101164.22338630137</v>
      </c>
      <c r="L873" s="23">
        <f t="shared" si="144"/>
        <v>5058.2111693150691</v>
      </c>
      <c r="M873" s="33">
        <v>25</v>
      </c>
      <c r="N873" s="18">
        <f t="shared" si="139"/>
        <v>25.408219178082192</v>
      </c>
      <c r="O873" s="23">
        <v>181916.69693545206</v>
      </c>
      <c r="P873" s="18">
        <f t="shared" si="140"/>
        <v>25.909589041095892</v>
      </c>
      <c r="Q873" s="18">
        <v>0</v>
      </c>
      <c r="R873" s="18">
        <f t="shared" si="138"/>
        <v>181916.69693545206</v>
      </c>
      <c r="S873" s="18">
        <f t="shared" si="146"/>
        <v>5058.2111693150691</v>
      </c>
    </row>
    <row r="874" spans="1:19" ht="18.75" customHeight="1" x14ac:dyDescent="0.25">
      <c r="A874" s="14">
        <f t="shared" si="142"/>
        <v>871</v>
      </c>
      <c r="B874" s="31" t="s">
        <v>834</v>
      </c>
      <c r="C874" s="15" t="s">
        <v>3</v>
      </c>
      <c r="D874" s="31" t="s">
        <v>500</v>
      </c>
      <c r="E874" s="31"/>
      <c r="F874" s="70" t="s">
        <v>7</v>
      </c>
      <c r="G874" s="32">
        <v>37587</v>
      </c>
      <c r="H874" s="29">
        <v>5414.8000000000029</v>
      </c>
      <c r="I874" s="17">
        <v>0</v>
      </c>
      <c r="J874" s="17">
        <v>0</v>
      </c>
      <c r="K874" s="17">
        <f t="shared" si="137"/>
        <v>5414.8000000000029</v>
      </c>
      <c r="L874" s="23">
        <f t="shared" si="144"/>
        <v>270.74000000000018</v>
      </c>
      <c r="M874" s="33">
        <v>15</v>
      </c>
      <c r="N874" s="18">
        <f t="shared" si="139"/>
        <v>18.358904109589041</v>
      </c>
      <c r="O874" s="23">
        <v>17874.25</v>
      </c>
      <c r="P874" s="18">
        <f t="shared" si="140"/>
        <v>18.860273972602741</v>
      </c>
      <c r="Q874" s="18">
        <v>0</v>
      </c>
      <c r="R874" s="18">
        <f t="shared" si="138"/>
        <v>17874.25</v>
      </c>
      <c r="S874" s="18">
        <f t="shared" si="146"/>
        <v>270.74000000000018</v>
      </c>
    </row>
    <row r="875" spans="1:19" ht="18.75" customHeight="1" x14ac:dyDescent="0.25">
      <c r="A875" s="14">
        <f t="shared" si="142"/>
        <v>872</v>
      </c>
      <c r="B875" s="31" t="s">
        <v>835</v>
      </c>
      <c r="C875" s="15" t="s">
        <v>3</v>
      </c>
      <c r="D875" s="31" t="s">
        <v>500</v>
      </c>
      <c r="E875" s="31"/>
      <c r="F875" s="73" t="s">
        <v>8</v>
      </c>
      <c r="G875" s="32">
        <v>35014</v>
      </c>
      <c r="H875" s="29">
        <v>57831.934378082165</v>
      </c>
      <c r="I875" s="17">
        <v>0</v>
      </c>
      <c r="J875" s="17">
        <v>0</v>
      </c>
      <c r="K875" s="17">
        <f t="shared" si="137"/>
        <v>57831.934378082165</v>
      </c>
      <c r="L875" s="23">
        <f t="shared" si="144"/>
        <v>2891.5967189041085</v>
      </c>
      <c r="M875" s="33">
        <v>25</v>
      </c>
      <c r="N875" s="18">
        <f t="shared" si="139"/>
        <v>25.408219178082192</v>
      </c>
      <c r="O875" s="23">
        <v>1226676.9813751231</v>
      </c>
      <c r="P875" s="18">
        <f t="shared" si="140"/>
        <v>25.909589041095892</v>
      </c>
      <c r="Q875" s="18">
        <v>0</v>
      </c>
      <c r="R875" s="18">
        <f t="shared" si="138"/>
        <v>1226676.9813751231</v>
      </c>
      <c r="S875" s="18">
        <f t="shared" si="146"/>
        <v>2891.5967189041085</v>
      </c>
    </row>
    <row r="876" spans="1:19" ht="18.75" customHeight="1" x14ac:dyDescent="0.25">
      <c r="A876" s="14">
        <f t="shared" si="142"/>
        <v>873</v>
      </c>
      <c r="B876" s="31" t="s">
        <v>836</v>
      </c>
      <c r="C876" s="15" t="s">
        <v>3</v>
      </c>
      <c r="D876" s="31" t="s">
        <v>500</v>
      </c>
      <c r="E876" s="31"/>
      <c r="F876" s="73" t="s">
        <v>8</v>
      </c>
      <c r="G876" s="32">
        <v>35014</v>
      </c>
      <c r="H876" s="29">
        <v>56026.21646027395</v>
      </c>
      <c r="I876" s="17">
        <v>0</v>
      </c>
      <c r="J876" s="17">
        <v>0</v>
      </c>
      <c r="K876" s="17">
        <f t="shared" si="137"/>
        <v>56026.21646027395</v>
      </c>
      <c r="L876" s="23">
        <f t="shared" si="144"/>
        <v>2801.3108230136977</v>
      </c>
      <c r="M876" s="33">
        <v>25</v>
      </c>
      <c r="N876" s="18">
        <f t="shared" si="139"/>
        <v>25.408219178082192</v>
      </c>
      <c r="O876" s="23">
        <v>21923.932658410959</v>
      </c>
      <c r="P876" s="18">
        <f t="shared" si="140"/>
        <v>25.909589041095892</v>
      </c>
      <c r="Q876" s="18">
        <v>0</v>
      </c>
      <c r="R876" s="18">
        <f t="shared" si="138"/>
        <v>21923.932658410959</v>
      </c>
      <c r="S876" s="18">
        <f t="shared" si="141"/>
        <v>34102.283801862992</v>
      </c>
    </row>
    <row r="877" spans="1:19" ht="18.75" customHeight="1" x14ac:dyDescent="0.25">
      <c r="A877" s="14">
        <f t="shared" si="142"/>
        <v>874</v>
      </c>
      <c r="B877" s="31" t="s">
        <v>837</v>
      </c>
      <c r="C877" s="15" t="s">
        <v>3</v>
      </c>
      <c r="D877" s="31" t="s">
        <v>500</v>
      </c>
      <c r="E877" s="31"/>
      <c r="F877" s="73" t="s">
        <v>8</v>
      </c>
      <c r="G877" s="32">
        <v>25569</v>
      </c>
      <c r="H877" s="29">
        <v>2259.1500000000015</v>
      </c>
      <c r="I877" s="17">
        <v>0</v>
      </c>
      <c r="J877" s="17">
        <v>0</v>
      </c>
      <c r="K877" s="17">
        <f t="shared" si="137"/>
        <v>2259.1500000000015</v>
      </c>
      <c r="L877" s="23">
        <f t="shared" si="144"/>
        <v>112.95750000000008</v>
      </c>
      <c r="M877" s="33">
        <v>10</v>
      </c>
      <c r="N877" s="18">
        <f t="shared" si="139"/>
        <v>51.284931506849318</v>
      </c>
      <c r="O877" s="23">
        <v>16302</v>
      </c>
      <c r="P877" s="18">
        <f t="shared" si="140"/>
        <v>51.786301369863011</v>
      </c>
      <c r="Q877" s="18">
        <v>0</v>
      </c>
      <c r="R877" s="18">
        <f t="shared" si="138"/>
        <v>16302</v>
      </c>
      <c r="S877" s="18">
        <f t="shared" ref="S877:S878" si="147">L877</f>
        <v>112.95750000000008</v>
      </c>
    </row>
    <row r="878" spans="1:19" ht="18.75" customHeight="1" x14ac:dyDescent="0.25">
      <c r="A878" s="14">
        <f t="shared" si="142"/>
        <v>875</v>
      </c>
      <c r="B878" s="31" t="s">
        <v>589</v>
      </c>
      <c r="C878" s="15" t="s">
        <v>3</v>
      </c>
      <c r="D878" s="31" t="s">
        <v>500</v>
      </c>
      <c r="E878" s="31"/>
      <c r="F878" s="73" t="s">
        <v>11</v>
      </c>
      <c r="G878" s="32">
        <v>35014</v>
      </c>
      <c r="H878" s="29">
        <v>49146.745621917828</v>
      </c>
      <c r="I878" s="17">
        <v>0</v>
      </c>
      <c r="J878" s="17">
        <v>0</v>
      </c>
      <c r="K878" s="17">
        <f t="shared" si="137"/>
        <v>49146.745621917828</v>
      </c>
      <c r="L878" s="23">
        <f t="shared" si="144"/>
        <v>2457.3372810958917</v>
      </c>
      <c r="M878" s="33">
        <v>25</v>
      </c>
      <c r="N878" s="18">
        <f t="shared" si="139"/>
        <v>25.408219178082192</v>
      </c>
      <c r="O878" s="23">
        <v>64625.315824876714</v>
      </c>
      <c r="P878" s="18">
        <f t="shared" si="140"/>
        <v>25.909589041095892</v>
      </c>
      <c r="Q878" s="18">
        <v>0</v>
      </c>
      <c r="R878" s="18">
        <f t="shared" si="138"/>
        <v>64625.315824876714</v>
      </c>
      <c r="S878" s="18">
        <f t="shared" si="147"/>
        <v>2457.3372810958917</v>
      </c>
    </row>
    <row r="879" spans="1:19" ht="18.75" customHeight="1" x14ac:dyDescent="0.25">
      <c r="A879" s="14">
        <f t="shared" si="142"/>
        <v>876</v>
      </c>
      <c r="B879" s="31" t="s">
        <v>838</v>
      </c>
      <c r="C879" s="15" t="s">
        <v>3</v>
      </c>
      <c r="D879" s="31" t="s">
        <v>500</v>
      </c>
      <c r="E879" s="31"/>
      <c r="F879" s="73" t="s">
        <v>12</v>
      </c>
      <c r="G879" s="32">
        <v>35014</v>
      </c>
      <c r="H879" s="29">
        <v>38724.114849315054</v>
      </c>
      <c r="I879" s="17">
        <v>0</v>
      </c>
      <c r="J879" s="17">
        <v>0</v>
      </c>
      <c r="K879" s="17">
        <f t="shared" si="137"/>
        <v>38724.114849315054</v>
      </c>
      <c r="L879" s="23">
        <f t="shared" si="144"/>
        <v>1936.2057424657528</v>
      </c>
      <c r="M879" s="33">
        <v>25</v>
      </c>
      <c r="N879" s="18">
        <f t="shared" si="139"/>
        <v>25.408219178082192</v>
      </c>
      <c r="O879" s="23">
        <v>15186.224593972602</v>
      </c>
      <c r="P879" s="18">
        <f t="shared" si="140"/>
        <v>25.909589041095892</v>
      </c>
      <c r="Q879" s="18">
        <v>0</v>
      </c>
      <c r="R879" s="18">
        <f t="shared" si="138"/>
        <v>15186.224593972602</v>
      </c>
      <c r="S879" s="18">
        <f t="shared" si="141"/>
        <v>23537.890255342452</v>
      </c>
    </row>
    <row r="880" spans="1:19" ht="18.75" customHeight="1" x14ac:dyDescent="0.25">
      <c r="A880" s="14">
        <f t="shared" si="142"/>
        <v>877</v>
      </c>
      <c r="B880" s="31" t="s">
        <v>839</v>
      </c>
      <c r="C880" s="15" t="s">
        <v>3</v>
      </c>
      <c r="D880" s="31" t="s">
        <v>500</v>
      </c>
      <c r="E880" s="31"/>
      <c r="F880" s="73" t="s">
        <v>13</v>
      </c>
      <c r="G880" s="32">
        <v>35014</v>
      </c>
      <c r="H880" s="29">
        <v>38008.11625205478</v>
      </c>
      <c r="I880" s="17">
        <v>0</v>
      </c>
      <c r="J880" s="17">
        <v>0</v>
      </c>
      <c r="K880" s="17">
        <f t="shared" si="137"/>
        <v>38008.11625205478</v>
      </c>
      <c r="L880" s="23">
        <f t="shared" si="144"/>
        <v>1900.4058126027392</v>
      </c>
      <c r="M880" s="33">
        <v>25</v>
      </c>
      <c r="N880" s="18">
        <f t="shared" si="139"/>
        <v>25.408219178082192</v>
      </c>
      <c r="O880" s="23">
        <v>136962.48215008219</v>
      </c>
      <c r="P880" s="18">
        <f t="shared" si="140"/>
        <v>25.909589041095892</v>
      </c>
      <c r="Q880" s="18">
        <v>0</v>
      </c>
      <c r="R880" s="18">
        <f t="shared" si="138"/>
        <v>136962.48215008219</v>
      </c>
      <c r="S880" s="18">
        <f t="shared" ref="S880:S882" si="148">L880</f>
        <v>1900.4058126027392</v>
      </c>
    </row>
    <row r="881" spans="1:19" ht="18.75" customHeight="1" x14ac:dyDescent="0.25">
      <c r="A881" s="14">
        <f t="shared" si="142"/>
        <v>878</v>
      </c>
      <c r="B881" s="31" t="s">
        <v>840</v>
      </c>
      <c r="C881" s="15" t="s">
        <v>3</v>
      </c>
      <c r="D881" s="31" t="s">
        <v>500</v>
      </c>
      <c r="E881" s="31"/>
      <c r="F881" s="73" t="s">
        <v>4</v>
      </c>
      <c r="G881" s="32">
        <v>20455</v>
      </c>
      <c r="H881" s="29">
        <v>3753.25</v>
      </c>
      <c r="I881" s="17">
        <v>0</v>
      </c>
      <c r="J881" s="17">
        <v>0</v>
      </c>
      <c r="K881" s="17">
        <f t="shared" si="137"/>
        <v>3753.25</v>
      </c>
      <c r="L881" s="23">
        <f t="shared" si="144"/>
        <v>187.66250000000002</v>
      </c>
      <c r="M881" s="33">
        <v>25</v>
      </c>
      <c r="N881" s="18">
        <f t="shared" si="139"/>
        <v>65.295890410958904</v>
      </c>
      <c r="O881" s="23">
        <v>23904.85</v>
      </c>
      <c r="P881" s="18">
        <f t="shared" si="140"/>
        <v>65.797260273972597</v>
      </c>
      <c r="Q881" s="18">
        <v>0</v>
      </c>
      <c r="R881" s="18">
        <f t="shared" si="138"/>
        <v>23904.85</v>
      </c>
      <c r="S881" s="18">
        <f t="shared" si="148"/>
        <v>187.66250000000002</v>
      </c>
    </row>
    <row r="882" spans="1:19" ht="18.75" customHeight="1" x14ac:dyDescent="0.25">
      <c r="A882" s="14">
        <f t="shared" si="142"/>
        <v>879</v>
      </c>
      <c r="B882" s="31" t="s">
        <v>841</v>
      </c>
      <c r="C882" s="15" t="s">
        <v>3</v>
      </c>
      <c r="D882" s="31" t="s">
        <v>500</v>
      </c>
      <c r="E882" s="31"/>
      <c r="F882" s="73" t="s">
        <v>11</v>
      </c>
      <c r="G882" s="32">
        <v>35043</v>
      </c>
      <c r="H882" s="29">
        <v>571729.36695342464</v>
      </c>
      <c r="I882" s="17">
        <v>0</v>
      </c>
      <c r="J882" s="17">
        <v>0</v>
      </c>
      <c r="K882" s="17">
        <f t="shared" si="137"/>
        <v>571729.36695342464</v>
      </c>
      <c r="L882" s="23">
        <f t="shared" si="144"/>
        <v>28586.468347671234</v>
      </c>
      <c r="M882" s="33">
        <v>25</v>
      </c>
      <c r="N882" s="18">
        <f t="shared" si="139"/>
        <v>25.328767123287673</v>
      </c>
      <c r="O882" s="23">
        <v>1674163.7826781371</v>
      </c>
      <c r="P882" s="18">
        <f t="shared" si="140"/>
        <v>25.830136986301369</v>
      </c>
      <c r="Q882" s="18">
        <v>0</v>
      </c>
      <c r="R882" s="18">
        <f t="shared" si="138"/>
        <v>1674163.7826781371</v>
      </c>
      <c r="S882" s="18">
        <f t="shared" si="148"/>
        <v>28586.468347671234</v>
      </c>
    </row>
    <row r="883" spans="1:19" ht="18.75" customHeight="1" x14ac:dyDescent="0.25">
      <c r="A883" s="14">
        <f t="shared" si="142"/>
        <v>880</v>
      </c>
      <c r="B883" s="31" t="s">
        <v>842</v>
      </c>
      <c r="C883" s="15" t="s">
        <v>3</v>
      </c>
      <c r="D883" s="31" t="s">
        <v>500</v>
      </c>
      <c r="E883" s="31"/>
      <c r="F883" s="73" t="s">
        <v>11</v>
      </c>
      <c r="G883" s="32">
        <v>35082</v>
      </c>
      <c r="H883" s="29">
        <v>103804.69764383562</v>
      </c>
      <c r="I883" s="17">
        <v>0</v>
      </c>
      <c r="J883" s="17">
        <v>0</v>
      </c>
      <c r="K883" s="17">
        <f t="shared" si="137"/>
        <v>103804.69764383562</v>
      </c>
      <c r="L883" s="23">
        <f t="shared" si="144"/>
        <v>5190.2348821917813</v>
      </c>
      <c r="M883" s="33">
        <v>25</v>
      </c>
      <c r="N883" s="18">
        <f t="shared" si="139"/>
        <v>25.221917808219178</v>
      </c>
      <c r="O883" s="23">
        <v>7297.3499057534254</v>
      </c>
      <c r="P883" s="18">
        <f t="shared" si="140"/>
        <v>25.723287671232878</v>
      </c>
      <c r="Q883" s="18">
        <v>0</v>
      </c>
      <c r="R883" s="18">
        <f t="shared" si="138"/>
        <v>7297.3499057534254</v>
      </c>
      <c r="S883" s="18">
        <f t="shared" si="141"/>
        <v>96507.347738082201</v>
      </c>
    </row>
    <row r="884" spans="1:19" ht="18.75" customHeight="1" x14ac:dyDescent="0.25">
      <c r="A884" s="14">
        <f t="shared" si="142"/>
        <v>881</v>
      </c>
      <c r="B884" s="31" t="s">
        <v>843</v>
      </c>
      <c r="C884" s="15" t="s">
        <v>3</v>
      </c>
      <c r="D884" s="31" t="s">
        <v>500</v>
      </c>
      <c r="E884" s="31"/>
      <c r="F884" s="73" t="s">
        <v>11</v>
      </c>
      <c r="G884" s="32">
        <v>35082</v>
      </c>
      <c r="H884" s="29">
        <v>46917.594739726017</v>
      </c>
      <c r="I884" s="17">
        <v>0</v>
      </c>
      <c r="J884" s="17">
        <v>0</v>
      </c>
      <c r="K884" s="17">
        <f t="shared" si="137"/>
        <v>46917.594739726017</v>
      </c>
      <c r="L884" s="23">
        <f t="shared" si="144"/>
        <v>2345.8797369863009</v>
      </c>
      <c r="M884" s="33">
        <v>25</v>
      </c>
      <c r="N884" s="18">
        <f t="shared" si="139"/>
        <v>25.221917808219178</v>
      </c>
      <c r="O884" s="23">
        <v>5937.6177895890405</v>
      </c>
      <c r="P884" s="18">
        <f t="shared" si="140"/>
        <v>25.723287671232878</v>
      </c>
      <c r="Q884" s="18">
        <v>0</v>
      </c>
      <c r="R884" s="18">
        <f t="shared" si="138"/>
        <v>5937.6177895890405</v>
      </c>
      <c r="S884" s="18">
        <f t="shared" si="141"/>
        <v>40979.976950136974</v>
      </c>
    </row>
    <row r="885" spans="1:19" ht="18.75" customHeight="1" x14ac:dyDescent="0.25">
      <c r="A885" s="14">
        <f t="shared" si="142"/>
        <v>882</v>
      </c>
      <c r="B885" s="31" t="s">
        <v>844</v>
      </c>
      <c r="C885" s="15" t="s">
        <v>3</v>
      </c>
      <c r="D885" s="31" t="s">
        <v>500</v>
      </c>
      <c r="E885" s="31"/>
      <c r="F885" s="73" t="s">
        <v>11</v>
      </c>
      <c r="G885" s="32">
        <v>20455</v>
      </c>
      <c r="H885" s="29">
        <v>3224.5500000000029</v>
      </c>
      <c r="I885" s="17">
        <v>0</v>
      </c>
      <c r="J885" s="17">
        <v>0</v>
      </c>
      <c r="K885" s="17">
        <f t="shared" si="137"/>
        <v>3224.5500000000029</v>
      </c>
      <c r="L885" s="23">
        <f t="shared" si="144"/>
        <v>161.22750000000016</v>
      </c>
      <c r="M885" s="33">
        <v>25</v>
      </c>
      <c r="N885" s="18">
        <f t="shared" si="139"/>
        <v>65.295890410958904</v>
      </c>
      <c r="O885" s="23">
        <v>1081294.75</v>
      </c>
      <c r="P885" s="18">
        <f t="shared" si="140"/>
        <v>65.797260273972597</v>
      </c>
      <c r="Q885" s="18">
        <v>0</v>
      </c>
      <c r="R885" s="18">
        <f t="shared" si="138"/>
        <v>1081294.75</v>
      </c>
      <c r="S885" s="18">
        <f>L885</f>
        <v>161.22750000000016</v>
      </c>
    </row>
    <row r="886" spans="1:19" ht="18.75" customHeight="1" x14ac:dyDescent="0.25">
      <c r="A886" s="14">
        <f t="shared" si="142"/>
        <v>883</v>
      </c>
      <c r="B886" s="31" t="s">
        <v>845</v>
      </c>
      <c r="C886" s="15" t="s">
        <v>3</v>
      </c>
      <c r="D886" s="31" t="s">
        <v>500</v>
      </c>
      <c r="E886" s="31"/>
      <c r="F886" s="73" t="s">
        <v>11</v>
      </c>
      <c r="G886" s="32">
        <v>35095</v>
      </c>
      <c r="H886" s="29">
        <v>1017374.0035616434</v>
      </c>
      <c r="I886" s="17">
        <v>0</v>
      </c>
      <c r="J886" s="17">
        <v>0</v>
      </c>
      <c r="K886" s="17">
        <f t="shared" si="137"/>
        <v>1017374.0035616434</v>
      </c>
      <c r="L886" s="23">
        <f t="shared" si="144"/>
        <v>50868.700178082174</v>
      </c>
      <c r="M886" s="33">
        <v>25</v>
      </c>
      <c r="N886" s="18">
        <f t="shared" si="139"/>
        <v>25.186301369863013</v>
      </c>
      <c r="O886" s="23">
        <v>33478.310142465736</v>
      </c>
      <c r="P886" s="18">
        <f t="shared" si="140"/>
        <v>25.687671232876713</v>
      </c>
      <c r="Q886" s="18">
        <v>0</v>
      </c>
      <c r="R886" s="18">
        <f t="shared" si="138"/>
        <v>33478.310142465736</v>
      </c>
      <c r="S886" s="18">
        <f t="shared" si="141"/>
        <v>983895.69341917767</v>
      </c>
    </row>
    <row r="887" spans="1:19" ht="18.75" customHeight="1" x14ac:dyDescent="0.25">
      <c r="A887" s="14">
        <f t="shared" si="142"/>
        <v>884</v>
      </c>
      <c r="B887" s="31" t="s">
        <v>846</v>
      </c>
      <c r="C887" s="15" t="s">
        <v>3</v>
      </c>
      <c r="D887" s="31" t="s">
        <v>500</v>
      </c>
      <c r="E887" s="31"/>
      <c r="F887" s="73" t="s">
        <v>11</v>
      </c>
      <c r="G887" s="32">
        <v>35105</v>
      </c>
      <c r="H887" s="29">
        <v>547612.04441095889</v>
      </c>
      <c r="I887" s="17">
        <v>0</v>
      </c>
      <c r="J887" s="17">
        <v>0</v>
      </c>
      <c r="K887" s="17">
        <f t="shared" si="137"/>
        <v>547612.04441095889</v>
      </c>
      <c r="L887" s="23">
        <f t="shared" si="144"/>
        <v>27380.602220547946</v>
      </c>
      <c r="M887" s="33">
        <v>25</v>
      </c>
      <c r="N887" s="18">
        <f t="shared" si="139"/>
        <v>25.158904109589042</v>
      </c>
      <c r="O887" s="23">
        <v>39853.401776438353</v>
      </c>
      <c r="P887" s="18">
        <f t="shared" si="140"/>
        <v>25.660273972602738</v>
      </c>
      <c r="Q887" s="18">
        <v>0</v>
      </c>
      <c r="R887" s="18">
        <f t="shared" si="138"/>
        <v>39853.401776438353</v>
      </c>
      <c r="S887" s="18">
        <f t="shared" si="141"/>
        <v>507758.64263452054</v>
      </c>
    </row>
    <row r="888" spans="1:19" ht="18.75" customHeight="1" x14ac:dyDescent="0.25">
      <c r="A888" s="14">
        <f t="shared" si="142"/>
        <v>885</v>
      </c>
      <c r="B888" s="31" t="s">
        <v>847</v>
      </c>
      <c r="C888" s="15" t="s">
        <v>3</v>
      </c>
      <c r="D888" s="31" t="s">
        <v>500</v>
      </c>
      <c r="E888" s="31"/>
      <c r="F888" s="73" t="s">
        <v>11</v>
      </c>
      <c r="G888" s="32">
        <v>20455</v>
      </c>
      <c r="H888" s="29">
        <v>2031.5999999999985</v>
      </c>
      <c r="I888" s="17">
        <v>0</v>
      </c>
      <c r="J888" s="17">
        <v>0</v>
      </c>
      <c r="K888" s="17">
        <f t="shared" si="137"/>
        <v>2031.5999999999985</v>
      </c>
      <c r="L888" s="23">
        <f t="shared" si="144"/>
        <v>101.57999999999993</v>
      </c>
      <c r="M888" s="33">
        <v>25</v>
      </c>
      <c r="N888" s="18">
        <f t="shared" si="139"/>
        <v>65.295890410958904</v>
      </c>
      <c r="O888" s="23">
        <v>16684.849999999999</v>
      </c>
      <c r="P888" s="18">
        <f t="shared" si="140"/>
        <v>65.797260273972597</v>
      </c>
      <c r="Q888" s="18">
        <v>0</v>
      </c>
      <c r="R888" s="18">
        <f t="shared" si="138"/>
        <v>16684.849999999999</v>
      </c>
      <c r="S888" s="18">
        <f t="shared" ref="S888:S889" si="149">L888</f>
        <v>101.57999999999993</v>
      </c>
    </row>
    <row r="889" spans="1:19" ht="18.75" customHeight="1" x14ac:dyDescent="0.25">
      <c r="A889" s="14">
        <f t="shared" si="142"/>
        <v>886</v>
      </c>
      <c r="B889" s="31" t="s">
        <v>848</v>
      </c>
      <c r="C889" s="15" t="s">
        <v>3</v>
      </c>
      <c r="D889" s="31" t="s">
        <v>500</v>
      </c>
      <c r="E889" s="31"/>
      <c r="F889" s="73" t="s">
        <v>11</v>
      </c>
      <c r="G889" s="32">
        <v>20455</v>
      </c>
      <c r="H889" s="29">
        <v>1817.6999999999971</v>
      </c>
      <c r="I889" s="17">
        <v>0</v>
      </c>
      <c r="J889" s="17">
        <v>0</v>
      </c>
      <c r="K889" s="17">
        <f t="shared" si="137"/>
        <v>1817.6999999999971</v>
      </c>
      <c r="L889" s="23">
        <f t="shared" si="144"/>
        <v>90.884999999999863</v>
      </c>
      <c r="M889" s="33">
        <v>25</v>
      </c>
      <c r="N889" s="18">
        <f t="shared" si="139"/>
        <v>65.295890410958904</v>
      </c>
      <c r="O889" s="23">
        <v>1610658.5</v>
      </c>
      <c r="P889" s="18">
        <f t="shared" si="140"/>
        <v>65.797260273972597</v>
      </c>
      <c r="Q889" s="18">
        <v>0</v>
      </c>
      <c r="R889" s="18">
        <f t="shared" si="138"/>
        <v>1610658.5</v>
      </c>
      <c r="S889" s="18">
        <f t="shared" si="149"/>
        <v>90.884999999999863</v>
      </c>
    </row>
    <row r="890" spans="1:19" ht="18.75" customHeight="1" x14ac:dyDescent="0.25">
      <c r="A890" s="14">
        <f t="shared" si="142"/>
        <v>887</v>
      </c>
      <c r="B890" s="31" t="s">
        <v>849</v>
      </c>
      <c r="C890" s="15" t="s">
        <v>3</v>
      </c>
      <c r="D890" s="31" t="s">
        <v>500</v>
      </c>
      <c r="E890" s="31"/>
      <c r="F890" s="73" t="s">
        <v>11</v>
      </c>
      <c r="G890" s="32">
        <v>35110</v>
      </c>
      <c r="H890" s="29">
        <v>2338109.4672657531</v>
      </c>
      <c r="I890" s="17">
        <v>0</v>
      </c>
      <c r="J890" s="17">
        <v>0</v>
      </c>
      <c r="K890" s="17">
        <f t="shared" si="137"/>
        <v>2338109.4672657531</v>
      </c>
      <c r="L890" s="23">
        <f t="shared" si="144"/>
        <v>116905.47336328766</v>
      </c>
      <c r="M890" s="33">
        <v>25</v>
      </c>
      <c r="N890" s="18">
        <f t="shared" si="139"/>
        <v>25.145205479452056</v>
      </c>
      <c r="O890" s="23">
        <v>191489.28269063012</v>
      </c>
      <c r="P890" s="18">
        <f t="shared" si="140"/>
        <v>25.646575342465752</v>
      </c>
      <c r="Q890" s="18">
        <v>0</v>
      </c>
      <c r="R890" s="18">
        <f t="shared" si="138"/>
        <v>191489.28269063012</v>
      </c>
      <c r="S890" s="18">
        <f t="shared" si="141"/>
        <v>2146620.1845751228</v>
      </c>
    </row>
    <row r="891" spans="1:19" ht="18.75" customHeight="1" x14ac:dyDescent="0.25">
      <c r="A891" s="14">
        <f t="shared" si="142"/>
        <v>888</v>
      </c>
      <c r="B891" s="31" t="s">
        <v>850</v>
      </c>
      <c r="C891" s="15" t="s">
        <v>3</v>
      </c>
      <c r="D891" s="31" t="s">
        <v>500</v>
      </c>
      <c r="E891" s="31"/>
      <c r="F891" s="73" t="s">
        <v>11</v>
      </c>
      <c r="G891" s="32">
        <v>20455</v>
      </c>
      <c r="H891" s="29">
        <v>1755.5</v>
      </c>
      <c r="I891" s="17">
        <v>0</v>
      </c>
      <c r="J891" s="17">
        <v>0</v>
      </c>
      <c r="K891" s="17">
        <f t="shared" si="137"/>
        <v>1755.5</v>
      </c>
      <c r="L891" s="23">
        <f t="shared" si="144"/>
        <v>87.775000000000006</v>
      </c>
      <c r="M891" s="33">
        <v>25</v>
      </c>
      <c r="N891" s="18">
        <f t="shared" si="139"/>
        <v>65.295890410958904</v>
      </c>
      <c r="O891" s="23">
        <v>17300.45</v>
      </c>
      <c r="P891" s="18">
        <f t="shared" si="140"/>
        <v>65.797260273972597</v>
      </c>
      <c r="Q891" s="18">
        <v>0</v>
      </c>
      <c r="R891" s="18">
        <f t="shared" si="138"/>
        <v>17300.45</v>
      </c>
      <c r="S891" s="18">
        <f>L891</f>
        <v>87.775000000000006</v>
      </c>
    </row>
    <row r="892" spans="1:19" ht="18.75" customHeight="1" x14ac:dyDescent="0.25">
      <c r="A892" s="14">
        <f t="shared" si="142"/>
        <v>889</v>
      </c>
      <c r="B892" s="31" t="s">
        <v>851</v>
      </c>
      <c r="C892" s="15" t="s">
        <v>3</v>
      </c>
      <c r="D892" s="31" t="s">
        <v>500</v>
      </c>
      <c r="E892" s="31"/>
      <c r="F892" s="70" t="s">
        <v>7</v>
      </c>
      <c r="G892" s="32">
        <v>35110</v>
      </c>
      <c r="H892" s="29">
        <v>1250269.2149260268</v>
      </c>
      <c r="I892" s="17">
        <v>0</v>
      </c>
      <c r="J892" s="17">
        <v>0</v>
      </c>
      <c r="K892" s="17">
        <f t="shared" si="137"/>
        <v>1250269.2149260268</v>
      </c>
      <c r="L892" s="23">
        <f t="shared" si="144"/>
        <v>62513.460746301338</v>
      </c>
      <c r="M892" s="33">
        <v>25</v>
      </c>
      <c r="N892" s="18">
        <f t="shared" si="139"/>
        <v>25.145205479452056</v>
      </c>
      <c r="O892" s="23">
        <v>48851.414597041068</v>
      </c>
      <c r="P892" s="18">
        <f t="shared" si="140"/>
        <v>25.646575342465752</v>
      </c>
      <c r="Q892" s="18">
        <v>0</v>
      </c>
      <c r="R892" s="18">
        <f t="shared" si="138"/>
        <v>48851.414597041068</v>
      </c>
      <c r="S892" s="18">
        <f t="shared" si="141"/>
        <v>1201417.8003289858</v>
      </c>
    </row>
    <row r="893" spans="1:19" ht="18.75" customHeight="1" x14ac:dyDescent="0.25">
      <c r="A893" s="14">
        <f t="shared" si="142"/>
        <v>890</v>
      </c>
      <c r="B893" s="31" t="s">
        <v>852</v>
      </c>
      <c r="C893" s="15" t="s">
        <v>3</v>
      </c>
      <c r="D893" s="31" t="s">
        <v>500</v>
      </c>
      <c r="E893" s="31"/>
      <c r="F893" s="73" t="s">
        <v>11</v>
      </c>
      <c r="G893" s="32">
        <v>20455</v>
      </c>
      <c r="H893" s="29">
        <v>1701.8499999999985</v>
      </c>
      <c r="I893" s="17">
        <v>0</v>
      </c>
      <c r="J893" s="17">
        <v>0</v>
      </c>
      <c r="K893" s="17">
        <f t="shared" si="137"/>
        <v>1701.8499999999985</v>
      </c>
      <c r="L893" s="23">
        <f t="shared" si="144"/>
        <v>85.09249999999993</v>
      </c>
      <c r="M893" s="33">
        <v>25</v>
      </c>
      <c r="N893" s="18">
        <f t="shared" si="139"/>
        <v>65.295890410958904</v>
      </c>
      <c r="O893" s="23">
        <v>17575</v>
      </c>
      <c r="P893" s="18">
        <f t="shared" si="140"/>
        <v>65.797260273972597</v>
      </c>
      <c r="Q893" s="18">
        <v>0</v>
      </c>
      <c r="R893" s="18">
        <f t="shared" si="138"/>
        <v>17575</v>
      </c>
      <c r="S893" s="18">
        <f t="shared" ref="S893:S896" si="150">L893</f>
        <v>85.09249999999993</v>
      </c>
    </row>
    <row r="894" spans="1:19" ht="18.75" customHeight="1" x14ac:dyDescent="0.25">
      <c r="A894" s="14">
        <f t="shared" si="142"/>
        <v>891</v>
      </c>
      <c r="B894" s="31" t="s">
        <v>853</v>
      </c>
      <c r="C894" s="15" t="s">
        <v>3</v>
      </c>
      <c r="D894" s="31" t="s">
        <v>500</v>
      </c>
      <c r="E894" s="31"/>
      <c r="F894" s="73" t="s">
        <v>11</v>
      </c>
      <c r="G894" s="32">
        <v>20455</v>
      </c>
      <c r="H894" s="29">
        <v>1291.5499999999993</v>
      </c>
      <c r="I894" s="17">
        <v>0</v>
      </c>
      <c r="J894" s="17">
        <v>0</v>
      </c>
      <c r="K894" s="17">
        <f t="shared" si="137"/>
        <v>1291.5499999999993</v>
      </c>
      <c r="L894" s="23">
        <f t="shared" si="144"/>
        <v>64.577499999999972</v>
      </c>
      <c r="M894" s="33">
        <v>25</v>
      </c>
      <c r="N894" s="18">
        <f t="shared" si="139"/>
        <v>65.295890410958904</v>
      </c>
      <c r="O894" s="23">
        <v>9500</v>
      </c>
      <c r="P894" s="18">
        <f t="shared" si="140"/>
        <v>65.797260273972597</v>
      </c>
      <c r="Q894" s="18">
        <v>0</v>
      </c>
      <c r="R894" s="18">
        <f t="shared" si="138"/>
        <v>9500</v>
      </c>
      <c r="S894" s="18">
        <f t="shared" si="150"/>
        <v>64.577499999999972</v>
      </c>
    </row>
    <row r="895" spans="1:19" ht="18.75" customHeight="1" x14ac:dyDescent="0.25">
      <c r="A895" s="14">
        <f t="shared" si="142"/>
        <v>892</v>
      </c>
      <c r="B895" s="31" t="s">
        <v>854</v>
      </c>
      <c r="C895" s="15" t="s">
        <v>3</v>
      </c>
      <c r="D895" s="31" t="s">
        <v>500</v>
      </c>
      <c r="E895" s="31"/>
      <c r="F895" s="73" t="s">
        <v>11</v>
      </c>
      <c r="G895" s="32">
        <v>35110</v>
      </c>
      <c r="H895" s="29">
        <v>223742.54958904104</v>
      </c>
      <c r="I895" s="17">
        <v>0</v>
      </c>
      <c r="J895" s="17">
        <v>0</v>
      </c>
      <c r="K895" s="17">
        <f t="shared" si="137"/>
        <v>223742.54958904104</v>
      </c>
      <c r="L895" s="23">
        <f t="shared" si="144"/>
        <v>11187.127479452052</v>
      </c>
      <c r="M895" s="33">
        <v>25</v>
      </c>
      <c r="N895" s="18">
        <f t="shared" si="139"/>
        <v>25.145205479452056</v>
      </c>
      <c r="O895" s="23">
        <v>542668.30198356172</v>
      </c>
      <c r="P895" s="18">
        <f t="shared" si="140"/>
        <v>25.646575342465752</v>
      </c>
      <c r="Q895" s="18">
        <v>0</v>
      </c>
      <c r="R895" s="18">
        <f t="shared" si="138"/>
        <v>542668.30198356172</v>
      </c>
      <c r="S895" s="18">
        <f t="shared" si="150"/>
        <v>11187.127479452052</v>
      </c>
    </row>
    <row r="896" spans="1:19" ht="18.75" customHeight="1" x14ac:dyDescent="0.25">
      <c r="A896" s="14">
        <f t="shared" si="142"/>
        <v>893</v>
      </c>
      <c r="B896" s="31" t="s">
        <v>855</v>
      </c>
      <c r="C896" s="15" t="s">
        <v>3</v>
      </c>
      <c r="D896" s="31" t="s">
        <v>500</v>
      </c>
      <c r="E896" s="31"/>
      <c r="F896" s="73" t="s">
        <v>11</v>
      </c>
      <c r="G896" s="32">
        <v>35110</v>
      </c>
      <c r="H896" s="29">
        <v>3673.8560657534235</v>
      </c>
      <c r="I896" s="17">
        <v>0</v>
      </c>
      <c r="J896" s="17">
        <v>0</v>
      </c>
      <c r="K896" s="17">
        <f t="shared" si="137"/>
        <v>3673.8560657534235</v>
      </c>
      <c r="L896" s="23">
        <f t="shared" si="144"/>
        <v>183.69280328767118</v>
      </c>
      <c r="M896" s="33">
        <v>25</v>
      </c>
      <c r="N896" s="18">
        <f t="shared" si="139"/>
        <v>25.145205479452056</v>
      </c>
      <c r="O896" s="23">
        <v>434734.93224263011</v>
      </c>
      <c r="P896" s="18">
        <f t="shared" si="140"/>
        <v>25.646575342465752</v>
      </c>
      <c r="Q896" s="18">
        <v>0</v>
      </c>
      <c r="R896" s="18">
        <f t="shared" si="138"/>
        <v>434734.93224263011</v>
      </c>
      <c r="S896" s="18">
        <f t="shared" si="150"/>
        <v>183.69280328767118</v>
      </c>
    </row>
    <row r="897" spans="1:19" ht="18.75" customHeight="1" x14ac:dyDescent="0.25">
      <c r="A897" s="14">
        <f t="shared" si="142"/>
        <v>894</v>
      </c>
      <c r="B897" s="31" t="s">
        <v>856</v>
      </c>
      <c r="C897" s="15" t="s">
        <v>3</v>
      </c>
      <c r="D897" s="31" t="s">
        <v>500</v>
      </c>
      <c r="E897" s="31"/>
      <c r="F897" s="73" t="s">
        <v>11</v>
      </c>
      <c r="G897" s="32">
        <v>35113</v>
      </c>
      <c r="H897" s="29">
        <v>456194.75040000002</v>
      </c>
      <c r="I897" s="17">
        <v>0</v>
      </c>
      <c r="J897" s="17">
        <v>0</v>
      </c>
      <c r="K897" s="17">
        <f t="shared" si="137"/>
        <v>456194.75040000002</v>
      </c>
      <c r="L897" s="23">
        <f t="shared" si="144"/>
        <v>22809.737520000002</v>
      </c>
      <c r="M897" s="33">
        <v>25</v>
      </c>
      <c r="N897" s="18">
        <f t="shared" si="139"/>
        <v>25.136986301369863</v>
      </c>
      <c r="O897" s="23">
        <v>198232.30601600002</v>
      </c>
      <c r="P897" s="18">
        <f t="shared" si="140"/>
        <v>25.638356164383563</v>
      </c>
      <c r="Q897" s="18">
        <v>0</v>
      </c>
      <c r="R897" s="18">
        <f t="shared" si="138"/>
        <v>198232.30601600002</v>
      </c>
      <c r="S897" s="18">
        <f t="shared" si="141"/>
        <v>257962.444384</v>
      </c>
    </row>
    <row r="898" spans="1:19" ht="18.75" customHeight="1" x14ac:dyDescent="0.25">
      <c r="A898" s="14">
        <f t="shared" si="142"/>
        <v>895</v>
      </c>
      <c r="B898" s="31" t="s">
        <v>857</v>
      </c>
      <c r="C898" s="15" t="s">
        <v>3</v>
      </c>
      <c r="D898" s="31" t="s">
        <v>500</v>
      </c>
      <c r="E898" s="31"/>
      <c r="F898" s="70" t="s">
        <v>7</v>
      </c>
      <c r="G898" s="32">
        <v>37210</v>
      </c>
      <c r="H898" s="29">
        <v>11616.600000000006</v>
      </c>
      <c r="I898" s="17">
        <v>0</v>
      </c>
      <c r="J898" s="17">
        <v>0</v>
      </c>
      <c r="K898" s="17">
        <f t="shared" si="137"/>
        <v>11616.600000000006</v>
      </c>
      <c r="L898" s="23">
        <f t="shared" si="144"/>
        <v>580.83000000000027</v>
      </c>
      <c r="M898" s="33">
        <v>15</v>
      </c>
      <c r="N898" s="18">
        <f t="shared" si="139"/>
        <v>19.391780821917809</v>
      </c>
      <c r="O898" s="23">
        <v>11757.2</v>
      </c>
      <c r="P898" s="18">
        <f t="shared" si="140"/>
        <v>19.893150684931506</v>
      </c>
      <c r="Q898" s="18">
        <v>0</v>
      </c>
      <c r="R898" s="18">
        <f t="shared" si="138"/>
        <v>11757.2</v>
      </c>
      <c r="S898" s="18">
        <f>L898</f>
        <v>580.83000000000027</v>
      </c>
    </row>
    <row r="899" spans="1:19" ht="18.75" customHeight="1" x14ac:dyDescent="0.25">
      <c r="A899" s="14">
        <f t="shared" si="142"/>
        <v>896</v>
      </c>
      <c r="B899" s="31" t="s">
        <v>858</v>
      </c>
      <c r="C899" s="15" t="s">
        <v>3</v>
      </c>
      <c r="D899" s="31" t="s">
        <v>500</v>
      </c>
      <c r="E899" s="31"/>
      <c r="F899" s="73" t="s">
        <v>11</v>
      </c>
      <c r="G899" s="32">
        <v>35115</v>
      </c>
      <c r="H899" s="29">
        <v>261921.72590684926</v>
      </c>
      <c r="I899" s="17">
        <v>0</v>
      </c>
      <c r="J899" s="17">
        <v>0</v>
      </c>
      <c r="K899" s="17">
        <f t="shared" si="137"/>
        <v>261921.72590684926</v>
      </c>
      <c r="L899" s="23">
        <f t="shared" si="144"/>
        <v>13096.086295342464</v>
      </c>
      <c r="M899" s="33">
        <v>25</v>
      </c>
      <c r="N899" s="18">
        <f t="shared" si="139"/>
        <v>25.13150684931507</v>
      </c>
      <c r="O899" s="23">
        <v>19040.761036273972</v>
      </c>
      <c r="P899" s="18">
        <f t="shared" si="140"/>
        <v>25.632876712328766</v>
      </c>
      <c r="Q899" s="18">
        <v>0</v>
      </c>
      <c r="R899" s="18">
        <f t="shared" si="138"/>
        <v>19040.761036273972</v>
      </c>
      <c r="S899" s="18">
        <f t="shared" si="141"/>
        <v>242880.96487057529</v>
      </c>
    </row>
    <row r="900" spans="1:19" ht="18.75" customHeight="1" x14ac:dyDescent="0.25">
      <c r="A900" s="14">
        <f t="shared" si="142"/>
        <v>897</v>
      </c>
      <c r="B900" s="31" t="s">
        <v>859</v>
      </c>
      <c r="C900" s="15" t="s">
        <v>3</v>
      </c>
      <c r="D900" s="31" t="s">
        <v>500</v>
      </c>
      <c r="E900" s="31"/>
      <c r="F900" s="73" t="s">
        <v>11</v>
      </c>
      <c r="G900" s="32">
        <v>35116</v>
      </c>
      <c r="H900" s="29">
        <v>653422.62974246591</v>
      </c>
      <c r="I900" s="17">
        <v>0</v>
      </c>
      <c r="J900" s="17">
        <v>0</v>
      </c>
      <c r="K900" s="17">
        <f t="shared" ref="K900:K963" si="151">H900+I900-J900</f>
        <v>653422.62974246591</v>
      </c>
      <c r="L900" s="23">
        <f t="shared" si="144"/>
        <v>32671.131487123297</v>
      </c>
      <c r="M900" s="33">
        <v>25</v>
      </c>
      <c r="N900" s="18">
        <f t="shared" si="139"/>
        <v>25.12876712328767</v>
      </c>
      <c r="O900" s="23">
        <v>43570.849189698638</v>
      </c>
      <c r="P900" s="18">
        <f t="shared" si="140"/>
        <v>25.63013698630137</v>
      </c>
      <c r="Q900" s="18">
        <v>0</v>
      </c>
      <c r="R900" s="18">
        <f t="shared" ref="R900:R963" si="152">Q900+O900</f>
        <v>43570.849189698638</v>
      </c>
      <c r="S900" s="18">
        <f t="shared" ref="S900:S936" si="153">K900-R900</f>
        <v>609851.78055276722</v>
      </c>
    </row>
    <row r="901" spans="1:19" ht="18.75" customHeight="1" x14ac:dyDescent="0.25">
      <c r="A901" s="14">
        <f t="shared" si="142"/>
        <v>898</v>
      </c>
      <c r="B901" s="31" t="s">
        <v>860</v>
      </c>
      <c r="C901" s="15" t="s">
        <v>3</v>
      </c>
      <c r="D901" s="31" t="s">
        <v>500</v>
      </c>
      <c r="E901" s="31"/>
      <c r="F901" s="73" t="s">
        <v>11</v>
      </c>
      <c r="G901" s="32">
        <v>35139</v>
      </c>
      <c r="H901" s="29">
        <v>35379.693495890402</v>
      </c>
      <c r="I901" s="17">
        <v>0</v>
      </c>
      <c r="J901" s="17">
        <v>0</v>
      </c>
      <c r="K901" s="17">
        <f t="shared" si="151"/>
        <v>35379.693495890402</v>
      </c>
      <c r="L901" s="23">
        <f t="shared" si="144"/>
        <v>1768.9846747945203</v>
      </c>
      <c r="M901" s="33">
        <v>25</v>
      </c>
      <c r="N901" s="18">
        <f t="shared" ref="N901:N964" si="154">IF(($N$2-G901+1)/365&gt;0,($N$2-G901+1)/365,0)</f>
        <v>25.065753424657533</v>
      </c>
      <c r="O901" s="23">
        <v>585716.03573983558</v>
      </c>
      <c r="P901" s="18">
        <f t="shared" ref="P901:P964" si="155">($P$2-G901+1)/365</f>
        <v>25.567123287671233</v>
      </c>
      <c r="Q901" s="18">
        <v>0</v>
      </c>
      <c r="R901" s="18">
        <f t="shared" si="152"/>
        <v>585716.03573983558</v>
      </c>
      <c r="S901" s="18">
        <f t="shared" ref="S901:S935" si="156">L901</f>
        <v>1768.9846747945203</v>
      </c>
    </row>
    <row r="902" spans="1:19" ht="18.75" customHeight="1" x14ac:dyDescent="0.25">
      <c r="A902" s="14">
        <f t="shared" ref="A902:A965" si="157">+A901+1</f>
        <v>899</v>
      </c>
      <c r="B902" s="31" t="s">
        <v>861</v>
      </c>
      <c r="C902" s="15" t="s">
        <v>3</v>
      </c>
      <c r="D902" s="31" t="s">
        <v>500</v>
      </c>
      <c r="E902" s="31"/>
      <c r="F902" s="73" t="s">
        <v>11</v>
      </c>
      <c r="G902" s="32">
        <v>20455</v>
      </c>
      <c r="H902" s="29">
        <v>653.04999999999927</v>
      </c>
      <c r="I902" s="17">
        <v>0</v>
      </c>
      <c r="J902" s="17">
        <v>0</v>
      </c>
      <c r="K902" s="17">
        <f t="shared" si="151"/>
        <v>653.04999999999927</v>
      </c>
      <c r="L902" s="23">
        <f t="shared" si="144"/>
        <v>32.652499999999968</v>
      </c>
      <c r="M902" s="33">
        <v>25</v>
      </c>
      <c r="N902" s="18">
        <f t="shared" si="154"/>
        <v>65.295890410958904</v>
      </c>
      <c r="O902" s="23">
        <v>195086.3</v>
      </c>
      <c r="P902" s="18">
        <f t="shared" si="155"/>
        <v>65.797260273972597</v>
      </c>
      <c r="Q902" s="18">
        <v>0</v>
      </c>
      <c r="R902" s="18">
        <f t="shared" si="152"/>
        <v>195086.3</v>
      </c>
      <c r="S902" s="18">
        <f t="shared" si="156"/>
        <v>32.652499999999968</v>
      </c>
    </row>
    <row r="903" spans="1:19" ht="18.75" customHeight="1" x14ac:dyDescent="0.25">
      <c r="A903" s="14">
        <f t="shared" si="157"/>
        <v>900</v>
      </c>
      <c r="B903" s="31" t="s">
        <v>862</v>
      </c>
      <c r="C903" s="15" t="s">
        <v>3</v>
      </c>
      <c r="D903" s="31" t="s">
        <v>500</v>
      </c>
      <c r="E903" s="31"/>
      <c r="F903" s="73" t="s">
        <v>11</v>
      </c>
      <c r="G903" s="32">
        <v>24108</v>
      </c>
      <c r="H903" s="29">
        <v>2938.5</v>
      </c>
      <c r="I903" s="17">
        <v>0</v>
      </c>
      <c r="J903" s="17">
        <v>0</v>
      </c>
      <c r="K903" s="17">
        <f t="shared" si="151"/>
        <v>2938.5</v>
      </c>
      <c r="L903" s="23">
        <f t="shared" si="144"/>
        <v>146.92500000000001</v>
      </c>
      <c r="M903" s="33">
        <v>15</v>
      </c>
      <c r="N903" s="18">
        <f t="shared" si="154"/>
        <v>55.287671232876711</v>
      </c>
      <c r="O903" s="23">
        <v>94506.95</v>
      </c>
      <c r="P903" s="18">
        <f t="shared" si="155"/>
        <v>55.789041095890411</v>
      </c>
      <c r="Q903" s="18">
        <v>0</v>
      </c>
      <c r="R903" s="18">
        <f t="shared" si="152"/>
        <v>94506.95</v>
      </c>
      <c r="S903" s="18">
        <f t="shared" si="156"/>
        <v>146.92500000000001</v>
      </c>
    </row>
    <row r="904" spans="1:19" ht="18.75" customHeight="1" x14ac:dyDescent="0.25">
      <c r="A904" s="14">
        <f t="shared" si="157"/>
        <v>901</v>
      </c>
      <c r="B904" s="31" t="s">
        <v>863</v>
      </c>
      <c r="C904" s="15" t="s">
        <v>3</v>
      </c>
      <c r="D904" s="31" t="s">
        <v>500</v>
      </c>
      <c r="E904" s="31"/>
      <c r="F904" s="73" t="s">
        <v>11</v>
      </c>
      <c r="G904" s="32">
        <v>20821</v>
      </c>
      <c r="H904" s="29">
        <v>3405.1999999999971</v>
      </c>
      <c r="I904" s="17">
        <v>0</v>
      </c>
      <c r="J904" s="17">
        <v>0</v>
      </c>
      <c r="K904" s="17">
        <f t="shared" si="151"/>
        <v>3405.1999999999971</v>
      </c>
      <c r="L904" s="23">
        <f t="shared" si="144"/>
        <v>170.25999999999988</v>
      </c>
      <c r="M904" s="33">
        <v>25</v>
      </c>
      <c r="N904" s="18">
        <f t="shared" si="154"/>
        <v>64.293150684931504</v>
      </c>
      <c r="O904" s="23">
        <v>58609.3</v>
      </c>
      <c r="P904" s="18">
        <f t="shared" si="155"/>
        <v>64.794520547945211</v>
      </c>
      <c r="Q904" s="18">
        <v>0</v>
      </c>
      <c r="R904" s="18">
        <f t="shared" si="152"/>
        <v>58609.3</v>
      </c>
      <c r="S904" s="18">
        <f t="shared" si="156"/>
        <v>170.25999999999988</v>
      </c>
    </row>
    <row r="905" spans="1:19" ht="18.75" customHeight="1" x14ac:dyDescent="0.25">
      <c r="A905" s="14">
        <f t="shared" si="157"/>
        <v>902</v>
      </c>
      <c r="B905" s="31" t="s">
        <v>864</v>
      </c>
      <c r="C905" s="15" t="s">
        <v>3</v>
      </c>
      <c r="D905" s="31" t="s">
        <v>500</v>
      </c>
      <c r="E905" s="31"/>
      <c r="F905" s="73" t="s">
        <v>11</v>
      </c>
      <c r="G905" s="32">
        <v>20821</v>
      </c>
      <c r="H905" s="29">
        <v>1214.4000000000015</v>
      </c>
      <c r="I905" s="17">
        <v>0</v>
      </c>
      <c r="J905" s="17">
        <v>0</v>
      </c>
      <c r="K905" s="17">
        <f t="shared" si="151"/>
        <v>1214.4000000000015</v>
      </c>
      <c r="L905" s="23">
        <f t="shared" si="144"/>
        <v>60.720000000000077</v>
      </c>
      <c r="M905" s="33">
        <v>25</v>
      </c>
      <c r="N905" s="18">
        <f t="shared" si="154"/>
        <v>64.293150684931504</v>
      </c>
      <c r="O905" s="23">
        <v>386099</v>
      </c>
      <c r="P905" s="18">
        <f t="shared" si="155"/>
        <v>64.794520547945211</v>
      </c>
      <c r="Q905" s="18">
        <v>0</v>
      </c>
      <c r="R905" s="18">
        <f t="shared" si="152"/>
        <v>386099</v>
      </c>
      <c r="S905" s="18">
        <f t="shared" si="156"/>
        <v>60.720000000000077</v>
      </c>
    </row>
    <row r="906" spans="1:19" ht="18.75" customHeight="1" x14ac:dyDescent="0.25">
      <c r="A906" s="14">
        <f t="shared" si="157"/>
        <v>903</v>
      </c>
      <c r="B906" s="31" t="s">
        <v>865</v>
      </c>
      <c r="C906" s="15" t="s">
        <v>3</v>
      </c>
      <c r="D906" s="31" t="s">
        <v>500</v>
      </c>
      <c r="E906" s="31"/>
      <c r="F906" s="73" t="s">
        <v>11</v>
      </c>
      <c r="G906" s="32">
        <v>20821</v>
      </c>
      <c r="H906" s="29">
        <v>1021.5</v>
      </c>
      <c r="I906" s="17">
        <v>0</v>
      </c>
      <c r="J906" s="17">
        <v>0</v>
      </c>
      <c r="K906" s="17">
        <f t="shared" si="151"/>
        <v>1021.5</v>
      </c>
      <c r="L906" s="23">
        <f t="shared" si="144"/>
        <v>51.075000000000003</v>
      </c>
      <c r="M906" s="33">
        <v>25</v>
      </c>
      <c r="N906" s="18">
        <f t="shared" si="154"/>
        <v>64.293150684931504</v>
      </c>
      <c r="O906" s="23">
        <v>19652.650000000001</v>
      </c>
      <c r="P906" s="18">
        <f t="shared" si="155"/>
        <v>64.794520547945211</v>
      </c>
      <c r="Q906" s="18">
        <v>0</v>
      </c>
      <c r="R906" s="18">
        <f t="shared" si="152"/>
        <v>19652.650000000001</v>
      </c>
      <c r="S906" s="18">
        <f t="shared" si="156"/>
        <v>51.075000000000003</v>
      </c>
    </row>
    <row r="907" spans="1:19" ht="18.75" customHeight="1" x14ac:dyDescent="0.25">
      <c r="A907" s="14">
        <f t="shared" si="157"/>
        <v>904</v>
      </c>
      <c r="B907" s="31" t="s">
        <v>866</v>
      </c>
      <c r="C907" s="15" t="s">
        <v>3</v>
      </c>
      <c r="D907" s="31" t="s">
        <v>500</v>
      </c>
      <c r="E907" s="31"/>
      <c r="F907" s="70" t="s">
        <v>7</v>
      </c>
      <c r="G907" s="32">
        <v>38473</v>
      </c>
      <c r="H907" s="29">
        <v>24719.933333333334</v>
      </c>
      <c r="I907" s="17">
        <v>0</v>
      </c>
      <c r="J907" s="17">
        <v>0</v>
      </c>
      <c r="K907" s="17">
        <f t="shared" si="151"/>
        <v>24719.933333333334</v>
      </c>
      <c r="L907" s="23">
        <f t="shared" si="144"/>
        <v>1235.9966666666669</v>
      </c>
      <c r="M907" s="33">
        <v>15</v>
      </c>
      <c r="N907" s="18">
        <f t="shared" si="154"/>
        <v>15.931506849315069</v>
      </c>
      <c r="O907" s="23">
        <v>198651.62888888887</v>
      </c>
      <c r="P907" s="18">
        <f t="shared" si="155"/>
        <v>16.432876712328767</v>
      </c>
      <c r="Q907" s="18">
        <v>0</v>
      </c>
      <c r="R907" s="18">
        <f t="shared" si="152"/>
        <v>198651.62888888887</v>
      </c>
      <c r="S907" s="18">
        <f t="shared" si="156"/>
        <v>1235.9966666666669</v>
      </c>
    </row>
    <row r="908" spans="1:19" ht="18.75" customHeight="1" x14ac:dyDescent="0.25">
      <c r="A908" s="14">
        <f t="shared" si="157"/>
        <v>905</v>
      </c>
      <c r="B908" s="31" t="s">
        <v>867</v>
      </c>
      <c r="C908" s="15" t="s">
        <v>3</v>
      </c>
      <c r="D908" s="31" t="s">
        <v>500</v>
      </c>
      <c r="E908" s="31"/>
      <c r="F908" s="73" t="s">
        <v>11</v>
      </c>
      <c r="G908" s="32">
        <v>35504</v>
      </c>
      <c r="H908" s="29">
        <v>26003.652591780832</v>
      </c>
      <c r="I908" s="17">
        <v>0</v>
      </c>
      <c r="J908" s="17">
        <v>0</v>
      </c>
      <c r="K908" s="17">
        <f t="shared" si="151"/>
        <v>26003.652591780832</v>
      </c>
      <c r="L908" s="23">
        <f t="shared" si="144"/>
        <v>1300.1826295890417</v>
      </c>
      <c r="M908" s="33">
        <v>25</v>
      </c>
      <c r="N908" s="18">
        <f t="shared" si="154"/>
        <v>24.065753424657533</v>
      </c>
      <c r="O908" s="23">
        <v>185956.09410367123</v>
      </c>
      <c r="P908" s="18">
        <f t="shared" si="155"/>
        <v>24.567123287671233</v>
      </c>
      <c r="Q908" s="18">
        <f t="shared" ref="Q908:Q917" si="158">(P908-N908)/M908*(K908-L908)</f>
        <v>495.42301403628602</v>
      </c>
      <c r="R908" s="18">
        <f t="shared" si="152"/>
        <v>186451.51711770752</v>
      </c>
      <c r="S908" s="18">
        <f t="shared" si="156"/>
        <v>1300.1826295890417</v>
      </c>
    </row>
    <row r="909" spans="1:19" ht="18.75" customHeight="1" x14ac:dyDescent="0.25">
      <c r="A909" s="14">
        <f t="shared" si="157"/>
        <v>906</v>
      </c>
      <c r="B909" s="31" t="s">
        <v>868</v>
      </c>
      <c r="C909" s="15" t="s">
        <v>3</v>
      </c>
      <c r="D909" s="31" t="s">
        <v>500</v>
      </c>
      <c r="E909" s="31"/>
      <c r="F909" s="73" t="s">
        <v>11</v>
      </c>
      <c r="G909" s="32">
        <v>20821</v>
      </c>
      <c r="H909" s="29">
        <v>387.69999999999982</v>
      </c>
      <c r="I909" s="17">
        <v>0</v>
      </c>
      <c r="J909" s="17">
        <v>0</v>
      </c>
      <c r="K909" s="17">
        <f t="shared" si="151"/>
        <v>387.69999999999982</v>
      </c>
      <c r="L909" s="23">
        <f t="shared" si="144"/>
        <v>19.384999999999991</v>
      </c>
      <c r="M909" s="33">
        <v>25</v>
      </c>
      <c r="N909" s="18">
        <f t="shared" si="154"/>
        <v>64.293150684931504</v>
      </c>
      <c r="O909" s="23">
        <v>3152.1</v>
      </c>
      <c r="P909" s="18">
        <f t="shared" si="155"/>
        <v>64.794520547945211</v>
      </c>
      <c r="Q909" s="18">
        <v>0</v>
      </c>
      <c r="R909" s="18">
        <f t="shared" si="152"/>
        <v>3152.1</v>
      </c>
      <c r="S909" s="18">
        <f t="shared" si="156"/>
        <v>19.384999999999991</v>
      </c>
    </row>
    <row r="910" spans="1:19" ht="18.75" customHeight="1" x14ac:dyDescent="0.25">
      <c r="A910" s="14">
        <f t="shared" si="157"/>
        <v>907</v>
      </c>
      <c r="B910" s="31" t="s">
        <v>869</v>
      </c>
      <c r="C910" s="15" t="s">
        <v>3</v>
      </c>
      <c r="D910" s="31" t="s">
        <v>500</v>
      </c>
      <c r="E910" s="31"/>
      <c r="F910" s="73" t="s">
        <v>11</v>
      </c>
      <c r="G910" s="32">
        <v>20821</v>
      </c>
      <c r="H910" s="29">
        <v>148</v>
      </c>
      <c r="I910" s="17">
        <v>0</v>
      </c>
      <c r="J910" s="17">
        <v>0</v>
      </c>
      <c r="K910" s="17">
        <f t="shared" si="151"/>
        <v>148</v>
      </c>
      <c r="L910" s="23">
        <f t="shared" si="144"/>
        <v>7.4</v>
      </c>
      <c r="M910" s="33">
        <v>25</v>
      </c>
      <c r="N910" s="18">
        <f t="shared" si="154"/>
        <v>64.293150684931504</v>
      </c>
      <c r="O910" s="23">
        <v>2850</v>
      </c>
      <c r="P910" s="18">
        <f t="shared" si="155"/>
        <v>64.794520547945211</v>
      </c>
      <c r="Q910" s="18">
        <v>0</v>
      </c>
      <c r="R910" s="18">
        <f t="shared" si="152"/>
        <v>2850</v>
      </c>
      <c r="S910" s="18">
        <f t="shared" si="156"/>
        <v>7.4</v>
      </c>
    </row>
    <row r="911" spans="1:19" ht="18.75" customHeight="1" x14ac:dyDescent="0.25">
      <c r="A911" s="14">
        <f t="shared" si="157"/>
        <v>908</v>
      </c>
      <c r="B911" s="31" t="s">
        <v>870</v>
      </c>
      <c r="C911" s="15" t="s">
        <v>3</v>
      </c>
      <c r="D911" s="31" t="s">
        <v>500</v>
      </c>
      <c r="E911" s="31"/>
      <c r="F911" s="73" t="s">
        <v>7</v>
      </c>
      <c r="G911" s="32">
        <v>20821</v>
      </c>
      <c r="H911" s="29">
        <v>64.049999999999955</v>
      </c>
      <c r="I911" s="17">
        <v>0</v>
      </c>
      <c r="J911" s="17">
        <v>0</v>
      </c>
      <c r="K911" s="17">
        <f t="shared" si="151"/>
        <v>64.049999999999955</v>
      </c>
      <c r="L911" s="23">
        <f t="shared" si="144"/>
        <v>3.2024999999999979</v>
      </c>
      <c r="M911" s="33">
        <v>25</v>
      </c>
      <c r="N911" s="18">
        <f t="shared" si="154"/>
        <v>64.293150684931504</v>
      </c>
      <c r="O911" s="23">
        <v>273220</v>
      </c>
      <c r="P911" s="18">
        <f t="shared" si="155"/>
        <v>64.794520547945211</v>
      </c>
      <c r="Q911" s="18">
        <v>0</v>
      </c>
      <c r="R911" s="18">
        <f t="shared" si="152"/>
        <v>273220</v>
      </c>
      <c r="S911" s="18">
        <f t="shared" si="156"/>
        <v>3.2024999999999979</v>
      </c>
    </row>
    <row r="912" spans="1:19" ht="18.75" customHeight="1" x14ac:dyDescent="0.25">
      <c r="A912" s="14">
        <f t="shared" si="157"/>
        <v>909</v>
      </c>
      <c r="B912" s="31" t="s">
        <v>871</v>
      </c>
      <c r="C912" s="15" t="s">
        <v>3</v>
      </c>
      <c r="D912" s="31" t="s">
        <v>500</v>
      </c>
      <c r="E912" s="31"/>
      <c r="F912" s="73" t="s">
        <v>8</v>
      </c>
      <c r="G912" s="32">
        <v>20821</v>
      </c>
      <c r="H912" s="29">
        <v>19.199999999999989</v>
      </c>
      <c r="I912" s="17">
        <v>0</v>
      </c>
      <c r="J912" s="17">
        <v>0</v>
      </c>
      <c r="K912" s="17">
        <f t="shared" si="151"/>
        <v>19.199999999999989</v>
      </c>
      <c r="L912" s="23">
        <f t="shared" si="144"/>
        <v>0.95999999999999952</v>
      </c>
      <c r="M912" s="33">
        <v>25</v>
      </c>
      <c r="N912" s="18">
        <f t="shared" si="154"/>
        <v>64.293150684931504</v>
      </c>
      <c r="O912" s="23">
        <v>3263630.95</v>
      </c>
      <c r="P912" s="18">
        <f t="shared" si="155"/>
        <v>64.794520547945211</v>
      </c>
      <c r="Q912" s="18">
        <v>0</v>
      </c>
      <c r="R912" s="18">
        <f t="shared" si="152"/>
        <v>3263630.95</v>
      </c>
      <c r="S912" s="18">
        <f t="shared" si="156"/>
        <v>0.95999999999999952</v>
      </c>
    </row>
    <row r="913" spans="1:19" ht="18.75" customHeight="1" x14ac:dyDescent="0.25">
      <c r="A913" s="14">
        <f t="shared" si="157"/>
        <v>910</v>
      </c>
      <c r="B913" s="31" t="s">
        <v>872</v>
      </c>
      <c r="C913" s="15" t="s">
        <v>3</v>
      </c>
      <c r="D913" s="31" t="s">
        <v>500</v>
      </c>
      <c r="E913" s="31"/>
      <c r="F913" s="73" t="s">
        <v>4</v>
      </c>
      <c r="G913" s="32">
        <v>24473</v>
      </c>
      <c r="H913" s="29">
        <v>410</v>
      </c>
      <c r="I913" s="17">
        <v>0</v>
      </c>
      <c r="J913" s="17">
        <v>0</v>
      </c>
      <c r="K913" s="17">
        <f t="shared" si="151"/>
        <v>410</v>
      </c>
      <c r="L913" s="23">
        <f t="shared" si="144"/>
        <v>20.5</v>
      </c>
      <c r="M913" s="33">
        <v>15</v>
      </c>
      <c r="N913" s="18">
        <f t="shared" si="154"/>
        <v>54.287671232876711</v>
      </c>
      <c r="O913" s="23">
        <v>653902.1</v>
      </c>
      <c r="P913" s="18">
        <f t="shared" si="155"/>
        <v>54.789041095890411</v>
      </c>
      <c r="Q913" s="18">
        <v>0</v>
      </c>
      <c r="R913" s="18">
        <f t="shared" si="152"/>
        <v>653902.1</v>
      </c>
      <c r="S913" s="18">
        <f t="shared" si="156"/>
        <v>20.5</v>
      </c>
    </row>
    <row r="914" spans="1:19" ht="18.75" customHeight="1" x14ac:dyDescent="0.25">
      <c r="A914" s="14">
        <f t="shared" si="157"/>
        <v>911</v>
      </c>
      <c r="B914" s="31" t="s">
        <v>873</v>
      </c>
      <c r="C914" s="15" t="s">
        <v>3</v>
      </c>
      <c r="D914" s="31" t="s">
        <v>500</v>
      </c>
      <c r="E914" s="31"/>
      <c r="F914" s="73" t="s">
        <v>14</v>
      </c>
      <c r="G914" s="32">
        <v>24473</v>
      </c>
      <c r="H914" s="29">
        <v>393.35000000000036</v>
      </c>
      <c r="I914" s="17">
        <v>0</v>
      </c>
      <c r="J914" s="17">
        <v>0</v>
      </c>
      <c r="K914" s="17">
        <f t="shared" si="151"/>
        <v>393.35000000000036</v>
      </c>
      <c r="L914" s="23">
        <f t="shared" si="144"/>
        <v>19.667500000000018</v>
      </c>
      <c r="M914" s="33">
        <v>15</v>
      </c>
      <c r="N914" s="18">
        <f t="shared" si="154"/>
        <v>54.287671232876711</v>
      </c>
      <c r="O914" s="23">
        <v>103823.6</v>
      </c>
      <c r="P914" s="18">
        <f t="shared" si="155"/>
        <v>54.789041095890411</v>
      </c>
      <c r="Q914" s="18">
        <v>0</v>
      </c>
      <c r="R914" s="18">
        <f t="shared" si="152"/>
        <v>103823.6</v>
      </c>
      <c r="S914" s="18">
        <f t="shared" si="156"/>
        <v>19.667500000000018</v>
      </c>
    </row>
    <row r="915" spans="1:19" ht="18.75" customHeight="1" x14ac:dyDescent="0.25">
      <c r="A915" s="14">
        <f t="shared" si="157"/>
        <v>912</v>
      </c>
      <c r="B915" s="31" t="s">
        <v>874</v>
      </c>
      <c r="C915" s="15" t="s">
        <v>3</v>
      </c>
      <c r="D915" s="31" t="s">
        <v>500</v>
      </c>
      <c r="E915" s="31"/>
      <c r="F915" s="73" t="s">
        <v>11</v>
      </c>
      <c r="G915" s="32">
        <v>21186</v>
      </c>
      <c r="H915" s="29">
        <v>2252.6999999999971</v>
      </c>
      <c r="I915" s="17">
        <v>0</v>
      </c>
      <c r="J915" s="17">
        <v>0</v>
      </c>
      <c r="K915" s="17">
        <f t="shared" si="151"/>
        <v>2252.6999999999971</v>
      </c>
      <c r="L915" s="23">
        <f t="shared" si="144"/>
        <v>112.63499999999986</v>
      </c>
      <c r="M915" s="33">
        <v>25</v>
      </c>
      <c r="N915" s="18">
        <f t="shared" si="154"/>
        <v>63.293150684931504</v>
      </c>
      <c r="O915" s="23">
        <v>24945.1</v>
      </c>
      <c r="P915" s="18">
        <f t="shared" si="155"/>
        <v>63.794520547945204</v>
      </c>
      <c r="Q915" s="18">
        <v>0</v>
      </c>
      <c r="R915" s="18">
        <f t="shared" si="152"/>
        <v>24945.1</v>
      </c>
      <c r="S915" s="18">
        <f t="shared" si="156"/>
        <v>112.63499999999986</v>
      </c>
    </row>
    <row r="916" spans="1:19" ht="18.75" customHeight="1" x14ac:dyDescent="0.25">
      <c r="A916" s="14">
        <f t="shared" si="157"/>
        <v>913</v>
      </c>
      <c r="B916" s="31" t="s">
        <v>875</v>
      </c>
      <c r="C916" s="15" t="s">
        <v>3</v>
      </c>
      <c r="D916" s="31" t="s">
        <v>500</v>
      </c>
      <c r="E916" s="31"/>
      <c r="F916" s="73" t="s">
        <v>15</v>
      </c>
      <c r="G916" s="32">
        <v>21186</v>
      </c>
      <c r="H916" s="29">
        <v>459.60000000000036</v>
      </c>
      <c r="I916" s="17">
        <v>0</v>
      </c>
      <c r="J916" s="17">
        <v>0</v>
      </c>
      <c r="K916" s="17">
        <f t="shared" si="151"/>
        <v>459.60000000000036</v>
      </c>
      <c r="L916" s="23">
        <f t="shared" si="144"/>
        <v>22.980000000000018</v>
      </c>
      <c r="M916" s="33">
        <v>25</v>
      </c>
      <c r="N916" s="18">
        <f t="shared" si="154"/>
        <v>63.293150684931504</v>
      </c>
      <c r="O916" s="23">
        <v>24551.8</v>
      </c>
      <c r="P916" s="18">
        <f t="shared" si="155"/>
        <v>63.794520547945204</v>
      </c>
      <c r="Q916" s="18">
        <v>0</v>
      </c>
      <c r="R916" s="18">
        <f t="shared" si="152"/>
        <v>24551.8</v>
      </c>
      <c r="S916" s="18">
        <f t="shared" si="156"/>
        <v>22.980000000000018</v>
      </c>
    </row>
    <row r="917" spans="1:19" ht="18.75" customHeight="1" x14ac:dyDescent="0.25">
      <c r="A917" s="14">
        <f t="shared" si="157"/>
        <v>914</v>
      </c>
      <c r="B917" s="31" t="s">
        <v>876</v>
      </c>
      <c r="C917" s="15" t="s">
        <v>3</v>
      </c>
      <c r="D917" s="31" t="s">
        <v>500</v>
      </c>
      <c r="E917" s="31"/>
      <c r="F917" s="73" t="s">
        <v>11</v>
      </c>
      <c r="G917" s="32">
        <v>35751</v>
      </c>
      <c r="H917" s="29">
        <v>1160.084109589041</v>
      </c>
      <c r="I917" s="17">
        <v>0</v>
      </c>
      <c r="J917" s="17">
        <v>0</v>
      </c>
      <c r="K917" s="17">
        <f t="shared" si="151"/>
        <v>1160.084109589041</v>
      </c>
      <c r="L917" s="23">
        <f t="shared" si="144"/>
        <v>58.004205479452054</v>
      </c>
      <c r="M917" s="33">
        <v>25</v>
      </c>
      <c r="N917" s="18">
        <f t="shared" si="154"/>
        <v>23.389041095890413</v>
      </c>
      <c r="O917" s="23">
        <v>23718.403364383561</v>
      </c>
      <c r="P917" s="18">
        <f t="shared" si="155"/>
        <v>23.890410958904109</v>
      </c>
      <c r="Q917" s="18">
        <f t="shared" si="158"/>
        <v>22.101986022142892</v>
      </c>
      <c r="R917" s="18">
        <f t="shared" si="152"/>
        <v>23740.505350405703</v>
      </c>
      <c r="S917" s="18">
        <f t="shared" si="156"/>
        <v>58.004205479452054</v>
      </c>
    </row>
    <row r="918" spans="1:19" ht="18.75" customHeight="1" x14ac:dyDescent="0.25">
      <c r="A918" s="14">
        <f t="shared" si="157"/>
        <v>915</v>
      </c>
      <c r="B918" s="31" t="s">
        <v>877</v>
      </c>
      <c r="C918" s="15" t="s">
        <v>3</v>
      </c>
      <c r="D918" s="31" t="s">
        <v>500</v>
      </c>
      <c r="E918" s="31"/>
      <c r="F918" s="73" t="s">
        <v>4</v>
      </c>
      <c r="G918" s="32">
        <v>21186</v>
      </c>
      <c r="H918" s="29">
        <v>141.75</v>
      </c>
      <c r="I918" s="17">
        <v>0</v>
      </c>
      <c r="J918" s="17">
        <v>0</v>
      </c>
      <c r="K918" s="17">
        <f t="shared" si="151"/>
        <v>141.75</v>
      </c>
      <c r="L918" s="23">
        <f t="shared" si="144"/>
        <v>7.0875000000000004</v>
      </c>
      <c r="M918" s="33">
        <v>25</v>
      </c>
      <c r="N918" s="18">
        <f t="shared" si="154"/>
        <v>63.293150684931504</v>
      </c>
      <c r="O918" s="23">
        <v>13957.4</v>
      </c>
      <c r="P918" s="18">
        <f t="shared" si="155"/>
        <v>63.794520547945204</v>
      </c>
      <c r="Q918" s="18">
        <v>0</v>
      </c>
      <c r="R918" s="18">
        <f t="shared" si="152"/>
        <v>13957.4</v>
      </c>
      <c r="S918" s="18">
        <f t="shared" si="156"/>
        <v>7.0875000000000004</v>
      </c>
    </row>
    <row r="919" spans="1:19" ht="18.75" customHeight="1" x14ac:dyDescent="0.25">
      <c r="A919" s="14">
        <f t="shared" si="157"/>
        <v>916</v>
      </c>
      <c r="B919" s="31" t="s">
        <v>878</v>
      </c>
      <c r="C919" s="15" t="s">
        <v>3</v>
      </c>
      <c r="D919" s="31" t="s">
        <v>500</v>
      </c>
      <c r="E919" s="31"/>
      <c r="F919" s="73" t="s">
        <v>14</v>
      </c>
      <c r="G919" s="32">
        <v>24838</v>
      </c>
      <c r="H919" s="29">
        <v>424.25</v>
      </c>
      <c r="I919" s="17">
        <v>0</v>
      </c>
      <c r="J919" s="17">
        <v>0</v>
      </c>
      <c r="K919" s="17">
        <f t="shared" si="151"/>
        <v>424.25</v>
      </c>
      <c r="L919" s="23">
        <f t="shared" ref="L919:L982" si="159">H919*0.05</f>
        <v>21.212500000000002</v>
      </c>
      <c r="M919" s="33">
        <v>15</v>
      </c>
      <c r="N919" s="18">
        <f t="shared" si="154"/>
        <v>53.287671232876711</v>
      </c>
      <c r="O919" s="23">
        <v>467435.15</v>
      </c>
      <c r="P919" s="18">
        <f t="shared" si="155"/>
        <v>53.789041095890411</v>
      </c>
      <c r="Q919" s="18">
        <v>0</v>
      </c>
      <c r="R919" s="18">
        <f t="shared" si="152"/>
        <v>467435.15</v>
      </c>
      <c r="S919" s="18">
        <f t="shared" si="156"/>
        <v>21.212500000000002</v>
      </c>
    </row>
    <row r="920" spans="1:19" ht="18.75" customHeight="1" x14ac:dyDescent="0.25">
      <c r="A920" s="14">
        <f t="shared" si="157"/>
        <v>917</v>
      </c>
      <c r="B920" s="31" t="s">
        <v>879</v>
      </c>
      <c r="C920" s="15" t="s">
        <v>3</v>
      </c>
      <c r="D920" s="31" t="s">
        <v>500</v>
      </c>
      <c r="E920" s="31"/>
      <c r="F920" s="73" t="s">
        <v>8</v>
      </c>
      <c r="G920" s="32">
        <v>21551</v>
      </c>
      <c r="H920" s="29">
        <v>12663.850000000006</v>
      </c>
      <c r="I920" s="17">
        <v>0</v>
      </c>
      <c r="J920" s="17">
        <v>0</v>
      </c>
      <c r="K920" s="17">
        <f t="shared" si="151"/>
        <v>12663.850000000006</v>
      </c>
      <c r="L920" s="23">
        <f t="shared" si="159"/>
        <v>633.19250000000034</v>
      </c>
      <c r="M920" s="33">
        <v>25</v>
      </c>
      <c r="N920" s="18">
        <f t="shared" si="154"/>
        <v>62.293150684931504</v>
      </c>
      <c r="O920" s="23">
        <v>4192619.8</v>
      </c>
      <c r="P920" s="18">
        <f t="shared" si="155"/>
        <v>62.794520547945204</v>
      </c>
      <c r="Q920" s="18">
        <v>0</v>
      </c>
      <c r="R920" s="18">
        <f t="shared" si="152"/>
        <v>4192619.8</v>
      </c>
      <c r="S920" s="18">
        <f t="shared" si="156"/>
        <v>633.19250000000034</v>
      </c>
    </row>
    <row r="921" spans="1:19" ht="18.75" customHeight="1" x14ac:dyDescent="0.25">
      <c r="A921" s="14">
        <f t="shared" si="157"/>
        <v>918</v>
      </c>
      <c r="B921" s="31" t="s">
        <v>880</v>
      </c>
      <c r="C921" s="15" t="s">
        <v>3</v>
      </c>
      <c r="D921" s="31" t="s">
        <v>500</v>
      </c>
      <c r="E921" s="31"/>
      <c r="F921" s="73" t="s">
        <v>8</v>
      </c>
      <c r="G921" s="32">
        <v>21551</v>
      </c>
      <c r="H921" s="29">
        <v>149.25</v>
      </c>
      <c r="I921" s="17">
        <v>0</v>
      </c>
      <c r="J921" s="17">
        <v>0</v>
      </c>
      <c r="K921" s="17">
        <f t="shared" si="151"/>
        <v>149.25</v>
      </c>
      <c r="L921" s="23">
        <f t="shared" si="159"/>
        <v>7.4625000000000004</v>
      </c>
      <c r="M921" s="33">
        <v>25</v>
      </c>
      <c r="N921" s="18">
        <f t="shared" si="154"/>
        <v>62.293150684931504</v>
      </c>
      <c r="O921" s="23">
        <v>2413887.2999999998</v>
      </c>
      <c r="P921" s="18">
        <f t="shared" si="155"/>
        <v>62.794520547945204</v>
      </c>
      <c r="Q921" s="18">
        <v>0</v>
      </c>
      <c r="R921" s="18">
        <f t="shared" si="152"/>
        <v>2413887.2999999998</v>
      </c>
      <c r="S921" s="18">
        <f t="shared" si="156"/>
        <v>7.4625000000000004</v>
      </c>
    </row>
    <row r="922" spans="1:19" ht="18.75" customHeight="1" x14ac:dyDescent="0.25">
      <c r="A922" s="14">
        <f t="shared" si="157"/>
        <v>919</v>
      </c>
      <c r="B922" s="31" t="s">
        <v>881</v>
      </c>
      <c r="C922" s="15" t="s">
        <v>3</v>
      </c>
      <c r="D922" s="31" t="s">
        <v>500</v>
      </c>
      <c r="E922" s="31"/>
      <c r="F922" s="73" t="s">
        <v>8</v>
      </c>
      <c r="G922" s="32">
        <v>25204</v>
      </c>
      <c r="H922" s="29">
        <v>129.30000000000018</v>
      </c>
      <c r="I922" s="17">
        <v>0</v>
      </c>
      <c r="J922" s="17">
        <v>0</v>
      </c>
      <c r="K922" s="17">
        <f t="shared" si="151"/>
        <v>129.30000000000018</v>
      </c>
      <c r="L922" s="23">
        <f t="shared" si="159"/>
        <v>6.4650000000000096</v>
      </c>
      <c r="M922" s="33">
        <v>15</v>
      </c>
      <c r="N922" s="18">
        <f t="shared" si="154"/>
        <v>52.284931506849318</v>
      </c>
      <c r="O922" s="23">
        <v>1019730</v>
      </c>
      <c r="P922" s="18">
        <f t="shared" si="155"/>
        <v>52.786301369863011</v>
      </c>
      <c r="Q922" s="18">
        <v>0</v>
      </c>
      <c r="R922" s="18">
        <f t="shared" si="152"/>
        <v>1019730</v>
      </c>
      <c r="S922" s="18">
        <f t="shared" si="156"/>
        <v>6.4650000000000096</v>
      </c>
    </row>
    <row r="923" spans="1:19" ht="18.75" customHeight="1" x14ac:dyDescent="0.25">
      <c r="A923" s="14">
        <f t="shared" si="157"/>
        <v>920</v>
      </c>
      <c r="B923" s="31" t="s">
        <v>882</v>
      </c>
      <c r="C923" s="15" t="s">
        <v>3</v>
      </c>
      <c r="D923" s="31" t="s">
        <v>500</v>
      </c>
      <c r="E923" s="31"/>
      <c r="F923" s="73" t="s">
        <v>11</v>
      </c>
      <c r="G923" s="32">
        <v>21916</v>
      </c>
      <c r="H923" s="29">
        <v>1433.0999999999985</v>
      </c>
      <c r="I923" s="17">
        <v>0</v>
      </c>
      <c r="J923" s="17">
        <v>0</v>
      </c>
      <c r="K923" s="17">
        <f t="shared" si="151"/>
        <v>1433.0999999999985</v>
      </c>
      <c r="L923" s="23">
        <f t="shared" si="159"/>
        <v>71.65499999999993</v>
      </c>
      <c r="M923" s="33">
        <v>25</v>
      </c>
      <c r="N923" s="18">
        <f t="shared" si="154"/>
        <v>61.293150684931504</v>
      </c>
      <c r="O923" s="23">
        <v>848714.8</v>
      </c>
      <c r="P923" s="18">
        <f t="shared" si="155"/>
        <v>61.794520547945204</v>
      </c>
      <c r="Q923" s="18">
        <v>0</v>
      </c>
      <c r="R923" s="18">
        <f t="shared" si="152"/>
        <v>848714.8</v>
      </c>
      <c r="S923" s="18">
        <f t="shared" si="156"/>
        <v>71.65499999999993</v>
      </c>
    </row>
    <row r="924" spans="1:19" ht="18.75" customHeight="1" x14ac:dyDescent="0.25">
      <c r="A924" s="14">
        <f t="shared" si="157"/>
        <v>921</v>
      </c>
      <c r="B924" s="31" t="s">
        <v>883</v>
      </c>
      <c r="C924" s="15" t="s">
        <v>3</v>
      </c>
      <c r="D924" s="31" t="s">
        <v>500</v>
      </c>
      <c r="E924" s="31"/>
      <c r="F924" s="73" t="s">
        <v>4</v>
      </c>
      <c r="G924" s="32">
        <v>21916</v>
      </c>
      <c r="H924" s="29">
        <v>1385.4000000000015</v>
      </c>
      <c r="I924" s="17">
        <v>0</v>
      </c>
      <c r="J924" s="17">
        <v>0</v>
      </c>
      <c r="K924" s="17">
        <f t="shared" si="151"/>
        <v>1385.4000000000015</v>
      </c>
      <c r="L924" s="23">
        <f t="shared" si="159"/>
        <v>69.270000000000081</v>
      </c>
      <c r="M924" s="33">
        <v>25</v>
      </c>
      <c r="N924" s="18">
        <f t="shared" si="154"/>
        <v>61.293150684931504</v>
      </c>
      <c r="O924" s="23">
        <v>732105.15</v>
      </c>
      <c r="P924" s="18">
        <f t="shared" si="155"/>
        <v>61.794520547945204</v>
      </c>
      <c r="Q924" s="18">
        <v>0</v>
      </c>
      <c r="R924" s="18">
        <f t="shared" si="152"/>
        <v>732105.15</v>
      </c>
      <c r="S924" s="18">
        <f t="shared" si="156"/>
        <v>69.270000000000081</v>
      </c>
    </row>
    <row r="925" spans="1:19" ht="18.75" customHeight="1" x14ac:dyDescent="0.25">
      <c r="A925" s="14">
        <f t="shared" si="157"/>
        <v>922</v>
      </c>
      <c r="B925" s="31" t="s">
        <v>884</v>
      </c>
      <c r="C925" s="15" t="s">
        <v>3</v>
      </c>
      <c r="D925" s="31" t="s">
        <v>500</v>
      </c>
      <c r="E925" s="31"/>
      <c r="F925" s="73" t="s">
        <v>4</v>
      </c>
      <c r="G925" s="32">
        <v>21916</v>
      </c>
      <c r="H925" s="29">
        <v>1160.7999999999993</v>
      </c>
      <c r="I925" s="17">
        <v>0</v>
      </c>
      <c r="J925" s="17">
        <v>0</v>
      </c>
      <c r="K925" s="17">
        <f t="shared" si="151"/>
        <v>1160.7999999999993</v>
      </c>
      <c r="L925" s="23">
        <f t="shared" si="159"/>
        <v>58.039999999999964</v>
      </c>
      <c r="M925" s="33">
        <v>25</v>
      </c>
      <c r="N925" s="18">
        <f t="shared" si="154"/>
        <v>61.293150684931504</v>
      </c>
      <c r="O925" s="23">
        <v>603037.77</v>
      </c>
      <c r="P925" s="18">
        <f t="shared" si="155"/>
        <v>61.794520547945204</v>
      </c>
      <c r="Q925" s="18">
        <v>0</v>
      </c>
      <c r="R925" s="18">
        <f t="shared" si="152"/>
        <v>603037.77</v>
      </c>
      <c r="S925" s="18">
        <f t="shared" si="156"/>
        <v>58.039999999999964</v>
      </c>
    </row>
    <row r="926" spans="1:19" ht="18.75" customHeight="1" x14ac:dyDescent="0.25">
      <c r="A926" s="14">
        <f t="shared" si="157"/>
        <v>923</v>
      </c>
      <c r="B926" s="31" t="s">
        <v>885</v>
      </c>
      <c r="C926" s="15" t="s">
        <v>3</v>
      </c>
      <c r="D926" s="31" t="s">
        <v>500</v>
      </c>
      <c r="E926" s="31"/>
      <c r="F926" s="73" t="s">
        <v>11</v>
      </c>
      <c r="G926" s="32">
        <v>21916</v>
      </c>
      <c r="H926" s="29">
        <v>354</v>
      </c>
      <c r="I926" s="17">
        <v>0</v>
      </c>
      <c r="J926" s="17">
        <v>0</v>
      </c>
      <c r="K926" s="17">
        <f t="shared" si="151"/>
        <v>354</v>
      </c>
      <c r="L926" s="23">
        <f t="shared" si="159"/>
        <v>17.7</v>
      </c>
      <c r="M926" s="33">
        <v>25</v>
      </c>
      <c r="N926" s="18">
        <f t="shared" si="154"/>
        <v>61.293150684931504</v>
      </c>
      <c r="O926" s="23">
        <v>544413.65</v>
      </c>
      <c r="P926" s="18">
        <f t="shared" si="155"/>
        <v>61.794520547945204</v>
      </c>
      <c r="Q926" s="18">
        <v>0</v>
      </c>
      <c r="R926" s="18">
        <f t="shared" si="152"/>
        <v>544413.65</v>
      </c>
      <c r="S926" s="18">
        <f t="shared" si="156"/>
        <v>17.7</v>
      </c>
    </row>
    <row r="927" spans="1:19" ht="18.75" customHeight="1" x14ac:dyDescent="0.25">
      <c r="A927" s="14">
        <f t="shared" si="157"/>
        <v>924</v>
      </c>
      <c r="B927" s="31" t="s">
        <v>886</v>
      </c>
      <c r="C927" s="15" t="s">
        <v>3</v>
      </c>
      <c r="D927" s="31" t="s">
        <v>500</v>
      </c>
      <c r="E927" s="31"/>
      <c r="F927" s="73" t="s">
        <v>13</v>
      </c>
      <c r="G927" s="32">
        <v>21916</v>
      </c>
      <c r="H927" s="29">
        <v>20.550000000000011</v>
      </c>
      <c r="I927" s="17">
        <v>0</v>
      </c>
      <c r="J927" s="17">
        <v>0</v>
      </c>
      <c r="K927" s="17">
        <f t="shared" si="151"/>
        <v>20.550000000000011</v>
      </c>
      <c r="L927" s="23">
        <f t="shared" si="159"/>
        <v>1.0275000000000005</v>
      </c>
      <c r="M927" s="33">
        <v>25</v>
      </c>
      <c r="N927" s="18">
        <f t="shared" si="154"/>
        <v>61.293150684931504</v>
      </c>
      <c r="O927" s="23">
        <v>356503.65</v>
      </c>
      <c r="P927" s="18">
        <f t="shared" si="155"/>
        <v>61.794520547945204</v>
      </c>
      <c r="Q927" s="18">
        <v>0</v>
      </c>
      <c r="R927" s="18">
        <f t="shared" si="152"/>
        <v>356503.65</v>
      </c>
      <c r="S927" s="18">
        <f t="shared" si="156"/>
        <v>1.0275000000000005</v>
      </c>
    </row>
    <row r="928" spans="1:19" ht="18.75" customHeight="1" x14ac:dyDescent="0.25">
      <c r="A928" s="14">
        <f t="shared" si="157"/>
        <v>925</v>
      </c>
      <c r="B928" s="31" t="s">
        <v>887</v>
      </c>
      <c r="C928" s="15" t="s">
        <v>3</v>
      </c>
      <c r="D928" s="31" t="s">
        <v>500</v>
      </c>
      <c r="E928" s="31"/>
      <c r="F928" s="73" t="s">
        <v>8</v>
      </c>
      <c r="G928" s="32">
        <v>27395</v>
      </c>
      <c r="H928" s="29">
        <v>289</v>
      </c>
      <c r="I928" s="17">
        <v>0</v>
      </c>
      <c r="J928" s="17">
        <v>0</v>
      </c>
      <c r="K928" s="17">
        <f t="shared" si="151"/>
        <v>289</v>
      </c>
      <c r="L928" s="23">
        <f t="shared" si="159"/>
        <v>14.450000000000001</v>
      </c>
      <c r="M928" s="33">
        <v>10</v>
      </c>
      <c r="N928" s="18">
        <f t="shared" si="154"/>
        <v>46.282191780821918</v>
      </c>
      <c r="O928" s="23">
        <v>140657</v>
      </c>
      <c r="P928" s="18">
        <f t="shared" si="155"/>
        <v>46.783561643835618</v>
      </c>
      <c r="Q928" s="18">
        <v>0</v>
      </c>
      <c r="R928" s="18">
        <f t="shared" si="152"/>
        <v>140657</v>
      </c>
      <c r="S928" s="18">
        <f t="shared" si="156"/>
        <v>14.450000000000001</v>
      </c>
    </row>
    <row r="929" spans="1:19" ht="18.75" customHeight="1" x14ac:dyDescent="0.25">
      <c r="A929" s="14">
        <f t="shared" si="157"/>
        <v>926</v>
      </c>
      <c r="B929" s="31" t="s">
        <v>885</v>
      </c>
      <c r="C929" s="15" t="s">
        <v>3</v>
      </c>
      <c r="D929" s="31" t="s">
        <v>500</v>
      </c>
      <c r="E929" s="31"/>
      <c r="F929" s="73" t="s">
        <v>11</v>
      </c>
      <c r="G929" s="32">
        <v>22282</v>
      </c>
      <c r="H929" s="29">
        <v>11038.649999999994</v>
      </c>
      <c r="I929" s="17">
        <v>0</v>
      </c>
      <c r="J929" s="17">
        <v>0</v>
      </c>
      <c r="K929" s="17">
        <f t="shared" si="151"/>
        <v>11038.649999999994</v>
      </c>
      <c r="L929" s="23">
        <f t="shared" si="159"/>
        <v>551.93249999999978</v>
      </c>
      <c r="M929" s="33">
        <v>25</v>
      </c>
      <c r="N929" s="18">
        <f t="shared" si="154"/>
        <v>60.290410958904111</v>
      </c>
      <c r="O929" s="23">
        <v>110136.35</v>
      </c>
      <c r="P929" s="18">
        <f t="shared" si="155"/>
        <v>60.791780821917811</v>
      </c>
      <c r="Q929" s="18">
        <v>0</v>
      </c>
      <c r="R929" s="18">
        <f t="shared" si="152"/>
        <v>110136.35</v>
      </c>
      <c r="S929" s="18">
        <f t="shared" si="156"/>
        <v>551.93249999999978</v>
      </c>
    </row>
    <row r="930" spans="1:19" ht="18.75" customHeight="1" x14ac:dyDescent="0.25">
      <c r="A930" s="14">
        <f t="shared" si="157"/>
        <v>927</v>
      </c>
      <c r="B930" s="31" t="s">
        <v>888</v>
      </c>
      <c r="C930" s="15" t="s">
        <v>3</v>
      </c>
      <c r="D930" s="31" t="s">
        <v>500</v>
      </c>
      <c r="E930" s="31"/>
      <c r="F930" s="73" t="s">
        <v>15</v>
      </c>
      <c r="G930" s="32">
        <v>22282</v>
      </c>
      <c r="H930" s="29">
        <v>3691.3000000000029</v>
      </c>
      <c r="I930" s="17">
        <v>0</v>
      </c>
      <c r="J930" s="17">
        <v>0</v>
      </c>
      <c r="K930" s="17">
        <f t="shared" si="151"/>
        <v>3691.3000000000029</v>
      </c>
      <c r="L930" s="23">
        <f t="shared" si="159"/>
        <v>184.56500000000017</v>
      </c>
      <c r="M930" s="33">
        <v>25</v>
      </c>
      <c r="N930" s="18">
        <f t="shared" si="154"/>
        <v>60.290410958904111</v>
      </c>
      <c r="O930" s="23">
        <v>85984.5</v>
      </c>
      <c r="P930" s="18">
        <f t="shared" si="155"/>
        <v>60.791780821917811</v>
      </c>
      <c r="Q930" s="18">
        <v>0</v>
      </c>
      <c r="R930" s="18">
        <f t="shared" si="152"/>
        <v>85984.5</v>
      </c>
      <c r="S930" s="18">
        <f t="shared" si="156"/>
        <v>184.56500000000017</v>
      </c>
    </row>
    <row r="931" spans="1:19" ht="18.75" customHeight="1" x14ac:dyDescent="0.25">
      <c r="A931" s="14">
        <f t="shared" si="157"/>
        <v>928</v>
      </c>
      <c r="B931" s="31" t="s">
        <v>889</v>
      </c>
      <c r="C931" s="15" t="s">
        <v>3</v>
      </c>
      <c r="D931" s="31" t="s">
        <v>500</v>
      </c>
      <c r="E931" s="31"/>
      <c r="F931" s="73" t="s">
        <v>11</v>
      </c>
      <c r="G931" s="32">
        <v>22282</v>
      </c>
      <c r="H931" s="29">
        <v>2145</v>
      </c>
      <c r="I931" s="17">
        <v>0</v>
      </c>
      <c r="J931" s="17">
        <v>0</v>
      </c>
      <c r="K931" s="17">
        <f t="shared" si="151"/>
        <v>2145</v>
      </c>
      <c r="L931" s="23">
        <f t="shared" si="159"/>
        <v>107.25</v>
      </c>
      <c r="M931" s="33">
        <v>25</v>
      </c>
      <c r="N931" s="18">
        <f t="shared" si="154"/>
        <v>60.290410958904111</v>
      </c>
      <c r="O931" s="23">
        <v>73685.8</v>
      </c>
      <c r="P931" s="18">
        <f t="shared" si="155"/>
        <v>60.791780821917811</v>
      </c>
      <c r="Q931" s="18">
        <v>0</v>
      </c>
      <c r="R931" s="18">
        <f t="shared" si="152"/>
        <v>73685.8</v>
      </c>
      <c r="S931" s="18">
        <f t="shared" si="156"/>
        <v>107.25</v>
      </c>
    </row>
    <row r="932" spans="1:19" ht="18.75" customHeight="1" x14ac:dyDescent="0.25">
      <c r="A932" s="14">
        <f t="shared" si="157"/>
        <v>929</v>
      </c>
      <c r="B932" s="31" t="s">
        <v>886</v>
      </c>
      <c r="C932" s="15" t="s">
        <v>3</v>
      </c>
      <c r="D932" s="31" t="s">
        <v>500</v>
      </c>
      <c r="E932" s="31"/>
      <c r="F932" s="73" t="s">
        <v>13</v>
      </c>
      <c r="G932" s="32">
        <v>22282</v>
      </c>
      <c r="H932" s="29">
        <v>147</v>
      </c>
      <c r="I932" s="17">
        <v>0</v>
      </c>
      <c r="J932" s="17">
        <v>0</v>
      </c>
      <c r="K932" s="17">
        <f t="shared" si="151"/>
        <v>147</v>
      </c>
      <c r="L932" s="23">
        <f t="shared" si="159"/>
        <v>7.3500000000000005</v>
      </c>
      <c r="M932" s="33">
        <v>25</v>
      </c>
      <c r="N932" s="18">
        <f t="shared" si="154"/>
        <v>60.290410958904111</v>
      </c>
      <c r="O932" s="23">
        <v>47534.2</v>
      </c>
      <c r="P932" s="18">
        <f t="shared" si="155"/>
        <v>60.791780821917811</v>
      </c>
      <c r="Q932" s="18">
        <v>0</v>
      </c>
      <c r="R932" s="18">
        <f t="shared" si="152"/>
        <v>47534.2</v>
      </c>
      <c r="S932" s="18">
        <f t="shared" si="156"/>
        <v>7.3500000000000005</v>
      </c>
    </row>
    <row r="933" spans="1:19" ht="18.75" customHeight="1" x14ac:dyDescent="0.25">
      <c r="A933" s="14">
        <f t="shared" si="157"/>
        <v>930</v>
      </c>
      <c r="B933" s="31" t="s">
        <v>890</v>
      </c>
      <c r="C933" s="15" t="s">
        <v>3</v>
      </c>
      <c r="D933" s="31" t="s">
        <v>500</v>
      </c>
      <c r="E933" s="31"/>
      <c r="F933" s="73" t="s">
        <v>11</v>
      </c>
      <c r="G933" s="32">
        <v>22282</v>
      </c>
      <c r="H933" s="29">
        <v>140.05000000000018</v>
      </c>
      <c r="I933" s="17">
        <v>0</v>
      </c>
      <c r="J933" s="17">
        <v>0</v>
      </c>
      <c r="K933" s="17">
        <f t="shared" si="151"/>
        <v>140.05000000000018</v>
      </c>
      <c r="L933" s="23">
        <f t="shared" si="159"/>
        <v>7.0025000000000093</v>
      </c>
      <c r="M933" s="33">
        <v>25</v>
      </c>
      <c r="N933" s="18">
        <f t="shared" si="154"/>
        <v>60.290410958904111</v>
      </c>
      <c r="O933" s="23">
        <v>35428.35</v>
      </c>
      <c r="P933" s="18">
        <f t="shared" si="155"/>
        <v>60.791780821917811</v>
      </c>
      <c r="Q933" s="18">
        <v>0</v>
      </c>
      <c r="R933" s="18">
        <f t="shared" si="152"/>
        <v>35428.35</v>
      </c>
      <c r="S933" s="18">
        <f t="shared" si="156"/>
        <v>7.0025000000000093</v>
      </c>
    </row>
    <row r="934" spans="1:19" ht="18.75" customHeight="1" x14ac:dyDescent="0.25">
      <c r="A934" s="14">
        <f t="shared" si="157"/>
        <v>931</v>
      </c>
      <c r="B934" s="31" t="s">
        <v>891</v>
      </c>
      <c r="C934" s="15" t="s">
        <v>3</v>
      </c>
      <c r="D934" s="31" t="s">
        <v>500</v>
      </c>
      <c r="E934" s="31"/>
      <c r="F934" s="73" t="s">
        <v>4</v>
      </c>
      <c r="G934" s="32">
        <v>22282</v>
      </c>
      <c r="H934" s="29">
        <v>129.84999999999991</v>
      </c>
      <c r="I934" s="17">
        <v>0</v>
      </c>
      <c r="J934" s="17">
        <v>0</v>
      </c>
      <c r="K934" s="17">
        <f t="shared" si="151"/>
        <v>129.84999999999991</v>
      </c>
      <c r="L934" s="23">
        <f t="shared" si="159"/>
        <v>6.4924999999999962</v>
      </c>
      <c r="M934" s="33">
        <v>25</v>
      </c>
      <c r="N934" s="18">
        <f t="shared" si="154"/>
        <v>60.290410958904111</v>
      </c>
      <c r="O934" s="23">
        <v>32438.7</v>
      </c>
      <c r="P934" s="18">
        <f t="shared" si="155"/>
        <v>60.791780821917811</v>
      </c>
      <c r="Q934" s="18">
        <v>0</v>
      </c>
      <c r="R934" s="18">
        <f t="shared" si="152"/>
        <v>32438.7</v>
      </c>
      <c r="S934" s="18">
        <f t="shared" si="156"/>
        <v>6.4924999999999962</v>
      </c>
    </row>
    <row r="935" spans="1:19" ht="18.75" customHeight="1" x14ac:dyDescent="0.25">
      <c r="A935" s="14">
        <f t="shared" si="157"/>
        <v>932</v>
      </c>
      <c r="B935" s="31" t="s">
        <v>892</v>
      </c>
      <c r="C935" s="15" t="s">
        <v>3</v>
      </c>
      <c r="D935" s="31" t="s">
        <v>500</v>
      </c>
      <c r="E935" s="31"/>
      <c r="F935" s="73" t="s">
        <v>4</v>
      </c>
      <c r="G935" s="32">
        <v>22282</v>
      </c>
      <c r="H935" s="29">
        <v>123.30000000000018</v>
      </c>
      <c r="I935" s="17">
        <v>0</v>
      </c>
      <c r="J935" s="17">
        <v>0</v>
      </c>
      <c r="K935" s="17">
        <f t="shared" si="151"/>
        <v>123.30000000000018</v>
      </c>
      <c r="L935" s="23">
        <f t="shared" si="159"/>
        <v>6.1650000000000098</v>
      </c>
      <c r="M935" s="33">
        <v>25</v>
      </c>
      <c r="N935" s="18">
        <f t="shared" si="154"/>
        <v>60.290410958904111</v>
      </c>
      <c r="O935" s="23">
        <v>5649.65</v>
      </c>
      <c r="P935" s="18">
        <f t="shared" si="155"/>
        <v>60.791780821917811</v>
      </c>
      <c r="Q935" s="18">
        <v>0</v>
      </c>
      <c r="R935" s="18">
        <f t="shared" si="152"/>
        <v>5649.65</v>
      </c>
      <c r="S935" s="18">
        <f t="shared" si="156"/>
        <v>6.1650000000000098</v>
      </c>
    </row>
    <row r="936" spans="1:19" ht="18.75" customHeight="1" x14ac:dyDescent="0.25">
      <c r="A936" s="14">
        <f t="shared" si="157"/>
        <v>933</v>
      </c>
      <c r="B936" s="31" t="s">
        <v>893</v>
      </c>
      <c r="C936" s="15" t="s">
        <v>3</v>
      </c>
      <c r="D936" s="31" t="s">
        <v>500</v>
      </c>
      <c r="E936" s="31"/>
      <c r="F936" s="73" t="s">
        <v>15</v>
      </c>
      <c r="G936" s="32">
        <v>22647</v>
      </c>
      <c r="H936" s="29">
        <v>18203.5</v>
      </c>
      <c r="I936" s="17">
        <v>0</v>
      </c>
      <c r="J936" s="17">
        <v>0</v>
      </c>
      <c r="K936" s="17">
        <f t="shared" si="151"/>
        <v>18203.5</v>
      </c>
      <c r="L936" s="23">
        <f t="shared" si="159"/>
        <v>910.17500000000007</v>
      </c>
      <c r="M936" s="33">
        <v>25</v>
      </c>
      <c r="N936" s="18">
        <f t="shared" si="154"/>
        <v>59.290410958904111</v>
      </c>
      <c r="O936" s="23">
        <v>3923.5</v>
      </c>
      <c r="P936" s="18">
        <f t="shared" si="155"/>
        <v>59.791780821917811</v>
      </c>
      <c r="Q936" s="18">
        <v>0</v>
      </c>
      <c r="R936" s="18">
        <f t="shared" si="152"/>
        <v>3923.5</v>
      </c>
      <c r="S936" s="18">
        <f t="shared" si="153"/>
        <v>14280</v>
      </c>
    </row>
    <row r="937" spans="1:19" ht="18.75" customHeight="1" x14ac:dyDescent="0.25">
      <c r="A937" s="14">
        <f t="shared" si="157"/>
        <v>934</v>
      </c>
      <c r="B937" s="31" t="s">
        <v>894</v>
      </c>
      <c r="C937" s="15" t="s">
        <v>3</v>
      </c>
      <c r="D937" s="31" t="s">
        <v>500</v>
      </c>
      <c r="E937" s="31"/>
      <c r="F937" s="73" t="s">
        <v>4</v>
      </c>
      <c r="G937" s="32">
        <v>22647</v>
      </c>
      <c r="H937" s="29">
        <v>2000</v>
      </c>
      <c r="I937" s="17">
        <v>0</v>
      </c>
      <c r="J937" s="17">
        <v>0</v>
      </c>
      <c r="K937" s="17">
        <f t="shared" si="151"/>
        <v>2000</v>
      </c>
      <c r="L937" s="23">
        <f t="shared" si="159"/>
        <v>100</v>
      </c>
      <c r="M937" s="33">
        <v>25</v>
      </c>
      <c r="N937" s="18">
        <f t="shared" si="154"/>
        <v>59.290410958904111</v>
      </c>
      <c r="O937" s="23">
        <v>351243.5</v>
      </c>
      <c r="P937" s="18">
        <f t="shared" si="155"/>
        <v>59.791780821917811</v>
      </c>
      <c r="Q937" s="18">
        <v>0</v>
      </c>
      <c r="R937" s="18">
        <f t="shared" si="152"/>
        <v>351243.5</v>
      </c>
      <c r="S937" s="18">
        <f t="shared" ref="S937:S983" si="160">L937</f>
        <v>100</v>
      </c>
    </row>
    <row r="938" spans="1:19" ht="18.75" customHeight="1" x14ac:dyDescent="0.25">
      <c r="A938" s="14">
        <f t="shared" si="157"/>
        <v>935</v>
      </c>
      <c r="B938" s="31" t="s">
        <v>895</v>
      </c>
      <c r="C938" s="15" t="s">
        <v>3</v>
      </c>
      <c r="D938" s="31" t="s">
        <v>500</v>
      </c>
      <c r="E938" s="31"/>
      <c r="F938" s="73" t="s">
        <v>11</v>
      </c>
      <c r="G938" s="32">
        <v>36945</v>
      </c>
      <c r="H938" s="29">
        <v>1662.0749863013698</v>
      </c>
      <c r="I938" s="17">
        <v>0</v>
      </c>
      <c r="J938" s="17">
        <v>0</v>
      </c>
      <c r="K938" s="17">
        <f t="shared" si="151"/>
        <v>1662.0749863013698</v>
      </c>
      <c r="L938" s="23">
        <f t="shared" si="159"/>
        <v>83.103749315068498</v>
      </c>
      <c r="M938" s="33">
        <v>25</v>
      </c>
      <c r="N938" s="18">
        <f t="shared" si="154"/>
        <v>20.117808219178084</v>
      </c>
      <c r="O938" s="23">
        <v>199312.62299945205</v>
      </c>
      <c r="P938" s="18">
        <f t="shared" si="155"/>
        <v>20.61917808219178</v>
      </c>
      <c r="Q938" s="18">
        <f t="shared" ref="Q938" si="161">(P938-N938)/M938*(K938-L938)</f>
        <v>31.665943711615551</v>
      </c>
      <c r="R938" s="18">
        <f t="shared" si="152"/>
        <v>199344.28894316367</v>
      </c>
      <c r="S938" s="18">
        <f t="shared" si="160"/>
        <v>83.103749315068498</v>
      </c>
    </row>
    <row r="939" spans="1:19" ht="18.75" customHeight="1" x14ac:dyDescent="0.25">
      <c r="A939" s="14">
        <f t="shared" si="157"/>
        <v>936</v>
      </c>
      <c r="B939" s="31" t="s">
        <v>896</v>
      </c>
      <c r="C939" s="15" t="s">
        <v>3</v>
      </c>
      <c r="D939" s="31" t="s">
        <v>500</v>
      </c>
      <c r="E939" s="31"/>
      <c r="F939" s="73" t="s">
        <v>4</v>
      </c>
      <c r="G939" s="32">
        <v>22647</v>
      </c>
      <c r="H939" s="29">
        <v>180.34999999999991</v>
      </c>
      <c r="I939" s="17">
        <v>0</v>
      </c>
      <c r="J939" s="17">
        <v>0</v>
      </c>
      <c r="K939" s="17">
        <f t="shared" si="151"/>
        <v>180.34999999999991</v>
      </c>
      <c r="L939" s="23">
        <f t="shared" si="159"/>
        <v>9.0174999999999965</v>
      </c>
      <c r="M939" s="33">
        <v>25</v>
      </c>
      <c r="N939" s="18">
        <f t="shared" si="154"/>
        <v>59.290410958904111</v>
      </c>
      <c r="O939" s="23">
        <v>1012550.85</v>
      </c>
      <c r="P939" s="18">
        <f t="shared" si="155"/>
        <v>59.791780821917811</v>
      </c>
      <c r="Q939" s="18">
        <v>0</v>
      </c>
      <c r="R939" s="18">
        <f t="shared" si="152"/>
        <v>1012550.85</v>
      </c>
      <c r="S939" s="18">
        <f t="shared" si="160"/>
        <v>9.0174999999999965</v>
      </c>
    </row>
    <row r="940" spans="1:19" ht="18.75" customHeight="1" x14ac:dyDescent="0.25">
      <c r="A940" s="14">
        <f t="shared" si="157"/>
        <v>937</v>
      </c>
      <c r="B940" s="31" t="s">
        <v>897</v>
      </c>
      <c r="C940" s="15" t="s">
        <v>3</v>
      </c>
      <c r="D940" s="31" t="s">
        <v>500</v>
      </c>
      <c r="E940" s="31"/>
      <c r="F940" s="73" t="s">
        <v>11</v>
      </c>
      <c r="G940" s="32">
        <v>22647</v>
      </c>
      <c r="H940" s="29">
        <v>60.099999999999909</v>
      </c>
      <c r="I940" s="17">
        <v>0</v>
      </c>
      <c r="J940" s="17">
        <v>0</v>
      </c>
      <c r="K940" s="17">
        <f t="shared" si="151"/>
        <v>60.099999999999909</v>
      </c>
      <c r="L940" s="23">
        <f t="shared" si="159"/>
        <v>3.0049999999999955</v>
      </c>
      <c r="M940" s="33">
        <v>25</v>
      </c>
      <c r="N940" s="18">
        <f t="shared" si="154"/>
        <v>59.290410958904111</v>
      </c>
      <c r="O940" s="23">
        <v>1271986.3500000001</v>
      </c>
      <c r="P940" s="18">
        <f t="shared" si="155"/>
        <v>59.791780821917811</v>
      </c>
      <c r="Q940" s="18">
        <v>0</v>
      </c>
      <c r="R940" s="18">
        <f t="shared" si="152"/>
        <v>1271986.3500000001</v>
      </c>
      <c r="S940" s="18">
        <f t="shared" si="160"/>
        <v>3.0049999999999955</v>
      </c>
    </row>
    <row r="941" spans="1:19" ht="18.75" customHeight="1" x14ac:dyDescent="0.25">
      <c r="A941" s="14">
        <f t="shared" si="157"/>
        <v>938</v>
      </c>
      <c r="B941" s="31" t="s">
        <v>898</v>
      </c>
      <c r="C941" s="15" t="s">
        <v>3</v>
      </c>
      <c r="D941" s="31" t="s">
        <v>500</v>
      </c>
      <c r="E941" s="31"/>
      <c r="F941" s="73" t="s">
        <v>4</v>
      </c>
      <c r="G941" s="32">
        <v>22647</v>
      </c>
      <c r="H941" s="29">
        <v>14.649999999999977</v>
      </c>
      <c r="I941" s="17">
        <v>0</v>
      </c>
      <c r="J941" s="17">
        <v>0</v>
      </c>
      <c r="K941" s="17">
        <f t="shared" si="151"/>
        <v>14.649999999999977</v>
      </c>
      <c r="L941" s="23">
        <f t="shared" si="159"/>
        <v>0.73249999999999893</v>
      </c>
      <c r="M941" s="33">
        <v>25</v>
      </c>
      <c r="N941" s="18">
        <f t="shared" si="154"/>
        <v>59.290410958904111</v>
      </c>
      <c r="O941" s="23">
        <v>1229853.8500000001</v>
      </c>
      <c r="P941" s="18">
        <f t="shared" si="155"/>
        <v>59.791780821917811</v>
      </c>
      <c r="Q941" s="18">
        <v>0</v>
      </c>
      <c r="R941" s="18">
        <f t="shared" si="152"/>
        <v>1229853.8500000001</v>
      </c>
      <c r="S941" s="18">
        <f t="shared" si="160"/>
        <v>0.73249999999999893</v>
      </c>
    </row>
    <row r="942" spans="1:19" ht="18.75" customHeight="1" x14ac:dyDescent="0.25">
      <c r="A942" s="14">
        <f t="shared" si="157"/>
        <v>939</v>
      </c>
      <c r="B942" s="31" t="s">
        <v>765</v>
      </c>
      <c r="C942" s="15" t="s">
        <v>3</v>
      </c>
      <c r="D942" s="31" t="s">
        <v>500</v>
      </c>
      <c r="E942" s="31"/>
      <c r="F942" s="73" t="s">
        <v>4</v>
      </c>
      <c r="G942" s="32">
        <v>26299</v>
      </c>
      <c r="H942" s="29">
        <v>1308.8499999999985</v>
      </c>
      <c r="I942" s="17">
        <v>0</v>
      </c>
      <c r="J942" s="17">
        <v>0</v>
      </c>
      <c r="K942" s="17">
        <f t="shared" si="151"/>
        <v>1308.8499999999985</v>
      </c>
      <c r="L942" s="23">
        <f t="shared" si="159"/>
        <v>65.442499999999924</v>
      </c>
      <c r="M942" s="33">
        <v>15</v>
      </c>
      <c r="N942" s="18">
        <f t="shared" si="154"/>
        <v>49.284931506849318</v>
      </c>
      <c r="O942" s="23">
        <v>156851.65</v>
      </c>
      <c r="P942" s="18">
        <f t="shared" si="155"/>
        <v>49.786301369863011</v>
      </c>
      <c r="Q942" s="18">
        <v>0</v>
      </c>
      <c r="R942" s="18">
        <f t="shared" si="152"/>
        <v>156851.65</v>
      </c>
      <c r="S942" s="18">
        <f t="shared" si="160"/>
        <v>65.442499999999924</v>
      </c>
    </row>
    <row r="943" spans="1:19" ht="18.75" customHeight="1" x14ac:dyDescent="0.25">
      <c r="A943" s="14">
        <f t="shared" si="157"/>
        <v>940</v>
      </c>
      <c r="B943" s="31" t="s">
        <v>899</v>
      </c>
      <c r="C943" s="15" t="s">
        <v>3</v>
      </c>
      <c r="D943" s="31" t="s">
        <v>500</v>
      </c>
      <c r="E943" s="31"/>
      <c r="F943" s="73" t="s">
        <v>4</v>
      </c>
      <c r="G943" s="32">
        <v>23012</v>
      </c>
      <c r="H943" s="29">
        <v>2698.1999999999971</v>
      </c>
      <c r="I943" s="17">
        <v>0</v>
      </c>
      <c r="J943" s="17">
        <v>0</v>
      </c>
      <c r="K943" s="17">
        <f t="shared" si="151"/>
        <v>2698.1999999999971</v>
      </c>
      <c r="L943" s="23">
        <f t="shared" si="159"/>
        <v>134.90999999999985</v>
      </c>
      <c r="M943" s="33">
        <v>25</v>
      </c>
      <c r="N943" s="18">
        <f t="shared" si="154"/>
        <v>58.290410958904111</v>
      </c>
      <c r="O943" s="23">
        <v>153862</v>
      </c>
      <c r="P943" s="18">
        <f t="shared" si="155"/>
        <v>58.791780821917811</v>
      </c>
      <c r="Q943" s="18">
        <v>0</v>
      </c>
      <c r="R943" s="18">
        <f t="shared" si="152"/>
        <v>153862</v>
      </c>
      <c r="S943" s="18">
        <f t="shared" si="160"/>
        <v>134.90999999999985</v>
      </c>
    </row>
    <row r="944" spans="1:19" ht="18.75" customHeight="1" x14ac:dyDescent="0.25">
      <c r="A944" s="14">
        <f t="shared" si="157"/>
        <v>941</v>
      </c>
      <c r="B944" s="31" t="s">
        <v>900</v>
      </c>
      <c r="C944" s="15" t="s">
        <v>3</v>
      </c>
      <c r="D944" s="31" t="s">
        <v>500</v>
      </c>
      <c r="E944" s="31"/>
      <c r="F944" s="73" t="s">
        <v>15</v>
      </c>
      <c r="G944" s="32">
        <v>23012</v>
      </c>
      <c r="H944" s="29">
        <v>1054.9500000000007</v>
      </c>
      <c r="I944" s="17">
        <v>0</v>
      </c>
      <c r="J944" s="17">
        <v>0</v>
      </c>
      <c r="K944" s="17">
        <f t="shared" si="151"/>
        <v>1054.9500000000007</v>
      </c>
      <c r="L944" s="23">
        <f t="shared" si="159"/>
        <v>52.747500000000038</v>
      </c>
      <c r="M944" s="33">
        <v>25</v>
      </c>
      <c r="N944" s="18">
        <f t="shared" si="154"/>
        <v>58.290410958904111</v>
      </c>
      <c r="O944" s="23">
        <v>124515.55</v>
      </c>
      <c r="P944" s="18">
        <f t="shared" si="155"/>
        <v>58.791780821917811</v>
      </c>
      <c r="Q944" s="18">
        <v>0</v>
      </c>
      <c r="R944" s="18">
        <f t="shared" si="152"/>
        <v>124515.55</v>
      </c>
      <c r="S944" s="18">
        <f t="shared" si="160"/>
        <v>52.747500000000038</v>
      </c>
    </row>
    <row r="945" spans="1:19" ht="18.75" customHeight="1" x14ac:dyDescent="0.25">
      <c r="A945" s="14">
        <f t="shared" si="157"/>
        <v>942</v>
      </c>
      <c r="B945" s="31" t="s">
        <v>901</v>
      </c>
      <c r="C945" s="15" t="s">
        <v>3</v>
      </c>
      <c r="D945" s="31" t="s">
        <v>500</v>
      </c>
      <c r="E945" s="31"/>
      <c r="F945" s="73" t="s">
        <v>4</v>
      </c>
      <c r="G945" s="32">
        <v>23012</v>
      </c>
      <c r="H945" s="29">
        <v>430.44999999999982</v>
      </c>
      <c r="I945" s="17">
        <v>0</v>
      </c>
      <c r="J945" s="17">
        <v>0</v>
      </c>
      <c r="K945" s="17">
        <f t="shared" si="151"/>
        <v>430.44999999999982</v>
      </c>
      <c r="L945" s="23">
        <f t="shared" si="159"/>
        <v>21.522499999999994</v>
      </c>
      <c r="M945" s="33">
        <v>25</v>
      </c>
      <c r="N945" s="18">
        <f t="shared" si="154"/>
        <v>58.290410958904111</v>
      </c>
      <c r="O945" s="23">
        <v>107317.7</v>
      </c>
      <c r="P945" s="18">
        <f t="shared" si="155"/>
        <v>58.791780821917811</v>
      </c>
      <c r="Q945" s="18">
        <v>0</v>
      </c>
      <c r="R945" s="18">
        <f t="shared" si="152"/>
        <v>107317.7</v>
      </c>
      <c r="S945" s="18">
        <f t="shared" si="160"/>
        <v>21.522499999999994</v>
      </c>
    </row>
    <row r="946" spans="1:19" ht="18.75" customHeight="1" x14ac:dyDescent="0.25">
      <c r="A946" s="14">
        <f t="shared" si="157"/>
        <v>943</v>
      </c>
      <c r="B946" s="31" t="s">
        <v>902</v>
      </c>
      <c r="C946" s="15" t="s">
        <v>3</v>
      </c>
      <c r="D946" s="31" t="s">
        <v>500</v>
      </c>
      <c r="E946" s="31"/>
      <c r="F946" s="73" t="s">
        <v>4</v>
      </c>
      <c r="G946" s="32">
        <v>23012</v>
      </c>
      <c r="H946" s="29">
        <v>361.80000000000018</v>
      </c>
      <c r="I946" s="17">
        <v>0</v>
      </c>
      <c r="J946" s="17">
        <v>0</v>
      </c>
      <c r="K946" s="17">
        <f t="shared" si="151"/>
        <v>361.80000000000018</v>
      </c>
      <c r="L946" s="23">
        <f t="shared" si="159"/>
        <v>18.090000000000011</v>
      </c>
      <c r="M946" s="33">
        <v>25</v>
      </c>
      <c r="N946" s="18">
        <f t="shared" si="154"/>
        <v>58.290410958904111</v>
      </c>
      <c r="O946" s="23">
        <v>103982.25</v>
      </c>
      <c r="P946" s="18">
        <f t="shared" si="155"/>
        <v>58.791780821917811</v>
      </c>
      <c r="Q946" s="18">
        <v>0</v>
      </c>
      <c r="R946" s="18">
        <f t="shared" si="152"/>
        <v>103982.25</v>
      </c>
      <c r="S946" s="18">
        <f t="shared" si="160"/>
        <v>18.090000000000011</v>
      </c>
    </row>
    <row r="947" spans="1:19" ht="18.75" customHeight="1" x14ac:dyDescent="0.25">
      <c r="A947" s="14">
        <f t="shared" si="157"/>
        <v>944</v>
      </c>
      <c r="B947" s="31" t="s">
        <v>903</v>
      </c>
      <c r="C947" s="15" t="s">
        <v>3</v>
      </c>
      <c r="D947" s="31" t="s">
        <v>500</v>
      </c>
      <c r="E947" s="31"/>
      <c r="F947" s="73" t="s">
        <v>11</v>
      </c>
      <c r="G947" s="32">
        <v>23012</v>
      </c>
      <c r="H947" s="29">
        <v>307.55000000000018</v>
      </c>
      <c r="I947" s="17">
        <v>0</v>
      </c>
      <c r="J947" s="17">
        <v>0</v>
      </c>
      <c r="K947" s="17">
        <f t="shared" si="151"/>
        <v>307.55000000000018</v>
      </c>
      <c r="L947" s="23">
        <f t="shared" si="159"/>
        <v>15.37750000000001</v>
      </c>
      <c r="M947" s="33">
        <v>25</v>
      </c>
      <c r="N947" s="18">
        <f t="shared" si="154"/>
        <v>58.290410958904111</v>
      </c>
      <c r="O947" s="23">
        <v>92064.5</v>
      </c>
      <c r="P947" s="18">
        <f t="shared" si="155"/>
        <v>58.791780821917811</v>
      </c>
      <c r="Q947" s="18">
        <v>0</v>
      </c>
      <c r="R947" s="18">
        <f t="shared" si="152"/>
        <v>92064.5</v>
      </c>
      <c r="S947" s="18">
        <f t="shared" si="160"/>
        <v>15.37750000000001</v>
      </c>
    </row>
    <row r="948" spans="1:19" ht="18.75" customHeight="1" x14ac:dyDescent="0.25">
      <c r="A948" s="14">
        <f t="shared" si="157"/>
        <v>945</v>
      </c>
      <c r="B948" s="31" t="s">
        <v>904</v>
      </c>
      <c r="C948" s="15" t="s">
        <v>3</v>
      </c>
      <c r="D948" s="31" t="s">
        <v>500</v>
      </c>
      <c r="E948" s="31"/>
      <c r="F948" s="73" t="s">
        <v>11</v>
      </c>
      <c r="G948" s="32">
        <v>23012</v>
      </c>
      <c r="H948" s="29">
        <v>276.64999999999964</v>
      </c>
      <c r="I948" s="17">
        <v>0</v>
      </c>
      <c r="J948" s="17">
        <v>0</v>
      </c>
      <c r="K948" s="17">
        <f t="shared" si="151"/>
        <v>276.64999999999964</v>
      </c>
      <c r="L948" s="23">
        <f t="shared" si="159"/>
        <v>13.832499999999982</v>
      </c>
      <c r="M948" s="33">
        <v>25</v>
      </c>
      <c r="N948" s="18">
        <f t="shared" si="154"/>
        <v>58.290410958904111</v>
      </c>
      <c r="O948" s="23">
        <v>83391.95</v>
      </c>
      <c r="P948" s="18">
        <f t="shared" si="155"/>
        <v>58.791780821917811</v>
      </c>
      <c r="Q948" s="18">
        <v>0</v>
      </c>
      <c r="R948" s="18">
        <f t="shared" si="152"/>
        <v>83391.95</v>
      </c>
      <c r="S948" s="18">
        <f t="shared" si="160"/>
        <v>13.832499999999982</v>
      </c>
    </row>
    <row r="949" spans="1:19" ht="18.75" customHeight="1" x14ac:dyDescent="0.25">
      <c r="A949" s="14">
        <f t="shared" si="157"/>
        <v>946</v>
      </c>
      <c r="B949" s="31" t="s">
        <v>905</v>
      </c>
      <c r="C949" s="15" t="s">
        <v>3</v>
      </c>
      <c r="D949" s="31" t="s">
        <v>500</v>
      </c>
      <c r="E949" s="31"/>
      <c r="F949" s="73" t="s">
        <v>11</v>
      </c>
      <c r="G949" s="32">
        <v>23012</v>
      </c>
      <c r="H949" s="29">
        <v>126.34999999999991</v>
      </c>
      <c r="I949" s="17">
        <v>0</v>
      </c>
      <c r="J949" s="17">
        <v>0</v>
      </c>
      <c r="K949" s="17">
        <f t="shared" si="151"/>
        <v>126.34999999999991</v>
      </c>
      <c r="L949" s="23">
        <f t="shared" si="159"/>
        <v>6.3174999999999955</v>
      </c>
      <c r="M949" s="33">
        <v>25</v>
      </c>
      <c r="N949" s="18">
        <f t="shared" si="154"/>
        <v>58.290410958904111</v>
      </c>
      <c r="O949" s="23">
        <v>80243.649999999994</v>
      </c>
      <c r="P949" s="18">
        <f t="shared" si="155"/>
        <v>58.791780821917811</v>
      </c>
      <c r="Q949" s="18">
        <v>0</v>
      </c>
      <c r="R949" s="18">
        <f t="shared" si="152"/>
        <v>80243.649999999994</v>
      </c>
      <c r="S949" s="18">
        <f t="shared" si="160"/>
        <v>6.3174999999999955</v>
      </c>
    </row>
    <row r="950" spans="1:19" ht="18.75" customHeight="1" x14ac:dyDescent="0.25">
      <c r="A950" s="14">
        <f t="shared" si="157"/>
        <v>947</v>
      </c>
      <c r="B950" s="31" t="s">
        <v>906</v>
      </c>
      <c r="C950" s="15" t="s">
        <v>3</v>
      </c>
      <c r="D950" s="31" t="s">
        <v>500</v>
      </c>
      <c r="E950" s="31"/>
      <c r="F950" s="73" t="s">
        <v>11</v>
      </c>
      <c r="G950" s="32">
        <v>23012</v>
      </c>
      <c r="H950" s="29">
        <v>109.25</v>
      </c>
      <c r="I950" s="17">
        <v>0</v>
      </c>
      <c r="J950" s="17">
        <v>0</v>
      </c>
      <c r="K950" s="17">
        <f t="shared" si="151"/>
        <v>109.25</v>
      </c>
      <c r="L950" s="23">
        <f t="shared" si="159"/>
        <v>5.4625000000000004</v>
      </c>
      <c r="M950" s="33">
        <v>25</v>
      </c>
      <c r="N950" s="18">
        <f t="shared" si="154"/>
        <v>58.290410958904111</v>
      </c>
      <c r="O950" s="23">
        <v>78156.5</v>
      </c>
      <c r="P950" s="18">
        <f t="shared" si="155"/>
        <v>58.791780821917811</v>
      </c>
      <c r="Q950" s="18">
        <v>0</v>
      </c>
      <c r="R950" s="18">
        <f t="shared" si="152"/>
        <v>78156.5</v>
      </c>
      <c r="S950" s="18">
        <f t="shared" si="160"/>
        <v>5.4625000000000004</v>
      </c>
    </row>
    <row r="951" spans="1:19" ht="18.75" customHeight="1" x14ac:dyDescent="0.25">
      <c r="A951" s="14">
        <f t="shared" si="157"/>
        <v>948</v>
      </c>
      <c r="B951" s="31" t="s">
        <v>896</v>
      </c>
      <c r="C951" s="15" t="s">
        <v>3</v>
      </c>
      <c r="D951" s="31" t="s">
        <v>500</v>
      </c>
      <c r="E951" s="31"/>
      <c r="F951" s="73" t="s">
        <v>11</v>
      </c>
      <c r="G951" s="32">
        <v>23012</v>
      </c>
      <c r="H951" s="29">
        <v>46.899999999999977</v>
      </c>
      <c r="I951" s="17">
        <v>0</v>
      </c>
      <c r="J951" s="17">
        <v>0</v>
      </c>
      <c r="K951" s="17">
        <f t="shared" si="151"/>
        <v>46.899999999999977</v>
      </c>
      <c r="L951" s="23">
        <f t="shared" si="159"/>
        <v>2.3449999999999989</v>
      </c>
      <c r="M951" s="33">
        <v>25</v>
      </c>
      <c r="N951" s="18">
        <f t="shared" si="154"/>
        <v>58.290410958904111</v>
      </c>
      <c r="O951" s="23">
        <v>78131.8</v>
      </c>
      <c r="P951" s="18">
        <f t="shared" si="155"/>
        <v>58.791780821917811</v>
      </c>
      <c r="Q951" s="18">
        <v>0</v>
      </c>
      <c r="R951" s="18">
        <f t="shared" si="152"/>
        <v>78131.8</v>
      </c>
      <c r="S951" s="18">
        <f t="shared" si="160"/>
        <v>2.3449999999999989</v>
      </c>
    </row>
    <row r="952" spans="1:19" ht="18.75" customHeight="1" x14ac:dyDescent="0.25">
      <c r="A952" s="14">
        <f t="shared" si="157"/>
        <v>949</v>
      </c>
      <c r="B952" s="31" t="s">
        <v>907</v>
      </c>
      <c r="C952" s="15" t="s">
        <v>3</v>
      </c>
      <c r="D952" s="31" t="s">
        <v>500</v>
      </c>
      <c r="E952" s="31"/>
      <c r="F952" s="73" t="s">
        <v>11</v>
      </c>
      <c r="G952" s="32">
        <v>23012</v>
      </c>
      <c r="H952" s="29">
        <v>19.5</v>
      </c>
      <c r="I952" s="17">
        <v>0</v>
      </c>
      <c r="J952" s="17">
        <v>0</v>
      </c>
      <c r="K952" s="17">
        <f t="shared" si="151"/>
        <v>19.5</v>
      </c>
      <c r="L952" s="23">
        <f t="shared" si="159"/>
        <v>0.97500000000000009</v>
      </c>
      <c r="M952" s="33">
        <v>25</v>
      </c>
      <c r="N952" s="18">
        <f t="shared" si="154"/>
        <v>58.290410958904111</v>
      </c>
      <c r="O952" s="23">
        <v>51511.85</v>
      </c>
      <c r="P952" s="18">
        <f t="shared" si="155"/>
        <v>58.791780821917811</v>
      </c>
      <c r="Q952" s="18">
        <v>0</v>
      </c>
      <c r="R952" s="18">
        <f t="shared" si="152"/>
        <v>51511.85</v>
      </c>
      <c r="S952" s="18">
        <f t="shared" si="160"/>
        <v>0.97500000000000009</v>
      </c>
    </row>
    <row r="953" spans="1:19" ht="18.75" customHeight="1" x14ac:dyDescent="0.25">
      <c r="A953" s="14">
        <f t="shared" si="157"/>
        <v>950</v>
      </c>
      <c r="B953" s="31" t="s">
        <v>908</v>
      </c>
      <c r="C953" s="15" t="s">
        <v>3</v>
      </c>
      <c r="D953" s="31" t="s">
        <v>500</v>
      </c>
      <c r="E953" s="31"/>
      <c r="F953" s="73" t="s">
        <v>11</v>
      </c>
      <c r="G953" s="32">
        <v>23377</v>
      </c>
      <c r="H953" s="29">
        <v>1502.3499999999985</v>
      </c>
      <c r="I953" s="17">
        <v>0</v>
      </c>
      <c r="J953" s="17">
        <v>0</v>
      </c>
      <c r="K953" s="17">
        <f t="shared" si="151"/>
        <v>1502.3499999999985</v>
      </c>
      <c r="L953" s="23">
        <f t="shared" si="159"/>
        <v>75.117499999999936</v>
      </c>
      <c r="M953" s="33">
        <v>25</v>
      </c>
      <c r="N953" s="18">
        <f t="shared" si="154"/>
        <v>57.290410958904111</v>
      </c>
      <c r="O953" s="23">
        <v>34517.300000000003</v>
      </c>
      <c r="P953" s="18">
        <f t="shared" si="155"/>
        <v>57.791780821917811</v>
      </c>
      <c r="Q953" s="18">
        <v>0</v>
      </c>
      <c r="R953" s="18">
        <f t="shared" si="152"/>
        <v>34517.300000000003</v>
      </c>
      <c r="S953" s="18">
        <f t="shared" si="160"/>
        <v>75.117499999999936</v>
      </c>
    </row>
    <row r="954" spans="1:19" ht="18.75" customHeight="1" x14ac:dyDescent="0.25">
      <c r="A954" s="14">
        <f t="shared" si="157"/>
        <v>951</v>
      </c>
      <c r="B954" s="31" t="s">
        <v>752</v>
      </c>
      <c r="C954" s="15" t="s">
        <v>3</v>
      </c>
      <c r="D954" s="31" t="s">
        <v>500</v>
      </c>
      <c r="E954" s="31"/>
      <c r="F954" s="73" t="s">
        <v>15</v>
      </c>
      <c r="G954" s="32">
        <v>23377</v>
      </c>
      <c r="H954" s="29">
        <v>838.85000000000036</v>
      </c>
      <c r="I954" s="17">
        <v>0</v>
      </c>
      <c r="J954" s="17">
        <v>0</v>
      </c>
      <c r="K954" s="17">
        <f t="shared" si="151"/>
        <v>838.85000000000036</v>
      </c>
      <c r="L954" s="23">
        <f t="shared" si="159"/>
        <v>41.942500000000024</v>
      </c>
      <c r="M954" s="33">
        <v>25</v>
      </c>
      <c r="N954" s="18">
        <f t="shared" si="154"/>
        <v>57.290410958904111</v>
      </c>
      <c r="O954" s="23">
        <v>29757.8</v>
      </c>
      <c r="P954" s="18">
        <f t="shared" si="155"/>
        <v>57.791780821917811</v>
      </c>
      <c r="Q954" s="18">
        <v>0</v>
      </c>
      <c r="R954" s="18">
        <f t="shared" si="152"/>
        <v>29757.8</v>
      </c>
      <c r="S954" s="18">
        <f t="shared" si="160"/>
        <v>41.942500000000024</v>
      </c>
    </row>
    <row r="955" spans="1:19" ht="18.75" customHeight="1" x14ac:dyDescent="0.25">
      <c r="A955" s="14">
        <f t="shared" si="157"/>
        <v>952</v>
      </c>
      <c r="B955" s="31" t="s">
        <v>909</v>
      </c>
      <c r="C955" s="15" t="s">
        <v>3</v>
      </c>
      <c r="D955" s="31" t="s">
        <v>500</v>
      </c>
      <c r="E955" s="31"/>
      <c r="F955" s="73" t="s">
        <v>11</v>
      </c>
      <c r="G955" s="32">
        <v>23377</v>
      </c>
      <c r="H955" s="29">
        <v>379.94999999999982</v>
      </c>
      <c r="I955" s="17">
        <v>0</v>
      </c>
      <c r="J955" s="17">
        <v>0</v>
      </c>
      <c r="K955" s="17">
        <f t="shared" si="151"/>
        <v>379.94999999999982</v>
      </c>
      <c r="L955" s="23">
        <f t="shared" si="159"/>
        <v>18.997499999999992</v>
      </c>
      <c r="M955" s="33">
        <v>25</v>
      </c>
      <c r="N955" s="18">
        <f t="shared" si="154"/>
        <v>57.290410958904111</v>
      </c>
      <c r="O955" s="23">
        <v>19687.714500000002</v>
      </c>
      <c r="P955" s="18">
        <f t="shared" si="155"/>
        <v>57.791780821917811</v>
      </c>
      <c r="Q955" s="18">
        <v>0</v>
      </c>
      <c r="R955" s="18">
        <f t="shared" si="152"/>
        <v>19687.714500000002</v>
      </c>
      <c r="S955" s="18">
        <f t="shared" si="160"/>
        <v>18.997499999999992</v>
      </c>
    </row>
    <row r="956" spans="1:19" ht="18.75" customHeight="1" x14ac:dyDescent="0.25">
      <c r="A956" s="14">
        <f t="shared" si="157"/>
        <v>953</v>
      </c>
      <c r="B956" s="31" t="s">
        <v>910</v>
      </c>
      <c r="C956" s="15" t="s">
        <v>3</v>
      </c>
      <c r="D956" s="31" t="s">
        <v>500</v>
      </c>
      <c r="E956" s="31"/>
      <c r="F956" s="73" t="s">
        <v>11</v>
      </c>
      <c r="G956" s="32">
        <v>23377</v>
      </c>
      <c r="H956" s="29">
        <v>365.80000000000018</v>
      </c>
      <c r="I956" s="17">
        <v>0</v>
      </c>
      <c r="J956" s="17">
        <v>0</v>
      </c>
      <c r="K956" s="17">
        <f t="shared" si="151"/>
        <v>365.80000000000018</v>
      </c>
      <c r="L956" s="23">
        <f t="shared" si="159"/>
        <v>18.29000000000001</v>
      </c>
      <c r="M956" s="33">
        <v>25</v>
      </c>
      <c r="N956" s="18">
        <f t="shared" si="154"/>
        <v>57.290410958904111</v>
      </c>
      <c r="O956" s="23">
        <v>13199.3</v>
      </c>
      <c r="P956" s="18">
        <f t="shared" si="155"/>
        <v>57.791780821917811</v>
      </c>
      <c r="Q956" s="18">
        <v>0</v>
      </c>
      <c r="R956" s="18">
        <f t="shared" si="152"/>
        <v>13199.3</v>
      </c>
      <c r="S956" s="18">
        <f t="shared" si="160"/>
        <v>18.29000000000001</v>
      </c>
    </row>
    <row r="957" spans="1:19" ht="18.75" customHeight="1" x14ac:dyDescent="0.25">
      <c r="A957" s="14">
        <f t="shared" si="157"/>
        <v>954</v>
      </c>
      <c r="B957" s="31" t="s">
        <v>911</v>
      </c>
      <c r="C957" s="15" t="s">
        <v>3</v>
      </c>
      <c r="D957" s="31" t="s">
        <v>500</v>
      </c>
      <c r="E957" s="31"/>
      <c r="F957" s="73" t="s">
        <v>11</v>
      </c>
      <c r="G957" s="32">
        <v>23377</v>
      </c>
      <c r="H957" s="29">
        <v>350.05000000000018</v>
      </c>
      <c r="I957" s="17">
        <v>0</v>
      </c>
      <c r="J957" s="17">
        <v>0</v>
      </c>
      <c r="K957" s="17">
        <f t="shared" si="151"/>
        <v>350.05000000000018</v>
      </c>
      <c r="L957" s="23">
        <f t="shared" si="159"/>
        <v>17.502500000000008</v>
      </c>
      <c r="M957" s="33">
        <v>25</v>
      </c>
      <c r="N957" s="18">
        <f t="shared" si="154"/>
        <v>57.290410958904111</v>
      </c>
      <c r="O957" s="23">
        <v>8450.25</v>
      </c>
      <c r="P957" s="18">
        <f t="shared" si="155"/>
        <v>57.791780821917811</v>
      </c>
      <c r="Q957" s="18">
        <v>0</v>
      </c>
      <c r="R957" s="18">
        <f t="shared" si="152"/>
        <v>8450.25</v>
      </c>
      <c r="S957" s="18">
        <f t="shared" si="160"/>
        <v>17.502500000000008</v>
      </c>
    </row>
    <row r="958" spans="1:19" ht="18.75" customHeight="1" x14ac:dyDescent="0.25">
      <c r="A958" s="14">
        <f t="shared" si="157"/>
        <v>955</v>
      </c>
      <c r="B958" s="31" t="s">
        <v>912</v>
      </c>
      <c r="C958" s="15" t="s">
        <v>3</v>
      </c>
      <c r="D958" s="31" t="s">
        <v>500</v>
      </c>
      <c r="E958" s="31"/>
      <c r="F958" s="73" t="s">
        <v>11</v>
      </c>
      <c r="G958" s="32">
        <v>23377</v>
      </c>
      <c r="H958" s="29">
        <v>259.94999999999982</v>
      </c>
      <c r="I958" s="17">
        <v>0</v>
      </c>
      <c r="J958" s="17">
        <v>0</v>
      </c>
      <c r="K958" s="17">
        <f t="shared" si="151"/>
        <v>259.94999999999982</v>
      </c>
      <c r="L958" s="23">
        <f t="shared" si="159"/>
        <v>12.997499999999992</v>
      </c>
      <c r="M958" s="33">
        <v>25</v>
      </c>
      <c r="N958" s="18">
        <f t="shared" si="154"/>
        <v>57.290410958904111</v>
      </c>
      <c r="O958" s="23">
        <v>4908.6499999999996</v>
      </c>
      <c r="P958" s="18">
        <f t="shared" si="155"/>
        <v>57.791780821917811</v>
      </c>
      <c r="Q958" s="18">
        <v>0</v>
      </c>
      <c r="R958" s="18">
        <f t="shared" si="152"/>
        <v>4908.6499999999996</v>
      </c>
      <c r="S958" s="18">
        <f t="shared" si="160"/>
        <v>12.997499999999992</v>
      </c>
    </row>
    <row r="959" spans="1:19" ht="18.75" customHeight="1" x14ac:dyDescent="0.25">
      <c r="A959" s="14">
        <f t="shared" si="157"/>
        <v>956</v>
      </c>
      <c r="B959" s="31" t="s">
        <v>900</v>
      </c>
      <c r="C959" s="15" t="s">
        <v>3</v>
      </c>
      <c r="D959" s="31" t="s">
        <v>500</v>
      </c>
      <c r="E959" s="31"/>
      <c r="F959" s="73" t="s">
        <v>15</v>
      </c>
      <c r="G959" s="32">
        <v>23377</v>
      </c>
      <c r="H959" s="29">
        <v>209.69999999999982</v>
      </c>
      <c r="I959" s="17">
        <v>0</v>
      </c>
      <c r="J959" s="17">
        <v>0</v>
      </c>
      <c r="K959" s="17">
        <f t="shared" si="151"/>
        <v>209.69999999999982</v>
      </c>
      <c r="L959" s="23">
        <f t="shared" si="159"/>
        <v>10.484999999999992</v>
      </c>
      <c r="M959" s="33">
        <v>25</v>
      </c>
      <c r="N959" s="18">
        <f t="shared" si="154"/>
        <v>57.290410958904111</v>
      </c>
      <c r="O959" s="23">
        <v>2771.15</v>
      </c>
      <c r="P959" s="18">
        <f t="shared" si="155"/>
        <v>57.791780821917811</v>
      </c>
      <c r="Q959" s="18">
        <v>0</v>
      </c>
      <c r="R959" s="18">
        <f t="shared" si="152"/>
        <v>2771.15</v>
      </c>
      <c r="S959" s="18">
        <f t="shared" si="160"/>
        <v>10.484999999999992</v>
      </c>
    </row>
    <row r="960" spans="1:19" ht="18.75" customHeight="1" x14ac:dyDescent="0.25">
      <c r="A960" s="14">
        <f t="shared" si="157"/>
        <v>957</v>
      </c>
      <c r="B960" s="31" t="s">
        <v>913</v>
      </c>
      <c r="C960" s="15" t="s">
        <v>3</v>
      </c>
      <c r="D960" s="31" t="s">
        <v>500</v>
      </c>
      <c r="E960" s="31"/>
      <c r="F960" s="73" t="s">
        <v>8</v>
      </c>
      <c r="G960" s="32">
        <v>23377</v>
      </c>
      <c r="H960" s="29">
        <v>182.80000000000018</v>
      </c>
      <c r="I960" s="17">
        <v>0</v>
      </c>
      <c r="J960" s="17">
        <v>0</v>
      </c>
      <c r="K960" s="17">
        <f t="shared" si="151"/>
        <v>182.80000000000018</v>
      </c>
      <c r="L960" s="23">
        <f t="shared" si="159"/>
        <v>9.1400000000000095</v>
      </c>
      <c r="M960" s="33">
        <v>25</v>
      </c>
      <c r="N960" s="18">
        <f t="shared" si="154"/>
        <v>57.290410958904111</v>
      </c>
      <c r="O960" s="23">
        <v>80905.8</v>
      </c>
      <c r="P960" s="18">
        <f t="shared" si="155"/>
        <v>57.791780821917811</v>
      </c>
      <c r="Q960" s="18">
        <v>0</v>
      </c>
      <c r="R960" s="18">
        <f t="shared" si="152"/>
        <v>80905.8</v>
      </c>
      <c r="S960" s="18">
        <f t="shared" si="160"/>
        <v>9.1400000000000095</v>
      </c>
    </row>
    <row r="961" spans="1:19" ht="18.75" customHeight="1" x14ac:dyDescent="0.25">
      <c r="A961" s="14">
        <f t="shared" si="157"/>
        <v>958</v>
      </c>
      <c r="B961" s="31" t="s">
        <v>914</v>
      </c>
      <c r="C961" s="15" t="s">
        <v>3</v>
      </c>
      <c r="D961" s="31" t="s">
        <v>500</v>
      </c>
      <c r="E961" s="31"/>
      <c r="F961" s="73" t="s">
        <v>8</v>
      </c>
      <c r="G961" s="32">
        <v>23377</v>
      </c>
      <c r="H961" s="29">
        <v>82.150000000000091</v>
      </c>
      <c r="I961" s="17">
        <v>0</v>
      </c>
      <c r="J961" s="17">
        <v>0</v>
      </c>
      <c r="K961" s="17">
        <f t="shared" si="151"/>
        <v>82.150000000000091</v>
      </c>
      <c r="L961" s="23">
        <f t="shared" si="159"/>
        <v>4.1075000000000044</v>
      </c>
      <c r="M961" s="33">
        <v>25</v>
      </c>
      <c r="N961" s="18">
        <f t="shared" si="154"/>
        <v>57.290410958904111</v>
      </c>
      <c r="O961" s="23">
        <v>28959.8</v>
      </c>
      <c r="P961" s="18">
        <f t="shared" si="155"/>
        <v>57.791780821917811</v>
      </c>
      <c r="Q961" s="18">
        <v>0</v>
      </c>
      <c r="R961" s="18">
        <f t="shared" si="152"/>
        <v>28959.8</v>
      </c>
      <c r="S961" s="18">
        <f t="shared" si="160"/>
        <v>4.1075000000000044</v>
      </c>
    </row>
    <row r="962" spans="1:19" ht="18.75" customHeight="1" x14ac:dyDescent="0.25">
      <c r="A962" s="14">
        <f t="shared" si="157"/>
        <v>959</v>
      </c>
      <c r="B962" s="31" t="s">
        <v>896</v>
      </c>
      <c r="C962" s="15" t="s">
        <v>3</v>
      </c>
      <c r="D962" s="31" t="s">
        <v>500</v>
      </c>
      <c r="E962" s="31"/>
      <c r="F962" s="73" t="s">
        <v>4</v>
      </c>
      <c r="G962" s="32">
        <v>23377</v>
      </c>
      <c r="H962" s="29">
        <v>29.149999999999977</v>
      </c>
      <c r="I962" s="17">
        <v>0</v>
      </c>
      <c r="J962" s="17">
        <v>0</v>
      </c>
      <c r="K962" s="17">
        <f t="shared" si="151"/>
        <v>29.149999999999977</v>
      </c>
      <c r="L962" s="23">
        <f t="shared" si="159"/>
        <v>1.4574999999999989</v>
      </c>
      <c r="M962" s="33">
        <v>25</v>
      </c>
      <c r="N962" s="18">
        <f t="shared" si="154"/>
        <v>57.290410958904111</v>
      </c>
      <c r="O962" s="23">
        <v>46815.05</v>
      </c>
      <c r="P962" s="18">
        <f t="shared" si="155"/>
        <v>57.791780821917811</v>
      </c>
      <c r="Q962" s="18">
        <v>0</v>
      </c>
      <c r="R962" s="18">
        <f t="shared" si="152"/>
        <v>46815.05</v>
      </c>
      <c r="S962" s="18">
        <f t="shared" si="160"/>
        <v>1.4574999999999989</v>
      </c>
    </row>
    <row r="963" spans="1:19" ht="18.75" customHeight="1" x14ac:dyDescent="0.25">
      <c r="A963" s="14">
        <f t="shared" si="157"/>
        <v>960</v>
      </c>
      <c r="B963" s="31" t="s">
        <v>823</v>
      </c>
      <c r="C963" s="15" t="s">
        <v>3</v>
      </c>
      <c r="D963" s="31" t="s">
        <v>500</v>
      </c>
      <c r="E963" s="31"/>
      <c r="F963" s="73" t="s">
        <v>11</v>
      </c>
      <c r="G963" s="32">
        <v>23377</v>
      </c>
      <c r="H963" s="29">
        <v>1.1999999999999993</v>
      </c>
      <c r="I963" s="17">
        <v>0</v>
      </c>
      <c r="J963" s="17">
        <v>0</v>
      </c>
      <c r="K963" s="17">
        <f t="shared" si="151"/>
        <v>1.1999999999999993</v>
      </c>
      <c r="L963" s="23">
        <f t="shared" si="159"/>
        <v>5.999999999999997E-2</v>
      </c>
      <c r="M963" s="33">
        <v>25</v>
      </c>
      <c r="N963" s="18">
        <f t="shared" si="154"/>
        <v>57.290410958904111</v>
      </c>
      <c r="O963" s="23">
        <v>125144.45</v>
      </c>
      <c r="P963" s="18">
        <f t="shared" si="155"/>
        <v>57.791780821917811</v>
      </c>
      <c r="Q963" s="18">
        <v>0</v>
      </c>
      <c r="R963" s="18">
        <f t="shared" si="152"/>
        <v>125144.45</v>
      </c>
      <c r="S963" s="18">
        <f t="shared" si="160"/>
        <v>5.999999999999997E-2</v>
      </c>
    </row>
    <row r="964" spans="1:19" ht="18.75" customHeight="1" x14ac:dyDescent="0.25">
      <c r="A964" s="14">
        <f t="shared" si="157"/>
        <v>961</v>
      </c>
      <c r="B964" s="31" t="s">
        <v>915</v>
      </c>
      <c r="C964" s="15" t="s">
        <v>3</v>
      </c>
      <c r="D964" s="31" t="s">
        <v>500</v>
      </c>
      <c r="E964" s="31"/>
      <c r="F964" s="73" t="s">
        <v>11</v>
      </c>
      <c r="G964" s="32">
        <v>28856</v>
      </c>
      <c r="H964" s="29">
        <v>638.54999999999927</v>
      </c>
      <c r="I964" s="17">
        <v>0</v>
      </c>
      <c r="J964" s="17">
        <v>0</v>
      </c>
      <c r="K964" s="17">
        <f t="shared" ref="K964:K1027" si="162">H964+I964-J964</f>
        <v>638.54999999999927</v>
      </c>
      <c r="L964" s="23">
        <f t="shared" si="159"/>
        <v>31.927499999999966</v>
      </c>
      <c r="M964" s="33">
        <v>10</v>
      </c>
      <c r="N964" s="18">
        <f t="shared" si="154"/>
        <v>42.279452054794518</v>
      </c>
      <c r="O964" s="23">
        <v>1581252.2</v>
      </c>
      <c r="P964" s="18">
        <f t="shared" si="155"/>
        <v>42.780821917808218</v>
      </c>
      <c r="Q964" s="18">
        <v>0</v>
      </c>
      <c r="R964" s="18">
        <f t="shared" ref="R964:R1027" si="163">Q964+O964</f>
        <v>1581252.2</v>
      </c>
      <c r="S964" s="18">
        <f t="shared" si="160"/>
        <v>31.927499999999966</v>
      </c>
    </row>
    <row r="965" spans="1:19" ht="18.75" customHeight="1" x14ac:dyDescent="0.25">
      <c r="A965" s="14">
        <f t="shared" si="157"/>
        <v>962</v>
      </c>
      <c r="B965" s="31" t="s">
        <v>916</v>
      </c>
      <c r="C965" s="15" t="s">
        <v>3</v>
      </c>
      <c r="D965" s="31" t="s">
        <v>500</v>
      </c>
      <c r="E965" s="31"/>
      <c r="F965" s="73" t="s">
        <v>11</v>
      </c>
      <c r="G965" s="32">
        <v>23743</v>
      </c>
      <c r="H965" s="29">
        <v>7297.6499999999942</v>
      </c>
      <c r="I965" s="17">
        <v>0</v>
      </c>
      <c r="J965" s="17">
        <v>0</v>
      </c>
      <c r="K965" s="17">
        <f t="shared" si="162"/>
        <v>7297.6499999999942</v>
      </c>
      <c r="L965" s="23">
        <f t="shared" si="159"/>
        <v>364.88249999999971</v>
      </c>
      <c r="M965" s="33">
        <v>25</v>
      </c>
      <c r="N965" s="18">
        <f t="shared" ref="N965:N1028" si="164">IF(($N$2-G965+1)/365&gt;0,($N$2-G965+1)/365,0)</f>
        <v>56.287671232876711</v>
      </c>
      <c r="O965" s="23">
        <v>937206.35</v>
      </c>
      <c r="P965" s="18">
        <f t="shared" ref="P965:P1028" si="165">($P$2-G965+1)/365</f>
        <v>56.789041095890411</v>
      </c>
      <c r="Q965" s="18">
        <v>0</v>
      </c>
      <c r="R965" s="18">
        <f t="shared" si="163"/>
        <v>937206.35</v>
      </c>
      <c r="S965" s="18">
        <f t="shared" si="160"/>
        <v>364.88249999999971</v>
      </c>
    </row>
    <row r="966" spans="1:19" ht="18.75" customHeight="1" x14ac:dyDescent="0.25">
      <c r="A966" s="14">
        <f t="shared" ref="A966:A1029" si="166">+A965+1</f>
        <v>963</v>
      </c>
      <c r="B966" s="31" t="s">
        <v>917</v>
      </c>
      <c r="C966" s="15" t="s">
        <v>3</v>
      </c>
      <c r="D966" s="31" t="s">
        <v>500</v>
      </c>
      <c r="E966" s="31"/>
      <c r="F966" s="73" t="s">
        <v>11</v>
      </c>
      <c r="G966" s="32">
        <v>23743</v>
      </c>
      <c r="H966" s="29">
        <v>6650.3000000000029</v>
      </c>
      <c r="I966" s="17">
        <v>0</v>
      </c>
      <c r="J966" s="17">
        <v>0</v>
      </c>
      <c r="K966" s="17">
        <f t="shared" si="162"/>
        <v>6650.3000000000029</v>
      </c>
      <c r="L966" s="23">
        <f t="shared" si="159"/>
        <v>332.51500000000016</v>
      </c>
      <c r="M966" s="33">
        <v>25</v>
      </c>
      <c r="N966" s="18">
        <f t="shared" si="164"/>
        <v>56.287671232876711</v>
      </c>
      <c r="O966" s="23">
        <v>771090.3</v>
      </c>
      <c r="P966" s="18">
        <f t="shared" si="165"/>
        <v>56.789041095890411</v>
      </c>
      <c r="Q966" s="18">
        <v>0</v>
      </c>
      <c r="R966" s="18">
        <f t="shared" si="163"/>
        <v>771090.3</v>
      </c>
      <c r="S966" s="18">
        <f t="shared" si="160"/>
        <v>332.51500000000016</v>
      </c>
    </row>
    <row r="967" spans="1:19" ht="18.75" customHeight="1" x14ac:dyDescent="0.25">
      <c r="A967" s="14">
        <f t="shared" si="166"/>
        <v>964</v>
      </c>
      <c r="B967" s="31" t="s">
        <v>918</v>
      </c>
      <c r="C967" s="15" t="s">
        <v>3</v>
      </c>
      <c r="D967" s="31" t="s">
        <v>500</v>
      </c>
      <c r="E967" s="31"/>
      <c r="F967" s="73" t="s">
        <v>11</v>
      </c>
      <c r="G967" s="32">
        <v>23743</v>
      </c>
      <c r="H967" s="29">
        <v>2056.75</v>
      </c>
      <c r="I967" s="17">
        <v>0</v>
      </c>
      <c r="J967" s="17">
        <v>0</v>
      </c>
      <c r="K967" s="17">
        <f t="shared" si="162"/>
        <v>2056.75</v>
      </c>
      <c r="L967" s="23">
        <f t="shared" si="159"/>
        <v>102.83750000000001</v>
      </c>
      <c r="M967" s="33">
        <v>25</v>
      </c>
      <c r="N967" s="18">
        <f t="shared" si="164"/>
        <v>56.287671232876711</v>
      </c>
      <c r="O967" s="23">
        <v>404383.65</v>
      </c>
      <c r="P967" s="18">
        <f t="shared" si="165"/>
        <v>56.789041095890411</v>
      </c>
      <c r="Q967" s="18">
        <v>0</v>
      </c>
      <c r="R967" s="18">
        <f t="shared" si="163"/>
        <v>404383.65</v>
      </c>
      <c r="S967" s="18">
        <f t="shared" si="160"/>
        <v>102.83750000000001</v>
      </c>
    </row>
    <row r="968" spans="1:19" ht="18.75" customHeight="1" x14ac:dyDescent="0.25">
      <c r="A968" s="14">
        <f t="shared" si="166"/>
        <v>965</v>
      </c>
      <c r="B968" s="31" t="s">
        <v>919</v>
      </c>
      <c r="C968" s="15" t="s">
        <v>3</v>
      </c>
      <c r="D968" s="31" t="s">
        <v>500</v>
      </c>
      <c r="E968" s="31"/>
      <c r="F968" s="73" t="s">
        <v>11</v>
      </c>
      <c r="G968" s="32">
        <v>23743</v>
      </c>
      <c r="H968" s="29">
        <v>518.95000000000073</v>
      </c>
      <c r="I968" s="17">
        <v>0</v>
      </c>
      <c r="J968" s="17">
        <v>0</v>
      </c>
      <c r="K968" s="17">
        <f t="shared" si="162"/>
        <v>518.95000000000073</v>
      </c>
      <c r="L968" s="23">
        <f t="shared" si="159"/>
        <v>25.947500000000037</v>
      </c>
      <c r="M968" s="33">
        <v>25</v>
      </c>
      <c r="N968" s="18">
        <f t="shared" si="164"/>
        <v>56.287671232876711</v>
      </c>
      <c r="O968" s="23">
        <v>169177.9</v>
      </c>
      <c r="P968" s="18">
        <f t="shared" si="165"/>
        <v>56.789041095890411</v>
      </c>
      <c r="Q968" s="18">
        <v>0</v>
      </c>
      <c r="R968" s="18">
        <f t="shared" si="163"/>
        <v>169177.9</v>
      </c>
      <c r="S968" s="18">
        <f t="shared" si="160"/>
        <v>25.947500000000037</v>
      </c>
    </row>
    <row r="969" spans="1:19" ht="18.75" customHeight="1" x14ac:dyDescent="0.25">
      <c r="A969" s="14">
        <f t="shared" si="166"/>
        <v>966</v>
      </c>
      <c r="B969" s="31" t="s">
        <v>920</v>
      </c>
      <c r="C969" s="15" t="s">
        <v>3</v>
      </c>
      <c r="D969" s="31" t="s">
        <v>500</v>
      </c>
      <c r="E969" s="31"/>
      <c r="F969" s="73" t="s">
        <v>11</v>
      </c>
      <c r="G969" s="32">
        <v>23743</v>
      </c>
      <c r="H969" s="29">
        <v>346.39999999999964</v>
      </c>
      <c r="I969" s="17">
        <v>0</v>
      </c>
      <c r="J969" s="17">
        <v>0</v>
      </c>
      <c r="K969" s="17">
        <f t="shared" si="162"/>
        <v>346.39999999999964</v>
      </c>
      <c r="L969" s="23">
        <f t="shared" si="159"/>
        <v>17.319999999999983</v>
      </c>
      <c r="M969" s="33">
        <v>25</v>
      </c>
      <c r="N969" s="18">
        <f t="shared" si="164"/>
        <v>56.287671232876711</v>
      </c>
      <c r="O969" s="23">
        <v>164992.20000000001</v>
      </c>
      <c r="P969" s="18">
        <f t="shared" si="165"/>
        <v>56.789041095890411</v>
      </c>
      <c r="Q969" s="18">
        <v>0</v>
      </c>
      <c r="R969" s="18">
        <f t="shared" si="163"/>
        <v>164992.20000000001</v>
      </c>
      <c r="S969" s="18">
        <f t="shared" si="160"/>
        <v>17.319999999999983</v>
      </c>
    </row>
    <row r="970" spans="1:19" ht="18.75" customHeight="1" x14ac:dyDescent="0.25">
      <c r="A970" s="14">
        <f t="shared" si="166"/>
        <v>967</v>
      </c>
      <c r="B970" s="31" t="s">
        <v>921</v>
      </c>
      <c r="C970" s="15" t="s">
        <v>3</v>
      </c>
      <c r="D970" s="31" t="s">
        <v>500</v>
      </c>
      <c r="E970" s="31"/>
      <c r="F970" s="73" t="s">
        <v>11</v>
      </c>
      <c r="G970" s="32">
        <v>23743</v>
      </c>
      <c r="H970" s="29">
        <v>336.94999999999982</v>
      </c>
      <c r="I970" s="17">
        <v>0</v>
      </c>
      <c r="J970" s="17">
        <v>0</v>
      </c>
      <c r="K970" s="17">
        <f t="shared" si="162"/>
        <v>336.94999999999982</v>
      </c>
      <c r="L970" s="23">
        <f t="shared" si="159"/>
        <v>16.847499999999993</v>
      </c>
      <c r="M970" s="33">
        <v>25</v>
      </c>
      <c r="N970" s="18">
        <f t="shared" si="164"/>
        <v>56.287671232876711</v>
      </c>
      <c r="O970" s="23">
        <v>161418.29999999999</v>
      </c>
      <c r="P970" s="18">
        <f t="shared" si="165"/>
        <v>56.789041095890411</v>
      </c>
      <c r="Q970" s="18">
        <v>0</v>
      </c>
      <c r="R970" s="18">
        <f t="shared" si="163"/>
        <v>161418.29999999999</v>
      </c>
      <c r="S970" s="18">
        <f t="shared" si="160"/>
        <v>16.847499999999993</v>
      </c>
    </row>
    <row r="971" spans="1:19" ht="18.75" customHeight="1" x14ac:dyDescent="0.25">
      <c r="A971" s="14">
        <f t="shared" si="166"/>
        <v>968</v>
      </c>
      <c r="B971" s="31" t="s">
        <v>922</v>
      </c>
      <c r="C971" s="15" t="s">
        <v>3</v>
      </c>
      <c r="D971" s="31" t="s">
        <v>500</v>
      </c>
      <c r="E971" s="31"/>
      <c r="F971" s="73" t="s">
        <v>11</v>
      </c>
      <c r="G971" s="32">
        <v>23743</v>
      </c>
      <c r="H971" s="29">
        <v>319.94999999999982</v>
      </c>
      <c r="I971" s="17">
        <v>0</v>
      </c>
      <c r="J971" s="17">
        <v>0</v>
      </c>
      <c r="K971" s="17">
        <f t="shared" si="162"/>
        <v>319.94999999999982</v>
      </c>
      <c r="L971" s="23">
        <f t="shared" si="159"/>
        <v>15.997499999999992</v>
      </c>
      <c r="M971" s="33">
        <v>25</v>
      </c>
      <c r="N971" s="18">
        <f t="shared" si="164"/>
        <v>56.287671232876711</v>
      </c>
      <c r="O971" s="23">
        <v>96261.6</v>
      </c>
      <c r="P971" s="18">
        <f t="shared" si="165"/>
        <v>56.789041095890411</v>
      </c>
      <c r="Q971" s="18">
        <v>0</v>
      </c>
      <c r="R971" s="18">
        <f t="shared" si="163"/>
        <v>96261.6</v>
      </c>
      <c r="S971" s="18">
        <f t="shared" si="160"/>
        <v>15.997499999999992</v>
      </c>
    </row>
    <row r="972" spans="1:19" ht="18.75" customHeight="1" x14ac:dyDescent="0.25">
      <c r="A972" s="14">
        <f t="shared" si="166"/>
        <v>969</v>
      </c>
      <c r="B972" s="31" t="s">
        <v>911</v>
      </c>
      <c r="C972" s="15" t="s">
        <v>3</v>
      </c>
      <c r="D972" s="31" t="s">
        <v>500</v>
      </c>
      <c r="E972" s="31"/>
      <c r="F972" s="73" t="s">
        <v>11</v>
      </c>
      <c r="G972" s="32">
        <v>23743</v>
      </c>
      <c r="H972" s="29">
        <v>142.75</v>
      </c>
      <c r="I972" s="17">
        <v>0</v>
      </c>
      <c r="J972" s="17">
        <v>0</v>
      </c>
      <c r="K972" s="17">
        <f t="shared" si="162"/>
        <v>142.75</v>
      </c>
      <c r="L972" s="23">
        <f t="shared" si="159"/>
        <v>7.1375000000000002</v>
      </c>
      <c r="M972" s="33">
        <v>25</v>
      </c>
      <c r="N972" s="18">
        <f t="shared" si="164"/>
        <v>56.287671232876711</v>
      </c>
      <c r="O972" s="23">
        <v>94466.1</v>
      </c>
      <c r="P972" s="18">
        <f t="shared" si="165"/>
        <v>56.789041095890411</v>
      </c>
      <c r="Q972" s="18">
        <v>0</v>
      </c>
      <c r="R972" s="18">
        <f t="shared" si="163"/>
        <v>94466.1</v>
      </c>
      <c r="S972" s="18">
        <f t="shared" si="160"/>
        <v>7.1375000000000002</v>
      </c>
    </row>
    <row r="973" spans="1:19" ht="18.75" customHeight="1" x14ac:dyDescent="0.25">
      <c r="A973" s="14">
        <f t="shared" si="166"/>
        <v>970</v>
      </c>
      <c r="B973" s="31" t="s">
        <v>923</v>
      </c>
      <c r="C973" s="15" t="s">
        <v>3</v>
      </c>
      <c r="D973" s="31" t="s">
        <v>500</v>
      </c>
      <c r="E973" s="31"/>
      <c r="F973" s="73" t="s">
        <v>11</v>
      </c>
      <c r="G973" s="32">
        <v>23743</v>
      </c>
      <c r="H973" s="29">
        <v>85.599999999999909</v>
      </c>
      <c r="I973" s="17">
        <v>0</v>
      </c>
      <c r="J973" s="17">
        <v>0</v>
      </c>
      <c r="K973" s="17">
        <f t="shared" si="162"/>
        <v>85.599999999999909</v>
      </c>
      <c r="L973" s="23">
        <f t="shared" si="159"/>
        <v>4.2799999999999958</v>
      </c>
      <c r="M973" s="33">
        <v>25</v>
      </c>
      <c r="N973" s="18">
        <f t="shared" si="164"/>
        <v>56.287671232876711</v>
      </c>
      <c r="O973" s="23">
        <v>87723</v>
      </c>
      <c r="P973" s="18">
        <f t="shared" si="165"/>
        <v>56.789041095890411</v>
      </c>
      <c r="Q973" s="18">
        <v>0</v>
      </c>
      <c r="R973" s="18">
        <f t="shared" si="163"/>
        <v>87723</v>
      </c>
      <c r="S973" s="18">
        <f t="shared" si="160"/>
        <v>4.2799999999999958</v>
      </c>
    </row>
    <row r="974" spans="1:19" ht="18.75" customHeight="1" x14ac:dyDescent="0.25">
      <c r="A974" s="14">
        <f t="shared" si="166"/>
        <v>971</v>
      </c>
      <c r="B974" s="31" t="s">
        <v>924</v>
      </c>
      <c r="C974" s="15" t="s">
        <v>3</v>
      </c>
      <c r="D974" s="31" t="s">
        <v>500</v>
      </c>
      <c r="E974" s="31"/>
      <c r="F974" s="73" t="s">
        <v>15</v>
      </c>
      <c r="G974" s="32">
        <v>23743</v>
      </c>
      <c r="H974" s="29">
        <v>61.599999999999909</v>
      </c>
      <c r="I974" s="17">
        <v>0</v>
      </c>
      <c r="J974" s="17">
        <v>0</v>
      </c>
      <c r="K974" s="17">
        <f t="shared" si="162"/>
        <v>61.599999999999909</v>
      </c>
      <c r="L974" s="23">
        <f t="shared" si="159"/>
        <v>3.0799999999999956</v>
      </c>
      <c r="M974" s="33">
        <v>25</v>
      </c>
      <c r="N974" s="18">
        <f t="shared" si="164"/>
        <v>56.287671232876711</v>
      </c>
      <c r="O974" s="23">
        <v>84040.8</v>
      </c>
      <c r="P974" s="18">
        <f t="shared" si="165"/>
        <v>56.789041095890411</v>
      </c>
      <c r="Q974" s="18">
        <v>0</v>
      </c>
      <c r="R974" s="18">
        <f t="shared" si="163"/>
        <v>84040.8</v>
      </c>
      <c r="S974" s="18">
        <f t="shared" si="160"/>
        <v>3.0799999999999956</v>
      </c>
    </row>
    <row r="975" spans="1:19" ht="18.75" customHeight="1" x14ac:dyDescent="0.25">
      <c r="A975" s="14">
        <f t="shared" si="166"/>
        <v>972</v>
      </c>
      <c r="B975" s="31" t="s">
        <v>925</v>
      </c>
      <c r="C975" s="15" t="s">
        <v>3</v>
      </c>
      <c r="D975" s="31" t="s">
        <v>500</v>
      </c>
      <c r="E975" s="31"/>
      <c r="F975" s="73" t="s">
        <v>11</v>
      </c>
      <c r="G975" s="32">
        <v>23743</v>
      </c>
      <c r="H975" s="29">
        <v>11.150000000000006</v>
      </c>
      <c r="I975" s="17">
        <v>0</v>
      </c>
      <c r="J975" s="17">
        <v>0</v>
      </c>
      <c r="K975" s="17">
        <f t="shared" si="162"/>
        <v>11.150000000000006</v>
      </c>
      <c r="L975" s="23">
        <f t="shared" si="159"/>
        <v>0.55750000000000033</v>
      </c>
      <c r="M975" s="33">
        <v>25</v>
      </c>
      <c r="N975" s="18">
        <f t="shared" si="164"/>
        <v>56.287671232876711</v>
      </c>
      <c r="O975" s="23">
        <v>71258.55</v>
      </c>
      <c r="P975" s="18">
        <f t="shared" si="165"/>
        <v>56.789041095890411</v>
      </c>
      <c r="Q975" s="18">
        <v>0</v>
      </c>
      <c r="R975" s="18">
        <f t="shared" si="163"/>
        <v>71258.55</v>
      </c>
      <c r="S975" s="18">
        <f t="shared" si="160"/>
        <v>0.55750000000000033</v>
      </c>
    </row>
    <row r="976" spans="1:19" ht="18.75" customHeight="1" x14ac:dyDescent="0.25">
      <c r="A976" s="14">
        <f t="shared" si="166"/>
        <v>973</v>
      </c>
      <c r="B976" s="31" t="s">
        <v>926</v>
      </c>
      <c r="C976" s="15" t="s">
        <v>3</v>
      </c>
      <c r="D976" s="31" t="s">
        <v>500</v>
      </c>
      <c r="E976" s="31"/>
      <c r="F976" s="73" t="s">
        <v>11</v>
      </c>
      <c r="G976" s="32">
        <v>24108</v>
      </c>
      <c r="H976" s="29">
        <v>2233.0999999999985</v>
      </c>
      <c r="I976" s="17">
        <v>0</v>
      </c>
      <c r="J976" s="17">
        <v>0</v>
      </c>
      <c r="K976" s="17">
        <f t="shared" si="162"/>
        <v>2233.0999999999985</v>
      </c>
      <c r="L976" s="23">
        <f t="shared" si="159"/>
        <v>111.65499999999993</v>
      </c>
      <c r="M976" s="33">
        <v>25</v>
      </c>
      <c r="N976" s="18">
        <f t="shared" si="164"/>
        <v>55.287671232876711</v>
      </c>
      <c r="O976" s="23">
        <v>55948.35</v>
      </c>
      <c r="P976" s="18">
        <f t="shared" si="165"/>
        <v>55.789041095890411</v>
      </c>
      <c r="Q976" s="18">
        <v>0</v>
      </c>
      <c r="R976" s="18">
        <f t="shared" si="163"/>
        <v>55948.35</v>
      </c>
      <c r="S976" s="18">
        <f t="shared" si="160"/>
        <v>111.65499999999993</v>
      </c>
    </row>
    <row r="977" spans="1:19" ht="18.75" customHeight="1" x14ac:dyDescent="0.25">
      <c r="A977" s="14">
        <f t="shared" si="166"/>
        <v>974</v>
      </c>
      <c r="B977" s="31" t="s">
        <v>927</v>
      </c>
      <c r="C977" s="15" t="s">
        <v>3</v>
      </c>
      <c r="D977" s="31" t="s">
        <v>500</v>
      </c>
      <c r="E977" s="31"/>
      <c r="F977" s="73" t="s">
        <v>11</v>
      </c>
      <c r="G977" s="32">
        <v>24108</v>
      </c>
      <c r="H977" s="29">
        <v>1836.4000000000015</v>
      </c>
      <c r="I977" s="17">
        <v>0</v>
      </c>
      <c r="J977" s="17">
        <v>0</v>
      </c>
      <c r="K977" s="17">
        <f t="shared" si="162"/>
        <v>1836.4000000000015</v>
      </c>
      <c r="L977" s="23">
        <f t="shared" si="159"/>
        <v>91.820000000000078</v>
      </c>
      <c r="M977" s="33">
        <v>25</v>
      </c>
      <c r="N977" s="18">
        <f t="shared" si="164"/>
        <v>55.287671232876711</v>
      </c>
      <c r="O977" s="23">
        <v>51395</v>
      </c>
      <c r="P977" s="18">
        <f t="shared" si="165"/>
        <v>55.789041095890411</v>
      </c>
      <c r="Q977" s="18">
        <v>0</v>
      </c>
      <c r="R977" s="18">
        <f t="shared" si="163"/>
        <v>51395</v>
      </c>
      <c r="S977" s="18">
        <f t="shared" si="160"/>
        <v>91.820000000000078</v>
      </c>
    </row>
    <row r="978" spans="1:19" ht="18.75" customHeight="1" x14ac:dyDescent="0.25">
      <c r="A978" s="14">
        <f t="shared" si="166"/>
        <v>975</v>
      </c>
      <c r="B978" s="31" t="s">
        <v>928</v>
      </c>
      <c r="C978" s="15" t="s">
        <v>3</v>
      </c>
      <c r="D978" s="31" t="s">
        <v>500</v>
      </c>
      <c r="E978" s="31"/>
      <c r="F978" s="73" t="s">
        <v>8</v>
      </c>
      <c r="G978" s="32">
        <v>24108</v>
      </c>
      <c r="H978" s="29">
        <v>1509.8499999999985</v>
      </c>
      <c r="I978" s="17">
        <v>0</v>
      </c>
      <c r="J978" s="17">
        <v>0</v>
      </c>
      <c r="K978" s="17">
        <f t="shared" si="162"/>
        <v>1509.8499999999985</v>
      </c>
      <c r="L978" s="23">
        <f t="shared" si="159"/>
        <v>75.492499999999936</v>
      </c>
      <c r="M978" s="33">
        <v>25</v>
      </c>
      <c r="N978" s="18">
        <f t="shared" si="164"/>
        <v>55.287671232876711</v>
      </c>
      <c r="O978" s="23">
        <v>49874.05</v>
      </c>
      <c r="P978" s="18">
        <f t="shared" si="165"/>
        <v>55.789041095890411</v>
      </c>
      <c r="Q978" s="18">
        <v>0</v>
      </c>
      <c r="R978" s="18">
        <f t="shared" si="163"/>
        <v>49874.05</v>
      </c>
      <c r="S978" s="18">
        <f t="shared" si="160"/>
        <v>75.492499999999936</v>
      </c>
    </row>
    <row r="979" spans="1:19" ht="18.75" customHeight="1" x14ac:dyDescent="0.25">
      <c r="A979" s="14">
        <f t="shared" si="166"/>
        <v>976</v>
      </c>
      <c r="B979" s="31" t="s">
        <v>929</v>
      </c>
      <c r="C979" s="15" t="s">
        <v>3</v>
      </c>
      <c r="D979" s="31" t="s">
        <v>500</v>
      </c>
      <c r="E979" s="31"/>
      <c r="F979" s="73" t="s">
        <v>11</v>
      </c>
      <c r="G979" s="32">
        <v>24108</v>
      </c>
      <c r="H979" s="29">
        <v>614.79999999999927</v>
      </c>
      <c r="I979" s="17">
        <v>0</v>
      </c>
      <c r="J979" s="17">
        <v>0</v>
      </c>
      <c r="K979" s="17">
        <f t="shared" si="162"/>
        <v>614.79999999999927</v>
      </c>
      <c r="L979" s="23">
        <f t="shared" si="159"/>
        <v>30.739999999999966</v>
      </c>
      <c r="M979" s="33">
        <v>25</v>
      </c>
      <c r="N979" s="18">
        <f t="shared" si="164"/>
        <v>55.287671232876711</v>
      </c>
      <c r="O979" s="23">
        <v>41298.400000000001</v>
      </c>
      <c r="P979" s="18">
        <f t="shared" si="165"/>
        <v>55.789041095890411</v>
      </c>
      <c r="Q979" s="18">
        <v>0</v>
      </c>
      <c r="R979" s="18">
        <f t="shared" si="163"/>
        <v>41298.400000000001</v>
      </c>
      <c r="S979" s="18">
        <f t="shared" si="160"/>
        <v>30.739999999999966</v>
      </c>
    </row>
    <row r="980" spans="1:19" ht="18.75" customHeight="1" x14ac:dyDescent="0.25">
      <c r="A980" s="14">
        <f t="shared" si="166"/>
        <v>977</v>
      </c>
      <c r="B980" s="31" t="s">
        <v>930</v>
      </c>
      <c r="C980" s="15" t="s">
        <v>3</v>
      </c>
      <c r="D980" s="31" t="s">
        <v>500</v>
      </c>
      <c r="E980" s="31"/>
      <c r="F980" s="73" t="s">
        <v>11</v>
      </c>
      <c r="G980" s="32">
        <v>24108</v>
      </c>
      <c r="H980" s="29">
        <v>569.45000000000073</v>
      </c>
      <c r="I980" s="17">
        <v>0</v>
      </c>
      <c r="J980" s="17">
        <v>0</v>
      </c>
      <c r="K980" s="17">
        <f t="shared" si="162"/>
        <v>569.45000000000073</v>
      </c>
      <c r="L980" s="23">
        <f t="shared" si="159"/>
        <v>28.472500000000039</v>
      </c>
      <c r="M980" s="33">
        <v>25</v>
      </c>
      <c r="N980" s="18">
        <f t="shared" si="164"/>
        <v>55.287671232876711</v>
      </c>
      <c r="O980" s="23">
        <v>40056.75</v>
      </c>
      <c r="P980" s="18">
        <f t="shared" si="165"/>
        <v>55.789041095890411</v>
      </c>
      <c r="Q980" s="18">
        <v>0</v>
      </c>
      <c r="R980" s="18">
        <f t="shared" si="163"/>
        <v>40056.75</v>
      </c>
      <c r="S980" s="18">
        <f t="shared" si="160"/>
        <v>28.472500000000039</v>
      </c>
    </row>
    <row r="981" spans="1:19" ht="18.75" customHeight="1" x14ac:dyDescent="0.25">
      <c r="A981" s="14">
        <f t="shared" si="166"/>
        <v>978</v>
      </c>
      <c r="B981" s="31" t="s">
        <v>931</v>
      </c>
      <c r="C981" s="15" t="s">
        <v>3</v>
      </c>
      <c r="D981" s="31" t="s">
        <v>500</v>
      </c>
      <c r="E981" s="31"/>
      <c r="F981" s="73" t="s">
        <v>11</v>
      </c>
      <c r="G981" s="32">
        <v>24108</v>
      </c>
      <c r="H981" s="29">
        <v>159.15000000000009</v>
      </c>
      <c r="I981" s="17">
        <v>0</v>
      </c>
      <c r="J981" s="17">
        <v>0</v>
      </c>
      <c r="K981" s="17">
        <f t="shared" si="162"/>
        <v>159.15000000000009</v>
      </c>
      <c r="L981" s="23">
        <f t="shared" si="159"/>
        <v>7.9575000000000049</v>
      </c>
      <c r="M981" s="33">
        <v>25</v>
      </c>
      <c r="N981" s="18">
        <f t="shared" si="164"/>
        <v>55.287671232876711</v>
      </c>
      <c r="O981" s="23">
        <v>34759.550000000003</v>
      </c>
      <c r="P981" s="18">
        <f t="shared" si="165"/>
        <v>55.789041095890411</v>
      </c>
      <c r="Q981" s="18">
        <v>0</v>
      </c>
      <c r="R981" s="18">
        <f t="shared" si="163"/>
        <v>34759.550000000003</v>
      </c>
      <c r="S981" s="18">
        <f t="shared" si="160"/>
        <v>7.9575000000000049</v>
      </c>
    </row>
    <row r="982" spans="1:19" ht="18.75" customHeight="1" x14ac:dyDescent="0.25">
      <c r="A982" s="14">
        <f t="shared" si="166"/>
        <v>979</v>
      </c>
      <c r="B982" s="31" t="s">
        <v>932</v>
      </c>
      <c r="C982" s="15" t="s">
        <v>3</v>
      </c>
      <c r="D982" s="31" t="s">
        <v>500</v>
      </c>
      <c r="E982" s="31"/>
      <c r="F982" s="73" t="s">
        <v>11</v>
      </c>
      <c r="G982" s="32">
        <v>24108</v>
      </c>
      <c r="H982" s="29">
        <v>54.150000000000091</v>
      </c>
      <c r="I982" s="17">
        <v>0</v>
      </c>
      <c r="J982" s="17">
        <v>0</v>
      </c>
      <c r="K982" s="17">
        <f t="shared" si="162"/>
        <v>54.150000000000091</v>
      </c>
      <c r="L982" s="23">
        <f t="shared" si="159"/>
        <v>2.7075000000000049</v>
      </c>
      <c r="M982" s="33">
        <v>25</v>
      </c>
      <c r="N982" s="18">
        <f t="shared" si="164"/>
        <v>55.287671232876711</v>
      </c>
      <c r="O982" s="23">
        <v>22554.9</v>
      </c>
      <c r="P982" s="18">
        <f t="shared" si="165"/>
        <v>55.789041095890411</v>
      </c>
      <c r="Q982" s="18">
        <v>0</v>
      </c>
      <c r="R982" s="18">
        <f t="shared" si="163"/>
        <v>22554.9</v>
      </c>
      <c r="S982" s="18">
        <f t="shared" si="160"/>
        <v>2.7075000000000049</v>
      </c>
    </row>
    <row r="983" spans="1:19" ht="18.75" customHeight="1" x14ac:dyDescent="0.25">
      <c r="A983" s="14">
        <f t="shared" si="166"/>
        <v>980</v>
      </c>
      <c r="B983" s="31" t="s">
        <v>933</v>
      </c>
      <c r="C983" s="15" t="s">
        <v>3</v>
      </c>
      <c r="D983" s="31" t="s">
        <v>500</v>
      </c>
      <c r="E983" s="31"/>
      <c r="F983" s="73" t="s">
        <v>11</v>
      </c>
      <c r="G983" s="32">
        <v>24108</v>
      </c>
      <c r="H983" s="29">
        <v>21.399999999999977</v>
      </c>
      <c r="I983" s="17">
        <v>0</v>
      </c>
      <c r="J983" s="17">
        <v>0</v>
      </c>
      <c r="K983" s="17">
        <f t="shared" si="162"/>
        <v>21.399999999999977</v>
      </c>
      <c r="L983" s="23">
        <f t="shared" ref="L983:L1046" si="167">H983*0.05</f>
        <v>1.069999999999999</v>
      </c>
      <c r="M983" s="33">
        <v>25</v>
      </c>
      <c r="N983" s="18">
        <f t="shared" si="164"/>
        <v>55.287671232876711</v>
      </c>
      <c r="O983" s="23">
        <v>20094.400000000001</v>
      </c>
      <c r="P983" s="18">
        <f t="shared" si="165"/>
        <v>55.789041095890411</v>
      </c>
      <c r="Q983" s="18">
        <v>0</v>
      </c>
      <c r="R983" s="18">
        <f t="shared" si="163"/>
        <v>20094.400000000001</v>
      </c>
      <c r="S983" s="18">
        <f t="shared" si="160"/>
        <v>1.069999999999999</v>
      </c>
    </row>
    <row r="984" spans="1:19" ht="18.75" customHeight="1" x14ac:dyDescent="0.25">
      <c r="A984" s="14">
        <f t="shared" si="166"/>
        <v>981</v>
      </c>
      <c r="B984" s="31" t="s">
        <v>934</v>
      </c>
      <c r="C984" s="15" t="s">
        <v>3</v>
      </c>
      <c r="D984" s="31" t="s">
        <v>500</v>
      </c>
      <c r="E984" s="31"/>
      <c r="F984" s="73" t="s">
        <v>11</v>
      </c>
      <c r="G984" s="32">
        <v>27760</v>
      </c>
      <c r="H984" s="29">
        <v>2792.3499999999985</v>
      </c>
      <c r="I984" s="17">
        <v>0</v>
      </c>
      <c r="J984" s="17">
        <v>0</v>
      </c>
      <c r="K984" s="17">
        <f t="shared" si="162"/>
        <v>2792.3499999999985</v>
      </c>
      <c r="L984" s="23">
        <f t="shared" si="167"/>
        <v>139.61749999999992</v>
      </c>
      <c r="M984" s="33">
        <v>15</v>
      </c>
      <c r="N984" s="18">
        <f t="shared" si="164"/>
        <v>45.282191780821918</v>
      </c>
      <c r="O984" s="23">
        <v>2480.4499999999998</v>
      </c>
      <c r="P984" s="18">
        <f t="shared" si="165"/>
        <v>45.783561643835618</v>
      </c>
      <c r="Q984" s="18">
        <v>0</v>
      </c>
      <c r="R984" s="18">
        <f t="shared" si="163"/>
        <v>2480.4499999999998</v>
      </c>
      <c r="S984" s="18">
        <f t="shared" ref="S984:S1026" si="168">K984-R984</f>
        <v>311.89999999999873</v>
      </c>
    </row>
    <row r="985" spans="1:19" ht="18.75" customHeight="1" x14ac:dyDescent="0.25">
      <c r="A985" s="14">
        <f t="shared" si="166"/>
        <v>982</v>
      </c>
      <c r="B985" s="31" t="s">
        <v>935</v>
      </c>
      <c r="C985" s="15" t="s">
        <v>3</v>
      </c>
      <c r="D985" s="31" t="s">
        <v>500</v>
      </c>
      <c r="E985" s="31"/>
      <c r="F985" s="73" t="s">
        <v>11</v>
      </c>
      <c r="G985" s="32">
        <v>27760</v>
      </c>
      <c r="H985" s="29">
        <v>844.60000000000036</v>
      </c>
      <c r="I985" s="17">
        <v>0</v>
      </c>
      <c r="J985" s="17">
        <v>0</v>
      </c>
      <c r="K985" s="17">
        <f t="shared" si="162"/>
        <v>844.60000000000036</v>
      </c>
      <c r="L985" s="23">
        <f t="shared" si="167"/>
        <v>42.230000000000018</v>
      </c>
      <c r="M985" s="33">
        <v>15</v>
      </c>
      <c r="N985" s="18">
        <f t="shared" si="164"/>
        <v>45.282191780821918</v>
      </c>
      <c r="O985" s="23">
        <v>77710</v>
      </c>
      <c r="P985" s="18">
        <f t="shared" si="165"/>
        <v>45.783561643835618</v>
      </c>
      <c r="Q985" s="18">
        <v>0</v>
      </c>
      <c r="R985" s="18">
        <f t="shared" si="163"/>
        <v>77710</v>
      </c>
      <c r="S985" s="18">
        <f t="shared" ref="S985:S1016" si="169">L985</f>
        <v>42.230000000000018</v>
      </c>
    </row>
    <row r="986" spans="1:19" ht="18.75" customHeight="1" x14ac:dyDescent="0.25">
      <c r="A986" s="14">
        <f t="shared" si="166"/>
        <v>983</v>
      </c>
      <c r="B986" s="31" t="s">
        <v>935</v>
      </c>
      <c r="C986" s="15" t="s">
        <v>3</v>
      </c>
      <c r="D986" s="31" t="s">
        <v>500</v>
      </c>
      <c r="E986" s="31"/>
      <c r="F986" s="73" t="s">
        <v>11</v>
      </c>
      <c r="G986" s="32">
        <v>27760</v>
      </c>
      <c r="H986" s="29">
        <v>761.35000000000036</v>
      </c>
      <c r="I986" s="17">
        <v>0</v>
      </c>
      <c r="J986" s="17">
        <v>0</v>
      </c>
      <c r="K986" s="17">
        <f t="shared" si="162"/>
        <v>761.35000000000036</v>
      </c>
      <c r="L986" s="23">
        <f t="shared" si="167"/>
        <v>38.067500000000017</v>
      </c>
      <c r="M986" s="33">
        <v>15</v>
      </c>
      <c r="N986" s="18">
        <f t="shared" si="164"/>
        <v>45.282191780821918</v>
      </c>
      <c r="O986" s="23">
        <v>4752242.05</v>
      </c>
      <c r="P986" s="18">
        <f t="shared" si="165"/>
        <v>45.783561643835618</v>
      </c>
      <c r="Q986" s="18">
        <v>0</v>
      </c>
      <c r="R986" s="18">
        <f t="shared" si="163"/>
        <v>4752242.05</v>
      </c>
      <c r="S986" s="18">
        <f t="shared" si="169"/>
        <v>38.067500000000017</v>
      </c>
    </row>
    <row r="987" spans="1:19" ht="18.75" customHeight="1" x14ac:dyDescent="0.25">
      <c r="A987" s="14">
        <f t="shared" si="166"/>
        <v>984</v>
      </c>
      <c r="B987" s="31" t="s">
        <v>936</v>
      </c>
      <c r="C987" s="15" t="s">
        <v>3</v>
      </c>
      <c r="D987" s="31" t="s">
        <v>500</v>
      </c>
      <c r="E987" s="31"/>
      <c r="F987" s="73" t="s">
        <v>11</v>
      </c>
      <c r="G987" s="32">
        <v>27760</v>
      </c>
      <c r="H987" s="29">
        <v>320.85000000000036</v>
      </c>
      <c r="I987" s="17">
        <v>0</v>
      </c>
      <c r="J987" s="17">
        <v>0</v>
      </c>
      <c r="K987" s="17">
        <f t="shared" si="162"/>
        <v>320.85000000000036</v>
      </c>
      <c r="L987" s="23">
        <f t="shared" si="167"/>
        <v>16.042500000000018</v>
      </c>
      <c r="M987" s="33">
        <v>15</v>
      </c>
      <c r="N987" s="18">
        <f t="shared" si="164"/>
        <v>45.282191780821918</v>
      </c>
      <c r="O987" s="23">
        <v>2930558.1</v>
      </c>
      <c r="P987" s="18">
        <f t="shared" si="165"/>
        <v>45.783561643835618</v>
      </c>
      <c r="Q987" s="18">
        <v>0</v>
      </c>
      <c r="R987" s="18">
        <f t="shared" si="163"/>
        <v>2930558.1</v>
      </c>
      <c r="S987" s="18">
        <f t="shared" si="169"/>
        <v>16.042500000000018</v>
      </c>
    </row>
    <row r="988" spans="1:19" ht="18.75" customHeight="1" x14ac:dyDescent="0.25">
      <c r="A988" s="14">
        <f t="shared" si="166"/>
        <v>985</v>
      </c>
      <c r="B988" s="31" t="s">
        <v>936</v>
      </c>
      <c r="C988" s="15" t="s">
        <v>3</v>
      </c>
      <c r="D988" s="31" t="s">
        <v>500</v>
      </c>
      <c r="E988" s="31"/>
      <c r="F988" s="73" t="s">
        <v>11</v>
      </c>
      <c r="G988" s="32">
        <v>27760</v>
      </c>
      <c r="H988" s="29">
        <v>271.75</v>
      </c>
      <c r="I988" s="17">
        <v>0</v>
      </c>
      <c r="J988" s="17">
        <v>0</v>
      </c>
      <c r="K988" s="17">
        <f t="shared" si="162"/>
        <v>271.75</v>
      </c>
      <c r="L988" s="23">
        <f t="shared" si="167"/>
        <v>13.5875</v>
      </c>
      <c r="M988" s="33">
        <v>15</v>
      </c>
      <c r="N988" s="18">
        <f t="shared" si="164"/>
        <v>45.282191780821918</v>
      </c>
      <c r="O988" s="23">
        <v>670870.05000000005</v>
      </c>
      <c r="P988" s="18">
        <f t="shared" si="165"/>
        <v>45.783561643835618</v>
      </c>
      <c r="Q988" s="18">
        <v>0</v>
      </c>
      <c r="R988" s="18">
        <f t="shared" si="163"/>
        <v>670870.05000000005</v>
      </c>
      <c r="S988" s="18">
        <f t="shared" si="169"/>
        <v>13.5875</v>
      </c>
    </row>
    <row r="989" spans="1:19" ht="18.75" customHeight="1" x14ac:dyDescent="0.25">
      <c r="A989" s="14">
        <f t="shared" si="166"/>
        <v>986</v>
      </c>
      <c r="B989" s="31" t="s">
        <v>937</v>
      </c>
      <c r="C989" s="15" t="s">
        <v>3</v>
      </c>
      <c r="D989" s="31" t="s">
        <v>500</v>
      </c>
      <c r="E989" s="31"/>
      <c r="F989" s="73" t="s">
        <v>11</v>
      </c>
      <c r="G989" s="32">
        <v>24473</v>
      </c>
      <c r="H989" s="29">
        <v>22814.849999999977</v>
      </c>
      <c r="I989" s="17">
        <v>0</v>
      </c>
      <c r="J989" s="17">
        <v>0</v>
      </c>
      <c r="K989" s="17">
        <f t="shared" si="162"/>
        <v>22814.849999999977</v>
      </c>
      <c r="L989" s="23">
        <f t="shared" si="167"/>
        <v>1140.7424999999989</v>
      </c>
      <c r="M989" s="33">
        <v>25</v>
      </c>
      <c r="N989" s="18">
        <f t="shared" si="164"/>
        <v>54.287671232876711</v>
      </c>
      <c r="O989" s="23">
        <v>582964.65</v>
      </c>
      <c r="P989" s="18">
        <f t="shared" si="165"/>
        <v>54.789041095890411</v>
      </c>
      <c r="Q989" s="18">
        <v>0</v>
      </c>
      <c r="R989" s="18">
        <f t="shared" si="163"/>
        <v>582964.65</v>
      </c>
      <c r="S989" s="18">
        <f t="shared" si="169"/>
        <v>1140.7424999999989</v>
      </c>
    </row>
    <row r="990" spans="1:19" ht="18.75" customHeight="1" x14ac:dyDescent="0.25">
      <c r="A990" s="14">
        <f t="shared" si="166"/>
        <v>987</v>
      </c>
      <c r="B990" s="31" t="s">
        <v>938</v>
      </c>
      <c r="C990" s="15" t="s">
        <v>3</v>
      </c>
      <c r="D990" s="31" t="s">
        <v>500</v>
      </c>
      <c r="E990" s="31"/>
      <c r="F990" s="73" t="s">
        <v>11</v>
      </c>
      <c r="G990" s="32">
        <v>24473</v>
      </c>
      <c r="H990" s="29">
        <v>1967.6500000000015</v>
      </c>
      <c r="I990" s="17">
        <v>0</v>
      </c>
      <c r="J990" s="17">
        <v>0</v>
      </c>
      <c r="K990" s="17">
        <f t="shared" si="162"/>
        <v>1967.6500000000015</v>
      </c>
      <c r="L990" s="23">
        <f t="shared" si="167"/>
        <v>98.382500000000078</v>
      </c>
      <c r="M990" s="33">
        <v>25</v>
      </c>
      <c r="N990" s="18">
        <f t="shared" si="164"/>
        <v>54.287671232876711</v>
      </c>
      <c r="O990" s="23">
        <v>440272.75</v>
      </c>
      <c r="P990" s="18">
        <f t="shared" si="165"/>
        <v>54.789041095890411</v>
      </c>
      <c r="Q990" s="18">
        <v>0</v>
      </c>
      <c r="R990" s="18">
        <f t="shared" si="163"/>
        <v>440272.75</v>
      </c>
      <c r="S990" s="18">
        <f t="shared" si="169"/>
        <v>98.382500000000078</v>
      </c>
    </row>
    <row r="991" spans="1:19" ht="18.75" customHeight="1" x14ac:dyDescent="0.25">
      <c r="A991" s="14">
        <f t="shared" si="166"/>
        <v>988</v>
      </c>
      <c r="B991" s="31" t="s">
        <v>939</v>
      </c>
      <c r="C991" s="15" t="s">
        <v>3</v>
      </c>
      <c r="D991" s="31" t="s">
        <v>500</v>
      </c>
      <c r="E991" s="31"/>
      <c r="F991" s="70" t="s">
        <v>7</v>
      </c>
      <c r="G991" s="32">
        <v>24473</v>
      </c>
      <c r="H991" s="29">
        <v>859.95000000000073</v>
      </c>
      <c r="I991" s="17">
        <v>0</v>
      </c>
      <c r="J991" s="17">
        <v>0</v>
      </c>
      <c r="K991" s="17">
        <f t="shared" si="162"/>
        <v>859.95000000000073</v>
      </c>
      <c r="L991" s="23">
        <f t="shared" si="167"/>
        <v>42.997500000000038</v>
      </c>
      <c r="M991" s="33">
        <v>25</v>
      </c>
      <c r="N991" s="18">
        <f t="shared" si="164"/>
        <v>54.287671232876711</v>
      </c>
      <c r="O991" s="23">
        <v>310118</v>
      </c>
      <c r="P991" s="18">
        <f t="shared" si="165"/>
        <v>54.789041095890411</v>
      </c>
      <c r="Q991" s="18">
        <v>0</v>
      </c>
      <c r="R991" s="18">
        <f t="shared" si="163"/>
        <v>310118</v>
      </c>
      <c r="S991" s="18">
        <f t="shared" si="169"/>
        <v>42.997500000000038</v>
      </c>
    </row>
    <row r="992" spans="1:19" ht="18.75" customHeight="1" x14ac:dyDescent="0.25">
      <c r="A992" s="14">
        <f t="shared" si="166"/>
        <v>989</v>
      </c>
      <c r="B992" s="31" t="s">
        <v>604</v>
      </c>
      <c r="C992" s="15" t="s">
        <v>3</v>
      </c>
      <c r="D992" s="31" t="s">
        <v>500</v>
      </c>
      <c r="E992" s="31"/>
      <c r="F992" s="73" t="s">
        <v>11</v>
      </c>
      <c r="G992" s="32">
        <v>29587</v>
      </c>
      <c r="H992" s="29">
        <v>312.44999999999982</v>
      </c>
      <c r="I992" s="17">
        <v>0</v>
      </c>
      <c r="J992" s="17">
        <v>0</v>
      </c>
      <c r="K992" s="17">
        <f t="shared" si="162"/>
        <v>312.44999999999982</v>
      </c>
      <c r="L992" s="23">
        <f t="shared" si="167"/>
        <v>15.622499999999992</v>
      </c>
      <c r="M992" s="33">
        <v>15</v>
      </c>
      <c r="N992" s="18">
        <f t="shared" si="164"/>
        <v>40.276712328767125</v>
      </c>
      <c r="O992" s="23">
        <v>302551.25</v>
      </c>
      <c r="P992" s="18">
        <f t="shared" si="165"/>
        <v>40.778082191780825</v>
      </c>
      <c r="Q992" s="18">
        <v>0</v>
      </c>
      <c r="R992" s="18">
        <f t="shared" si="163"/>
        <v>302551.25</v>
      </c>
      <c r="S992" s="18">
        <f t="shared" si="169"/>
        <v>15.622499999999992</v>
      </c>
    </row>
    <row r="993" spans="1:19" ht="18.75" customHeight="1" x14ac:dyDescent="0.25">
      <c r="A993" s="14">
        <f t="shared" si="166"/>
        <v>990</v>
      </c>
      <c r="B993" s="31" t="s">
        <v>940</v>
      </c>
      <c r="C993" s="15" t="s">
        <v>3</v>
      </c>
      <c r="D993" s="31" t="s">
        <v>500</v>
      </c>
      <c r="E993" s="31"/>
      <c r="F993" s="73" t="s">
        <v>11</v>
      </c>
      <c r="G993" s="32">
        <v>24473</v>
      </c>
      <c r="H993" s="29">
        <v>720.45000000000073</v>
      </c>
      <c r="I993" s="17">
        <v>0</v>
      </c>
      <c r="J993" s="17">
        <v>0</v>
      </c>
      <c r="K993" s="17">
        <f t="shared" si="162"/>
        <v>720.45000000000073</v>
      </c>
      <c r="L993" s="23">
        <f t="shared" si="167"/>
        <v>36.022500000000036</v>
      </c>
      <c r="M993" s="33">
        <v>25</v>
      </c>
      <c r="N993" s="18">
        <f t="shared" si="164"/>
        <v>54.287671232876711</v>
      </c>
      <c r="O993" s="23">
        <v>225927.1</v>
      </c>
      <c r="P993" s="18">
        <f t="shared" si="165"/>
        <v>54.789041095890411</v>
      </c>
      <c r="Q993" s="18">
        <v>0</v>
      </c>
      <c r="R993" s="18">
        <f t="shared" si="163"/>
        <v>225927.1</v>
      </c>
      <c r="S993" s="18">
        <f t="shared" si="169"/>
        <v>36.022500000000036</v>
      </c>
    </row>
    <row r="994" spans="1:19" ht="18.75" customHeight="1" x14ac:dyDescent="0.25">
      <c r="A994" s="14">
        <f t="shared" si="166"/>
        <v>991</v>
      </c>
      <c r="B994" s="31" t="s">
        <v>941</v>
      </c>
      <c r="C994" s="15" t="s">
        <v>3</v>
      </c>
      <c r="D994" s="31" t="s">
        <v>500</v>
      </c>
      <c r="E994" s="31"/>
      <c r="F994" s="73" t="s">
        <v>11</v>
      </c>
      <c r="G994" s="32">
        <v>24473</v>
      </c>
      <c r="H994" s="29">
        <v>706.64999999999964</v>
      </c>
      <c r="I994" s="17">
        <v>0</v>
      </c>
      <c r="J994" s="17">
        <v>0</v>
      </c>
      <c r="K994" s="17">
        <f t="shared" si="162"/>
        <v>706.64999999999964</v>
      </c>
      <c r="L994" s="23">
        <f t="shared" si="167"/>
        <v>35.332499999999982</v>
      </c>
      <c r="M994" s="33">
        <v>25</v>
      </c>
      <c r="N994" s="18">
        <f t="shared" si="164"/>
        <v>54.287671232876711</v>
      </c>
      <c r="O994" s="23">
        <v>199614</v>
      </c>
      <c r="P994" s="18">
        <f t="shared" si="165"/>
        <v>54.789041095890411</v>
      </c>
      <c r="Q994" s="18">
        <v>0</v>
      </c>
      <c r="R994" s="18">
        <f t="shared" si="163"/>
        <v>199614</v>
      </c>
      <c r="S994" s="18">
        <f t="shared" si="169"/>
        <v>35.332499999999982</v>
      </c>
    </row>
    <row r="995" spans="1:19" ht="18.75" customHeight="1" x14ac:dyDescent="0.25">
      <c r="A995" s="14">
        <f t="shared" si="166"/>
        <v>992</v>
      </c>
      <c r="B995" s="31" t="s">
        <v>942</v>
      </c>
      <c r="C995" s="15" t="s">
        <v>3</v>
      </c>
      <c r="D995" s="31" t="s">
        <v>500</v>
      </c>
      <c r="E995" s="31"/>
      <c r="F995" s="73" t="s">
        <v>11</v>
      </c>
      <c r="G995" s="32">
        <v>24473</v>
      </c>
      <c r="H995" s="29">
        <v>699.45000000000073</v>
      </c>
      <c r="I995" s="17">
        <v>0</v>
      </c>
      <c r="J995" s="17">
        <v>0</v>
      </c>
      <c r="K995" s="17">
        <f t="shared" si="162"/>
        <v>699.45000000000073</v>
      </c>
      <c r="L995" s="23">
        <f t="shared" si="167"/>
        <v>34.972500000000039</v>
      </c>
      <c r="M995" s="33">
        <v>25</v>
      </c>
      <c r="N995" s="18">
        <f t="shared" si="164"/>
        <v>54.287671232876711</v>
      </c>
      <c r="O995" s="23">
        <v>179822.65</v>
      </c>
      <c r="P995" s="18">
        <f t="shared" si="165"/>
        <v>54.789041095890411</v>
      </c>
      <c r="Q995" s="18">
        <v>0</v>
      </c>
      <c r="R995" s="18">
        <f t="shared" si="163"/>
        <v>179822.65</v>
      </c>
      <c r="S995" s="18">
        <f t="shared" si="169"/>
        <v>34.972500000000039</v>
      </c>
    </row>
    <row r="996" spans="1:19" ht="18.75" customHeight="1" x14ac:dyDescent="0.25">
      <c r="A996" s="14">
        <f t="shared" si="166"/>
        <v>993</v>
      </c>
      <c r="B996" s="31" t="s">
        <v>902</v>
      </c>
      <c r="C996" s="15" t="s">
        <v>3</v>
      </c>
      <c r="D996" s="31" t="s">
        <v>500</v>
      </c>
      <c r="E996" s="31"/>
      <c r="F996" s="73" t="s">
        <v>11</v>
      </c>
      <c r="G996" s="32">
        <v>24473</v>
      </c>
      <c r="H996" s="29">
        <v>618.04999999999927</v>
      </c>
      <c r="I996" s="17">
        <v>0</v>
      </c>
      <c r="J996" s="17">
        <v>0</v>
      </c>
      <c r="K996" s="17">
        <f t="shared" si="162"/>
        <v>618.04999999999927</v>
      </c>
      <c r="L996" s="23">
        <f t="shared" si="167"/>
        <v>30.902499999999964</v>
      </c>
      <c r="M996" s="33">
        <v>25</v>
      </c>
      <c r="N996" s="18">
        <f t="shared" si="164"/>
        <v>54.287671232876711</v>
      </c>
      <c r="O996" s="23">
        <v>149874.85</v>
      </c>
      <c r="P996" s="18">
        <f t="shared" si="165"/>
        <v>54.789041095890411</v>
      </c>
      <c r="Q996" s="18">
        <v>0</v>
      </c>
      <c r="R996" s="18">
        <f t="shared" si="163"/>
        <v>149874.85</v>
      </c>
      <c r="S996" s="18">
        <f t="shared" si="169"/>
        <v>30.902499999999964</v>
      </c>
    </row>
    <row r="997" spans="1:19" ht="18.75" customHeight="1" x14ac:dyDescent="0.25">
      <c r="A997" s="14">
        <f t="shared" si="166"/>
        <v>994</v>
      </c>
      <c r="B997" s="31" t="s">
        <v>943</v>
      </c>
      <c r="C997" s="15" t="s">
        <v>3</v>
      </c>
      <c r="D997" s="31" t="s">
        <v>500</v>
      </c>
      <c r="E997" s="31"/>
      <c r="F997" s="73" t="s">
        <v>11</v>
      </c>
      <c r="G997" s="32">
        <v>29952</v>
      </c>
      <c r="H997" s="29">
        <v>603.70000000000073</v>
      </c>
      <c r="I997" s="17">
        <v>0</v>
      </c>
      <c r="J997" s="17">
        <v>0</v>
      </c>
      <c r="K997" s="17">
        <f t="shared" si="162"/>
        <v>603.70000000000073</v>
      </c>
      <c r="L997" s="23">
        <f t="shared" si="167"/>
        <v>30.185000000000038</v>
      </c>
      <c r="M997" s="33">
        <v>15</v>
      </c>
      <c r="N997" s="18">
        <f t="shared" si="164"/>
        <v>39.276712328767125</v>
      </c>
      <c r="O997" s="23">
        <v>75437.600000000006</v>
      </c>
      <c r="P997" s="18">
        <f t="shared" si="165"/>
        <v>39.778082191780825</v>
      </c>
      <c r="Q997" s="18">
        <v>0</v>
      </c>
      <c r="R997" s="18">
        <f t="shared" si="163"/>
        <v>75437.600000000006</v>
      </c>
      <c r="S997" s="18">
        <f t="shared" si="169"/>
        <v>30.185000000000038</v>
      </c>
    </row>
    <row r="998" spans="1:19" ht="18.75" customHeight="1" x14ac:dyDescent="0.25">
      <c r="A998" s="14">
        <f t="shared" si="166"/>
        <v>995</v>
      </c>
      <c r="B998" s="31" t="s">
        <v>944</v>
      </c>
      <c r="C998" s="15" t="s">
        <v>3</v>
      </c>
      <c r="D998" s="31" t="s">
        <v>500</v>
      </c>
      <c r="E998" s="31"/>
      <c r="F998" s="73" t="s">
        <v>8</v>
      </c>
      <c r="G998" s="32">
        <v>24473</v>
      </c>
      <c r="H998" s="29">
        <v>502.89999999999964</v>
      </c>
      <c r="I998" s="17">
        <v>0</v>
      </c>
      <c r="J998" s="17">
        <v>0</v>
      </c>
      <c r="K998" s="17">
        <f t="shared" si="162"/>
        <v>502.89999999999964</v>
      </c>
      <c r="L998" s="23">
        <f t="shared" si="167"/>
        <v>25.144999999999982</v>
      </c>
      <c r="M998" s="33">
        <v>25</v>
      </c>
      <c r="N998" s="18">
        <f t="shared" si="164"/>
        <v>54.287671232876711</v>
      </c>
      <c r="O998" s="23">
        <v>55345.1</v>
      </c>
      <c r="P998" s="18">
        <f t="shared" si="165"/>
        <v>54.789041095890411</v>
      </c>
      <c r="Q998" s="18">
        <v>0</v>
      </c>
      <c r="R998" s="18">
        <f t="shared" si="163"/>
        <v>55345.1</v>
      </c>
      <c r="S998" s="18">
        <f t="shared" si="169"/>
        <v>25.144999999999982</v>
      </c>
    </row>
    <row r="999" spans="1:19" ht="18.75" customHeight="1" x14ac:dyDescent="0.25">
      <c r="A999" s="14">
        <f t="shared" si="166"/>
        <v>996</v>
      </c>
      <c r="B999" s="31" t="s">
        <v>945</v>
      </c>
      <c r="C999" s="15" t="s">
        <v>3</v>
      </c>
      <c r="D999" s="31" t="s">
        <v>500</v>
      </c>
      <c r="E999" s="31"/>
      <c r="F999" s="73" t="s">
        <v>11</v>
      </c>
      <c r="G999" s="32">
        <v>24473</v>
      </c>
      <c r="H999" s="29">
        <v>463.85000000000036</v>
      </c>
      <c r="I999" s="17">
        <v>0</v>
      </c>
      <c r="J999" s="17">
        <v>0</v>
      </c>
      <c r="K999" s="17">
        <f t="shared" si="162"/>
        <v>463.85000000000036</v>
      </c>
      <c r="L999" s="23">
        <f t="shared" si="167"/>
        <v>23.19250000000002</v>
      </c>
      <c r="M999" s="33">
        <v>25</v>
      </c>
      <c r="N999" s="18">
        <f t="shared" si="164"/>
        <v>54.287671232876711</v>
      </c>
      <c r="O999" s="23">
        <v>48051</v>
      </c>
      <c r="P999" s="18">
        <f t="shared" si="165"/>
        <v>54.789041095890411</v>
      </c>
      <c r="Q999" s="18">
        <v>0</v>
      </c>
      <c r="R999" s="18">
        <f t="shared" si="163"/>
        <v>48051</v>
      </c>
      <c r="S999" s="18">
        <f t="shared" si="169"/>
        <v>23.19250000000002</v>
      </c>
    </row>
    <row r="1000" spans="1:19" ht="18.75" customHeight="1" x14ac:dyDescent="0.25">
      <c r="A1000" s="14">
        <f t="shared" si="166"/>
        <v>997</v>
      </c>
      <c r="B1000" s="31" t="s">
        <v>946</v>
      </c>
      <c r="C1000" s="15" t="s">
        <v>3</v>
      </c>
      <c r="D1000" s="31" t="s">
        <v>500</v>
      </c>
      <c r="E1000" s="31"/>
      <c r="F1000" s="73" t="s">
        <v>11</v>
      </c>
      <c r="G1000" s="32">
        <v>24473</v>
      </c>
      <c r="H1000" s="29">
        <v>389.44999999999982</v>
      </c>
      <c r="I1000" s="17">
        <v>0</v>
      </c>
      <c r="J1000" s="17">
        <v>0</v>
      </c>
      <c r="K1000" s="17">
        <f t="shared" si="162"/>
        <v>389.44999999999982</v>
      </c>
      <c r="L1000" s="23">
        <f t="shared" si="167"/>
        <v>19.472499999999993</v>
      </c>
      <c r="M1000" s="33">
        <v>25</v>
      </c>
      <c r="N1000" s="18">
        <f t="shared" si="164"/>
        <v>54.287671232876711</v>
      </c>
      <c r="O1000" s="23">
        <v>42199.95</v>
      </c>
      <c r="P1000" s="18">
        <f t="shared" si="165"/>
        <v>54.789041095890411</v>
      </c>
      <c r="Q1000" s="18">
        <v>0</v>
      </c>
      <c r="R1000" s="18">
        <f t="shared" si="163"/>
        <v>42199.95</v>
      </c>
      <c r="S1000" s="18">
        <f t="shared" si="169"/>
        <v>19.472499999999993</v>
      </c>
    </row>
    <row r="1001" spans="1:19" ht="18.75" customHeight="1" x14ac:dyDescent="0.25">
      <c r="A1001" s="14">
        <f t="shared" si="166"/>
        <v>998</v>
      </c>
      <c r="B1001" s="31" t="s">
        <v>926</v>
      </c>
      <c r="C1001" s="15" t="s">
        <v>3</v>
      </c>
      <c r="D1001" s="31" t="s">
        <v>500</v>
      </c>
      <c r="E1001" s="31"/>
      <c r="F1001" s="73" t="s">
        <v>11</v>
      </c>
      <c r="G1001" s="32">
        <v>24473</v>
      </c>
      <c r="H1001" s="29">
        <v>266.94999999999982</v>
      </c>
      <c r="I1001" s="17">
        <v>0</v>
      </c>
      <c r="J1001" s="17">
        <v>0</v>
      </c>
      <c r="K1001" s="17">
        <f t="shared" si="162"/>
        <v>266.94999999999982</v>
      </c>
      <c r="L1001" s="23">
        <f t="shared" si="167"/>
        <v>13.347499999999991</v>
      </c>
      <c r="M1001" s="33">
        <v>25</v>
      </c>
      <c r="N1001" s="18">
        <f t="shared" si="164"/>
        <v>54.287671232876711</v>
      </c>
      <c r="O1001" s="23">
        <v>29068.1</v>
      </c>
      <c r="P1001" s="18">
        <f t="shared" si="165"/>
        <v>54.789041095890411</v>
      </c>
      <c r="Q1001" s="18">
        <v>0</v>
      </c>
      <c r="R1001" s="18">
        <f t="shared" si="163"/>
        <v>29068.1</v>
      </c>
      <c r="S1001" s="18">
        <f t="shared" si="169"/>
        <v>13.347499999999991</v>
      </c>
    </row>
    <row r="1002" spans="1:19" ht="18.75" customHeight="1" x14ac:dyDescent="0.25">
      <c r="A1002" s="14">
        <f t="shared" si="166"/>
        <v>999</v>
      </c>
      <c r="B1002" s="31" t="s">
        <v>947</v>
      </c>
      <c r="C1002" s="15" t="s">
        <v>3</v>
      </c>
      <c r="D1002" s="31" t="s">
        <v>500</v>
      </c>
      <c r="E1002" s="31"/>
      <c r="F1002" s="70" t="s">
        <v>7</v>
      </c>
      <c r="G1002" s="32">
        <v>37256</v>
      </c>
      <c r="H1002" s="29">
        <v>11616.600000000006</v>
      </c>
      <c r="I1002" s="17">
        <v>0</v>
      </c>
      <c r="J1002" s="17">
        <v>0</v>
      </c>
      <c r="K1002" s="17">
        <f t="shared" si="162"/>
        <v>11616.600000000006</v>
      </c>
      <c r="L1002" s="23">
        <f t="shared" si="167"/>
        <v>580.83000000000027</v>
      </c>
      <c r="M1002" s="33">
        <v>15</v>
      </c>
      <c r="N1002" s="18">
        <f t="shared" si="164"/>
        <v>19.265753424657536</v>
      </c>
      <c r="O1002" s="23">
        <v>23590.400000000001</v>
      </c>
      <c r="P1002" s="18">
        <f t="shared" si="165"/>
        <v>19.767123287671232</v>
      </c>
      <c r="Q1002" s="18">
        <v>0</v>
      </c>
      <c r="R1002" s="18">
        <f t="shared" si="163"/>
        <v>23590.400000000001</v>
      </c>
      <c r="S1002" s="18">
        <f t="shared" si="169"/>
        <v>580.83000000000027</v>
      </c>
    </row>
    <row r="1003" spans="1:19" ht="18.75" customHeight="1" x14ac:dyDescent="0.25">
      <c r="A1003" s="14">
        <f t="shared" si="166"/>
        <v>1000</v>
      </c>
      <c r="B1003" s="31" t="s">
        <v>929</v>
      </c>
      <c r="C1003" s="15" t="s">
        <v>3</v>
      </c>
      <c r="D1003" s="31" t="s">
        <v>500</v>
      </c>
      <c r="E1003" s="31"/>
      <c r="F1003" s="73" t="s">
        <v>11</v>
      </c>
      <c r="G1003" s="32">
        <v>24473</v>
      </c>
      <c r="H1003" s="29">
        <v>28.600000000000023</v>
      </c>
      <c r="I1003" s="17">
        <v>0</v>
      </c>
      <c r="J1003" s="17">
        <v>0</v>
      </c>
      <c r="K1003" s="17">
        <f t="shared" si="162"/>
        <v>28.600000000000023</v>
      </c>
      <c r="L1003" s="23">
        <f t="shared" si="167"/>
        <v>1.4300000000000013</v>
      </c>
      <c r="M1003" s="33">
        <v>25</v>
      </c>
      <c r="N1003" s="18">
        <f t="shared" si="164"/>
        <v>54.287671232876711</v>
      </c>
      <c r="O1003" s="23">
        <v>13967.85</v>
      </c>
      <c r="P1003" s="18">
        <f t="shared" si="165"/>
        <v>54.789041095890411</v>
      </c>
      <c r="Q1003" s="18">
        <v>0</v>
      </c>
      <c r="R1003" s="18">
        <f t="shared" si="163"/>
        <v>13967.85</v>
      </c>
      <c r="S1003" s="18">
        <f t="shared" si="169"/>
        <v>1.4300000000000013</v>
      </c>
    </row>
    <row r="1004" spans="1:19" ht="18.75" customHeight="1" x14ac:dyDescent="0.25">
      <c r="A1004" s="14">
        <f t="shared" si="166"/>
        <v>1001</v>
      </c>
      <c r="B1004" s="31" t="s">
        <v>948</v>
      </c>
      <c r="C1004" s="15" t="s">
        <v>3</v>
      </c>
      <c r="D1004" s="31" t="s">
        <v>500</v>
      </c>
      <c r="E1004" s="31"/>
      <c r="F1004" s="73" t="s">
        <v>11</v>
      </c>
      <c r="G1004" s="32">
        <v>24838</v>
      </c>
      <c r="H1004" s="29">
        <v>2570.8000000000029</v>
      </c>
      <c r="I1004" s="17">
        <v>0</v>
      </c>
      <c r="J1004" s="17">
        <v>0</v>
      </c>
      <c r="K1004" s="17">
        <f t="shared" si="162"/>
        <v>2570.8000000000029</v>
      </c>
      <c r="L1004" s="23">
        <f t="shared" si="167"/>
        <v>128.54000000000016</v>
      </c>
      <c r="M1004" s="33">
        <v>25</v>
      </c>
      <c r="N1004" s="18">
        <f t="shared" si="164"/>
        <v>53.287671232876711</v>
      </c>
      <c r="O1004" s="23">
        <v>16340</v>
      </c>
      <c r="P1004" s="18">
        <f t="shared" si="165"/>
        <v>53.789041095890411</v>
      </c>
      <c r="Q1004" s="18">
        <v>0</v>
      </c>
      <c r="R1004" s="18">
        <f t="shared" si="163"/>
        <v>16340</v>
      </c>
      <c r="S1004" s="18">
        <f t="shared" si="169"/>
        <v>128.54000000000016</v>
      </c>
    </row>
    <row r="1005" spans="1:19" ht="18.75" customHeight="1" x14ac:dyDescent="0.25">
      <c r="A1005" s="14">
        <f t="shared" si="166"/>
        <v>1002</v>
      </c>
      <c r="B1005" s="31" t="s">
        <v>943</v>
      </c>
      <c r="C1005" s="15" t="s">
        <v>3</v>
      </c>
      <c r="D1005" s="31" t="s">
        <v>500</v>
      </c>
      <c r="E1005" s="31"/>
      <c r="F1005" s="73" t="s">
        <v>11</v>
      </c>
      <c r="G1005" s="32">
        <v>30682</v>
      </c>
      <c r="H1005" s="29">
        <v>1780.0500000000029</v>
      </c>
      <c r="I1005" s="17">
        <v>0</v>
      </c>
      <c r="J1005" s="17">
        <v>0</v>
      </c>
      <c r="K1005" s="17">
        <f t="shared" si="162"/>
        <v>1780.0500000000029</v>
      </c>
      <c r="L1005" s="23">
        <f t="shared" si="167"/>
        <v>89.002500000000154</v>
      </c>
      <c r="M1005" s="33">
        <v>15</v>
      </c>
      <c r="N1005" s="18">
        <f t="shared" si="164"/>
        <v>37.276712328767125</v>
      </c>
      <c r="O1005" s="23">
        <v>31580.536499999998</v>
      </c>
      <c r="P1005" s="18">
        <f t="shared" si="165"/>
        <v>37.778082191780825</v>
      </c>
      <c r="Q1005" s="18">
        <v>0</v>
      </c>
      <c r="R1005" s="18">
        <f t="shared" si="163"/>
        <v>31580.536499999998</v>
      </c>
      <c r="S1005" s="18">
        <f t="shared" si="169"/>
        <v>89.002500000000154</v>
      </c>
    </row>
    <row r="1006" spans="1:19" ht="18.75" customHeight="1" x14ac:dyDescent="0.25">
      <c r="A1006" s="14">
        <f t="shared" si="166"/>
        <v>1003</v>
      </c>
      <c r="B1006" s="31" t="s">
        <v>941</v>
      </c>
      <c r="C1006" s="15" t="s">
        <v>3</v>
      </c>
      <c r="D1006" s="31" t="s">
        <v>500</v>
      </c>
      <c r="E1006" s="31"/>
      <c r="F1006" s="73" t="s">
        <v>11</v>
      </c>
      <c r="G1006" s="32">
        <v>24838</v>
      </c>
      <c r="H1006" s="29">
        <v>173.15000000000009</v>
      </c>
      <c r="I1006" s="17">
        <v>0</v>
      </c>
      <c r="J1006" s="17">
        <v>0</v>
      </c>
      <c r="K1006" s="17">
        <f t="shared" si="162"/>
        <v>173.15000000000009</v>
      </c>
      <c r="L1006" s="23">
        <f t="shared" si="167"/>
        <v>8.6575000000000042</v>
      </c>
      <c r="M1006" s="33">
        <v>25</v>
      </c>
      <c r="N1006" s="18">
        <f t="shared" si="164"/>
        <v>53.287671232876711</v>
      </c>
      <c r="O1006" s="23">
        <v>49548.2</v>
      </c>
      <c r="P1006" s="18">
        <f t="shared" si="165"/>
        <v>53.789041095890411</v>
      </c>
      <c r="Q1006" s="18">
        <v>0</v>
      </c>
      <c r="R1006" s="18">
        <f t="shared" si="163"/>
        <v>49548.2</v>
      </c>
      <c r="S1006" s="18">
        <f t="shared" si="169"/>
        <v>8.6575000000000042</v>
      </c>
    </row>
    <row r="1007" spans="1:19" ht="18.75" customHeight="1" x14ac:dyDescent="0.25">
      <c r="A1007" s="14">
        <f t="shared" si="166"/>
        <v>1004</v>
      </c>
      <c r="B1007" s="31" t="s">
        <v>949</v>
      </c>
      <c r="C1007" s="15" t="s">
        <v>3</v>
      </c>
      <c r="D1007" s="31" t="s">
        <v>500</v>
      </c>
      <c r="E1007" s="31"/>
      <c r="F1007" s="73" t="s">
        <v>11</v>
      </c>
      <c r="G1007" s="32">
        <v>24838</v>
      </c>
      <c r="H1007" s="29">
        <v>91.049999999999955</v>
      </c>
      <c r="I1007" s="17">
        <v>0</v>
      </c>
      <c r="J1007" s="17">
        <v>0</v>
      </c>
      <c r="K1007" s="17">
        <f t="shared" si="162"/>
        <v>91.049999999999955</v>
      </c>
      <c r="L1007" s="23">
        <f t="shared" si="167"/>
        <v>4.5524999999999975</v>
      </c>
      <c r="M1007" s="33">
        <v>25</v>
      </c>
      <c r="N1007" s="18">
        <f t="shared" si="164"/>
        <v>53.287671232876711</v>
      </c>
      <c r="O1007" s="23">
        <v>52840.9</v>
      </c>
      <c r="P1007" s="18">
        <f t="shared" si="165"/>
        <v>53.789041095890411</v>
      </c>
      <c r="Q1007" s="18">
        <v>0</v>
      </c>
      <c r="R1007" s="18">
        <f t="shared" si="163"/>
        <v>52840.9</v>
      </c>
      <c r="S1007" s="18">
        <f t="shared" si="169"/>
        <v>4.5524999999999975</v>
      </c>
    </row>
    <row r="1008" spans="1:19" ht="18.75" customHeight="1" x14ac:dyDescent="0.25">
      <c r="A1008" s="14">
        <f t="shared" si="166"/>
        <v>1005</v>
      </c>
      <c r="B1008" s="31" t="s">
        <v>929</v>
      </c>
      <c r="C1008" s="15" t="s">
        <v>3</v>
      </c>
      <c r="D1008" s="31" t="s">
        <v>500</v>
      </c>
      <c r="E1008" s="31"/>
      <c r="F1008" s="73" t="s">
        <v>11</v>
      </c>
      <c r="G1008" s="32">
        <v>24838</v>
      </c>
      <c r="H1008" s="29">
        <v>18.649999999999977</v>
      </c>
      <c r="I1008" s="17">
        <v>0</v>
      </c>
      <c r="J1008" s="17">
        <v>0</v>
      </c>
      <c r="K1008" s="17">
        <f t="shared" si="162"/>
        <v>18.649999999999977</v>
      </c>
      <c r="L1008" s="23">
        <f t="shared" si="167"/>
        <v>0.93249999999999889</v>
      </c>
      <c r="M1008" s="33">
        <v>25</v>
      </c>
      <c r="N1008" s="18">
        <f t="shared" si="164"/>
        <v>53.287671232876711</v>
      </c>
      <c r="O1008" s="23">
        <v>42725.3</v>
      </c>
      <c r="P1008" s="18">
        <f t="shared" si="165"/>
        <v>53.789041095890411</v>
      </c>
      <c r="Q1008" s="18">
        <v>0</v>
      </c>
      <c r="R1008" s="18">
        <f t="shared" si="163"/>
        <v>42725.3</v>
      </c>
      <c r="S1008" s="18">
        <f t="shared" si="169"/>
        <v>0.93249999999999889</v>
      </c>
    </row>
    <row r="1009" spans="1:19" ht="18.75" customHeight="1" x14ac:dyDescent="0.25">
      <c r="A1009" s="14">
        <f t="shared" si="166"/>
        <v>1006</v>
      </c>
      <c r="B1009" s="31" t="s">
        <v>950</v>
      </c>
      <c r="C1009" s="15" t="s">
        <v>3</v>
      </c>
      <c r="D1009" s="31" t="s">
        <v>500</v>
      </c>
      <c r="E1009" s="31"/>
      <c r="F1009" s="73" t="s">
        <v>11</v>
      </c>
      <c r="G1009" s="32">
        <v>25204</v>
      </c>
      <c r="H1009" s="29">
        <v>1461.0999999999985</v>
      </c>
      <c r="I1009" s="17">
        <v>0</v>
      </c>
      <c r="J1009" s="17">
        <v>0</v>
      </c>
      <c r="K1009" s="17">
        <f t="shared" si="162"/>
        <v>1461.0999999999985</v>
      </c>
      <c r="L1009" s="23">
        <f t="shared" si="167"/>
        <v>73.054999999999936</v>
      </c>
      <c r="M1009" s="33">
        <v>25</v>
      </c>
      <c r="N1009" s="18">
        <f t="shared" si="164"/>
        <v>52.284931506849318</v>
      </c>
      <c r="O1009" s="23">
        <v>133097.85</v>
      </c>
      <c r="P1009" s="18">
        <f t="shared" si="165"/>
        <v>52.786301369863011</v>
      </c>
      <c r="Q1009" s="18">
        <v>0</v>
      </c>
      <c r="R1009" s="18">
        <f t="shared" si="163"/>
        <v>133097.85</v>
      </c>
      <c r="S1009" s="18">
        <f t="shared" si="169"/>
        <v>73.054999999999936</v>
      </c>
    </row>
    <row r="1010" spans="1:19" ht="18.75" customHeight="1" x14ac:dyDescent="0.25">
      <c r="A1010" s="14">
        <f t="shared" si="166"/>
        <v>1007</v>
      </c>
      <c r="B1010" s="31" t="s">
        <v>951</v>
      </c>
      <c r="C1010" s="15" t="s">
        <v>3</v>
      </c>
      <c r="D1010" s="31" t="s">
        <v>500</v>
      </c>
      <c r="E1010" s="31"/>
      <c r="F1010" s="73" t="s">
        <v>11</v>
      </c>
      <c r="G1010" s="32">
        <v>25204</v>
      </c>
      <c r="H1010" s="29">
        <v>137.5</v>
      </c>
      <c r="I1010" s="17">
        <v>0</v>
      </c>
      <c r="J1010" s="17">
        <v>0</v>
      </c>
      <c r="K1010" s="17">
        <f t="shared" si="162"/>
        <v>137.5</v>
      </c>
      <c r="L1010" s="23">
        <f t="shared" si="167"/>
        <v>6.875</v>
      </c>
      <c r="M1010" s="33">
        <v>25</v>
      </c>
      <c r="N1010" s="18">
        <f t="shared" si="164"/>
        <v>52.284931506849318</v>
      </c>
      <c r="O1010" s="23">
        <v>35997.4</v>
      </c>
      <c r="P1010" s="18">
        <f t="shared" si="165"/>
        <v>52.786301369863011</v>
      </c>
      <c r="Q1010" s="18">
        <v>0</v>
      </c>
      <c r="R1010" s="18">
        <f t="shared" si="163"/>
        <v>35997.4</v>
      </c>
      <c r="S1010" s="18">
        <f t="shared" si="169"/>
        <v>6.875</v>
      </c>
    </row>
    <row r="1011" spans="1:19" ht="18.75" customHeight="1" x14ac:dyDescent="0.25">
      <c r="A1011" s="14">
        <f t="shared" si="166"/>
        <v>1008</v>
      </c>
      <c r="B1011" s="31" t="s">
        <v>952</v>
      </c>
      <c r="C1011" s="15" t="s">
        <v>3</v>
      </c>
      <c r="D1011" s="31" t="s">
        <v>500</v>
      </c>
      <c r="E1011" s="31"/>
      <c r="F1011" s="73" t="s">
        <v>11</v>
      </c>
      <c r="G1011" s="32">
        <v>25204</v>
      </c>
      <c r="H1011" s="29">
        <v>121</v>
      </c>
      <c r="I1011" s="17">
        <v>0</v>
      </c>
      <c r="J1011" s="17">
        <v>0</v>
      </c>
      <c r="K1011" s="17">
        <f t="shared" si="162"/>
        <v>121</v>
      </c>
      <c r="L1011" s="23">
        <f t="shared" si="167"/>
        <v>6.0500000000000007</v>
      </c>
      <c r="M1011" s="33">
        <v>25</v>
      </c>
      <c r="N1011" s="18">
        <f t="shared" si="164"/>
        <v>52.284931506849318</v>
      </c>
      <c r="O1011" s="23">
        <v>30674.55</v>
      </c>
      <c r="P1011" s="18">
        <f t="shared" si="165"/>
        <v>52.786301369863011</v>
      </c>
      <c r="Q1011" s="18">
        <v>0</v>
      </c>
      <c r="R1011" s="18">
        <f t="shared" si="163"/>
        <v>30674.55</v>
      </c>
      <c r="S1011" s="18">
        <f t="shared" si="169"/>
        <v>6.0500000000000007</v>
      </c>
    </row>
    <row r="1012" spans="1:19" ht="18.75" customHeight="1" x14ac:dyDescent="0.25">
      <c r="A1012" s="14">
        <f t="shared" si="166"/>
        <v>1009</v>
      </c>
      <c r="B1012" s="31" t="s">
        <v>949</v>
      </c>
      <c r="C1012" s="15" t="s">
        <v>3</v>
      </c>
      <c r="D1012" s="31" t="s">
        <v>500</v>
      </c>
      <c r="E1012" s="31"/>
      <c r="F1012" s="73" t="s">
        <v>11</v>
      </c>
      <c r="G1012" s="32">
        <v>25204</v>
      </c>
      <c r="H1012" s="29">
        <v>91.950000000000045</v>
      </c>
      <c r="I1012" s="17">
        <v>0</v>
      </c>
      <c r="J1012" s="17">
        <v>0</v>
      </c>
      <c r="K1012" s="17">
        <f t="shared" si="162"/>
        <v>91.950000000000045</v>
      </c>
      <c r="L1012" s="23">
        <f t="shared" si="167"/>
        <v>4.5975000000000028</v>
      </c>
      <c r="M1012" s="33">
        <v>25</v>
      </c>
      <c r="N1012" s="18">
        <f t="shared" si="164"/>
        <v>52.284931506849318</v>
      </c>
      <c r="O1012" s="23">
        <v>236852.1</v>
      </c>
      <c r="P1012" s="18">
        <f t="shared" si="165"/>
        <v>52.786301369863011</v>
      </c>
      <c r="Q1012" s="18">
        <v>0</v>
      </c>
      <c r="R1012" s="18">
        <f t="shared" si="163"/>
        <v>236852.1</v>
      </c>
      <c r="S1012" s="18">
        <f t="shared" si="169"/>
        <v>4.5975000000000028</v>
      </c>
    </row>
    <row r="1013" spans="1:19" ht="18.75" customHeight="1" x14ac:dyDescent="0.25">
      <c r="A1013" s="14">
        <f t="shared" si="166"/>
        <v>1010</v>
      </c>
      <c r="B1013" s="31" t="s">
        <v>953</v>
      </c>
      <c r="C1013" s="15" t="s">
        <v>3</v>
      </c>
      <c r="D1013" s="31" t="s">
        <v>500</v>
      </c>
      <c r="E1013" s="31"/>
      <c r="F1013" s="73" t="s">
        <v>11</v>
      </c>
      <c r="G1013" s="32">
        <v>25204</v>
      </c>
      <c r="H1013" s="29">
        <v>42.399999999999977</v>
      </c>
      <c r="I1013" s="17">
        <v>0</v>
      </c>
      <c r="J1013" s="17">
        <v>0</v>
      </c>
      <c r="K1013" s="17">
        <f t="shared" si="162"/>
        <v>42.399999999999977</v>
      </c>
      <c r="L1013" s="23">
        <f t="shared" si="167"/>
        <v>2.1199999999999988</v>
      </c>
      <c r="M1013" s="33">
        <v>25</v>
      </c>
      <c r="N1013" s="18">
        <f t="shared" si="164"/>
        <v>52.284931506849318</v>
      </c>
      <c r="O1013" s="23">
        <v>239747.7</v>
      </c>
      <c r="P1013" s="18">
        <f t="shared" si="165"/>
        <v>52.786301369863011</v>
      </c>
      <c r="Q1013" s="18">
        <v>0</v>
      </c>
      <c r="R1013" s="18">
        <f t="shared" si="163"/>
        <v>239747.7</v>
      </c>
      <c r="S1013" s="18">
        <f t="shared" si="169"/>
        <v>2.1199999999999988</v>
      </c>
    </row>
    <row r="1014" spans="1:19" ht="18.75" customHeight="1" x14ac:dyDescent="0.25">
      <c r="A1014" s="14">
        <f t="shared" si="166"/>
        <v>1011</v>
      </c>
      <c r="B1014" s="31" t="s">
        <v>954</v>
      </c>
      <c r="C1014" s="15" t="s">
        <v>3</v>
      </c>
      <c r="D1014" s="31" t="s">
        <v>500</v>
      </c>
      <c r="E1014" s="31"/>
      <c r="F1014" s="73" t="s">
        <v>11</v>
      </c>
      <c r="G1014" s="32">
        <v>25204</v>
      </c>
      <c r="H1014" s="29">
        <v>26</v>
      </c>
      <c r="I1014" s="17">
        <v>0</v>
      </c>
      <c r="J1014" s="17">
        <v>0</v>
      </c>
      <c r="K1014" s="17">
        <f t="shared" si="162"/>
        <v>26</v>
      </c>
      <c r="L1014" s="23">
        <f t="shared" si="167"/>
        <v>1.3</v>
      </c>
      <c r="M1014" s="33">
        <v>25</v>
      </c>
      <c r="N1014" s="18">
        <f t="shared" si="164"/>
        <v>52.284931506849318</v>
      </c>
      <c r="O1014" s="23">
        <v>34.200000000000003</v>
      </c>
      <c r="P1014" s="18">
        <f t="shared" si="165"/>
        <v>52.786301369863011</v>
      </c>
      <c r="Q1014" s="18">
        <v>0</v>
      </c>
      <c r="R1014" s="18">
        <f t="shared" si="163"/>
        <v>34.200000000000003</v>
      </c>
      <c r="S1014" s="18">
        <f t="shared" si="169"/>
        <v>1.3</v>
      </c>
    </row>
    <row r="1015" spans="1:19" ht="18.75" customHeight="1" x14ac:dyDescent="0.25">
      <c r="A1015" s="14">
        <f t="shared" si="166"/>
        <v>1012</v>
      </c>
      <c r="B1015" s="31" t="s">
        <v>955</v>
      </c>
      <c r="C1015" s="15" t="s">
        <v>3</v>
      </c>
      <c r="D1015" s="31" t="s">
        <v>500</v>
      </c>
      <c r="E1015" s="31"/>
      <c r="F1015" s="73" t="s">
        <v>11</v>
      </c>
      <c r="G1015" s="32">
        <v>25204</v>
      </c>
      <c r="H1015" s="29">
        <v>20.100000000000023</v>
      </c>
      <c r="I1015" s="17">
        <v>0</v>
      </c>
      <c r="J1015" s="17">
        <v>0</v>
      </c>
      <c r="K1015" s="17">
        <f t="shared" si="162"/>
        <v>20.100000000000023</v>
      </c>
      <c r="L1015" s="23">
        <f t="shared" si="167"/>
        <v>1.0050000000000012</v>
      </c>
      <c r="M1015" s="33">
        <v>25</v>
      </c>
      <c r="N1015" s="18">
        <f t="shared" si="164"/>
        <v>52.284931506849318</v>
      </c>
      <c r="O1015" s="23">
        <v>126.35</v>
      </c>
      <c r="P1015" s="18">
        <f t="shared" si="165"/>
        <v>52.786301369863011</v>
      </c>
      <c r="Q1015" s="18">
        <v>0</v>
      </c>
      <c r="R1015" s="18">
        <f t="shared" si="163"/>
        <v>126.35</v>
      </c>
      <c r="S1015" s="18">
        <f t="shared" si="169"/>
        <v>1.0050000000000012</v>
      </c>
    </row>
    <row r="1016" spans="1:19" ht="18.75" customHeight="1" x14ac:dyDescent="0.25">
      <c r="A1016" s="14">
        <f t="shared" si="166"/>
        <v>1013</v>
      </c>
      <c r="B1016" s="31" t="s">
        <v>956</v>
      </c>
      <c r="C1016" s="15" t="s">
        <v>3</v>
      </c>
      <c r="D1016" s="31" t="s">
        <v>500</v>
      </c>
      <c r="E1016" s="31"/>
      <c r="F1016" s="73" t="s">
        <v>11</v>
      </c>
      <c r="G1016" s="32">
        <v>25569</v>
      </c>
      <c r="H1016" s="29">
        <v>1454.4500000000007</v>
      </c>
      <c r="I1016" s="17">
        <v>0</v>
      </c>
      <c r="J1016" s="17">
        <v>0</v>
      </c>
      <c r="K1016" s="17">
        <f t="shared" si="162"/>
        <v>1454.4500000000007</v>
      </c>
      <c r="L1016" s="23">
        <f t="shared" si="167"/>
        <v>72.722500000000039</v>
      </c>
      <c r="M1016" s="33">
        <v>25</v>
      </c>
      <c r="N1016" s="18">
        <f t="shared" si="164"/>
        <v>51.284931506849318</v>
      </c>
      <c r="O1016" s="23">
        <v>2198.3000000000002</v>
      </c>
      <c r="P1016" s="18">
        <f t="shared" si="165"/>
        <v>51.786301369863011</v>
      </c>
      <c r="Q1016" s="18">
        <v>0</v>
      </c>
      <c r="R1016" s="18">
        <f t="shared" si="163"/>
        <v>2198.3000000000002</v>
      </c>
      <c r="S1016" s="18">
        <f t="shared" si="169"/>
        <v>72.722500000000039</v>
      </c>
    </row>
    <row r="1017" spans="1:19" ht="18.75" customHeight="1" x14ac:dyDescent="0.25">
      <c r="A1017" s="14">
        <f t="shared" si="166"/>
        <v>1014</v>
      </c>
      <c r="B1017" s="31" t="s">
        <v>957</v>
      </c>
      <c r="C1017" s="15" t="s">
        <v>3</v>
      </c>
      <c r="D1017" s="31" t="s">
        <v>500</v>
      </c>
      <c r="E1017" s="31"/>
      <c r="F1017" s="73" t="s">
        <v>11</v>
      </c>
      <c r="G1017" s="32">
        <v>25569</v>
      </c>
      <c r="H1017" s="29">
        <v>897.45000000000073</v>
      </c>
      <c r="I1017" s="17">
        <v>0</v>
      </c>
      <c r="J1017" s="17">
        <v>0</v>
      </c>
      <c r="K1017" s="17">
        <f t="shared" si="162"/>
        <v>897.45000000000073</v>
      </c>
      <c r="L1017" s="23">
        <f t="shared" si="167"/>
        <v>44.872500000000038</v>
      </c>
      <c r="M1017" s="33">
        <v>25</v>
      </c>
      <c r="N1017" s="18">
        <f t="shared" si="164"/>
        <v>51.284931506849318</v>
      </c>
      <c r="O1017" s="23">
        <v>731.5</v>
      </c>
      <c r="P1017" s="18">
        <f t="shared" si="165"/>
        <v>51.786301369863011</v>
      </c>
      <c r="Q1017" s="18">
        <v>0</v>
      </c>
      <c r="R1017" s="18">
        <f t="shared" si="163"/>
        <v>731.5</v>
      </c>
      <c r="S1017" s="18">
        <f t="shared" si="168"/>
        <v>165.95000000000073</v>
      </c>
    </row>
    <row r="1018" spans="1:19" ht="18.75" customHeight="1" x14ac:dyDescent="0.25">
      <c r="A1018" s="14">
        <f t="shared" si="166"/>
        <v>1015</v>
      </c>
      <c r="B1018" s="31" t="s">
        <v>958</v>
      </c>
      <c r="C1018" s="15" t="s">
        <v>3</v>
      </c>
      <c r="D1018" s="31" t="s">
        <v>500</v>
      </c>
      <c r="E1018" s="31"/>
      <c r="F1018" s="73" t="s">
        <v>11</v>
      </c>
      <c r="G1018" s="32">
        <v>25569</v>
      </c>
      <c r="H1018" s="29">
        <v>272.64999999999964</v>
      </c>
      <c r="I1018" s="17">
        <v>0</v>
      </c>
      <c r="J1018" s="17">
        <v>0</v>
      </c>
      <c r="K1018" s="17">
        <f t="shared" si="162"/>
        <v>272.64999999999964</v>
      </c>
      <c r="L1018" s="23">
        <f t="shared" si="167"/>
        <v>13.632499999999983</v>
      </c>
      <c r="M1018" s="33">
        <v>25</v>
      </c>
      <c r="N1018" s="18">
        <f t="shared" si="164"/>
        <v>51.284931506849318</v>
      </c>
      <c r="O1018" s="23">
        <v>299010.59999999998</v>
      </c>
      <c r="P1018" s="18">
        <f t="shared" si="165"/>
        <v>51.786301369863011</v>
      </c>
      <c r="Q1018" s="18">
        <v>0</v>
      </c>
      <c r="R1018" s="18">
        <f t="shared" si="163"/>
        <v>299010.59999999998</v>
      </c>
      <c r="S1018" s="18">
        <f t="shared" ref="S1018:S1025" si="170">L1018</f>
        <v>13.632499999999983</v>
      </c>
    </row>
    <row r="1019" spans="1:19" ht="18.75" customHeight="1" x14ac:dyDescent="0.25">
      <c r="A1019" s="14">
        <f t="shared" si="166"/>
        <v>1016</v>
      </c>
      <c r="B1019" s="31" t="s">
        <v>959</v>
      </c>
      <c r="C1019" s="15" t="s">
        <v>3</v>
      </c>
      <c r="D1019" s="31" t="s">
        <v>500</v>
      </c>
      <c r="E1019" s="31"/>
      <c r="F1019" s="73" t="s">
        <v>11</v>
      </c>
      <c r="G1019" s="32">
        <v>25569</v>
      </c>
      <c r="H1019" s="29">
        <v>101.45000000000005</v>
      </c>
      <c r="I1019" s="17">
        <v>0</v>
      </c>
      <c r="J1019" s="17">
        <v>0</v>
      </c>
      <c r="K1019" s="17">
        <f t="shared" si="162"/>
        <v>101.45000000000005</v>
      </c>
      <c r="L1019" s="23">
        <f t="shared" si="167"/>
        <v>5.0725000000000025</v>
      </c>
      <c r="M1019" s="33">
        <v>25</v>
      </c>
      <c r="N1019" s="18">
        <f t="shared" si="164"/>
        <v>51.284931506849318</v>
      </c>
      <c r="O1019" s="23">
        <v>29018.7</v>
      </c>
      <c r="P1019" s="18">
        <f t="shared" si="165"/>
        <v>51.786301369863011</v>
      </c>
      <c r="Q1019" s="18">
        <v>0</v>
      </c>
      <c r="R1019" s="18">
        <f t="shared" si="163"/>
        <v>29018.7</v>
      </c>
      <c r="S1019" s="18">
        <f t="shared" si="170"/>
        <v>5.0725000000000025</v>
      </c>
    </row>
    <row r="1020" spans="1:19" ht="18.75" customHeight="1" x14ac:dyDescent="0.25">
      <c r="A1020" s="14">
        <f t="shared" si="166"/>
        <v>1017</v>
      </c>
      <c r="B1020" s="31" t="s">
        <v>960</v>
      </c>
      <c r="C1020" s="15" t="s">
        <v>3</v>
      </c>
      <c r="D1020" s="31" t="s">
        <v>500</v>
      </c>
      <c r="E1020" s="31"/>
      <c r="F1020" s="73" t="s">
        <v>11</v>
      </c>
      <c r="G1020" s="32">
        <v>25569</v>
      </c>
      <c r="H1020" s="29">
        <v>56.950000000000045</v>
      </c>
      <c r="I1020" s="17">
        <v>0</v>
      </c>
      <c r="J1020" s="17">
        <v>0</v>
      </c>
      <c r="K1020" s="17">
        <f t="shared" si="162"/>
        <v>56.950000000000045</v>
      </c>
      <c r="L1020" s="23">
        <f t="shared" si="167"/>
        <v>2.8475000000000024</v>
      </c>
      <c r="M1020" s="33">
        <v>25</v>
      </c>
      <c r="N1020" s="18">
        <f t="shared" si="164"/>
        <v>51.284931506849318</v>
      </c>
      <c r="O1020" s="23">
        <v>260551.75</v>
      </c>
      <c r="P1020" s="18">
        <f t="shared" si="165"/>
        <v>51.786301369863011</v>
      </c>
      <c r="Q1020" s="18">
        <v>0</v>
      </c>
      <c r="R1020" s="18">
        <f t="shared" si="163"/>
        <v>260551.75</v>
      </c>
      <c r="S1020" s="18">
        <f t="shared" si="170"/>
        <v>2.8475000000000024</v>
      </c>
    </row>
    <row r="1021" spans="1:19" ht="18.75" customHeight="1" x14ac:dyDescent="0.25">
      <c r="A1021" s="14">
        <f t="shared" si="166"/>
        <v>1018</v>
      </c>
      <c r="B1021" s="31" t="s">
        <v>961</v>
      </c>
      <c r="C1021" s="15" t="s">
        <v>3</v>
      </c>
      <c r="D1021" s="31" t="s">
        <v>500</v>
      </c>
      <c r="E1021" s="31"/>
      <c r="F1021" s="73" t="s">
        <v>7</v>
      </c>
      <c r="G1021" s="32">
        <v>25569</v>
      </c>
      <c r="H1021" s="29">
        <v>10.199999999999989</v>
      </c>
      <c r="I1021" s="17">
        <v>0</v>
      </c>
      <c r="J1021" s="17">
        <v>0</v>
      </c>
      <c r="K1021" s="17">
        <f t="shared" si="162"/>
        <v>10.199999999999989</v>
      </c>
      <c r="L1021" s="23">
        <f t="shared" si="167"/>
        <v>0.50999999999999945</v>
      </c>
      <c r="M1021" s="33">
        <v>25</v>
      </c>
      <c r="N1021" s="18">
        <f t="shared" si="164"/>
        <v>51.284931506849318</v>
      </c>
      <c r="O1021" s="23">
        <v>34731.050000000003</v>
      </c>
      <c r="P1021" s="18">
        <f t="shared" si="165"/>
        <v>51.786301369863011</v>
      </c>
      <c r="Q1021" s="18">
        <v>0</v>
      </c>
      <c r="R1021" s="18">
        <f t="shared" si="163"/>
        <v>34731.050000000003</v>
      </c>
      <c r="S1021" s="18">
        <f t="shared" si="170"/>
        <v>0.50999999999999945</v>
      </c>
    </row>
    <row r="1022" spans="1:19" ht="18.75" customHeight="1" x14ac:dyDescent="0.25">
      <c r="A1022" s="14">
        <f t="shared" si="166"/>
        <v>1019</v>
      </c>
      <c r="B1022" s="31" t="s">
        <v>962</v>
      </c>
      <c r="C1022" s="15" t="s">
        <v>3</v>
      </c>
      <c r="D1022" s="31" t="s">
        <v>500</v>
      </c>
      <c r="E1022" s="31"/>
      <c r="F1022" s="73" t="s">
        <v>11</v>
      </c>
      <c r="G1022" s="32">
        <v>25934</v>
      </c>
      <c r="H1022" s="29">
        <v>2948.5500000000029</v>
      </c>
      <c r="I1022" s="17">
        <v>0</v>
      </c>
      <c r="J1022" s="17">
        <v>0</v>
      </c>
      <c r="K1022" s="17">
        <f t="shared" si="162"/>
        <v>2948.5500000000029</v>
      </c>
      <c r="L1022" s="23">
        <f t="shared" si="167"/>
        <v>147.42750000000015</v>
      </c>
      <c r="M1022" s="33">
        <v>25</v>
      </c>
      <c r="N1022" s="18">
        <f t="shared" si="164"/>
        <v>50.284931506849318</v>
      </c>
      <c r="O1022" s="23">
        <v>543180.55000000005</v>
      </c>
      <c r="P1022" s="18">
        <f t="shared" si="165"/>
        <v>50.786301369863011</v>
      </c>
      <c r="Q1022" s="18">
        <v>0</v>
      </c>
      <c r="R1022" s="18">
        <f t="shared" si="163"/>
        <v>543180.55000000005</v>
      </c>
      <c r="S1022" s="18">
        <f t="shared" si="170"/>
        <v>147.42750000000015</v>
      </c>
    </row>
    <row r="1023" spans="1:19" ht="18.75" customHeight="1" x14ac:dyDescent="0.25">
      <c r="A1023" s="14">
        <f t="shared" si="166"/>
        <v>1020</v>
      </c>
      <c r="B1023" s="31" t="s">
        <v>963</v>
      </c>
      <c r="C1023" s="15" t="s">
        <v>3</v>
      </c>
      <c r="D1023" s="31" t="s">
        <v>500</v>
      </c>
      <c r="E1023" s="31"/>
      <c r="F1023" s="73" t="s">
        <v>11</v>
      </c>
      <c r="G1023" s="32">
        <v>25934</v>
      </c>
      <c r="H1023" s="29">
        <v>1253.0999999999985</v>
      </c>
      <c r="I1023" s="17">
        <v>0</v>
      </c>
      <c r="J1023" s="17">
        <v>0</v>
      </c>
      <c r="K1023" s="17">
        <f t="shared" si="162"/>
        <v>1253.0999999999985</v>
      </c>
      <c r="L1023" s="23">
        <f t="shared" si="167"/>
        <v>62.65499999999993</v>
      </c>
      <c r="M1023" s="33">
        <v>25</v>
      </c>
      <c r="N1023" s="18">
        <f t="shared" si="164"/>
        <v>50.284931506849318</v>
      </c>
      <c r="O1023" s="23">
        <v>483884.4</v>
      </c>
      <c r="P1023" s="18">
        <f t="shared" si="165"/>
        <v>50.786301369863011</v>
      </c>
      <c r="Q1023" s="18">
        <v>0</v>
      </c>
      <c r="R1023" s="18">
        <f t="shared" si="163"/>
        <v>483884.4</v>
      </c>
      <c r="S1023" s="18">
        <f t="shared" si="170"/>
        <v>62.65499999999993</v>
      </c>
    </row>
    <row r="1024" spans="1:19" ht="18.75" customHeight="1" x14ac:dyDescent="0.25">
      <c r="A1024" s="14">
        <f t="shared" si="166"/>
        <v>1021</v>
      </c>
      <c r="B1024" s="31" t="s">
        <v>964</v>
      </c>
      <c r="C1024" s="15" t="s">
        <v>3</v>
      </c>
      <c r="D1024" s="31" t="s">
        <v>500</v>
      </c>
      <c r="E1024" s="31"/>
      <c r="F1024" s="73" t="s">
        <v>11</v>
      </c>
      <c r="G1024" s="32">
        <v>25934</v>
      </c>
      <c r="H1024" s="29">
        <v>170.5</v>
      </c>
      <c r="I1024" s="17">
        <v>0</v>
      </c>
      <c r="J1024" s="17">
        <v>0</v>
      </c>
      <c r="K1024" s="17">
        <f t="shared" si="162"/>
        <v>170.5</v>
      </c>
      <c r="L1024" s="23">
        <f t="shared" si="167"/>
        <v>8.5250000000000004</v>
      </c>
      <c r="M1024" s="33">
        <v>25</v>
      </c>
      <c r="N1024" s="18">
        <f t="shared" si="164"/>
        <v>50.284931506849318</v>
      </c>
      <c r="O1024" s="23">
        <v>39059.25</v>
      </c>
      <c r="P1024" s="18">
        <f t="shared" si="165"/>
        <v>50.786301369863011</v>
      </c>
      <c r="Q1024" s="18">
        <v>0</v>
      </c>
      <c r="R1024" s="18">
        <f t="shared" si="163"/>
        <v>39059.25</v>
      </c>
      <c r="S1024" s="18">
        <f t="shared" si="170"/>
        <v>8.5250000000000004</v>
      </c>
    </row>
    <row r="1025" spans="1:19" ht="18.75" customHeight="1" x14ac:dyDescent="0.25">
      <c r="A1025" s="14">
        <f t="shared" si="166"/>
        <v>1022</v>
      </c>
      <c r="B1025" s="31" t="s">
        <v>965</v>
      </c>
      <c r="C1025" s="15" t="s">
        <v>3</v>
      </c>
      <c r="D1025" s="31" t="s">
        <v>500</v>
      </c>
      <c r="E1025" s="31"/>
      <c r="F1025" s="73" t="s">
        <v>11</v>
      </c>
      <c r="G1025" s="32">
        <v>25934</v>
      </c>
      <c r="H1025" s="29">
        <v>102.09999999999991</v>
      </c>
      <c r="I1025" s="17">
        <v>0</v>
      </c>
      <c r="J1025" s="17">
        <v>0</v>
      </c>
      <c r="K1025" s="17">
        <f t="shared" si="162"/>
        <v>102.09999999999991</v>
      </c>
      <c r="L1025" s="23">
        <f t="shared" si="167"/>
        <v>5.104999999999996</v>
      </c>
      <c r="M1025" s="33">
        <v>25</v>
      </c>
      <c r="N1025" s="18">
        <f t="shared" si="164"/>
        <v>50.284931506849318</v>
      </c>
      <c r="O1025" s="23">
        <v>262154.40000000002</v>
      </c>
      <c r="P1025" s="18">
        <f t="shared" si="165"/>
        <v>50.786301369863011</v>
      </c>
      <c r="Q1025" s="18">
        <v>0</v>
      </c>
      <c r="R1025" s="18">
        <f t="shared" si="163"/>
        <v>262154.40000000002</v>
      </c>
      <c r="S1025" s="18">
        <f t="shared" si="170"/>
        <v>5.104999999999996</v>
      </c>
    </row>
    <row r="1026" spans="1:19" ht="18.75" customHeight="1" x14ac:dyDescent="0.25">
      <c r="A1026" s="14">
        <f t="shared" si="166"/>
        <v>1023</v>
      </c>
      <c r="B1026" s="31" t="s">
        <v>966</v>
      </c>
      <c r="C1026" s="15" t="s">
        <v>3</v>
      </c>
      <c r="D1026" s="31" t="s">
        <v>500</v>
      </c>
      <c r="E1026" s="31"/>
      <c r="F1026" s="73" t="s">
        <v>11</v>
      </c>
      <c r="G1026" s="32">
        <v>26299</v>
      </c>
      <c r="H1026" s="29">
        <v>13401.350000000006</v>
      </c>
      <c r="I1026" s="17">
        <v>0</v>
      </c>
      <c r="J1026" s="17">
        <v>0</v>
      </c>
      <c r="K1026" s="17">
        <f t="shared" si="162"/>
        <v>13401.350000000006</v>
      </c>
      <c r="L1026" s="23">
        <f t="shared" si="167"/>
        <v>670.06750000000034</v>
      </c>
      <c r="M1026" s="33">
        <v>25</v>
      </c>
      <c r="N1026" s="18">
        <f t="shared" si="164"/>
        <v>49.284931506849318</v>
      </c>
      <c r="O1026" s="23">
        <v>6809.4004999999997</v>
      </c>
      <c r="P1026" s="18">
        <f t="shared" si="165"/>
        <v>49.786301369863011</v>
      </c>
      <c r="Q1026" s="18">
        <v>0</v>
      </c>
      <c r="R1026" s="18">
        <f t="shared" si="163"/>
        <v>6809.4004999999997</v>
      </c>
      <c r="S1026" s="18">
        <f t="shared" si="168"/>
        <v>6591.9495000000061</v>
      </c>
    </row>
    <row r="1027" spans="1:19" ht="18.75" customHeight="1" x14ac:dyDescent="0.25">
      <c r="A1027" s="14">
        <f t="shared" si="166"/>
        <v>1024</v>
      </c>
      <c r="B1027" s="31" t="s">
        <v>967</v>
      </c>
      <c r="C1027" s="15" t="s">
        <v>3</v>
      </c>
      <c r="D1027" s="31" t="s">
        <v>500</v>
      </c>
      <c r="E1027" s="31"/>
      <c r="F1027" s="73" t="s">
        <v>11</v>
      </c>
      <c r="G1027" s="32">
        <v>26299</v>
      </c>
      <c r="H1027" s="29">
        <v>1391</v>
      </c>
      <c r="I1027" s="17">
        <v>0</v>
      </c>
      <c r="J1027" s="17">
        <v>0</v>
      </c>
      <c r="K1027" s="17">
        <f t="shared" si="162"/>
        <v>1391</v>
      </c>
      <c r="L1027" s="23">
        <f t="shared" si="167"/>
        <v>69.55</v>
      </c>
      <c r="M1027" s="33">
        <v>25</v>
      </c>
      <c r="N1027" s="18">
        <f t="shared" si="164"/>
        <v>49.284931506849318</v>
      </c>
      <c r="O1027" s="23">
        <v>2151.75</v>
      </c>
      <c r="P1027" s="18">
        <f t="shared" si="165"/>
        <v>49.786301369863011</v>
      </c>
      <c r="Q1027" s="18">
        <v>0</v>
      </c>
      <c r="R1027" s="18">
        <f t="shared" si="163"/>
        <v>2151.75</v>
      </c>
      <c r="S1027" s="18">
        <f t="shared" ref="S1027:S1028" si="171">L1027</f>
        <v>69.55</v>
      </c>
    </row>
    <row r="1028" spans="1:19" ht="18.75" customHeight="1" x14ac:dyDescent="0.25">
      <c r="A1028" s="14">
        <f t="shared" si="166"/>
        <v>1025</v>
      </c>
      <c r="B1028" s="31" t="s">
        <v>950</v>
      </c>
      <c r="C1028" s="15" t="s">
        <v>3</v>
      </c>
      <c r="D1028" s="31" t="s">
        <v>500</v>
      </c>
      <c r="E1028" s="31"/>
      <c r="F1028" s="73" t="s">
        <v>11</v>
      </c>
      <c r="G1028" s="32">
        <v>26299</v>
      </c>
      <c r="H1028" s="29">
        <v>79</v>
      </c>
      <c r="I1028" s="17">
        <v>0</v>
      </c>
      <c r="J1028" s="17">
        <v>0</v>
      </c>
      <c r="K1028" s="17">
        <f t="shared" ref="K1028:K1091" si="172">H1028+I1028-J1028</f>
        <v>79</v>
      </c>
      <c r="L1028" s="23">
        <f t="shared" si="167"/>
        <v>3.95</v>
      </c>
      <c r="M1028" s="33">
        <v>25</v>
      </c>
      <c r="N1028" s="18">
        <f t="shared" si="164"/>
        <v>49.284931506849318</v>
      </c>
      <c r="O1028" s="23">
        <v>2786.35</v>
      </c>
      <c r="P1028" s="18">
        <f t="shared" si="165"/>
        <v>49.786301369863011</v>
      </c>
      <c r="Q1028" s="18">
        <v>0</v>
      </c>
      <c r="R1028" s="18">
        <f t="shared" ref="R1028:R1091" si="173">Q1028+O1028</f>
        <v>2786.35</v>
      </c>
      <c r="S1028" s="18">
        <f t="shared" si="171"/>
        <v>3.95</v>
      </c>
    </row>
    <row r="1029" spans="1:19" ht="18.75" customHeight="1" x14ac:dyDescent="0.25">
      <c r="A1029" s="14">
        <f t="shared" si="166"/>
        <v>1026</v>
      </c>
      <c r="B1029" s="31" t="s">
        <v>968</v>
      </c>
      <c r="C1029" s="15" t="s">
        <v>3</v>
      </c>
      <c r="D1029" s="31" t="s">
        <v>500</v>
      </c>
      <c r="E1029" s="31"/>
      <c r="F1029" s="73" t="s">
        <v>4</v>
      </c>
      <c r="G1029" s="32">
        <v>31778</v>
      </c>
      <c r="H1029" s="29">
        <v>11023.399999999994</v>
      </c>
      <c r="I1029" s="17">
        <v>0</v>
      </c>
      <c r="J1029" s="17">
        <v>0</v>
      </c>
      <c r="K1029" s="17">
        <f t="shared" si="172"/>
        <v>11023.399999999994</v>
      </c>
      <c r="L1029" s="23">
        <f t="shared" si="167"/>
        <v>551.16999999999973</v>
      </c>
      <c r="M1029" s="33">
        <v>10</v>
      </c>
      <c r="N1029" s="18">
        <f t="shared" ref="N1029:N1092" si="174">IF(($N$2-G1029+1)/365&gt;0,($N$2-G1029+1)/365,0)</f>
        <v>34.273972602739725</v>
      </c>
      <c r="O1029" s="23">
        <v>2771.1499999999992</v>
      </c>
      <c r="P1029" s="18">
        <f t="shared" ref="P1029:P1092" si="175">($P$2-G1029+1)/365</f>
        <v>34.775342465753425</v>
      </c>
      <c r="Q1029" s="18">
        <v>0</v>
      </c>
      <c r="R1029" s="18">
        <f t="shared" si="173"/>
        <v>2771.1499999999992</v>
      </c>
      <c r="S1029" s="18">
        <f t="shared" ref="S1029:S1091" si="176">K1029-R1029</f>
        <v>8252.2499999999945</v>
      </c>
    </row>
    <row r="1030" spans="1:19" ht="18.75" customHeight="1" x14ac:dyDescent="0.25">
      <c r="A1030" s="14">
        <f t="shared" ref="A1030:A1093" si="177">+A1029+1</f>
        <v>1027</v>
      </c>
      <c r="B1030" s="31" t="s">
        <v>969</v>
      </c>
      <c r="C1030" s="15" t="s">
        <v>3</v>
      </c>
      <c r="D1030" s="31" t="s">
        <v>500</v>
      </c>
      <c r="E1030" s="31"/>
      <c r="F1030" s="73" t="s">
        <v>11</v>
      </c>
      <c r="G1030" s="32">
        <v>26665</v>
      </c>
      <c r="H1030" s="29">
        <v>1911.3000000000029</v>
      </c>
      <c r="I1030" s="17">
        <v>0</v>
      </c>
      <c r="J1030" s="17">
        <v>0</v>
      </c>
      <c r="K1030" s="17">
        <f t="shared" si="172"/>
        <v>1911.3000000000029</v>
      </c>
      <c r="L1030" s="23">
        <f t="shared" si="167"/>
        <v>95.565000000000154</v>
      </c>
      <c r="M1030" s="33">
        <v>25</v>
      </c>
      <c r="N1030" s="18">
        <f t="shared" si="174"/>
        <v>48.282191780821918</v>
      </c>
      <c r="O1030" s="23">
        <v>34166.293999999994</v>
      </c>
      <c r="P1030" s="18">
        <f t="shared" si="175"/>
        <v>48.783561643835618</v>
      </c>
      <c r="Q1030" s="18">
        <v>0</v>
      </c>
      <c r="R1030" s="18">
        <f t="shared" si="173"/>
        <v>34166.293999999994</v>
      </c>
      <c r="S1030" s="18">
        <f t="shared" ref="S1030:S1044" si="178">L1030</f>
        <v>95.565000000000154</v>
      </c>
    </row>
    <row r="1031" spans="1:19" ht="18.75" customHeight="1" x14ac:dyDescent="0.25">
      <c r="A1031" s="14">
        <f t="shared" si="177"/>
        <v>1028</v>
      </c>
      <c r="B1031" s="31" t="s">
        <v>970</v>
      </c>
      <c r="C1031" s="15" t="s">
        <v>3</v>
      </c>
      <c r="D1031" s="31" t="s">
        <v>500</v>
      </c>
      <c r="E1031" s="31"/>
      <c r="F1031" s="73" t="s">
        <v>11</v>
      </c>
      <c r="G1031" s="32">
        <v>26665</v>
      </c>
      <c r="H1031" s="29">
        <v>1279.9000000000015</v>
      </c>
      <c r="I1031" s="17">
        <v>0</v>
      </c>
      <c r="J1031" s="17">
        <v>0</v>
      </c>
      <c r="K1031" s="17">
        <f t="shared" si="172"/>
        <v>1279.9000000000015</v>
      </c>
      <c r="L1031" s="23">
        <f t="shared" si="167"/>
        <v>63.995000000000076</v>
      </c>
      <c r="M1031" s="33">
        <v>25</v>
      </c>
      <c r="N1031" s="18">
        <f t="shared" si="174"/>
        <v>48.282191780821918</v>
      </c>
      <c r="O1031" s="23">
        <v>476729</v>
      </c>
      <c r="P1031" s="18">
        <f t="shared" si="175"/>
        <v>48.783561643835618</v>
      </c>
      <c r="Q1031" s="18">
        <v>0</v>
      </c>
      <c r="R1031" s="18">
        <f t="shared" si="173"/>
        <v>476729</v>
      </c>
      <c r="S1031" s="18">
        <f t="shared" si="178"/>
        <v>63.995000000000076</v>
      </c>
    </row>
    <row r="1032" spans="1:19" ht="18.75" customHeight="1" x14ac:dyDescent="0.25">
      <c r="A1032" s="14">
        <f t="shared" si="177"/>
        <v>1029</v>
      </c>
      <c r="B1032" s="31" t="s">
        <v>971</v>
      </c>
      <c r="C1032" s="15" t="s">
        <v>3</v>
      </c>
      <c r="D1032" s="31" t="s">
        <v>500</v>
      </c>
      <c r="E1032" s="31"/>
      <c r="F1032" s="73" t="s">
        <v>14</v>
      </c>
      <c r="G1032" s="32">
        <v>30317</v>
      </c>
      <c r="H1032" s="29">
        <v>23162.25</v>
      </c>
      <c r="I1032" s="17">
        <v>0</v>
      </c>
      <c r="J1032" s="17">
        <v>0</v>
      </c>
      <c r="K1032" s="17">
        <f t="shared" si="172"/>
        <v>23162.25</v>
      </c>
      <c r="L1032" s="23">
        <f t="shared" si="167"/>
        <v>1158.1125</v>
      </c>
      <c r="M1032" s="33">
        <v>15</v>
      </c>
      <c r="N1032" s="18">
        <f t="shared" si="174"/>
        <v>38.276712328767125</v>
      </c>
      <c r="O1032" s="23">
        <v>1080321</v>
      </c>
      <c r="P1032" s="18">
        <f t="shared" si="175"/>
        <v>38.778082191780825</v>
      </c>
      <c r="Q1032" s="18">
        <v>0</v>
      </c>
      <c r="R1032" s="18">
        <f t="shared" si="173"/>
        <v>1080321</v>
      </c>
      <c r="S1032" s="18">
        <f t="shared" si="178"/>
        <v>1158.1125</v>
      </c>
    </row>
    <row r="1033" spans="1:19" ht="18.75" customHeight="1" x14ac:dyDescent="0.25">
      <c r="A1033" s="14">
        <f t="shared" si="177"/>
        <v>1030</v>
      </c>
      <c r="B1033" s="31" t="s">
        <v>972</v>
      </c>
      <c r="C1033" s="15" t="s">
        <v>3</v>
      </c>
      <c r="D1033" s="31" t="s">
        <v>500</v>
      </c>
      <c r="E1033" s="31"/>
      <c r="F1033" s="73" t="s">
        <v>14</v>
      </c>
      <c r="G1033" s="32">
        <v>30317</v>
      </c>
      <c r="H1033" s="29">
        <v>3758.0500000000029</v>
      </c>
      <c r="I1033" s="17">
        <v>0</v>
      </c>
      <c r="J1033" s="17">
        <v>0</v>
      </c>
      <c r="K1033" s="17">
        <f t="shared" si="172"/>
        <v>3758.0500000000029</v>
      </c>
      <c r="L1033" s="23">
        <f t="shared" si="167"/>
        <v>187.90250000000015</v>
      </c>
      <c r="M1033" s="33">
        <v>15</v>
      </c>
      <c r="N1033" s="18">
        <f t="shared" si="174"/>
        <v>38.276712328767125</v>
      </c>
      <c r="O1033" s="23">
        <v>24509.05</v>
      </c>
      <c r="P1033" s="18">
        <f t="shared" si="175"/>
        <v>38.778082191780825</v>
      </c>
      <c r="Q1033" s="18">
        <v>0</v>
      </c>
      <c r="R1033" s="18">
        <f t="shared" si="173"/>
        <v>24509.05</v>
      </c>
      <c r="S1033" s="18">
        <f t="shared" si="178"/>
        <v>187.90250000000015</v>
      </c>
    </row>
    <row r="1034" spans="1:19" ht="18.75" customHeight="1" x14ac:dyDescent="0.25">
      <c r="A1034" s="14">
        <f t="shared" si="177"/>
        <v>1031</v>
      </c>
      <c r="B1034" s="31" t="s">
        <v>973</v>
      </c>
      <c r="C1034" s="15" t="s">
        <v>3</v>
      </c>
      <c r="D1034" s="31" t="s">
        <v>500</v>
      </c>
      <c r="E1034" s="31"/>
      <c r="F1034" s="73" t="s">
        <v>11</v>
      </c>
      <c r="G1034" s="32">
        <v>32143</v>
      </c>
      <c r="H1034" s="29">
        <v>1190.8499999999985</v>
      </c>
      <c r="I1034" s="17">
        <v>0</v>
      </c>
      <c r="J1034" s="17">
        <v>0</v>
      </c>
      <c r="K1034" s="17">
        <f t="shared" si="172"/>
        <v>1190.8499999999985</v>
      </c>
      <c r="L1034" s="23">
        <f t="shared" si="167"/>
        <v>59.542499999999933</v>
      </c>
      <c r="M1034" s="33">
        <v>10</v>
      </c>
      <c r="N1034" s="18">
        <f t="shared" si="174"/>
        <v>33.273972602739725</v>
      </c>
      <c r="O1034" s="23">
        <v>40470</v>
      </c>
      <c r="P1034" s="18">
        <f t="shared" si="175"/>
        <v>33.775342465753425</v>
      </c>
      <c r="Q1034" s="18">
        <v>0</v>
      </c>
      <c r="R1034" s="18">
        <f t="shared" si="173"/>
        <v>40470</v>
      </c>
      <c r="S1034" s="18">
        <f t="shared" si="178"/>
        <v>59.542499999999933</v>
      </c>
    </row>
    <row r="1035" spans="1:19" ht="18.75" customHeight="1" x14ac:dyDescent="0.25">
      <c r="A1035" s="14">
        <f t="shared" si="177"/>
        <v>1032</v>
      </c>
      <c r="B1035" s="31" t="s">
        <v>974</v>
      </c>
      <c r="C1035" s="15" t="s">
        <v>3</v>
      </c>
      <c r="D1035" s="31" t="s">
        <v>500</v>
      </c>
      <c r="E1035" s="31"/>
      <c r="F1035" s="73" t="s">
        <v>11</v>
      </c>
      <c r="G1035" s="32">
        <v>32143</v>
      </c>
      <c r="H1035" s="29">
        <v>183.94999999999982</v>
      </c>
      <c r="I1035" s="17">
        <v>0</v>
      </c>
      <c r="J1035" s="17">
        <v>0</v>
      </c>
      <c r="K1035" s="17">
        <f t="shared" si="172"/>
        <v>183.94999999999982</v>
      </c>
      <c r="L1035" s="23">
        <f t="shared" si="167"/>
        <v>9.1974999999999909</v>
      </c>
      <c r="M1035" s="33">
        <v>10</v>
      </c>
      <c r="N1035" s="18">
        <f t="shared" si="174"/>
        <v>33.273972602739725</v>
      </c>
      <c r="O1035" s="23">
        <v>57000</v>
      </c>
      <c r="P1035" s="18">
        <f t="shared" si="175"/>
        <v>33.775342465753425</v>
      </c>
      <c r="Q1035" s="18">
        <v>0</v>
      </c>
      <c r="R1035" s="18">
        <f t="shared" si="173"/>
        <v>57000</v>
      </c>
      <c r="S1035" s="18">
        <f t="shared" si="178"/>
        <v>9.1974999999999909</v>
      </c>
    </row>
    <row r="1036" spans="1:19" ht="18.75" customHeight="1" x14ac:dyDescent="0.25">
      <c r="A1036" s="14">
        <f t="shared" si="177"/>
        <v>1033</v>
      </c>
      <c r="B1036" s="31" t="s">
        <v>975</v>
      </c>
      <c r="C1036" s="15" t="s">
        <v>3</v>
      </c>
      <c r="D1036" s="31" t="s">
        <v>500</v>
      </c>
      <c r="E1036" s="31"/>
      <c r="F1036" s="73" t="s">
        <v>11</v>
      </c>
      <c r="G1036" s="32">
        <v>27395</v>
      </c>
      <c r="H1036" s="29">
        <v>285</v>
      </c>
      <c r="I1036" s="17">
        <v>0</v>
      </c>
      <c r="J1036" s="17">
        <v>0</v>
      </c>
      <c r="K1036" s="17">
        <f t="shared" si="172"/>
        <v>285</v>
      </c>
      <c r="L1036" s="23">
        <f t="shared" si="167"/>
        <v>14.25</v>
      </c>
      <c r="M1036" s="33">
        <v>25</v>
      </c>
      <c r="N1036" s="18">
        <f t="shared" si="174"/>
        <v>46.282191780821918</v>
      </c>
      <c r="O1036" s="23">
        <v>22800</v>
      </c>
      <c r="P1036" s="18">
        <f t="shared" si="175"/>
        <v>46.783561643835618</v>
      </c>
      <c r="Q1036" s="18">
        <v>0</v>
      </c>
      <c r="R1036" s="18">
        <f t="shared" si="173"/>
        <v>22800</v>
      </c>
      <c r="S1036" s="18">
        <f t="shared" si="178"/>
        <v>14.25</v>
      </c>
    </row>
    <row r="1037" spans="1:19" ht="18.75" customHeight="1" x14ac:dyDescent="0.25">
      <c r="A1037" s="14">
        <f t="shared" si="177"/>
        <v>1034</v>
      </c>
      <c r="B1037" s="31" t="s">
        <v>976</v>
      </c>
      <c r="C1037" s="15" t="s">
        <v>3</v>
      </c>
      <c r="D1037" s="31" t="s">
        <v>500</v>
      </c>
      <c r="E1037" s="31"/>
      <c r="F1037" s="73" t="s">
        <v>11</v>
      </c>
      <c r="G1037" s="32">
        <v>27395</v>
      </c>
      <c r="H1037" s="29">
        <v>4.6500000000000057</v>
      </c>
      <c r="I1037" s="17">
        <v>0</v>
      </c>
      <c r="J1037" s="17">
        <v>0</v>
      </c>
      <c r="K1037" s="17">
        <f t="shared" si="172"/>
        <v>4.6500000000000057</v>
      </c>
      <c r="L1037" s="23">
        <f t="shared" si="167"/>
        <v>0.23250000000000029</v>
      </c>
      <c r="M1037" s="33">
        <v>25</v>
      </c>
      <c r="N1037" s="18">
        <f t="shared" si="174"/>
        <v>46.282191780821918</v>
      </c>
      <c r="O1037" s="23">
        <v>23655</v>
      </c>
      <c r="P1037" s="18">
        <f t="shared" si="175"/>
        <v>46.783561643835618</v>
      </c>
      <c r="Q1037" s="18">
        <v>0</v>
      </c>
      <c r="R1037" s="18">
        <f t="shared" si="173"/>
        <v>23655</v>
      </c>
      <c r="S1037" s="18">
        <f t="shared" si="178"/>
        <v>0.23250000000000029</v>
      </c>
    </row>
    <row r="1038" spans="1:19" ht="18.75" customHeight="1" x14ac:dyDescent="0.25">
      <c r="A1038" s="14">
        <f t="shared" si="177"/>
        <v>1035</v>
      </c>
      <c r="B1038" s="31" t="s">
        <v>977</v>
      </c>
      <c r="C1038" s="15" t="s">
        <v>3</v>
      </c>
      <c r="D1038" s="31" t="s">
        <v>500</v>
      </c>
      <c r="E1038" s="31"/>
      <c r="F1038" s="73" t="s">
        <v>11</v>
      </c>
      <c r="G1038" s="32">
        <v>33115</v>
      </c>
      <c r="H1038" s="29">
        <v>912.65000000000146</v>
      </c>
      <c r="I1038" s="17">
        <v>0</v>
      </c>
      <c r="J1038" s="17">
        <v>0</v>
      </c>
      <c r="K1038" s="17">
        <f t="shared" si="172"/>
        <v>912.65000000000146</v>
      </c>
      <c r="L1038" s="23">
        <f t="shared" si="167"/>
        <v>45.632500000000078</v>
      </c>
      <c r="M1038" s="33">
        <v>10</v>
      </c>
      <c r="N1038" s="18">
        <f t="shared" si="174"/>
        <v>30.610958904109587</v>
      </c>
      <c r="O1038" s="23">
        <v>15105</v>
      </c>
      <c r="P1038" s="18">
        <f t="shared" si="175"/>
        <v>31.112328767123287</v>
      </c>
      <c r="Q1038" s="18">
        <v>0</v>
      </c>
      <c r="R1038" s="18">
        <f t="shared" si="173"/>
        <v>15105</v>
      </c>
      <c r="S1038" s="18">
        <f t="shared" si="178"/>
        <v>45.632500000000078</v>
      </c>
    </row>
    <row r="1039" spans="1:19" ht="18.75" customHeight="1" x14ac:dyDescent="0.25">
      <c r="A1039" s="14">
        <f t="shared" si="177"/>
        <v>1036</v>
      </c>
      <c r="B1039" s="31" t="s">
        <v>978</v>
      </c>
      <c r="C1039" s="15" t="s">
        <v>3</v>
      </c>
      <c r="D1039" s="31" t="s">
        <v>500</v>
      </c>
      <c r="E1039" s="31"/>
      <c r="F1039" s="73" t="s">
        <v>8</v>
      </c>
      <c r="G1039" s="32">
        <v>27760</v>
      </c>
      <c r="H1039" s="29">
        <v>5468.8000000000029</v>
      </c>
      <c r="I1039" s="17">
        <v>0</v>
      </c>
      <c r="J1039" s="17">
        <v>0</v>
      </c>
      <c r="K1039" s="17">
        <f t="shared" si="172"/>
        <v>5468.8000000000029</v>
      </c>
      <c r="L1039" s="23">
        <f t="shared" si="167"/>
        <v>273.44000000000017</v>
      </c>
      <c r="M1039" s="33">
        <v>25</v>
      </c>
      <c r="N1039" s="18">
        <f t="shared" si="174"/>
        <v>45.282191780821918</v>
      </c>
      <c r="O1039" s="23">
        <v>130340</v>
      </c>
      <c r="P1039" s="18">
        <f t="shared" si="175"/>
        <v>45.783561643835618</v>
      </c>
      <c r="Q1039" s="18">
        <v>0</v>
      </c>
      <c r="R1039" s="18">
        <f t="shared" si="173"/>
        <v>130340</v>
      </c>
      <c r="S1039" s="18">
        <f t="shared" si="178"/>
        <v>273.44000000000017</v>
      </c>
    </row>
    <row r="1040" spans="1:19" ht="18.75" customHeight="1" x14ac:dyDescent="0.25">
      <c r="A1040" s="14">
        <f t="shared" si="177"/>
        <v>1037</v>
      </c>
      <c r="B1040" s="31" t="s">
        <v>978</v>
      </c>
      <c r="C1040" s="15" t="s">
        <v>3</v>
      </c>
      <c r="D1040" s="31" t="s">
        <v>500</v>
      </c>
      <c r="E1040" s="31"/>
      <c r="F1040" s="73" t="s">
        <v>8</v>
      </c>
      <c r="G1040" s="32">
        <v>27760</v>
      </c>
      <c r="H1040" s="29">
        <v>4800.8000000000029</v>
      </c>
      <c r="I1040" s="17">
        <v>0</v>
      </c>
      <c r="J1040" s="17">
        <v>0</v>
      </c>
      <c r="K1040" s="17">
        <f t="shared" si="172"/>
        <v>4800.8000000000029</v>
      </c>
      <c r="L1040" s="23">
        <f t="shared" si="167"/>
        <v>240.04000000000016</v>
      </c>
      <c r="M1040" s="33">
        <v>25</v>
      </c>
      <c r="N1040" s="18">
        <f t="shared" si="174"/>
        <v>45.282191780821918</v>
      </c>
      <c r="O1040" s="23">
        <v>9499.0499999999993</v>
      </c>
      <c r="P1040" s="18">
        <f t="shared" si="175"/>
        <v>45.783561643835618</v>
      </c>
      <c r="Q1040" s="18">
        <v>0</v>
      </c>
      <c r="R1040" s="18">
        <f t="shared" si="173"/>
        <v>9499.0499999999993</v>
      </c>
      <c r="S1040" s="18">
        <f t="shared" si="178"/>
        <v>240.04000000000016</v>
      </c>
    </row>
    <row r="1041" spans="1:19" ht="18.75" customHeight="1" x14ac:dyDescent="0.25">
      <c r="A1041" s="14">
        <f t="shared" si="177"/>
        <v>1038</v>
      </c>
      <c r="B1041" s="31" t="s">
        <v>979</v>
      </c>
      <c r="C1041" s="15" t="s">
        <v>3</v>
      </c>
      <c r="D1041" s="31" t="s">
        <v>500</v>
      </c>
      <c r="E1041" s="31"/>
      <c r="F1041" s="73" t="s">
        <v>8</v>
      </c>
      <c r="G1041" s="32">
        <v>27760</v>
      </c>
      <c r="H1041" s="29">
        <v>2481.0999999999985</v>
      </c>
      <c r="I1041" s="17">
        <v>0</v>
      </c>
      <c r="J1041" s="17">
        <v>0</v>
      </c>
      <c r="K1041" s="17">
        <f t="shared" si="172"/>
        <v>2481.0999999999985</v>
      </c>
      <c r="L1041" s="23">
        <f t="shared" si="167"/>
        <v>124.05499999999994</v>
      </c>
      <c r="M1041" s="33">
        <v>25</v>
      </c>
      <c r="N1041" s="18">
        <f t="shared" si="174"/>
        <v>45.282191780821918</v>
      </c>
      <c r="O1041" s="23">
        <v>40754.050000000003</v>
      </c>
      <c r="P1041" s="18">
        <f t="shared" si="175"/>
        <v>45.783561643835618</v>
      </c>
      <c r="Q1041" s="18">
        <v>0</v>
      </c>
      <c r="R1041" s="18">
        <f t="shared" si="173"/>
        <v>40754.050000000003</v>
      </c>
      <c r="S1041" s="18">
        <f t="shared" si="178"/>
        <v>124.05499999999994</v>
      </c>
    </row>
    <row r="1042" spans="1:19" ht="18.75" customHeight="1" x14ac:dyDescent="0.25">
      <c r="A1042" s="14">
        <f t="shared" si="177"/>
        <v>1039</v>
      </c>
      <c r="B1042" s="31" t="s">
        <v>980</v>
      </c>
      <c r="C1042" s="15" t="s">
        <v>3</v>
      </c>
      <c r="D1042" s="31" t="s">
        <v>500</v>
      </c>
      <c r="E1042" s="31"/>
      <c r="F1042" s="73" t="s">
        <v>8</v>
      </c>
      <c r="G1042" s="32">
        <v>27760</v>
      </c>
      <c r="H1042" s="29">
        <v>312.60000000000036</v>
      </c>
      <c r="I1042" s="17">
        <v>0</v>
      </c>
      <c r="J1042" s="17">
        <v>0</v>
      </c>
      <c r="K1042" s="17">
        <f t="shared" si="172"/>
        <v>312.60000000000036</v>
      </c>
      <c r="L1042" s="23">
        <f t="shared" si="167"/>
        <v>15.630000000000019</v>
      </c>
      <c r="M1042" s="33">
        <v>25</v>
      </c>
      <c r="N1042" s="18">
        <f t="shared" si="174"/>
        <v>45.282191780821918</v>
      </c>
      <c r="O1042" s="23">
        <v>54150</v>
      </c>
      <c r="P1042" s="18">
        <f t="shared" si="175"/>
        <v>45.783561643835618</v>
      </c>
      <c r="Q1042" s="18">
        <v>0</v>
      </c>
      <c r="R1042" s="18">
        <f t="shared" si="173"/>
        <v>54150</v>
      </c>
      <c r="S1042" s="18">
        <f t="shared" si="178"/>
        <v>15.630000000000019</v>
      </c>
    </row>
    <row r="1043" spans="1:19" ht="18.75" customHeight="1" x14ac:dyDescent="0.25">
      <c r="A1043" s="14">
        <f t="shared" si="177"/>
        <v>1040</v>
      </c>
      <c r="B1043" s="31" t="s">
        <v>981</v>
      </c>
      <c r="C1043" s="15" t="s">
        <v>3</v>
      </c>
      <c r="D1043" s="31" t="s">
        <v>500</v>
      </c>
      <c r="E1043" s="31"/>
      <c r="F1043" s="73" t="s">
        <v>14</v>
      </c>
      <c r="G1043" s="32">
        <v>31413</v>
      </c>
      <c r="H1043" s="29">
        <v>36053.349999999977</v>
      </c>
      <c r="I1043" s="17">
        <v>0</v>
      </c>
      <c r="J1043" s="17">
        <v>0</v>
      </c>
      <c r="K1043" s="17">
        <f t="shared" si="172"/>
        <v>36053.349999999977</v>
      </c>
      <c r="L1043" s="23">
        <f t="shared" si="167"/>
        <v>1802.6674999999989</v>
      </c>
      <c r="M1043" s="33">
        <v>15</v>
      </c>
      <c r="N1043" s="18">
        <f t="shared" si="174"/>
        <v>35.273972602739725</v>
      </c>
      <c r="O1043" s="23">
        <v>56050</v>
      </c>
      <c r="P1043" s="18">
        <f t="shared" si="175"/>
        <v>35.775342465753425</v>
      </c>
      <c r="Q1043" s="18">
        <v>0</v>
      </c>
      <c r="R1043" s="18">
        <f t="shared" si="173"/>
        <v>56050</v>
      </c>
      <c r="S1043" s="18">
        <f t="shared" si="178"/>
        <v>1802.6674999999989</v>
      </c>
    </row>
    <row r="1044" spans="1:19" ht="18.75" customHeight="1" x14ac:dyDescent="0.25">
      <c r="A1044" s="14">
        <f t="shared" si="177"/>
        <v>1041</v>
      </c>
      <c r="B1044" s="31" t="s">
        <v>735</v>
      </c>
      <c r="C1044" s="15" t="s">
        <v>3</v>
      </c>
      <c r="D1044" s="31" t="s">
        <v>500</v>
      </c>
      <c r="E1044" s="31"/>
      <c r="F1044" s="73" t="s">
        <v>4</v>
      </c>
      <c r="G1044" s="32">
        <v>31413</v>
      </c>
      <c r="H1044" s="29">
        <v>1016.25</v>
      </c>
      <c r="I1044" s="17">
        <v>0</v>
      </c>
      <c r="J1044" s="17">
        <v>0</v>
      </c>
      <c r="K1044" s="17">
        <f t="shared" si="172"/>
        <v>1016.25</v>
      </c>
      <c r="L1044" s="23">
        <f t="shared" si="167"/>
        <v>50.8125</v>
      </c>
      <c r="M1044" s="33">
        <v>15</v>
      </c>
      <c r="N1044" s="18">
        <f t="shared" si="174"/>
        <v>35.273972602739725</v>
      </c>
      <c r="O1044" s="23">
        <v>5795</v>
      </c>
      <c r="P1044" s="18">
        <f t="shared" si="175"/>
        <v>35.775342465753425</v>
      </c>
      <c r="Q1044" s="18">
        <v>0</v>
      </c>
      <c r="R1044" s="18">
        <f t="shared" si="173"/>
        <v>5795</v>
      </c>
      <c r="S1044" s="18">
        <f t="shared" si="178"/>
        <v>50.8125</v>
      </c>
    </row>
    <row r="1045" spans="1:19" ht="18.75" customHeight="1" x14ac:dyDescent="0.25">
      <c r="A1045" s="14">
        <f t="shared" si="177"/>
        <v>1042</v>
      </c>
      <c r="B1045" s="31" t="s">
        <v>982</v>
      </c>
      <c r="C1045" s="15" t="s">
        <v>3</v>
      </c>
      <c r="D1045" s="31" t="s">
        <v>500</v>
      </c>
      <c r="E1045" s="31"/>
      <c r="F1045" s="70" t="s">
        <v>7</v>
      </c>
      <c r="G1045" s="32">
        <v>36129</v>
      </c>
      <c r="H1045" s="29">
        <v>39753.400000000023</v>
      </c>
      <c r="I1045" s="17">
        <v>0</v>
      </c>
      <c r="J1045" s="17">
        <v>0</v>
      </c>
      <c r="K1045" s="17">
        <f t="shared" si="172"/>
        <v>39753.400000000023</v>
      </c>
      <c r="L1045" s="23">
        <f t="shared" si="167"/>
        <v>1987.6700000000012</v>
      </c>
      <c r="M1045" s="33">
        <v>15</v>
      </c>
      <c r="N1045" s="18">
        <f t="shared" si="174"/>
        <v>22.353424657534248</v>
      </c>
      <c r="O1045" s="23">
        <v>9526.1250000000018</v>
      </c>
      <c r="P1045" s="18">
        <f t="shared" si="175"/>
        <v>22.854794520547944</v>
      </c>
      <c r="Q1045" s="18">
        <v>0</v>
      </c>
      <c r="R1045" s="18">
        <f t="shared" si="173"/>
        <v>9526.1250000000018</v>
      </c>
      <c r="S1045" s="18">
        <f t="shared" si="176"/>
        <v>30227.275000000023</v>
      </c>
    </row>
    <row r="1046" spans="1:19" ht="18.75" customHeight="1" x14ac:dyDescent="0.25">
      <c r="A1046" s="14">
        <f t="shared" si="177"/>
        <v>1043</v>
      </c>
      <c r="B1046" s="31" t="s">
        <v>983</v>
      </c>
      <c r="C1046" s="15" t="s">
        <v>3</v>
      </c>
      <c r="D1046" s="31" t="s">
        <v>500</v>
      </c>
      <c r="E1046" s="31"/>
      <c r="F1046" s="73" t="s">
        <v>8</v>
      </c>
      <c r="G1046" s="32">
        <v>33560</v>
      </c>
      <c r="H1046" s="29">
        <v>706.25</v>
      </c>
      <c r="I1046" s="17">
        <v>0</v>
      </c>
      <c r="J1046" s="17">
        <v>0</v>
      </c>
      <c r="K1046" s="17">
        <f t="shared" si="172"/>
        <v>706.25</v>
      </c>
      <c r="L1046" s="23">
        <f t="shared" si="167"/>
        <v>35.3125</v>
      </c>
      <c r="M1046" s="33">
        <v>10</v>
      </c>
      <c r="N1046" s="18">
        <f t="shared" si="174"/>
        <v>29.391780821917809</v>
      </c>
      <c r="O1046" s="23">
        <v>47500</v>
      </c>
      <c r="P1046" s="18">
        <f t="shared" si="175"/>
        <v>29.893150684931506</v>
      </c>
      <c r="Q1046" s="18">
        <v>0</v>
      </c>
      <c r="R1046" s="18">
        <f t="shared" si="173"/>
        <v>47500</v>
      </c>
      <c r="S1046" s="18">
        <f>L1046</f>
        <v>35.3125</v>
      </c>
    </row>
    <row r="1047" spans="1:19" ht="18.75" customHeight="1" x14ac:dyDescent="0.25">
      <c r="A1047" s="14">
        <f t="shared" si="177"/>
        <v>1044</v>
      </c>
      <c r="B1047" s="31" t="s">
        <v>984</v>
      </c>
      <c r="C1047" s="15" t="s">
        <v>3</v>
      </c>
      <c r="D1047" s="31" t="s">
        <v>500</v>
      </c>
      <c r="E1047" s="31"/>
      <c r="F1047" s="73" t="s">
        <v>8</v>
      </c>
      <c r="G1047" s="32">
        <v>28126</v>
      </c>
      <c r="H1047" s="29">
        <v>120048.75</v>
      </c>
      <c r="I1047" s="17">
        <v>0</v>
      </c>
      <c r="J1047" s="17">
        <v>0</v>
      </c>
      <c r="K1047" s="17">
        <f t="shared" si="172"/>
        <v>120048.75</v>
      </c>
      <c r="L1047" s="23">
        <f t="shared" ref="L1047:L1110" si="179">H1047*0.05</f>
        <v>6002.4375</v>
      </c>
      <c r="M1047" s="33">
        <v>25</v>
      </c>
      <c r="N1047" s="18">
        <f t="shared" si="174"/>
        <v>44.279452054794518</v>
      </c>
      <c r="O1047" s="23">
        <v>2850</v>
      </c>
      <c r="P1047" s="18">
        <f t="shared" si="175"/>
        <v>44.780821917808218</v>
      </c>
      <c r="Q1047" s="18">
        <v>0</v>
      </c>
      <c r="R1047" s="18">
        <f t="shared" si="173"/>
        <v>2850</v>
      </c>
      <c r="S1047" s="18">
        <f t="shared" si="176"/>
        <v>117198.75</v>
      </c>
    </row>
    <row r="1048" spans="1:19" ht="18.75" customHeight="1" x14ac:dyDescent="0.25">
      <c r="A1048" s="14">
        <f t="shared" si="177"/>
        <v>1045</v>
      </c>
      <c r="B1048" s="31" t="s">
        <v>985</v>
      </c>
      <c r="C1048" s="15" t="s">
        <v>3</v>
      </c>
      <c r="D1048" s="31" t="s">
        <v>500</v>
      </c>
      <c r="E1048" s="31"/>
      <c r="F1048" s="73" t="s">
        <v>11</v>
      </c>
      <c r="G1048" s="32">
        <v>28126</v>
      </c>
      <c r="H1048" s="29">
        <v>40633.300000000047</v>
      </c>
      <c r="I1048" s="17">
        <v>0</v>
      </c>
      <c r="J1048" s="17">
        <v>0</v>
      </c>
      <c r="K1048" s="17">
        <f t="shared" si="172"/>
        <v>40633.300000000047</v>
      </c>
      <c r="L1048" s="23">
        <f t="shared" si="179"/>
        <v>2031.6650000000025</v>
      </c>
      <c r="M1048" s="33">
        <v>25</v>
      </c>
      <c r="N1048" s="18">
        <f t="shared" si="174"/>
        <v>44.279452054794518</v>
      </c>
      <c r="O1048" s="23">
        <v>1520.0000000000018</v>
      </c>
      <c r="P1048" s="18">
        <f t="shared" si="175"/>
        <v>44.780821917808218</v>
      </c>
      <c r="Q1048" s="18">
        <v>0</v>
      </c>
      <c r="R1048" s="18">
        <f t="shared" si="173"/>
        <v>1520.0000000000018</v>
      </c>
      <c r="S1048" s="18">
        <f t="shared" si="176"/>
        <v>39113.300000000047</v>
      </c>
    </row>
    <row r="1049" spans="1:19" ht="18.75" customHeight="1" x14ac:dyDescent="0.25">
      <c r="A1049" s="14">
        <f t="shared" si="177"/>
        <v>1046</v>
      </c>
      <c r="B1049" s="31" t="s">
        <v>986</v>
      </c>
      <c r="C1049" s="15" t="s">
        <v>3</v>
      </c>
      <c r="D1049" s="31" t="s">
        <v>500</v>
      </c>
      <c r="E1049" s="31"/>
      <c r="F1049" s="73" t="s">
        <v>8</v>
      </c>
      <c r="G1049" s="32">
        <v>28126</v>
      </c>
      <c r="H1049" s="29">
        <v>27068.650000000023</v>
      </c>
      <c r="I1049" s="17">
        <v>0</v>
      </c>
      <c r="J1049" s="17">
        <v>0</v>
      </c>
      <c r="K1049" s="17">
        <f t="shared" si="172"/>
        <v>27068.650000000023</v>
      </c>
      <c r="L1049" s="23">
        <f t="shared" si="179"/>
        <v>1353.4325000000013</v>
      </c>
      <c r="M1049" s="33">
        <v>25</v>
      </c>
      <c r="N1049" s="18">
        <f t="shared" si="174"/>
        <v>44.279452054794518</v>
      </c>
      <c r="O1049" s="23">
        <v>403.75000000000085</v>
      </c>
      <c r="P1049" s="18">
        <f t="shared" si="175"/>
        <v>44.780821917808218</v>
      </c>
      <c r="Q1049" s="18">
        <v>0</v>
      </c>
      <c r="R1049" s="18">
        <f t="shared" si="173"/>
        <v>403.75000000000085</v>
      </c>
      <c r="S1049" s="18">
        <f t="shared" si="176"/>
        <v>26664.900000000023</v>
      </c>
    </row>
    <row r="1050" spans="1:19" ht="18.75" customHeight="1" x14ac:dyDescent="0.25">
      <c r="A1050" s="14">
        <f t="shared" si="177"/>
        <v>1047</v>
      </c>
      <c r="B1050" s="31" t="s">
        <v>987</v>
      </c>
      <c r="C1050" s="15" t="s">
        <v>3</v>
      </c>
      <c r="D1050" s="31" t="s">
        <v>500</v>
      </c>
      <c r="E1050" s="31"/>
      <c r="F1050" s="73" t="s">
        <v>11</v>
      </c>
      <c r="G1050" s="32">
        <v>28126</v>
      </c>
      <c r="H1050" s="29">
        <v>23481</v>
      </c>
      <c r="I1050" s="17">
        <v>0</v>
      </c>
      <c r="J1050" s="17">
        <v>0</v>
      </c>
      <c r="K1050" s="17">
        <f t="shared" si="172"/>
        <v>23481</v>
      </c>
      <c r="L1050" s="23">
        <f t="shared" si="179"/>
        <v>1174.05</v>
      </c>
      <c r="M1050" s="33">
        <v>25</v>
      </c>
      <c r="N1050" s="18">
        <f t="shared" si="174"/>
        <v>44.279452054794518</v>
      </c>
      <c r="O1050" s="23">
        <v>1615</v>
      </c>
      <c r="P1050" s="18">
        <f t="shared" si="175"/>
        <v>44.780821917808218</v>
      </c>
      <c r="Q1050" s="18">
        <v>0</v>
      </c>
      <c r="R1050" s="18">
        <f t="shared" si="173"/>
        <v>1615</v>
      </c>
      <c r="S1050" s="18">
        <f t="shared" si="176"/>
        <v>21866</v>
      </c>
    </row>
    <row r="1051" spans="1:19" ht="18.75" customHeight="1" x14ac:dyDescent="0.25">
      <c r="A1051" s="14">
        <f t="shared" si="177"/>
        <v>1048</v>
      </c>
      <c r="B1051" s="31" t="s">
        <v>988</v>
      </c>
      <c r="C1051" s="15" t="s">
        <v>3</v>
      </c>
      <c r="D1051" s="31" t="s">
        <v>500</v>
      </c>
      <c r="E1051" s="31"/>
      <c r="F1051" s="73" t="s">
        <v>11</v>
      </c>
      <c r="G1051" s="32">
        <v>28126</v>
      </c>
      <c r="H1051" s="29">
        <v>19913.549999999988</v>
      </c>
      <c r="I1051" s="17">
        <v>0</v>
      </c>
      <c r="J1051" s="17">
        <v>0</v>
      </c>
      <c r="K1051" s="17">
        <f t="shared" si="172"/>
        <v>19913.549999999988</v>
      </c>
      <c r="L1051" s="23">
        <f t="shared" si="179"/>
        <v>995.67749999999944</v>
      </c>
      <c r="M1051" s="33">
        <v>25</v>
      </c>
      <c r="N1051" s="18">
        <f t="shared" si="174"/>
        <v>44.279452054794518</v>
      </c>
      <c r="O1051" s="23">
        <v>1472.4999999999993</v>
      </c>
      <c r="P1051" s="18">
        <f t="shared" si="175"/>
        <v>44.780821917808218</v>
      </c>
      <c r="Q1051" s="18">
        <v>0</v>
      </c>
      <c r="R1051" s="18">
        <f t="shared" si="173"/>
        <v>1472.4999999999993</v>
      </c>
      <c r="S1051" s="18">
        <f t="shared" si="176"/>
        <v>18441.049999999988</v>
      </c>
    </row>
    <row r="1052" spans="1:19" ht="18.75" customHeight="1" x14ac:dyDescent="0.25">
      <c r="A1052" s="14">
        <f t="shared" si="177"/>
        <v>1049</v>
      </c>
      <c r="B1052" s="31" t="s">
        <v>989</v>
      </c>
      <c r="C1052" s="15" t="s">
        <v>3</v>
      </c>
      <c r="D1052" s="31" t="s">
        <v>500</v>
      </c>
      <c r="E1052" s="31"/>
      <c r="F1052" s="73" t="s">
        <v>11</v>
      </c>
      <c r="G1052" s="32">
        <v>28126</v>
      </c>
      <c r="H1052" s="29">
        <v>15786.099999999977</v>
      </c>
      <c r="I1052" s="17">
        <v>0</v>
      </c>
      <c r="J1052" s="17">
        <v>0</v>
      </c>
      <c r="K1052" s="17">
        <f t="shared" si="172"/>
        <v>15786.099999999977</v>
      </c>
      <c r="L1052" s="23">
        <f t="shared" si="179"/>
        <v>789.30499999999893</v>
      </c>
      <c r="M1052" s="33">
        <v>25</v>
      </c>
      <c r="N1052" s="18">
        <f t="shared" si="174"/>
        <v>44.279452054794518</v>
      </c>
      <c r="O1052" s="23">
        <v>50255</v>
      </c>
      <c r="P1052" s="18">
        <f t="shared" si="175"/>
        <v>44.780821917808218</v>
      </c>
      <c r="Q1052" s="18">
        <v>0</v>
      </c>
      <c r="R1052" s="18">
        <f t="shared" si="173"/>
        <v>50255</v>
      </c>
      <c r="S1052" s="18">
        <f t="shared" ref="S1052:S1053" si="180">L1052</f>
        <v>789.30499999999893</v>
      </c>
    </row>
    <row r="1053" spans="1:19" ht="18.75" customHeight="1" x14ac:dyDescent="0.25">
      <c r="A1053" s="14">
        <f t="shared" si="177"/>
        <v>1050</v>
      </c>
      <c r="B1053" s="31" t="s">
        <v>990</v>
      </c>
      <c r="C1053" s="15" t="s">
        <v>3</v>
      </c>
      <c r="D1053" s="31" t="s">
        <v>500</v>
      </c>
      <c r="E1053" s="31"/>
      <c r="F1053" s="73" t="s">
        <v>11</v>
      </c>
      <c r="G1053" s="32">
        <v>28126</v>
      </c>
      <c r="H1053" s="29">
        <v>15212.450000000012</v>
      </c>
      <c r="I1053" s="17">
        <v>0</v>
      </c>
      <c r="J1053" s="17">
        <v>0</v>
      </c>
      <c r="K1053" s="17">
        <f t="shared" si="172"/>
        <v>15212.450000000012</v>
      </c>
      <c r="L1053" s="23">
        <f t="shared" si="179"/>
        <v>760.62250000000063</v>
      </c>
      <c r="M1053" s="33">
        <v>25</v>
      </c>
      <c r="N1053" s="18">
        <f t="shared" si="174"/>
        <v>44.279452054794518</v>
      </c>
      <c r="O1053" s="23">
        <v>56458.385999999999</v>
      </c>
      <c r="P1053" s="18">
        <f t="shared" si="175"/>
        <v>44.780821917808218</v>
      </c>
      <c r="Q1053" s="18">
        <v>0</v>
      </c>
      <c r="R1053" s="18">
        <f t="shared" si="173"/>
        <v>56458.385999999999</v>
      </c>
      <c r="S1053" s="18">
        <f t="shared" si="180"/>
        <v>760.62250000000063</v>
      </c>
    </row>
    <row r="1054" spans="1:19" ht="18.75" customHeight="1" x14ac:dyDescent="0.25">
      <c r="A1054" s="14">
        <f t="shared" si="177"/>
        <v>1051</v>
      </c>
      <c r="B1054" s="31" t="s">
        <v>991</v>
      </c>
      <c r="C1054" s="15" t="s">
        <v>3</v>
      </c>
      <c r="D1054" s="31" t="s">
        <v>500</v>
      </c>
      <c r="E1054" s="31"/>
      <c r="F1054" s="73" t="s">
        <v>8</v>
      </c>
      <c r="G1054" s="32">
        <v>28126</v>
      </c>
      <c r="H1054" s="29">
        <v>5057.5500000000029</v>
      </c>
      <c r="I1054" s="17">
        <v>0</v>
      </c>
      <c r="J1054" s="17">
        <v>0</v>
      </c>
      <c r="K1054" s="17">
        <f t="shared" si="172"/>
        <v>5057.5500000000029</v>
      </c>
      <c r="L1054" s="23">
        <f t="shared" si="179"/>
        <v>252.87750000000017</v>
      </c>
      <c r="M1054" s="33">
        <v>25</v>
      </c>
      <c r="N1054" s="18">
        <f t="shared" si="174"/>
        <v>44.279452054794518</v>
      </c>
      <c r="O1054" s="23">
        <v>2498.5</v>
      </c>
      <c r="P1054" s="18">
        <f t="shared" si="175"/>
        <v>44.780821917808218</v>
      </c>
      <c r="Q1054" s="18">
        <v>0</v>
      </c>
      <c r="R1054" s="18">
        <f t="shared" si="173"/>
        <v>2498.5</v>
      </c>
      <c r="S1054" s="18">
        <f t="shared" si="176"/>
        <v>2559.0500000000029</v>
      </c>
    </row>
    <row r="1055" spans="1:19" ht="18.75" customHeight="1" x14ac:dyDescent="0.25">
      <c r="A1055" s="14">
        <f t="shared" si="177"/>
        <v>1052</v>
      </c>
      <c r="B1055" s="31" t="s">
        <v>875</v>
      </c>
      <c r="C1055" s="15" t="s">
        <v>3</v>
      </c>
      <c r="D1055" s="31" t="s">
        <v>500</v>
      </c>
      <c r="E1055" s="31"/>
      <c r="F1055" s="73" t="s">
        <v>15</v>
      </c>
      <c r="G1055" s="32">
        <v>28126</v>
      </c>
      <c r="H1055" s="29">
        <v>4852.6499999999942</v>
      </c>
      <c r="I1055" s="17">
        <v>0</v>
      </c>
      <c r="J1055" s="17">
        <v>0</v>
      </c>
      <c r="K1055" s="17">
        <f t="shared" si="172"/>
        <v>4852.6499999999942</v>
      </c>
      <c r="L1055" s="23">
        <f t="shared" si="179"/>
        <v>242.63249999999971</v>
      </c>
      <c r="M1055" s="33">
        <v>25</v>
      </c>
      <c r="N1055" s="18">
        <f t="shared" si="174"/>
        <v>44.279452054794518</v>
      </c>
      <c r="O1055" s="23">
        <v>5225</v>
      </c>
      <c r="P1055" s="18">
        <f t="shared" si="175"/>
        <v>44.780821917808218</v>
      </c>
      <c r="Q1055" s="18">
        <v>0</v>
      </c>
      <c r="R1055" s="18">
        <f t="shared" si="173"/>
        <v>5225</v>
      </c>
      <c r="S1055" s="18">
        <f t="shared" ref="S1055:S1078" si="181">L1055</f>
        <v>242.63249999999971</v>
      </c>
    </row>
    <row r="1056" spans="1:19" ht="18.75" customHeight="1" x14ac:dyDescent="0.25">
      <c r="A1056" s="14">
        <f t="shared" si="177"/>
        <v>1053</v>
      </c>
      <c r="B1056" s="31" t="s">
        <v>992</v>
      </c>
      <c r="C1056" s="15" t="s">
        <v>3</v>
      </c>
      <c r="D1056" s="31" t="s">
        <v>500</v>
      </c>
      <c r="E1056" s="31"/>
      <c r="F1056" s="73" t="s">
        <v>11</v>
      </c>
      <c r="G1056" s="32">
        <v>28126</v>
      </c>
      <c r="H1056" s="29">
        <v>4084.6499999999942</v>
      </c>
      <c r="I1056" s="17">
        <v>0</v>
      </c>
      <c r="J1056" s="17">
        <v>0</v>
      </c>
      <c r="K1056" s="17">
        <f t="shared" si="172"/>
        <v>4084.6499999999942</v>
      </c>
      <c r="L1056" s="23">
        <f t="shared" si="179"/>
        <v>204.23249999999973</v>
      </c>
      <c r="M1056" s="33">
        <v>25</v>
      </c>
      <c r="N1056" s="18">
        <f t="shared" si="174"/>
        <v>44.279452054794518</v>
      </c>
      <c r="O1056" s="23">
        <v>54340</v>
      </c>
      <c r="P1056" s="18">
        <f t="shared" si="175"/>
        <v>44.780821917808218</v>
      </c>
      <c r="Q1056" s="18">
        <v>0</v>
      </c>
      <c r="R1056" s="18">
        <f t="shared" si="173"/>
        <v>54340</v>
      </c>
      <c r="S1056" s="18">
        <f t="shared" si="181"/>
        <v>204.23249999999973</v>
      </c>
    </row>
    <row r="1057" spans="1:19" ht="18.75" customHeight="1" x14ac:dyDescent="0.25">
      <c r="A1057" s="14">
        <f t="shared" si="177"/>
        <v>1054</v>
      </c>
      <c r="B1057" s="31" t="s">
        <v>993</v>
      </c>
      <c r="C1057" s="15" t="s">
        <v>3</v>
      </c>
      <c r="D1057" s="31" t="s">
        <v>500</v>
      </c>
      <c r="E1057" s="31"/>
      <c r="F1057" s="73" t="s">
        <v>11</v>
      </c>
      <c r="G1057" s="32">
        <v>28126</v>
      </c>
      <c r="H1057" s="29">
        <v>3801.6000000000058</v>
      </c>
      <c r="I1057" s="17">
        <v>0</v>
      </c>
      <c r="J1057" s="17">
        <v>0</v>
      </c>
      <c r="K1057" s="17">
        <f t="shared" si="172"/>
        <v>3801.6000000000058</v>
      </c>
      <c r="L1057" s="23">
        <f t="shared" si="179"/>
        <v>190.0800000000003</v>
      </c>
      <c r="M1057" s="33">
        <v>25</v>
      </c>
      <c r="N1057" s="18">
        <f t="shared" si="174"/>
        <v>44.279452054794518</v>
      </c>
      <c r="O1057" s="23">
        <v>163020</v>
      </c>
      <c r="P1057" s="18">
        <f t="shared" si="175"/>
        <v>44.780821917808218</v>
      </c>
      <c r="Q1057" s="18">
        <v>0</v>
      </c>
      <c r="R1057" s="18">
        <f t="shared" si="173"/>
        <v>163020</v>
      </c>
      <c r="S1057" s="18">
        <f t="shared" si="181"/>
        <v>190.0800000000003</v>
      </c>
    </row>
    <row r="1058" spans="1:19" ht="18.75" customHeight="1" x14ac:dyDescent="0.25">
      <c r="A1058" s="14">
        <f t="shared" si="177"/>
        <v>1055</v>
      </c>
      <c r="B1058" s="31" t="s">
        <v>994</v>
      </c>
      <c r="C1058" s="15" t="s">
        <v>3</v>
      </c>
      <c r="D1058" s="31" t="s">
        <v>500</v>
      </c>
      <c r="E1058" s="31"/>
      <c r="F1058" s="73" t="s">
        <v>11</v>
      </c>
      <c r="G1058" s="32">
        <v>28126</v>
      </c>
      <c r="H1058" s="29">
        <v>3181.6500000000015</v>
      </c>
      <c r="I1058" s="17">
        <v>0</v>
      </c>
      <c r="J1058" s="17">
        <v>0</v>
      </c>
      <c r="K1058" s="17">
        <f t="shared" si="172"/>
        <v>3181.6500000000015</v>
      </c>
      <c r="L1058" s="23">
        <f t="shared" si="179"/>
        <v>159.0825000000001</v>
      </c>
      <c r="M1058" s="33">
        <v>25</v>
      </c>
      <c r="N1058" s="18">
        <f t="shared" si="174"/>
        <v>44.279452054794518</v>
      </c>
      <c r="O1058" s="23">
        <v>23465</v>
      </c>
      <c r="P1058" s="18">
        <f t="shared" si="175"/>
        <v>44.780821917808218</v>
      </c>
      <c r="Q1058" s="18">
        <v>0</v>
      </c>
      <c r="R1058" s="18">
        <f t="shared" si="173"/>
        <v>23465</v>
      </c>
      <c r="S1058" s="18">
        <f t="shared" si="181"/>
        <v>159.0825000000001</v>
      </c>
    </row>
    <row r="1059" spans="1:19" ht="18.75" customHeight="1" x14ac:dyDescent="0.25">
      <c r="A1059" s="14">
        <f t="shared" si="177"/>
        <v>1056</v>
      </c>
      <c r="B1059" s="31" t="s">
        <v>995</v>
      </c>
      <c r="C1059" s="15" t="s">
        <v>3</v>
      </c>
      <c r="D1059" s="31" t="s">
        <v>500</v>
      </c>
      <c r="E1059" s="31"/>
      <c r="F1059" s="73" t="s">
        <v>11</v>
      </c>
      <c r="G1059" s="32">
        <v>28126</v>
      </c>
      <c r="H1059" s="29">
        <v>3151.25</v>
      </c>
      <c r="I1059" s="17">
        <v>0</v>
      </c>
      <c r="J1059" s="17">
        <v>0</v>
      </c>
      <c r="K1059" s="17">
        <f t="shared" si="172"/>
        <v>3151.25</v>
      </c>
      <c r="L1059" s="23">
        <f t="shared" si="179"/>
        <v>157.5625</v>
      </c>
      <c r="M1059" s="33">
        <v>25</v>
      </c>
      <c r="N1059" s="18">
        <f t="shared" si="174"/>
        <v>44.279452054794518</v>
      </c>
      <c r="O1059" s="23">
        <v>6555</v>
      </c>
      <c r="P1059" s="18">
        <f t="shared" si="175"/>
        <v>44.780821917808218</v>
      </c>
      <c r="Q1059" s="18">
        <v>0</v>
      </c>
      <c r="R1059" s="18">
        <f t="shared" si="173"/>
        <v>6555</v>
      </c>
      <c r="S1059" s="18">
        <f t="shared" si="181"/>
        <v>157.5625</v>
      </c>
    </row>
    <row r="1060" spans="1:19" ht="18.75" customHeight="1" x14ac:dyDescent="0.25">
      <c r="A1060" s="14">
        <f t="shared" si="177"/>
        <v>1057</v>
      </c>
      <c r="B1060" s="31" t="s">
        <v>996</v>
      </c>
      <c r="C1060" s="15" t="s">
        <v>3</v>
      </c>
      <c r="D1060" s="31" t="s">
        <v>500</v>
      </c>
      <c r="E1060" s="31"/>
      <c r="F1060" s="73" t="s">
        <v>11</v>
      </c>
      <c r="G1060" s="32">
        <v>28126</v>
      </c>
      <c r="H1060" s="29">
        <v>1800.5</v>
      </c>
      <c r="I1060" s="17">
        <v>0</v>
      </c>
      <c r="J1060" s="17">
        <v>0</v>
      </c>
      <c r="K1060" s="17">
        <f t="shared" si="172"/>
        <v>1800.5</v>
      </c>
      <c r="L1060" s="23">
        <f t="shared" si="179"/>
        <v>90.025000000000006</v>
      </c>
      <c r="M1060" s="33">
        <v>25</v>
      </c>
      <c r="N1060" s="18">
        <f t="shared" si="174"/>
        <v>44.279452054794518</v>
      </c>
      <c r="O1060" s="23">
        <v>7695</v>
      </c>
      <c r="P1060" s="18">
        <f t="shared" si="175"/>
        <v>44.780821917808218</v>
      </c>
      <c r="Q1060" s="18">
        <v>0</v>
      </c>
      <c r="R1060" s="18">
        <f t="shared" si="173"/>
        <v>7695</v>
      </c>
      <c r="S1060" s="18">
        <f t="shared" si="181"/>
        <v>90.025000000000006</v>
      </c>
    </row>
    <row r="1061" spans="1:19" ht="18.75" customHeight="1" x14ac:dyDescent="0.25">
      <c r="A1061" s="14">
        <f t="shared" si="177"/>
        <v>1058</v>
      </c>
      <c r="B1061" s="31" t="s">
        <v>997</v>
      </c>
      <c r="C1061" s="15" t="s">
        <v>3</v>
      </c>
      <c r="D1061" s="31" t="s">
        <v>500</v>
      </c>
      <c r="E1061" s="31"/>
      <c r="F1061" s="73" t="s">
        <v>11</v>
      </c>
      <c r="G1061" s="32">
        <v>28126</v>
      </c>
      <c r="H1061" s="29">
        <v>1556</v>
      </c>
      <c r="I1061" s="17">
        <v>0</v>
      </c>
      <c r="J1061" s="17">
        <v>0</v>
      </c>
      <c r="K1061" s="17">
        <f t="shared" si="172"/>
        <v>1556</v>
      </c>
      <c r="L1061" s="23">
        <f t="shared" si="179"/>
        <v>77.800000000000011</v>
      </c>
      <c r="M1061" s="33">
        <v>25</v>
      </c>
      <c r="N1061" s="18">
        <f t="shared" si="174"/>
        <v>44.279452054794518</v>
      </c>
      <c r="O1061" s="23">
        <v>7600</v>
      </c>
      <c r="P1061" s="18">
        <f t="shared" si="175"/>
        <v>44.780821917808218</v>
      </c>
      <c r="Q1061" s="18">
        <v>0</v>
      </c>
      <c r="R1061" s="18">
        <f t="shared" si="173"/>
        <v>7600</v>
      </c>
      <c r="S1061" s="18">
        <f t="shared" si="181"/>
        <v>77.800000000000011</v>
      </c>
    </row>
    <row r="1062" spans="1:19" ht="18.75" customHeight="1" x14ac:dyDescent="0.25">
      <c r="A1062" s="14">
        <f t="shared" si="177"/>
        <v>1059</v>
      </c>
      <c r="B1062" s="31" t="s">
        <v>998</v>
      </c>
      <c r="C1062" s="15" t="s">
        <v>3</v>
      </c>
      <c r="D1062" s="31" t="s">
        <v>500</v>
      </c>
      <c r="E1062" s="31"/>
      <c r="F1062" s="73" t="s">
        <v>4</v>
      </c>
      <c r="G1062" s="32">
        <v>28126</v>
      </c>
      <c r="H1062" s="29">
        <v>1267.7000000000007</v>
      </c>
      <c r="I1062" s="17">
        <v>0</v>
      </c>
      <c r="J1062" s="17">
        <v>0</v>
      </c>
      <c r="K1062" s="17">
        <f t="shared" si="172"/>
        <v>1267.7000000000007</v>
      </c>
      <c r="L1062" s="23">
        <f t="shared" si="179"/>
        <v>63.385000000000041</v>
      </c>
      <c r="M1062" s="33">
        <v>25</v>
      </c>
      <c r="N1062" s="18">
        <f t="shared" si="174"/>
        <v>44.279452054794518</v>
      </c>
      <c r="O1062" s="23">
        <v>21185</v>
      </c>
      <c r="P1062" s="18">
        <f t="shared" si="175"/>
        <v>44.780821917808218</v>
      </c>
      <c r="Q1062" s="18">
        <v>0</v>
      </c>
      <c r="R1062" s="18">
        <f t="shared" si="173"/>
        <v>21185</v>
      </c>
      <c r="S1062" s="18">
        <f t="shared" si="181"/>
        <v>63.385000000000041</v>
      </c>
    </row>
    <row r="1063" spans="1:19" ht="18.75" customHeight="1" x14ac:dyDescent="0.25">
      <c r="A1063" s="14">
        <f t="shared" si="177"/>
        <v>1060</v>
      </c>
      <c r="B1063" s="31" t="s">
        <v>999</v>
      </c>
      <c r="C1063" s="15" t="s">
        <v>3</v>
      </c>
      <c r="D1063" s="31" t="s">
        <v>500</v>
      </c>
      <c r="E1063" s="31"/>
      <c r="F1063" s="73" t="s">
        <v>13</v>
      </c>
      <c r="G1063" s="32">
        <v>28126</v>
      </c>
      <c r="H1063" s="29">
        <v>945</v>
      </c>
      <c r="I1063" s="17">
        <v>0</v>
      </c>
      <c r="J1063" s="17">
        <v>0</v>
      </c>
      <c r="K1063" s="17">
        <f t="shared" si="172"/>
        <v>945</v>
      </c>
      <c r="L1063" s="23">
        <f t="shared" si="179"/>
        <v>47.25</v>
      </c>
      <c r="M1063" s="33">
        <v>25</v>
      </c>
      <c r="N1063" s="18">
        <f t="shared" si="174"/>
        <v>44.279452054794518</v>
      </c>
      <c r="O1063" s="23">
        <v>34713</v>
      </c>
      <c r="P1063" s="18">
        <f t="shared" si="175"/>
        <v>44.780821917808218</v>
      </c>
      <c r="Q1063" s="18">
        <v>0</v>
      </c>
      <c r="R1063" s="18">
        <f t="shared" si="173"/>
        <v>34713</v>
      </c>
      <c r="S1063" s="18">
        <f t="shared" si="181"/>
        <v>47.25</v>
      </c>
    </row>
    <row r="1064" spans="1:19" ht="18.75" customHeight="1" x14ac:dyDescent="0.25">
      <c r="A1064" s="14">
        <f t="shared" si="177"/>
        <v>1061</v>
      </c>
      <c r="B1064" s="31" t="s">
        <v>1000</v>
      </c>
      <c r="C1064" s="15" t="s">
        <v>3</v>
      </c>
      <c r="D1064" s="31" t="s">
        <v>500</v>
      </c>
      <c r="E1064" s="31"/>
      <c r="F1064" s="73" t="s">
        <v>15</v>
      </c>
      <c r="G1064" s="32">
        <v>28126</v>
      </c>
      <c r="H1064" s="29">
        <v>834.54999999999927</v>
      </c>
      <c r="I1064" s="17">
        <v>0</v>
      </c>
      <c r="J1064" s="17">
        <v>0</v>
      </c>
      <c r="K1064" s="17">
        <f t="shared" si="172"/>
        <v>834.54999999999927</v>
      </c>
      <c r="L1064" s="23">
        <f t="shared" si="179"/>
        <v>41.727499999999964</v>
      </c>
      <c r="M1064" s="33">
        <v>25</v>
      </c>
      <c r="N1064" s="18">
        <f t="shared" si="174"/>
        <v>44.279452054794518</v>
      </c>
      <c r="O1064" s="23">
        <v>78849.05</v>
      </c>
      <c r="P1064" s="18">
        <f t="shared" si="175"/>
        <v>44.780821917808218</v>
      </c>
      <c r="Q1064" s="18">
        <v>0</v>
      </c>
      <c r="R1064" s="18">
        <f t="shared" si="173"/>
        <v>78849.05</v>
      </c>
      <c r="S1064" s="18">
        <f t="shared" si="181"/>
        <v>41.727499999999964</v>
      </c>
    </row>
    <row r="1065" spans="1:19" ht="18.75" customHeight="1" x14ac:dyDescent="0.25">
      <c r="A1065" s="14">
        <f t="shared" si="177"/>
        <v>1062</v>
      </c>
      <c r="B1065" s="31" t="s">
        <v>875</v>
      </c>
      <c r="C1065" s="15" t="s">
        <v>3</v>
      </c>
      <c r="D1065" s="31" t="s">
        <v>500</v>
      </c>
      <c r="E1065" s="31"/>
      <c r="F1065" s="73" t="s">
        <v>15</v>
      </c>
      <c r="G1065" s="32">
        <v>28126</v>
      </c>
      <c r="H1065" s="29">
        <v>642.70000000000073</v>
      </c>
      <c r="I1065" s="17">
        <v>0</v>
      </c>
      <c r="J1065" s="17">
        <v>0</v>
      </c>
      <c r="K1065" s="17">
        <f t="shared" si="172"/>
        <v>642.70000000000073</v>
      </c>
      <c r="L1065" s="23">
        <f t="shared" si="179"/>
        <v>32.135000000000041</v>
      </c>
      <c r="M1065" s="33">
        <v>25</v>
      </c>
      <c r="N1065" s="18">
        <f t="shared" si="174"/>
        <v>44.279452054794518</v>
      </c>
      <c r="O1065" s="23">
        <v>102742.5</v>
      </c>
      <c r="P1065" s="18">
        <f t="shared" si="175"/>
        <v>44.780821917808218</v>
      </c>
      <c r="Q1065" s="18">
        <v>0</v>
      </c>
      <c r="R1065" s="18">
        <f t="shared" si="173"/>
        <v>102742.5</v>
      </c>
      <c r="S1065" s="18">
        <f t="shared" si="181"/>
        <v>32.135000000000041</v>
      </c>
    </row>
    <row r="1066" spans="1:19" ht="18.75" customHeight="1" x14ac:dyDescent="0.25">
      <c r="A1066" s="14">
        <f t="shared" si="177"/>
        <v>1063</v>
      </c>
      <c r="B1066" s="31" t="s">
        <v>959</v>
      </c>
      <c r="C1066" s="15" t="s">
        <v>3</v>
      </c>
      <c r="D1066" s="31" t="s">
        <v>500</v>
      </c>
      <c r="E1066" s="31"/>
      <c r="F1066" s="73" t="s">
        <v>11</v>
      </c>
      <c r="G1066" s="32">
        <v>28126</v>
      </c>
      <c r="H1066" s="29">
        <v>630.75</v>
      </c>
      <c r="I1066" s="17">
        <v>0</v>
      </c>
      <c r="J1066" s="17">
        <v>0</v>
      </c>
      <c r="K1066" s="17">
        <f t="shared" si="172"/>
        <v>630.75</v>
      </c>
      <c r="L1066" s="23">
        <f t="shared" si="179"/>
        <v>31.537500000000001</v>
      </c>
      <c r="M1066" s="33">
        <v>25</v>
      </c>
      <c r="N1066" s="18">
        <f t="shared" si="174"/>
        <v>44.279452054794518</v>
      </c>
      <c r="O1066" s="23">
        <v>6555</v>
      </c>
      <c r="P1066" s="18">
        <f t="shared" si="175"/>
        <v>44.780821917808218</v>
      </c>
      <c r="Q1066" s="18">
        <v>0</v>
      </c>
      <c r="R1066" s="18">
        <f t="shared" si="173"/>
        <v>6555</v>
      </c>
      <c r="S1066" s="18">
        <f t="shared" si="181"/>
        <v>31.537500000000001</v>
      </c>
    </row>
    <row r="1067" spans="1:19" ht="18.75" customHeight="1" x14ac:dyDescent="0.25">
      <c r="A1067" s="14">
        <f t="shared" si="177"/>
        <v>1064</v>
      </c>
      <c r="B1067" s="31" t="s">
        <v>1001</v>
      </c>
      <c r="C1067" s="15" t="s">
        <v>3</v>
      </c>
      <c r="D1067" s="31" t="s">
        <v>500</v>
      </c>
      <c r="E1067" s="31"/>
      <c r="F1067" s="73" t="s">
        <v>14</v>
      </c>
      <c r="G1067" s="32">
        <v>31778</v>
      </c>
      <c r="H1067" s="29">
        <v>9167.1000000000058</v>
      </c>
      <c r="I1067" s="17">
        <v>0</v>
      </c>
      <c r="J1067" s="17">
        <v>0</v>
      </c>
      <c r="K1067" s="17">
        <f t="shared" si="172"/>
        <v>9167.1000000000058</v>
      </c>
      <c r="L1067" s="23">
        <f t="shared" si="179"/>
        <v>458.3550000000003</v>
      </c>
      <c r="M1067" s="33">
        <v>15</v>
      </c>
      <c r="N1067" s="18">
        <f t="shared" si="174"/>
        <v>34.273972602739725</v>
      </c>
      <c r="O1067" s="23">
        <v>18050.2945</v>
      </c>
      <c r="P1067" s="18">
        <f t="shared" si="175"/>
        <v>34.775342465753425</v>
      </c>
      <c r="Q1067" s="18">
        <v>0</v>
      </c>
      <c r="R1067" s="18">
        <f t="shared" si="173"/>
        <v>18050.2945</v>
      </c>
      <c r="S1067" s="18">
        <f t="shared" si="181"/>
        <v>458.3550000000003</v>
      </c>
    </row>
    <row r="1068" spans="1:19" ht="18.75" customHeight="1" x14ac:dyDescent="0.25">
      <c r="A1068" s="14">
        <f t="shared" si="177"/>
        <v>1065</v>
      </c>
      <c r="B1068" s="31" t="s">
        <v>1002</v>
      </c>
      <c r="C1068" s="15" t="s">
        <v>3</v>
      </c>
      <c r="D1068" s="31" t="s">
        <v>500</v>
      </c>
      <c r="E1068" s="31"/>
      <c r="F1068" s="73" t="s">
        <v>4</v>
      </c>
      <c r="G1068" s="32">
        <v>31778</v>
      </c>
      <c r="H1068" s="29">
        <v>1078.2999999999993</v>
      </c>
      <c r="I1068" s="17">
        <v>0</v>
      </c>
      <c r="J1068" s="17">
        <v>0</v>
      </c>
      <c r="K1068" s="17">
        <f t="shared" si="172"/>
        <v>1078.2999999999993</v>
      </c>
      <c r="L1068" s="23">
        <f t="shared" si="179"/>
        <v>53.914999999999964</v>
      </c>
      <c r="M1068" s="33">
        <v>15</v>
      </c>
      <c r="N1068" s="18">
        <f t="shared" si="174"/>
        <v>34.273972602739725</v>
      </c>
      <c r="O1068" s="23">
        <v>50074.5</v>
      </c>
      <c r="P1068" s="18">
        <f t="shared" si="175"/>
        <v>34.775342465753425</v>
      </c>
      <c r="Q1068" s="18">
        <v>0</v>
      </c>
      <c r="R1068" s="18">
        <f t="shared" si="173"/>
        <v>50074.5</v>
      </c>
      <c r="S1068" s="18">
        <f t="shared" si="181"/>
        <v>53.914999999999964</v>
      </c>
    </row>
    <row r="1069" spans="1:19" ht="18.75" customHeight="1" x14ac:dyDescent="0.25">
      <c r="A1069" s="14">
        <f t="shared" si="177"/>
        <v>1066</v>
      </c>
      <c r="B1069" s="31" t="s">
        <v>1003</v>
      </c>
      <c r="C1069" s="15" t="s">
        <v>3</v>
      </c>
      <c r="D1069" s="31" t="s">
        <v>500</v>
      </c>
      <c r="E1069" s="31"/>
      <c r="F1069" s="73" t="s">
        <v>11</v>
      </c>
      <c r="G1069" s="32">
        <v>28491</v>
      </c>
      <c r="H1069" s="29">
        <v>9736.1499999999942</v>
      </c>
      <c r="I1069" s="17">
        <v>0</v>
      </c>
      <c r="J1069" s="17">
        <v>0</v>
      </c>
      <c r="K1069" s="17">
        <f t="shared" si="172"/>
        <v>9736.1499999999942</v>
      </c>
      <c r="L1069" s="23">
        <f t="shared" si="179"/>
        <v>486.80749999999972</v>
      </c>
      <c r="M1069" s="33">
        <v>25</v>
      </c>
      <c r="N1069" s="18">
        <f t="shared" si="174"/>
        <v>43.279452054794518</v>
      </c>
      <c r="O1069" s="23">
        <v>439128</v>
      </c>
      <c r="P1069" s="18">
        <f t="shared" si="175"/>
        <v>43.780821917808218</v>
      </c>
      <c r="Q1069" s="18">
        <v>0</v>
      </c>
      <c r="R1069" s="18">
        <f t="shared" si="173"/>
        <v>439128</v>
      </c>
      <c r="S1069" s="18">
        <f t="shared" si="181"/>
        <v>486.80749999999972</v>
      </c>
    </row>
    <row r="1070" spans="1:19" ht="18.75" customHeight="1" x14ac:dyDescent="0.25">
      <c r="A1070" s="14">
        <f t="shared" si="177"/>
        <v>1067</v>
      </c>
      <c r="B1070" s="31" t="s">
        <v>1004</v>
      </c>
      <c r="C1070" s="15" t="s">
        <v>3</v>
      </c>
      <c r="D1070" s="31" t="s">
        <v>500</v>
      </c>
      <c r="E1070" s="31"/>
      <c r="F1070" s="73" t="s">
        <v>4</v>
      </c>
      <c r="G1070" s="32">
        <v>28491</v>
      </c>
      <c r="H1070" s="29">
        <v>2938.8499999999985</v>
      </c>
      <c r="I1070" s="17">
        <v>0</v>
      </c>
      <c r="J1070" s="17">
        <v>0</v>
      </c>
      <c r="K1070" s="17">
        <f t="shared" si="172"/>
        <v>2938.8499999999985</v>
      </c>
      <c r="L1070" s="23">
        <f t="shared" si="179"/>
        <v>146.94249999999994</v>
      </c>
      <c r="M1070" s="33">
        <v>25</v>
      </c>
      <c r="N1070" s="18">
        <f t="shared" si="174"/>
        <v>43.279452054794518</v>
      </c>
      <c r="O1070" s="23">
        <v>50074.5</v>
      </c>
      <c r="P1070" s="18">
        <f t="shared" si="175"/>
        <v>43.780821917808218</v>
      </c>
      <c r="Q1070" s="18">
        <v>0</v>
      </c>
      <c r="R1070" s="18">
        <f t="shared" si="173"/>
        <v>50074.5</v>
      </c>
      <c r="S1070" s="18">
        <f t="shared" si="181"/>
        <v>146.94249999999994</v>
      </c>
    </row>
    <row r="1071" spans="1:19" ht="18.75" customHeight="1" x14ac:dyDescent="0.25">
      <c r="A1071" s="14">
        <f t="shared" si="177"/>
        <v>1068</v>
      </c>
      <c r="B1071" s="31" t="s">
        <v>1005</v>
      </c>
      <c r="C1071" s="15" t="s">
        <v>3</v>
      </c>
      <c r="D1071" s="31" t="s">
        <v>500</v>
      </c>
      <c r="E1071" s="31"/>
      <c r="F1071" s="73" t="s">
        <v>11</v>
      </c>
      <c r="G1071" s="32">
        <v>28491</v>
      </c>
      <c r="H1071" s="29">
        <v>1773.1999999999971</v>
      </c>
      <c r="I1071" s="17">
        <v>0</v>
      </c>
      <c r="J1071" s="17">
        <v>0</v>
      </c>
      <c r="K1071" s="17">
        <f t="shared" si="172"/>
        <v>1773.1999999999971</v>
      </c>
      <c r="L1071" s="23">
        <f t="shared" si="179"/>
        <v>88.659999999999854</v>
      </c>
      <c r="M1071" s="33">
        <v>25</v>
      </c>
      <c r="N1071" s="18">
        <f t="shared" si="174"/>
        <v>43.279452054794518</v>
      </c>
      <c r="O1071" s="23">
        <v>35150</v>
      </c>
      <c r="P1071" s="18">
        <f t="shared" si="175"/>
        <v>43.780821917808218</v>
      </c>
      <c r="Q1071" s="18">
        <v>0</v>
      </c>
      <c r="R1071" s="18">
        <f t="shared" si="173"/>
        <v>35150</v>
      </c>
      <c r="S1071" s="18">
        <f t="shared" si="181"/>
        <v>88.659999999999854</v>
      </c>
    </row>
    <row r="1072" spans="1:19" ht="18.75" customHeight="1" x14ac:dyDescent="0.25">
      <c r="A1072" s="14">
        <f t="shared" si="177"/>
        <v>1069</v>
      </c>
      <c r="B1072" s="31" t="s">
        <v>1006</v>
      </c>
      <c r="C1072" s="15" t="s">
        <v>3</v>
      </c>
      <c r="D1072" s="31" t="s">
        <v>500</v>
      </c>
      <c r="E1072" s="31"/>
      <c r="F1072" s="73" t="s">
        <v>11</v>
      </c>
      <c r="G1072" s="32">
        <v>28491</v>
      </c>
      <c r="H1072" s="29">
        <v>1035.5999999999985</v>
      </c>
      <c r="I1072" s="17">
        <v>0</v>
      </c>
      <c r="J1072" s="17">
        <v>0</v>
      </c>
      <c r="K1072" s="17">
        <f t="shared" si="172"/>
        <v>1035.5999999999985</v>
      </c>
      <c r="L1072" s="23">
        <f t="shared" si="179"/>
        <v>51.77999999999993</v>
      </c>
      <c r="M1072" s="33">
        <v>25</v>
      </c>
      <c r="N1072" s="18">
        <f t="shared" si="174"/>
        <v>43.279452054794518</v>
      </c>
      <c r="O1072" s="23">
        <v>18525</v>
      </c>
      <c r="P1072" s="18">
        <f t="shared" si="175"/>
        <v>43.780821917808218</v>
      </c>
      <c r="Q1072" s="18">
        <v>0</v>
      </c>
      <c r="R1072" s="18">
        <f t="shared" si="173"/>
        <v>18525</v>
      </c>
      <c r="S1072" s="18">
        <f t="shared" si="181"/>
        <v>51.77999999999993</v>
      </c>
    </row>
    <row r="1073" spans="1:19" ht="18.75" customHeight="1" x14ac:dyDescent="0.25">
      <c r="A1073" s="14">
        <f t="shared" si="177"/>
        <v>1070</v>
      </c>
      <c r="B1073" s="31" t="s">
        <v>1007</v>
      </c>
      <c r="C1073" s="15" t="s">
        <v>3</v>
      </c>
      <c r="D1073" s="31" t="s">
        <v>500</v>
      </c>
      <c r="E1073" s="31"/>
      <c r="F1073" s="73" t="s">
        <v>11</v>
      </c>
      <c r="G1073" s="32">
        <v>28491</v>
      </c>
      <c r="H1073" s="29">
        <v>718.60000000000036</v>
      </c>
      <c r="I1073" s="17">
        <v>0</v>
      </c>
      <c r="J1073" s="17">
        <v>0</v>
      </c>
      <c r="K1073" s="17">
        <f t="shared" si="172"/>
        <v>718.60000000000036</v>
      </c>
      <c r="L1073" s="23">
        <f t="shared" si="179"/>
        <v>35.930000000000021</v>
      </c>
      <c r="M1073" s="33">
        <v>25</v>
      </c>
      <c r="N1073" s="18">
        <f t="shared" si="174"/>
        <v>43.279452054794518</v>
      </c>
      <c r="O1073" s="23">
        <v>47500</v>
      </c>
      <c r="P1073" s="18">
        <f t="shared" si="175"/>
        <v>43.780821917808218</v>
      </c>
      <c r="Q1073" s="18">
        <v>0</v>
      </c>
      <c r="R1073" s="18">
        <f t="shared" si="173"/>
        <v>47500</v>
      </c>
      <c r="S1073" s="18">
        <f t="shared" si="181"/>
        <v>35.930000000000021</v>
      </c>
    </row>
    <row r="1074" spans="1:19" ht="18.75" customHeight="1" x14ac:dyDescent="0.25">
      <c r="A1074" s="14">
        <f t="shared" si="177"/>
        <v>1071</v>
      </c>
      <c r="B1074" s="31" t="s">
        <v>1008</v>
      </c>
      <c r="C1074" s="15" t="s">
        <v>3</v>
      </c>
      <c r="D1074" s="31" t="s">
        <v>500</v>
      </c>
      <c r="E1074" s="31"/>
      <c r="F1074" s="73" t="s">
        <v>11</v>
      </c>
      <c r="G1074" s="32">
        <v>28491</v>
      </c>
      <c r="H1074" s="29">
        <v>630.10000000000036</v>
      </c>
      <c r="I1074" s="17">
        <v>0</v>
      </c>
      <c r="J1074" s="17">
        <v>0</v>
      </c>
      <c r="K1074" s="17">
        <f t="shared" si="172"/>
        <v>630.10000000000036</v>
      </c>
      <c r="L1074" s="23">
        <f t="shared" si="179"/>
        <v>31.50500000000002</v>
      </c>
      <c r="M1074" s="33">
        <v>25</v>
      </c>
      <c r="N1074" s="18">
        <f t="shared" si="174"/>
        <v>43.279452054794518</v>
      </c>
      <c r="O1074" s="23">
        <v>47025</v>
      </c>
      <c r="P1074" s="18">
        <f t="shared" si="175"/>
        <v>43.780821917808218</v>
      </c>
      <c r="Q1074" s="18">
        <v>0</v>
      </c>
      <c r="R1074" s="18">
        <f t="shared" si="173"/>
        <v>47025</v>
      </c>
      <c r="S1074" s="18">
        <f t="shared" si="181"/>
        <v>31.50500000000002</v>
      </c>
    </row>
    <row r="1075" spans="1:19" ht="18.75" customHeight="1" x14ac:dyDescent="0.25">
      <c r="A1075" s="14">
        <f t="shared" si="177"/>
        <v>1072</v>
      </c>
      <c r="B1075" s="31" t="s">
        <v>1009</v>
      </c>
      <c r="C1075" s="15" t="s">
        <v>3</v>
      </c>
      <c r="D1075" s="31" t="s">
        <v>500</v>
      </c>
      <c r="E1075" s="31"/>
      <c r="F1075" s="73" t="s">
        <v>11</v>
      </c>
      <c r="G1075" s="32">
        <v>28491</v>
      </c>
      <c r="H1075" s="29">
        <v>196.40000000000009</v>
      </c>
      <c r="I1075" s="17">
        <v>0</v>
      </c>
      <c r="J1075" s="17">
        <v>0</v>
      </c>
      <c r="K1075" s="17">
        <f t="shared" si="172"/>
        <v>196.40000000000009</v>
      </c>
      <c r="L1075" s="23">
        <f t="shared" si="179"/>
        <v>9.8200000000000056</v>
      </c>
      <c r="M1075" s="33">
        <v>25</v>
      </c>
      <c r="N1075" s="18">
        <f t="shared" si="174"/>
        <v>43.279452054794518</v>
      </c>
      <c r="O1075" s="23">
        <v>18050.2945</v>
      </c>
      <c r="P1075" s="18">
        <f t="shared" si="175"/>
        <v>43.780821917808218</v>
      </c>
      <c r="Q1075" s="18">
        <v>0</v>
      </c>
      <c r="R1075" s="18">
        <f t="shared" si="173"/>
        <v>18050.2945</v>
      </c>
      <c r="S1075" s="18">
        <f t="shared" si="181"/>
        <v>9.8200000000000056</v>
      </c>
    </row>
    <row r="1076" spans="1:19" ht="18.75" customHeight="1" x14ac:dyDescent="0.25">
      <c r="A1076" s="14">
        <f t="shared" si="177"/>
        <v>1073</v>
      </c>
      <c r="B1076" s="31" t="s">
        <v>1010</v>
      </c>
      <c r="C1076" s="15" t="s">
        <v>3</v>
      </c>
      <c r="D1076" s="31" t="s">
        <v>500</v>
      </c>
      <c r="E1076" s="31"/>
      <c r="F1076" s="73" t="s">
        <v>14</v>
      </c>
      <c r="G1076" s="32">
        <v>32143</v>
      </c>
      <c r="H1076" s="29">
        <v>5163.0500000000029</v>
      </c>
      <c r="I1076" s="17">
        <v>0</v>
      </c>
      <c r="J1076" s="17">
        <v>0</v>
      </c>
      <c r="K1076" s="17">
        <f t="shared" si="172"/>
        <v>5163.0500000000029</v>
      </c>
      <c r="L1076" s="23">
        <f t="shared" si="179"/>
        <v>258.15250000000015</v>
      </c>
      <c r="M1076" s="33">
        <v>15</v>
      </c>
      <c r="N1076" s="18">
        <f t="shared" si="174"/>
        <v>33.273972602739725</v>
      </c>
      <c r="O1076" s="23">
        <v>9797.2644999999993</v>
      </c>
      <c r="P1076" s="18">
        <f t="shared" si="175"/>
        <v>33.775342465753425</v>
      </c>
      <c r="Q1076" s="18">
        <v>0</v>
      </c>
      <c r="R1076" s="18">
        <f t="shared" si="173"/>
        <v>9797.2644999999993</v>
      </c>
      <c r="S1076" s="18">
        <f t="shared" si="181"/>
        <v>258.15250000000015</v>
      </c>
    </row>
    <row r="1077" spans="1:19" ht="18.75" customHeight="1" x14ac:dyDescent="0.25">
      <c r="A1077" s="14">
        <f t="shared" si="177"/>
        <v>1074</v>
      </c>
      <c r="B1077" s="31" t="s">
        <v>1011</v>
      </c>
      <c r="C1077" s="15" t="s">
        <v>3</v>
      </c>
      <c r="D1077" s="31" t="s">
        <v>500</v>
      </c>
      <c r="E1077" s="31"/>
      <c r="F1077" s="70" t="s">
        <v>7</v>
      </c>
      <c r="G1077" s="32">
        <v>37287</v>
      </c>
      <c r="H1077" s="29">
        <v>17424.849999999977</v>
      </c>
      <c r="I1077" s="17">
        <v>0</v>
      </c>
      <c r="J1077" s="17">
        <v>0</v>
      </c>
      <c r="K1077" s="17">
        <f t="shared" si="172"/>
        <v>17424.849999999977</v>
      </c>
      <c r="L1077" s="23">
        <f t="shared" si="179"/>
        <v>871.24249999999893</v>
      </c>
      <c r="M1077" s="33">
        <v>15</v>
      </c>
      <c r="N1077" s="18">
        <f t="shared" si="174"/>
        <v>19.18082191780822</v>
      </c>
      <c r="O1077" s="23">
        <v>42275</v>
      </c>
      <c r="P1077" s="18">
        <f t="shared" si="175"/>
        <v>19.682191780821917</v>
      </c>
      <c r="Q1077" s="18">
        <v>0</v>
      </c>
      <c r="R1077" s="18">
        <f t="shared" si="173"/>
        <v>42275</v>
      </c>
      <c r="S1077" s="18">
        <f t="shared" si="181"/>
        <v>871.24249999999893</v>
      </c>
    </row>
    <row r="1078" spans="1:19" ht="18.75" customHeight="1" x14ac:dyDescent="0.25">
      <c r="A1078" s="14">
        <f t="shared" si="177"/>
        <v>1075</v>
      </c>
      <c r="B1078" s="31" t="s">
        <v>1012</v>
      </c>
      <c r="C1078" s="15" t="s">
        <v>3</v>
      </c>
      <c r="D1078" s="31" t="s">
        <v>500</v>
      </c>
      <c r="E1078" s="31"/>
      <c r="F1078" s="70" t="s">
        <v>7</v>
      </c>
      <c r="G1078" s="32">
        <v>38001</v>
      </c>
      <c r="H1078" s="29">
        <v>9409</v>
      </c>
      <c r="I1078" s="17">
        <v>0</v>
      </c>
      <c r="J1078" s="17">
        <v>0</v>
      </c>
      <c r="K1078" s="17">
        <f t="shared" si="172"/>
        <v>9409</v>
      </c>
      <c r="L1078" s="23">
        <f t="shared" si="179"/>
        <v>470.45000000000005</v>
      </c>
      <c r="M1078" s="33">
        <v>15</v>
      </c>
      <c r="N1078" s="18">
        <f t="shared" si="174"/>
        <v>17.224657534246575</v>
      </c>
      <c r="O1078" s="23">
        <v>13385.5</v>
      </c>
      <c r="P1078" s="18">
        <f t="shared" si="175"/>
        <v>17.726027397260275</v>
      </c>
      <c r="Q1078" s="18">
        <v>0</v>
      </c>
      <c r="R1078" s="18">
        <f t="shared" si="173"/>
        <v>13385.5</v>
      </c>
      <c r="S1078" s="18">
        <f t="shared" si="181"/>
        <v>470.45000000000005</v>
      </c>
    </row>
    <row r="1079" spans="1:19" ht="18.75" customHeight="1" x14ac:dyDescent="0.25">
      <c r="A1079" s="14">
        <f t="shared" si="177"/>
        <v>1076</v>
      </c>
      <c r="B1079" s="31" t="s">
        <v>507</v>
      </c>
      <c r="C1079" s="15" t="s">
        <v>3</v>
      </c>
      <c r="D1079" s="31" t="s">
        <v>500</v>
      </c>
      <c r="E1079" s="31"/>
      <c r="F1079" s="70" t="s">
        <v>7</v>
      </c>
      <c r="G1079" s="32">
        <v>38655</v>
      </c>
      <c r="H1079" s="29">
        <v>58096.830647397263</v>
      </c>
      <c r="I1079" s="17">
        <v>0</v>
      </c>
      <c r="J1079" s="17">
        <v>0</v>
      </c>
      <c r="K1079" s="17">
        <f t="shared" si="172"/>
        <v>58096.830647397263</v>
      </c>
      <c r="L1079" s="23">
        <f t="shared" si="179"/>
        <v>2904.8415323698632</v>
      </c>
      <c r="M1079" s="33">
        <v>15</v>
      </c>
      <c r="N1079" s="18">
        <f t="shared" si="174"/>
        <v>15.432876712328767</v>
      </c>
      <c r="O1079" s="23">
        <v>20758.829809826486</v>
      </c>
      <c r="P1079" s="18">
        <f t="shared" si="175"/>
        <v>15.934246575342465</v>
      </c>
      <c r="Q1079" s="18">
        <v>0</v>
      </c>
      <c r="R1079" s="18">
        <f t="shared" si="173"/>
        <v>20758.829809826486</v>
      </c>
      <c r="S1079" s="18">
        <f t="shared" si="176"/>
        <v>37338.000837570777</v>
      </c>
    </row>
    <row r="1080" spans="1:19" ht="18.75" customHeight="1" x14ac:dyDescent="0.25">
      <c r="A1080" s="14">
        <f t="shared" si="177"/>
        <v>1077</v>
      </c>
      <c r="B1080" s="31" t="s">
        <v>1002</v>
      </c>
      <c r="C1080" s="15" t="s">
        <v>3</v>
      </c>
      <c r="D1080" s="31" t="s">
        <v>500</v>
      </c>
      <c r="E1080" s="31"/>
      <c r="F1080" s="73" t="s">
        <v>11</v>
      </c>
      <c r="G1080" s="32">
        <v>32143</v>
      </c>
      <c r="H1080" s="29">
        <v>940.75</v>
      </c>
      <c r="I1080" s="17">
        <v>0</v>
      </c>
      <c r="J1080" s="17">
        <v>0</v>
      </c>
      <c r="K1080" s="17">
        <f t="shared" si="172"/>
        <v>940.75</v>
      </c>
      <c r="L1080" s="23">
        <f t="shared" si="179"/>
        <v>47.037500000000001</v>
      </c>
      <c r="M1080" s="33">
        <v>15</v>
      </c>
      <c r="N1080" s="18">
        <f t="shared" si="174"/>
        <v>33.273972602739725</v>
      </c>
      <c r="O1080" s="23">
        <v>93822.95</v>
      </c>
      <c r="P1080" s="18">
        <f t="shared" si="175"/>
        <v>33.775342465753425</v>
      </c>
      <c r="Q1080" s="18">
        <v>0</v>
      </c>
      <c r="R1080" s="18">
        <f t="shared" si="173"/>
        <v>93822.95</v>
      </c>
      <c r="S1080" s="18">
        <f t="shared" ref="S1080:S1085" si="182">L1080</f>
        <v>47.037500000000001</v>
      </c>
    </row>
    <row r="1081" spans="1:19" ht="18.75" customHeight="1" x14ac:dyDescent="0.25">
      <c r="A1081" s="14">
        <f t="shared" si="177"/>
        <v>1078</v>
      </c>
      <c r="B1081" s="31" t="s">
        <v>1013</v>
      </c>
      <c r="C1081" s="15" t="s">
        <v>3</v>
      </c>
      <c r="D1081" s="31" t="s">
        <v>500</v>
      </c>
      <c r="E1081" s="31"/>
      <c r="F1081" s="73" t="s">
        <v>11</v>
      </c>
      <c r="G1081" s="32">
        <v>33984</v>
      </c>
      <c r="H1081" s="29">
        <v>64467.300000000047</v>
      </c>
      <c r="I1081" s="17">
        <v>0</v>
      </c>
      <c r="J1081" s="17">
        <v>0</v>
      </c>
      <c r="K1081" s="17">
        <f t="shared" si="172"/>
        <v>64467.300000000047</v>
      </c>
      <c r="L1081" s="23">
        <f t="shared" si="179"/>
        <v>3223.3650000000025</v>
      </c>
      <c r="M1081" s="33">
        <v>10</v>
      </c>
      <c r="N1081" s="18">
        <f t="shared" si="174"/>
        <v>28.230136986301371</v>
      </c>
      <c r="O1081" s="23">
        <v>125252.75</v>
      </c>
      <c r="P1081" s="18">
        <f t="shared" si="175"/>
        <v>28.731506849315068</v>
      </c>
      <c r="Q1081" s="18">
        <v>0</v>
      </c>
      <c r="R1081" s="18">
        <f t="shared" si="173"/>
        <v>125252.75</v>
      </c>
      <c r="S1081" s="18">
        <f t="shared" si="182"/>
        <v>3223.3650000000025</v>
      </c>
    </row>
    <row r="1082" spans="1:19" ht="18.75" customHeight="1" x14ac:dyDescent="0.25">
      <c r="A1082" s="14">
        <f t="shared" si="177"/>
        <v>1079</v>
      </c>
      <c r="B1082" s="31" t="s">
        <v>1014</v>
      </c>
      <c r="C1082" s="15" t="s">
        <v>3</v>
      </c>
      <c r="D1082" s="31" t="s">
        <v>500</v>
      </c>
      <c r="E1082" s="31"/>
      <c r="F1082" s="73" t="s">
        <v>11</v>
      </c>
      <c r="G1082" s="32">
        <v>33984</v>
      </c>
      <c r="H1082" s="29">
        <v>1062.2000000000007</v>
      </c>
      <c r="I1082" s="17">
        <v>0</v>
      </c>
      <c r="J1082" s="17">
        <v>0</v>
      </c>
      <c r="K1082" s="17">
        <f t="shared" si="172"/>
        <v>1062.2000000000007</v>
      </c>
      <c r="L1082" s="23">
        <f t="shared" si="179"/>
        <v>53.110000000000042</v>
      </c>
      <c r="M1082" s="33">
        <v>10</v>
      </c>
      <c r="N1082" s="18">
        <f t="shared" si="174"/>
        <v>28.230136986301371</v>
      </c>
      <c r="O1082" s="23">
        <v>32300</v>
      </c>
      <c r="P1082" s="18">
        <f t="shared" si="175"/>
        <v>28.731506849315068</v>
      </c>
      <c r="Q1082" s="18">
        <v>0</v>
      </c>
      <c r="R1082" s="18">
        <f t="shared" si="173"/>
        <v>32300</v>
      </c>
      <c r="S1082" s="18">
        <f t="shared" si="182"/>
        <v>53.110000000000042</v>
      </c>
    </row>
    <row r="1083" spans="1:19" ht="18.75" customHeight="1" x14ac:dyDescent="0.25">
      <c r="A1083" s="14">
        <f t="shared" si="177"/>
        <v>1080</v>
      </c>
      <c r="B1083" s="31" t="s">
        <v>1015</v>
      </c>
      <c r="C1083" s="15" t="s">
        <v>3</v>
      </c>
      <c r="D1083" s="31" t="s">
        <v>500</v>
      </c>
      <c r="E1083" s="31"/>
      <c r="F1083" s="73" t="s">
        <v>11</v>
      </c>
      <c r="G1083" s="32">
        <v>28856</v>
      </c>
      <c r="H1083" s="29">
        <v>858</v>
      </c>
      <c r="I1083" s="17">
        <v>0</v>
      </c>
      <c r="J1083" s="17">
        <v>0</v>
      </c>
      <c r="K1083" s="17">
        <f t="shared" si="172"/>
        <v>858</v>
      </c>
      <c r="L1083" s="23">
        <f t="shared" si="179"/>
        <v>42.900000000000006</v>
      </c>
      <c r="M1083" s="33">
        <v>25</v>
      </c>
      <c r="N1083" s="18">
        <f t="shared" si="174"/>
        <v>42.279452054794518</v>
      </c>
      <c r="O1083" s="23">
        <v>34247.5</v>
      </c>
      <c r="P1083" s="18">
        <f t="shared" si="175"/>
        <v>42.780821917808218</v>
      </c>
      <c r="Q1083" s="18">
        <v>0</v>
      </c>
      <c r="R1083" s="18">
        <f t="shared" si="173"/>
        <v>34247.5</v>
      </c>
      <c r="S1083" s="18">
        <f t="shared" si="182"/>
        <v>42.900000000000006</v>
      </c>
    </row>
    <row r="1084" spans="1:19" ht="18.75" customHeight="1" x14ac:dyDescent="0.25">
      <c r="A1084" s="14">
        <f t="shared" si="177"/>
        <v>1081</v>
      </c>
      <c r="B1084" s="31" t="s">
        <v>1010</v>
      </c>
      <c r="C1084" s="15" t="s">
        <v>3</v>
      </c>
      <c r="D1084" s="31" t="s">
        <v>500</v>
      </c>
      <c r="E1084" s="31"/>
      <c r="F1084" s="73" t="s">
        <v>14</v>
      </c>
      <c r="G1084" s="32">
        <v>32509</v>
      </c>
      <c r="H1084" s="29">
        <v>3320.9000000000015</v>
      </c>
      <c r="I1084" s="17">
        <v>0</v>
      </c>
      <c r="J1084" s="17">
        <v>0</v>
      </c>
      <c r="K1084" s="17">
        <f t="shared" si="172"/>
        <v>3320.9000000000015</v>
      </c>
      <c r="L1084" s="23">
        <f t="shared" si="179"/>
        <v>166.04500000000007</v>
      </c>
      <c r="M1084" s="33">
        <v>15</v>
      </c>
      <c r="N1084" s="18">
        <f t="shared" si="174"/>
        <v>32.271232876712325</v>
      </c>
      <c r="O1084" s="23">
        <v>15919.15</v>
      </c>
      <c r="P1084" s="18">
        <f t="shared" si="175"/>
        <v>32.772602739726025</v>
      </c>
      <c r="Q1084" s="18">
        <v>0</v>
      </c>
      <c r="R1084" s="18">
        <f t="shared" si="173"/>
        <v>15919.15</v>
      </c>
      <c r="S1084" s="18">
        <f t="shared" si="182"/>
        <v>166.04500000000007</v>
      </c>
    </row>
    <row r="1085" spans="1:19" ht="18.75" customHeight="1" x14ac:dyDescent="0.25">
      <c r="A1085" s="14">
        <f t="shared" si="177"/>
        <v>1082</v>
      </c>
      <c r="B1085" s="31" t="s">
        <v>1016</v>
      </c>
      <c r="C1085" s="15" t="s">
        <v>3</v>
      </c>
      <c r="D1085" s="31" t="s">
        <v>500</v>
      </c>
      <c r="E1085" s="31"/>
      <c r="F1085" s="73" t="s">
        <v>11</v>
      </c>
      <c r="G1085" s="32">
        <v>32509</v>
      </c>
      <c r="H1085" s="29">
        <v>735.89999999999964</v>
      </c>
      <c r="I1085" s="17">
        <v>0</v>
      </c>
      <c r="J1085" s="17">
        <v>0</v>
      </c>
      <c r="K1085" s="17">
        <f t="shared" si="172"/>
        <v>735.89999999999964</v>
      </c>
      <c r="L1085" s="23">
        <f t="shared" si="179"/>
        <v>36.79499999999998</v>
      </c>
      <c r="M1085" s="33">
        <v>15</v>
      </c>
      <c r="N1085" s="18">
        <f t="shared" si="174"/>
        <v>32.271232876712325</v>
      </c>
      <c r="O1085" s="23">
        <v>3325</v>
      </c>
      <c r="P1085" s="18">
        <f t="shared" si="175"/>
        <v>32.772602739726025</v>
      </c>
      <c r="Q1085" s="18">
        <v>0</v>
      </c>
      <c r="R1085" s="18">
        <f t="shared" si="173"/>
        <v>3325</v>
      </c>
      <c r="S1085" s="18">
        <f t="shared" si="182"/>
        <v>36.79499999999998</v>
      </c>
    </row>
    <row r="1086" spans="1:19" ht="18.75" customHeight="1" x14ac:dyDescent="0.25">
      <c r="A1086" s="14">
        <f t="shared" si="177"/>
        <v>1083</v>
      </c>
      <c r="B1086" s="31" t="s">
        <v>1017</v>
      </c>
      <c r="C1086" s="15" t="s">
        <v>3</v>
      </c>
      <c r="D1086" s="31" t="s">
        <v>500</v>
      </c>
      <c r="E1086" s="31"/>
      <c r="F1086" s="73" t="s">
        <v>11</v>
      </c>
      <c r="G1086" s="32">
        <v>34644</v>
      </c>
      <c r="H1086" s="29">
        <v>7146.3484999999928</v>
      </c>
      <c r="I1086" s="17">
        <v>0</v>
      </c>
      <c r="J1086" s="17">
        <v>0</v>
      </c>
      <c r="K1086" s="17">
        <f t="shared" si="172"/>
        <v>7146.3484999999928</v>
      </c>
      <c r="L1086" s="23">
        <f t="shared" si="179"/>
        <v>357.31742499999967</v>
      </c>
      <c r="M1086" s="33">
        <v>10</v>
      </c>
      <c r="N1086" s="18">
        <f t="shared" si="174"/>
        <v>26.421917808219177</v>
      </c>
      <c r="O1086" s="23">
        <v>3890.2499999999991</v>
      </c>
      <c r="P1086" s="18">
        <f t="shared" si="175"/>
        <v>26.923287671232877</v>
      </c>
      <c r="Q1086" s="18">
        <v>0</v>
      </c>
      <c r="R1086" s="18">
        <f t="shared" si="173"/>
        <v>3890.2499999999991</v>
      </c>
      <c r="S1086" s="18">
        <f t="shared" si="176"/>
        <v>3256.0984999999937</v>
      </c>
    </row>
    <row r="1087" spans="1:19" ht="18.75" customHeight="1" x14ac:dyDescent="0.25">
      <c r="A1087" s="14">
        <f t="shared" si="177"/>
        <v>1084</v>
      </c>
      <c r="B1087" s="31" t="s">
        <v>1018</v>
      </c>
      <c r="C1087" s="15" t="s">
        <v>3</v>
      </c>
      <c r="D1087" s="31" t="s">
        <v>500</v>
      </c>
      <c r="E1087" s="31"/>
      <c r="F1087" s="73" t="s">
        <v>11</v>
      </c>
      <c r="G1087" s="32">
        <v>29221</v>
      </c>
      <c r="H1087" s="29">
        <v>1258.1500000000015</v>
      </c>
      <c r="I1087" s="17">
        <v>0</v>
      </c>
      <c r="J1087" s="17">
        <v>0</v>
      </c>
      <c r="K1087" s="17">
        <f t="shared" si="172"/>
        <v>1258.1500000000015</v>
      </c>
      <c r="L1087" s="23">
        <f t="shared" si="179"/>
        <v>62.907500000000077</v>
      </c>
      <c r="M1087" s="33">
        <v>25</v>
      </c>
      <c r="N1087" s="18">
        <f t="shared" si="174"/>
        <v>41.279452054794518</v>
      </c>
      <c r="O1087" s="23">
        <v>11015.25</v>
      </c>
      <c r="P1087" s="18">
        <f t="shared" si="175"/>
        <v>41.780821917808218</v>
      </c>
      <c r="Q1087" s="18">
        <v>0</v>
      </c>
      <c r="R1087" s="18">
        <f t="shared" si="173"/>
        <v>11015.25</v>
      </c>
      <c r="S1087" s="18">
        <f>L1087</f>
        <v>62.907500000000077</v>
      </c>
    </row>
    <row r="1088" spans="1:19" ht="18.75" customHeight="1" x14ac:dyDescent="0.25">
      <c r="A1088" s="14">
        <f t="shared" si="177"/>
        <v>1085</v>
      </c>
      <c r="B1088" s="31" t="s">
        <v>1019</v>
      </c>
      <c r="C1088" s="15" t="s">
        <v>3</v>
      </c>
      <c r="D1088" s="31" t="s">
        <v>500</v>
      </c>
      <c r="E1088" s="31"/>
      <c r="F1088" s="70" t="s">
        <v>7</v>
      </c>
      <c r="G1088" s="32">
        <v>35764</v>
      </c>
      <c r="H1088" s="29">
        <v>87174.649999999907</v>
      </c>
      <c r="I1088" s="17">
        <v>0</v>
      </c>
      <c r="J1088" s="17">
        <v>0</v>
      </c>
      <c r="K1088" s="17">
        <f t="shared" si="172"/>
        <v>87174.649999999907</v>
      </c>
      <c r="L1088" s="23">
        <f t="shared" si="179"/>
        <v>4358.7324999999955</v>
      </c>
      <c r="M1088" s="33">
        <v>15</v>
      </c>
      <c r="N1088" s="18">
        <f t="shared" si="174"/>
        <v>23.353424657534248</v>
      </c>
      <c r="O1088" s="23">
        <v>7590.4999999999936</v>
      </c>
      <c r="P1088" s="18">
        <f t="shared" si="175"/>
        <v>23.854794520547944</v>
      </c>
      <c r="Q1088" s="18">
        <v>0</v>
      </c>
      <c r="R1088" s="18">
        <f t="shared" si="173"/>
        <v>7590.4999999999936</v>
      </c>
      <c r="S1088" s="18">
        <f t="shared" si="176"/>
        <v>79584.149999999907</v>
      </c>
    </row>
    <row r="1089" spans="1:19" ht="18.75" customHeight="1" x14ac:dyDescent="0.25">
      <c r="A1089" s="14">
        <f t="shared" si="177"/>
        <v>1086</v>
      </c>
      <c r="B1089" s="31" t="s">
        <v>1020</v>
      </c>
      <c r="C1089" s="15" t="s">
        <v>3</v>
      </c>
      <c r="D1089" s="31" t="s">
        <v>500</v>
      </c>
      <c r="E1089" s="31"/>
      <c r="F1089" s="73" t="s">
        <v>4</v>
      </c>
      <c r="G1089" s="32">
        <v>34059</v>
      </c>
      <c r="H1089" s="29">
        <v>212.69999999999982</v>
      </c>
      <c r="I1089" s="17">
        <v>0</v>
      </c>
      <c r="J1089" s="17">
        <v>0</v>
      </c>
      <c r="K1089" s="17">
        <f t="shared" si="172"/>
        <v>212.69999999999982</v>
      </c>
      <c r="L1089" s="23">
        <f t="shared" si="179"/>
        <v>10.634999999999991</v>
      </c>
      <c r="M1089" s="33">
        <v>15</v>
      </c>
      <c r="N1089" s="18">
        <f t="shared" si="174"/>
        <v>28.024657534246575</v>
      </c>
      <c r="O1089" s="23">
        <v>16957.5</v>
      </c>
      <c r="P1089" s="18">
        <f t="shared" si="175"/>
        <v>28.526027397260275</v>
      </c>
      <c r="Q1089" s="18">
        <v>0</v>
      </c>
      <c r="R1089" s="18">
        <f t="shared" si="173"/>
        <v>16957.5</v>
      </c>
      <c r="S1089" s="18">
        <f t="shared" ref="S1089:S1090" si="183">L1089</f>
        <v>10.634999999999991</v>
      </c>
    </row>
    <row r="1090" spans="1:19" ht="18.75" customHeight="1" x14ac:dyDescent="0.25">
      <c r="A1090" s="14">
        <f t="shared" si="177"/>
        <v>1087</v>
      </c>
      <c r="B1090" s="31" t="s">
        <v>1021</v>
      </c>
      <c r="C1090" s="15" t="s">
        <v>3</v>
      </c>
      <c r="D1090" s="31" t="s">
        <v>500</v>
      </c>
      <c r="E1090" s="31"/>
      <c r="F1090" s="73" t="s">
        <v>4</v>
      </c>
      <c r="G1090" s="32">
        <v>29221</v>
      </c>
      <c r="H1090" s="29">
        <v>235.05000000000018</v>
      </c>
      <c r="I1090" s="17">
        <v>0</v>
      </c>
      <c r="J1090" s="17">
        <v>0</v>
      </c>
      <c r="K1090" s="17">
        <f t="shared" si="172"/>
        <v>235.05000000000018</v>
      </c>
      <c r="L1090" s="23">
        <f t="shared" si="179"/>
        <v>11.75250000000001</v>
      </c>
      <c r="M1090" s="33">
        <v>25</v>
      </c>
      <c r="N1090" s="18">
        <f t="shared" si="174"/>
        <v>41.279452054794518</v>
      </c>
      <c r="O1090" s="23">
        <v>9932.8770000000004</v>
      </c>
      <c r="P1090" s="18">
        <f t="shared" si="175"/>
        <v>41.780821917808218</v>
      </c>
      <c r="Q1090" s="18">
        <v>0</v>
      </c>
      <c r="R1090" s="18">
        <f t="shared" si="173"/>
        <v>9932.8770000000004</v>
      </c>
      <c r="S1090" s="18">
        <f t="shared" si="183"/>
        <v>11.75250000000001</v>
      </c>
    </row>
    <row r="1091" spans="1:19" ht="18.75" customHeight="1" x14ac:dyDescent="0.25">
      <c r="A1091" s="14">
        <f t="shared" si="177"/>
        <v>1088</v>
      </c>
      <c r="B1091" s="31" t="s">
        <v>1022</v>
      </c>
      <c r="C1091" s="15" t="s">
        <v>3</v>
      </c>
      <c r="D1091" s="31" t="s">
        <v>500</v>
      </c>
      <c r="E1091" s="31"/>
      <c r="F1091" s="73" t="s">
        <v>14</v>
      </c>
      <c r="G1091" s="32">
        <v>32874</v>
      </c>
      <c r="H1091" s="29">
        <v>56910.25</v>
      </c>
      <c r="I1091" s="17">
        <v>0</v>
      </c>
      <c r="J1091" s="17">
        <v>0</v>
      </c>
      <c r="K1091" s="17">
        <f t="shared" si="172"/>
        <v>56910.25</v>
      </c>
      <c r="L1091" s="23">
        <f t="shared" si="179"/>
        <v>2845.5125000000003</v>
      </c>
      <c r="M1091" s="33">
        <v>15</v>
      </c>
      <c r="N1091" s="18">
        <f t="shared" si="174"/>
        <v>31.271232876712329</v>
      </c>
      <c r="O1091" s="23">
        <v>16340</v>
      </c>
      <c r="P1091" s="18">
        <f t="shared" si="175"/>
        <v>31.772602739726029</v>
      </c>
      <c r="Q1091" s="18">
        <v>0</v>
      </c>
      <c r="R1091" s="18">
        <f t="shared" si="173"/>
        <v>16340</v>
      </c>
      <c r="S1091" s="18">
        <f t="shared" si="176"/>
        <v>40570.25</v>
      </c>
    </row>
    <row r="1092" spans="1:19" ht="18.75" customHeight="1" x14ac:dyDescent="0.25">
      <c r="A1092" s="14">
        <f t="shared" si="177"/>
        <v>1089</v>
      </c>
      <c r="B1092" s="31" t="s">
        <v>1023</v>
      </c>
      <c r="C1092" s="15" t="s">
        <v>3</v>
      </c>
      <c r="D1092" s="31" t="s">
        <v>500</v>
      </c>
      <c r="E1092" s="31"/>
      <c r="F1092" s="73" t="s">
        <v>4</v>
      </c>
      <c r="G1092" s="32">
        <v>34059</v>
      </c>
      <c r="H1092" s="29">
        <v>79.75</v>
      </c>
      <c r="I1092" s="17">
        <v>0</v>
      </c>
      <c r="J1092" s="17">
        <v>0</v>
      </c>
      <c r="K1092" s="17">
        <f t="shared" ref="K1092:K1155" si="184">H1092+I1092-J1092</f>
        <v>79.75</v>
      </c>
      <c r="L1092" s="23">
        <f t="shared" si="179"/>
        <v>3.9875000000000003</v>
      </c>
      <c r="M1092" s="33">
        <v>15</v>
      </c>
      <c r="N1092" s="18">
        <f t="shared" si="174"/>
        <v>28.024657534246575</v>
      </c>
      <c r="O1092" s="23">
        <v>24510</v>
      </c>
      <c r="P1092" s="18">
        <f t="shared" si="175"/>
        <v>28.526027397260275</v>
      </c>
      <c r="Q1092" s="18">
        <v>0</v>
      </c>
      <c r="R1092" s="18">
        <f t="shared" ref="R1092:R1155" si="185">Q1092+O1092</f>
        <v>24510</v>
      </c>
      <c r="S1092" s="18">
        <f t="shared" ref="S1092:S1093" si="186">L1092</f>
        <v>3.9875000000000003</v>
      </c>
    </row>
    <row r="1093" spans="1:19" ht="18.75" customHeight="1" x14ac:dyDescent="0.25">
      <c r="A1093" s="14">
        <f t="shared" si="177"/>
        <v>1090</v>
      </c>
      <c r="B1093" s="31" t="s">
        <v>1024</v>
      </c>
      <c r="C1093" s="15" t="s">
        <v>3</v>
      </c>
      <c r="D1093" s="31" t="s">
        <v>500</v>
      </c>
      <c r="E1093" s="31"/>
      <c r="F1093" s="73" t="s">
        <v>11</v>
      </c>
      <c r="G1093" s="32">
        <v>29587</v>
      </c>
      <c r="H1093" s="29">
        <v>1190.9500000000007</v>
      </c>
      <c r="I1093" s="17">
        <v>0</v>
      </c>
      <c r="J1093" s="17">
        <v>0</v>
      </c>
      <c r="K1093" s="17">
        <f t="shared" si="184"/>
        <v>1190.9500000000007</v>
      </c>
      <c r="L1093" s="23">
        <f t="shared" si="179"/>
        <v>59.547500000000042</v>
      </c>
      <c r="M1093" s="33">
        <v>25</v>
      </c>
      <c r="N1093" s="18">
        <f t="shared" ref="N1093:N1156" si="187">IF(($N$2-G1093+1)/365&gt;0,($N$2-G1093+1)/365,0)</f>
        <v>40.276712328767125</v>
      </c>
      <c r="O1093" s="23">
        <v>11400</v>
      </c>
      <c r="P1093" s="18">
        <f t="shared" ref="P1093:P1156" si="188">($P$2-G1093+1)/365</f>
        <v>40.778082191780825</v>
      </c>
      <c r="Q1093" s="18">
        <v>0</v>
      </c>
      <c r="R1093" s="18">
        <f t="shared" si="185"/>
        <v>11400</v>
      </c>
      <c r="S1093" s="18">
        <f t="shared" si="186"/>
        <v>59.547500000000042</v>
      </c>
    </row>
    <row r="1094" spans="1:19" ht="18.75" customHeight="1" x14ac:dyDescent="0.25">
      <c r="A1094" s="14">
        <f t="shared" ref="A1094:A1157" si="189">+A1093+1</f>
        <v>1091</v>
      </c>
      <c r="B1094" s="31" t="s">
        <v>525</v>
      </c>
      <c r="C1094" s="15" t="s">
        <v>3</v>
      </c>
      <c r="D1094" s="31" t="s">
        <v>500</v>
      </c>
      <c r="E1094" s="31"/>
      <c r="F1094" s="70" t="s">
        <v>7</v>
      </c>
      <c r="G1094" s="32">
        <v>39828</v>
      </c>
      <c r="H1094" s="29">
        <v>79814.95890410959</v>
      </c>
      <c r="I1094" s="17">
        <v>0</v>
      </c>
      <c r="J1094" s="17">
        <v>0</v>
      </c>
      <c r="K1094" s="17">
        <f t="shared" si="184"/>
        <v>79814.95890410959</v>
      </c>
      <c r="L1094" s="23">
        <f t="shared" si="179"/>
        <v>3990.7479452054795</v>
      </c>
      <c r="M1094" s="33">
        <v>15</v>
      </c>
      <c r="N1094" s="18">
        <f t="shared" si="187"/>
        <v>12.219178082191782</v>
      </c>
      <c r="O1094" s="23">
        <v>33900.997260273973</v>
      </c>
      <c r="P1094" s="18">
        <f t="shared" si="188"/>
        <v>12.72054794520548</v>
      </c>
      <c r="Q1094" s="18">
        <f t="shared" ref="Q1094:Q1104" si="190">(P1094-N1094)/M1094*(K1094-L1094)</f>
        <v>2534.3982841058337</v>
      </c>
      <c r="R1094" s="18">
        <f t="shared" si="185"/>
        <v>36435.395544379804</v>
      </c>
      <c r="S1094" s="18">
        <f t="shared" ref="S1094:S1155" si="191">K1094-R1094</f>
        <v>43379.563359729786</v>
      </c>
    </row>
    <row r="1095" spans="1:19" ht="18.75" customHeight="1" x14ac:dyDescent="0.25">
      <c r="A1095" s="14">
        <f t="shared" si="189"/>
        <v>1092</v>
      </c>
      <c r="B1095" s="31" t="s">
        <v>752</v>
      </c>
      <c r="C1095" s="15" t="s">
        <v>3</v>
      </c>
      <c r="D1095" s="31" t="s">
        <v>500</v>
      </c>
      <c r="E1095" s="31"/>
      <c r="F1095" s="73" t="s">
        <v>11</v>
      </c>
      <c r="G1095" s="32">
        <v>29587</v>
      </c>
      <c r="H1095" s="29">
        <v>878.15000000000146</v>
      </c>
      <c r="I1095" s="17">
        <v>0</v>
      </c>
      <c r="J1095" s="17">
        <v>0</v>
      </c>
      <c r="K1095" s="17">
        <f t="shared" si="184"/>
        <v>878.15000000000146</v>
      </c>
      <c r="L1095" s="23">
        <f t="shared" si="179"/>
        <v>43.907500000000077</v>
      </c>
      <c r="M1095" s="33">
        <v>25</v>
      </c>
      <c r="N1095" s="18">
        <f t="shared" si="187"/>
        <v>40.276712328767125</v>
      </c>
      <c r="O1095" s="23">
        <v>6483.75</v>
      </c>
      <c r="P1095" s="18">
        <f t="shared" si="188"/>
        <v>40.778082191780825</v>
      </c>
      <c r="Q1095" s="18">
        <v>0</v>
      </c>
      <c r="R1095" s="18">
        <f t="shared" si="185"/>
        <v>6483.75</v>
      </c>
      <c r="S1095" s="18">
        <f>L1095</f>
        <v>43.907500000000077</v>
      </c>
    </row>
    <row r="1096" spans="1:19" ht="18.75" customHeight="1" x14ac:dyDescent="0.25">
      <c r="A1096" s="14">
        <f t="shared" si="189"/>
        <v>1093</v>
      </c>
      <c r="B1096" s="31" t="s">
        <v>1025</v>
      </c>
      <c r="C1096" s="15" t="s">
        <v>3</v>
      </c>
      <c r="D1096" s="31" t="s">
        <v>500</v>
      </c>
      <c r="E1096" s="31"/>
      <c r="F1096" s="73" t="s">
        <v>11</v>
      </c>
      <c r="G1096" s="32">
        <v>35069</v>
      </c>
      <c r="H1096" s="29">
        <v>84771.5</v>
      </c>
      <c r="I1096" s="17">
        <v>0</v>
      </c>
      <c r="J1096" s="17">
        <v>0</v>
      </c>
      <c r="K1096" s="17">
        <f t="shared" si="184"/>
        <v>84771.5</v>
      </c>
      <c r="L1096" s="23">
        <f t="shared" si="179"/>
        <v>4238.5749999999998</v>
      </c>
      <c r="M1096" s="33">
        <v>10</v>
      </c>
      <c r="N1096" s="18">
        <f t="shared" si="187"/>
        <v>25.257534246575343</v>
      </c>
      <c r="O1096" s="23">
        <v>11020</v>
      </c>
      <c r="P1096" s="18">
        <f t="shared" si="188"/>
        <v>25.758904109589039</v>
      </c>
      <c r="Q1096" s="18">
        <v>0</v>
      </c>
      <c r="R1096" s="18">
        <f t="shared" si="185"/>
        <v>11020</v>
      </c>
      <c r="S1096" s="18">
        <f t="shared" si="191"/>
        <v>73751.5</v>
      </c>
    </row>
    <row r="1097" spans="1:19" ht="18.75" customHeight="1" x14ac:dyDescent="0.25">
      <c r="A1097" s="14">
        <f t="shared" si="189"/>
        <v>1094</v>
      </c>
      <c r="B1097" s="31" t="s">
        <v>1026</v>
      </c>
      <c r="C1097" s="15" t="s">
        <v>3</v>
      </c>
      <c r="D1097" s="31" t="s">
        <v>500</v>
      </c>
      <c r="E1097" s="31"/>
      <c r="F1097" s="73" t="s">
        <v>11</v>
      </c>
      <c r="G1097" s="32">
        <v>29952</v>
      </c>
      <c r="H1097" s="29">
        <v>6205.1999999999971</v>
      </c>
      <c r="I1097" s="17">
        <v>0</v>
      </c>
      <c r="J1097" s="17">
        <v>0</v>
      </c>
      <c r="K1097" s="17">
        <f t="shared" si="184"/>
        <v>6205.1999999999971</v>
      </c>
      <c r="L1097" s="23">
        <f t="shared" si="179"/>
        <v>310.25999999999988</v>
      </c>
      <c r="M1097" s="33">
        <v>25</v>
      </c>
      <c r="N1097" s="18">
        <f t="shared" si="187"/>
        <v>39.276712328767125</v>
      </c>
      <c r="O1097" s="23">
        <v>13739.5365</v>
      </c>
      <c r="P1097" s="18">
        <f t="shared" si="188"/>
        <v>39.778082191780825</v>
      </c>
      <c r="Q1097" s="18">
        <v>0</v>
      </c>
      <c r="R1097" s="18">
        <f t="shared" si="185"/>
        <v>13739.5365</v>
      </c>
      <c r="S1097" s="18">
        <f t="shared" ref="S1097:S1101" si="192">L1097</f>
        <v>310.25999999999988</v>
      </c>
    </row>
    <row r="1098" spans="1:19" ht="18.75" customHeight="1" x14ac:dyDescent="0.25">
      <c r="A1098" s="14">
        <f t="shared" si="189"/>
        <v>1095</v>
      </c>
      <c r="B1098" s="31" t="s">
        <v>1027</v>
      </c>
      <c r="C1098" s="15" t="s">
        <v>3</v>
      </c>
      <c r="D1098" s="31" t="s">
        <v>500</v>
      </c>
      <c r="E1098" s="31"/>
      <c r="F1098" s="73" t="s">
        <v>11</v>
      </c>
      <c r="G1098" s="32">
        <v>29952</v>
      </c>
      <c r="H1098" s="29">
        <v>910.54999999999927</v>
      </c>
      <c r="I1098" s="17">
        <v>0</v>
      </c>
      <c r="J1098" s="17">
        <v>0</v>
      </c>
      <c r="K1098" s="17">
        <f t="shared" si="184"/>
        <v>910.54999999999927</v>
      </c>
      <c r="L1098" s="23">
        <f t="shared" si="179"/>
        <v>45.527499999999968</v>
      </c>
      <c r="M1098" s="33">
        <v>25</v>
      </c>
      <c r="N1098" s="18">
        <f t="shared" si="187"/>
        <v>39.276712328767125</v>
      </c>
      <c r="O1098" s="23">
        <v>29924.895499999999</v>
      </c>
      <c r="P1098" s="18">
        <f t="shared" si="188"/>
        <v>39.778082191780825</v>
      </c>
      <c r="Q1098" s="18">
        <v>0</v>
      </c>
      <c r="R1098" s="18">
        <f t="shared" si="185"/>
        <v>29924.895499999999</v>
      </c>
      <c r="S1098" s="18">
        <f t="shared" si="192"/>
        <v>45.527499999999968</v>
      </c>
    </row>
    <row r="1099" spans="1:19" ht="18.75" customHeight="1" x14ac:dyDescent="0.25">
      <c r="A1099" s="14">
        <f t="shared" si="189"/>
        <v>1096</v>
      </c>
      <c r="B1099" s="31" t="s">
        <v>1028</v>
      </c>
      <c r="C1099" s="15" t="s">
        <v>3</v>
      </c>
      <c r="D1099" s="31" t="s">
        <v>500</v>
      </c>
      <c r="E1099" s="31"/>
      <c r="F1099" s="73" t="s">
        <v>11</v>
      </c>
      <c r="G1099" s="32">
        <v>33604</v>
      </c>
      <c r="H1099" s="29">
        <v>500</v>
      </c>
      <c r="I1099" s="17">
        <v>0</v>
      </c>
      <c r="J1099" s="17">
        <v>0</v>
      </c>
      <c r="K1099" s="17">
        <f t="shared" si="184"/>
        <v>500</v>
      </c>
      <c r="L1099" s="23">
        <f t="shared" si="179"/>
        <v>25</v>
      </c>
      <c r="M1099" s="33">
        <v>15</v>
      </c>
      <c r="N1099" s="18">
        <f t="shared" si="187"/>
        <v>29.271232876712329</v>
      </c>
      <c r="O1099" s="23">
        <v>22698.834500000001</v>
      </c>
      <c r="P1099" s="18">
        <f t="shared" si="188"/>
        <v>29.772602739726029</v>
      </c>
      <c r="Q1099" s="18">
        <v>0</v>
      </c>
      <c r="R1099" s="18">
        <f t="shared" si="185"/>
        <v>22698.834500000001</v>
      </c>
      <c r="S1099" s="18">
        <f t="shared" si="192"/>
        <v>25</v>
      </c>
    </row>
    <row r="1100" spans="1:19" ht="18.75" customHeight="1" x14ac:dyDescent="0.25">
      <c r="A1100" s="14">
        <f t="shared" si="189"/>
        <v>1097</v>
      </c>
      <c r="B1100" s="31" t="s">
        <v>1029</v>
      </c>
      <c r="C1100" s="15" t="s">
        <v>3</v>
      </c>
      <c r="D1100" s="31" t="s">
        <v>500</v>
      </c>
      <c r="E1100" s="31"/>
      <c r="F1100" s="73" t="s">
        <v>11</v>
      </c>
      <c r="G1100" s="32">
        <v>35703</v>
      </c>
      <c r="H1100" s="29">
        <v>925</v>
      </c>
      <c r="I1100" s="17">
        <v>0</v>
      </c>
      <c r="J1100" s="17">
        <v>0</v>
      </c>
      <c r="K1100" s="17">
        <f t="shared" si="184"/>
        <v>925</v>
      </c>
      <c r="L1100" s="23">
        <f t="shared" si="179"/>
        <v>46.25</v>
      </c>
      <c r="M1100" s="33">
        <v>10</v>
      </c>
      <c r="N1100" s="18">
        <f t="shared" si="187"/>
        <v>23.520547945205479</v>
      </c>
      <c r="O1100" s="23">
        <v>180506.16550000003</v>
      </c>
      <c r="P1100" s="18">
        <f t="shared" si="188"/>
        <v>24.021917808219179</v>
      </c>
      <c r="Q1100" s="18">
        <v>0</v>
      </c>
      <c r="R1100" s="18">
        <f t="shared" si="185"/>
        <v>180506.16550000003</v>
      </c>
      <c r="S1100" s="18">
        <f t="shared" si="192"/>
        <v>46.25</v>
      </c>
    </row>
    <row r="1101" spans="1:19" ht="18.75" customHeight="1" x14ac:dyDescent="0.25">
      <c r="A1101" s="14">
        <f t="shared" si="189"/>
        <v>1098</v>
      </c>
      <c r="B1101" s="31" t="s">
        <v>1028</v>
      </c>
      <c r="C1101" s="15" t="s">
        <v>3</v>
      </c>
      <c r="D1101" s="31" t="s">
        <v>500</v>
      </c>
      <c r="E1101" s="31"/>
      <c r="F1101" s="73" t="s">
        <v>11</v>
      </c>
      <c r="G1101" s="32">
        <v>33918</v>
      </c>
      <c r="H1101" s="29">
        <v>500</v>
      </c>
      <c r="I1101" s="17">
        <v>0</v>
      </c>
      <c r="J1101" s="17">
        <v>0</v>
      </c>
      <c r="K1101" s="17">
        <f t="shared" si="184"/>
        <v>500</v>
      </c>
      <c r="L1101" s="23">
        <f t="shared" si="179"/>
        <v>25</v>
      </c>
      <c r="M1101" s="33">
        <v>15</v>
      </c>
      <c r="N1101" s="18">
        <f t="shared" si="187"/>
        <v>28.410958904109588</v>
      </c>
      <c r="O1101" s="23">
        <v>44892.25</v>
      </c>
      <c r="P1101" s="18">
        <f t="shared" si="188"/>
        <v>28.912328767123288</v>
      </c>
      <c r="Q1101" s="18">
        <v>0</v>
      </c>
      <c r="R1101" s="18">
        <f t="shared" si="185"/>
        <v>44892.25</v>
      </c>
      <c r="S1101" s="18">
        <f t="shared" si="192"/>
        <v>25</v>
      </c>
    </row>
    <row r="1102" spans="1:19" ht="18.75" customHeight="1" x14ac:dyDescent="0.25">
      <c r="A1102" s="14">
        <f t="shared" si="189"/>
        <v>1099</v>
      </c>
      <c r="B1102" s="31" t="s">
        <v>1030</v>
      </c>
      <c r="C1102" s="15" t="s">
        <v>3</v>
      </c>
      <c r="D1102" s="31" t="s">
        <v>500</v>
      </c>
      <c r="E1102" s="31"/>
      <c r="F1102" s="70" t="s">
        <v>7</v>
      </c>
      <c r="G1102" s="32">
        <v>37653</v>
      </c>
      <c r="H1102" s="29">
        <v>28190.849999999977</v>
      </c>
      <c r="I1102" s="17">
        <v>0</v>
      </c>
      <c r="J1102" s="17">
        <v>0</v>
      </c>
      <c r="K1102" s="17">
        <f t="shared" si="184"/>
        <v>28190.849999999977</v>
      </c>
      <c r="L1102" s="23">
        <f t="shared" si="179"/>
        <v>1409.5424999999989</v>
      </c>
      <c r="M1102" s="33">
        <v>15</v>
      </c>
      <c r="N1102" s="18">
        <f t="shared" si="187"/>
        <v>18.17808219178082</v>
      </c>
      <c r="O1102" s="23">
        <v>14724.999999999998</v>
      </c>
      <c r="P1102" s="18">
        <f t="shared" si="188"/>
        <v>18.67945205479452</v>
      </c>
      <c r="Q1102" s="18">
        <v>0</v>
      </c>
      <c r="R1102" s="18">
        <f t="shared" si="185"/>
        <v>14724.999999999998</v>
      </c>
      <c r="S1102" s="18">
        <f t="shared" si="191"/>
        <v>13465.849999999979</v>
      </c>
    </row>
    <row r="1103" spans="1:19" ht="18.75" customHeight="1" x14ac:dyDescent="0.25">
      <c r="A1103" s="14">
        <f t="shared" si="189"/>
        <v>1100</v>
      </c>
      <c r="B1103" s="31" t="s">
        <v>1031</v>
      </c>
      <c r="C1103" s="15" t="s">
        <v>3</v>
      </c>
      <c r="D1103" s="31" t="s">
        <v>500</v>
      </c>
      <c r="E1103" s="31"/>
      <c r="F1103" s="73" t="s">
        <v>11</v>
      </c>
      <c r="G1103" s="32">
        <v>30317</v>
      </c>
      <c r="H1103" s="29">
        <v>22874.700000000012</v>
      </c>
      <c r="I1103" s="17">
        <v>0</v>
      </c>
      <c r="J1103" s="17">
        <v>0</v>
      </c>
      <c r="K1103" s="17">
        <f t="shared" si="184"/>
        <v>22874.700000000012</v>
      </c>
      <c r="L1103" s="23">
        <f t="shared" si="179"/>
        <v>1143.7350000000006</v>
      </c>
      <c r="M1103" s="33">
        <v>25</v>
      </c>
      <c r="N1103" s="18">
        <f t="shared" si="187"/>
        <v>38.276712328767125</v>
      </c>
      <c r="O1103" s="23">
        <v>5225</v>
      </c>
      <c r="P1103" s="18">
        <f t="shared" si="188"/>
        <v>38.778082191780825</v>
      </c>
      <c r="Q1103" s="18">
        <v>0</v>
      </c>
      <c r="R1103" s="18">
        <f t="shared" si="185"/>
        <v>5225</v>
      </c>
      <c r="S1103" s="18">
        <f t="shared" si="191"/>
        <v>17649.700000000012</v>
      </c>
    </row>
    <row r="1104" spans="1:19" ht="18.75" customHeight="1" x14ac:dyDescent="0.25">
      <c r="A1104" s="14">
        <f t="shared" si="189"/>
        <v>1101</v>
      </c>
      <c r="B1104" s="31" t="s">
        <v>525</v>
      </c>
      <c r="C1104" s="15" t="s">
        <v>3</v>
      </c>
      <c r="D1104" s="31" t="s">
        <v>500</v>
      </c>
      <c r="E1104" s="31"/>
      <c r="F1104" s="70" t="s">
        <v>7</v>
      </c>
      <c r="G1104" s="32">
        <v>40509</v>
      </c>
      <c r="H1104" s="29">
        <v>122102.86</v>
      </c>
      <c r="I1104" s="17">
        <v>0</v>
      </c>
      <c r="J1104" s="17">
        <v>0</v>
      </c>
      <c r="K1104" s="17">
        <f t="shared" si="184"/>
        <v>122102.86</v>
      </c>
      <c r="L1104" s="23">
        <f t="shared" si="179"/>
        <v>6105.143</v>
      </c>
      <c r="M1104" s="33">
        <v>15</v>
      </c>
      <c r="N1104" s="18">
        <f t="shared" si="187"/>
        <v>10.353424657534246</v>
      </c>
      <c r="O1104" s="23">
        <v>17024.557333333334</v>
      </c>
      <c r="P1104" s="18">
        <f t="shared" si="188"/>
        <v>10.854794520547944</v>
      </c>
      <c r="Q1104" s="18">
        <f t="shared" si="190"/>
        <v>3877.1839654794489</v>
      </c>
      <c r="R1104" s="18">
        <f t="shared" si="185"/>
        <v>20901.741298812783</v>
      </c>
      <c r="S1104" s="18">
        <f t="shared" si="191"/>
        <v>101201.11870118722</v>
      </c>
    </row>
    <row r="1105" spans="1:19" ht="18.75" customHeight="1" x14ac:dyDescent="0.25">
      <c r="A1105" s="14">
        <f t="shared" si="189"/>
        <v>1102</v>
      </c>
      <c r="B1105" s="31" t="s">
        <v>507</v>
      </c>
      <c r="C1105" s="15" t="s">
        <v>3</v>
      </c>
      <c r="D1105" s="31" t="s">
        <v>500</v>
      </c>
      <c r="E1105" s="31"/>
      <c r="F1105" s="70" t="s">
        <v>7</v>
      </c>
      <c r="G1105" s="32">
        <v>38655</v>
      </c>
      <c r="H1105" s="29">
        <v>116193.66129479453</v>
      </c>
      <c r="I1105" s="17">
        <v>0</v>
      </c>
      <c r="J1105" s="17">
        <v>0</v>
      </c>
      <c r="K1105" s="17">
        <f t="shared" si="184"/>
        <v>116193.66129479453</v>
      </c>
      <c r="L1105" s="23">
        <f t="shared" si="179"/>
        <v>5809.6830647397264</v>
      </c>
      <c r="M1105" s="33">
        <v>15</v>
      </c>
      <c r="N1105" s="18">
        <f t="shared" si="187"/>
        <v>15.432876712328767</v>
      </c>
      <c r="O1105" s="23">
        <v>24322.659619652968</v>
      </c>
      <c r="P1105" s="18">
        <f t="shared" si="188"/>
        <v>15.934246575342465</v>
      </c>
      <c r="Q1105" s="18">
        <v>0</v>
      </c>
      <c r="R1105" s="18">
        <f t="shared" si="185"/>
        <v>24322.659619652968</v>
      </c>
      <c r="S1105" s="18">
        <f t="shared" si="191"/>
        <v>91871.001675141553</v>
      </c>
    </row>
    <row r="1106" spans="1:19" ht="18.75" customHeight="1" x14ac:dyDescent="0.25">
      <c r="A1106" s="14">
        <f t="shared" si="189"/>
        <v>1103</v>
      </c>
      <c r="B1106" s="31" t="s">
        <v>1032</v>
      </c>
      <c r="C1106" s="15" t="s">
        <v>3</v>
      </c>
      <c r="D1106" s="31" t="s">
        <v>500</v>
      </c>
      <c r="E1106" s="31"/>
      <c r="F1106" s="73" t="s">
        <v>11</v>
      </c>
      <c r="G1106" s="32">
        <v>30317</v>
      </c>
      <c r="H1106" s="29">
        <v>9677.2999999999884</v>
      </c>
      <c r="I1106" s="17">
        <v>0</v>
      </c>
      <c r="J1106" s="17">
        <v>0</v>
      </c>
      <c r="K1106" s="17">
        <f t="shared" si="184"/>
        <v>9677.2999999999884</v>
      </c>
      <c r="L1106" s="23">
        <f t="shared" si="179"/>
        <v>483.86499999999944</v>
      </c>
      <c r="M1106" s="33">
        <v>25</v>
      </c>
      <c r="N1106" s="18">
        <f t="shared" si="187"/>
        <v>38.276712328767125</v>
      </c>
      <c r="O1106" s="23">
        <v>1139.9999999999995</v>
      </c>
      <c r="P1106" s="18">
        <f t="shared" si="188"/>
        <v>38.778082191780825</v>
      </c>
      <c r="Q1106" s="18">
        <v>0</v>
      </c>
      <c r="R1106" s="18">
        <f t="shared" si="185"/>
        <v>1139.9999999999995</v>
      </c>
      <c r="S1106" s="18">
        <f t="shared" si="191"/>
        <v>8537.2999999999884</v>
      </c>
    </row>
    <row r="1107" spans="1:19" ht="18.75" customHeight="1" x14ac:dyDescent="0.25">
      <c r="A1107" s="14">
        <f t="shared" si="189"/>
        <v>1104</v>
      </c>
      <c r="B1107" s="31" t="s">
        <v>1033</v>
      </c>
      <c r="C1107" s="15" t="s">
        <v>3</v>
      </c>
      <c r="D1107" s="31" t="s">
        <v>500</v>
      </c>
      <c r="E1107" s="31"/>
      <c r="F1107" s="73" t="s">
        <v>11</v>
      </c>
      <c r="G1107" s="32">
        <v>30317</v>
      </c>
      <c r="H1107" s="29">
        <v>618.79999999999927</v>
      </c>
      <c r="I1107" s="17">
        <v>0</v>
      </c>
      <c r="J1107" s="17">
        <v>0</v>
      </c>
      <c r="K1107" s="17">
        <f t="shared" si="184"/>
        <v>618.79999999999927</v>
      </c>
      <c r="L1107" s="23">
        <f t="shared" si="179"/>
        <v>30.939999999999966</v>
      </c>
      <c r="M1107" s="33">
        <v>25</v>
      </c>
      <c r="N1107" s="18">
        <f t="shared" si="187"/>
        <v>38.276712328767125</v>
      </c>
      <c r="O1107" s="23">
        <v>15200</v>
      </c>
      <c r="P1107" s="18">
        <f t="shared" si="188"/>
        <v>38.778082191780825</v>
      </c>
      <c r="Q1107" s="18">
        <v>0</v>
      </c>
      <c r="R1107" s="18">
        <f t="shared" si="185"/>
        <v>15200</v>
      </c>
      <c r="S1107" s="18">
        <f t="shared" ref="S1107:S1109" si="193">L1107</f>
        <v>30.939999999999966</v>
      </c>
    </row>
    <row r="1108" spans="1:19" ht="18.75" customHeight="1" x14ac:dyDescent="0.25">
      <c r="A1108" s="14">
        <f t="shared" si="189"/>
        <v>1105</v>
      </c>
      <c r="B1108" s="31" t="s">
        <v>1034</v>
      </c>
      <c r="C1108" s="15" t="s">
        <v>3</v>
      </c>
      <c r="D1108" s="31" t="s">
        <v>500</v>
      </c>
      <c r="E1108" s="31"/>
      <c r="F1108" s="73" t="s">
        <v>11</v>
      </c>
      <c r="G1108" s="32">
        <v>34273</v>
      </c>
      <c r="H1108" s="29">
        <v>568</v>
      </c>
      <c r="I1108" s="17">
        <v>0</v>
      </c>
      <c r="J1108" s="17">
        <v>0</v>
      </c>
      <c r="K1108" s="17">
        <f t="shared" si="184"/>
        <v>568</v>
      </c>
      <c r="L1108" s="23">
        <f t="shared" si="179"/>
        <v>28.400000000000002</v>
      </c>
      <c r="M1108" s="33">
        <v>15</v>
      </c>
      <c r="N1108" s="18">
        <f t="shared" si="187"/>
        <v>27.438356164383563</v>
      </c>
      <c r="O1108" s="23">
        <v>68195.75</v>
      </c>
      <c r="P1108" s="18">
        <f t="shared" si="188"/>
        <v>27.93972602739726</v>
      </c>
      <c r="Q1108" s="18">
        <v>0</v>
      </c>
      <c r="R1108" s="18">
        <f t="shared" si="185"/>
        <v>68195.75</v>
      </c>
      <c r="S1108" s="18">
        <f t="shared" si="193"/>
        <v>28.400000000000002</v>
      </c>
    </row>
    <row r="1109" spans="1:19" ht="18.75" customHeight="1" x14ac:dyDescent="0.25">
      <c r="A1109" s="14">
        <f t="shared" si="189"/>
        <v>1106</v>
      </c>
      <c r="B1109" s="31" t="s">
        <v>1035</v>
      </c>
      <c r="C1109" s="15" t="s">
        <v>3</v>
      </c>
      <c r="D1109" s="31" t="s">
        <v>500</v>
      </c>
      <c r="E1109" s="31"/>
      <c r="F1109" s="73" t="s">
        <v>11</v>
      </c>
      <c r="G1109" s="32">
        <v>36129</v>
      </c>
      <c r="H1109" s="29">
        <v>1210</v>
      </c>
      <c r="I1109" s="17">
        <v>0</v>
      </c>
      <c r="J1109" s="17">
        <v>0</v>
      </c>
      <c r="K1109" s="17">
        <f t="shared" si="184"/>
        <v>1210</v>
      </c>
      <c r="L1109" s="23">
        <f t="shared" si="179"/>
        <v>60.5</v>
      </c>
      <c r="M1109" s="33">
        <v>10</v>
      </c>
      <c r="N1109" s="18">
        <f t="shared" si="187"/>
        <v>22.353424657534248</v>
      </c>
      <c r="O1109" s="23">
        <v>18810</v>
      </c>
      <c r="P1109" s="18">
        <f t="shared" si="188"/>
        <v>22.854794520547944</v>
      </c>
      <c r="Q1109" s="18">
        <v>0</v>
      </c>
      <c r="R1109" s="18">
        <f t="shared" si="185"/>
        <v>18810</v>
      </c>
      <c r="S1109" s="18">
        <f t="shared" si="193"/>
        <v>60.5</v>
      </c>
    </row>
    <row r="1110" spans="1:19" ht="18.75" customHeight="1" x14ac:dyDescent="0.25">
      <c r="A1110" s="14">
        <f t="shared" si="189"/>
        <v>1107</v>
      </c>
      <c r="B1110" s="31" t="s">
        <v>966</v>
      </c>
      <c r="C1110" s="15" t="s">
        <v>3</v>
      </c>
      <c r="D1110" s="31" t="s">
        <v>500</v>
      </c>
      <c r="E1110" s="31"/>
      <c r="F1110" s="73" t="s">
        <v>11</v>
      </c>
      <c r="G1110" s="32">
        <v>30682</v>
      </c>
      <c r="H1110" s="29">
        <v>30768.349999999977</v>
      </c>
      <c r="I1110" s="17">
        <v>0</v>
      </c>
      <c r="J1110" s="17">
        <v>0</v>
      </c>
      <c r="K1110" s="17">
        <f t="shared" si="184"/>
        <v>30768.349999999977</v>
      </c>
      <c r="L1110" s="23">
        <f t="shared" si="179"/>
        <v>1538.4174999999989</v>
      </c>
      <c r="M1110" s="33">
        <v>25</v>
      </c>
      <c r="N1110" s="18">
        <f t="shared" si="187"/>
        <v>37.276712328767125</v>
      </c>
      <c r="O1110" s="23">
        <v>6383.9714999999997</v>
      </c>
      <c r="P1110" s="18">
        <f t="shared" si="188"/>
        <v>37.778082191780825</v>
      </c>
      <c r="Q1110" s="18">
        <v>0</v>
      </c>
      <c r="R1110" s="18">
        <f t="shared" si="185"/>
        <v>6383.9714999999997</v>
      </c>
      <c r="S1110" s="18">
        <f t="shared" si="191"/>
        <v>24384.378499999977</v>
      </c>
    </row>
    <row r="1111" spans="1:19" ht="18.75" customHeight="1" x14ac:dyDescent="0.25">
      <c r="A1111" s="14">
        <f t="shared" si="189"/>
        <v>1108</v>
      </c>
      <c r="B1111" s="31" t="s">
        <v>1036</v>
      </c>
      <c r="C1111" s="15" t="s">
        <v>3</v>
      </c>
      <c r="D1111" s="31" t="s">
        <v>500</v>
      </c>
      <c r="E1111" s="31"/>
      <c r="F1111" s="73" t="s">
        <v>11</v>
      </c>
      <c r="G1111" s="32">
        <v>30682</v>
      </c>
      <c r="H1111" s="29">
        <v>10267.700000000012</v>
      </c>
      <c r="I1111" s="17">
        <v>0</v>
      </c>
      <c r="J1111" s="17">
        <v>0</v>
      </c>
      <c r="K1111" s="17">
        <f t="shared" si="184"/>
        <v>10267.700000000012</v>
      </c>
      <c r="L1111" s="23">
        <f t="shared" ref="L1111:L1174" si="194">H1111*0.05</f>
        <v>513.38500000000056</v>
      </c>
      <c r="M1111" s="33">
        <v>25</v>
      </c>
      <c r="N1111" s="18">
        <f t="shared" si="187"/>
        <v>37.276712328767125</v>
      </c>
      <c r="O1111" s="23">
        <v>33250</v>
      </c>
      <c r="P1111" s="18">
        <f t="shared" si="188"/>
        <v>37.778082191780825</v>
      </c>
      <c r="Q1111" s="18">
        <v>0</v>
      </c>
      <c r="R1111" s="18">
        <f t="shared" si="185"/>
        <v>33250</v>
      </c>
      <c r="S1111" s="18">
        <f t="shared" ref="S1111:S1116" si="195">L1111</f>
        <v>513.38500000000056</v>
      </c>
    </row>
    <row r="1112" spans="1:19" ht="18.75" customHeight="1" x14ac:dyDescent="0.25">
      <c r="A1112" s="14">
        <f t="shared" si="189"/>
        <v>1109</v>
      </c>
      <c r="B1112" s="14" t="s">
        <v>1037</v>
      </c>
      <c r="C1112" s="15" t="s">
        <v>3</v>
      </c>
      <c r="D1112" s="31" t="s">
        <v>500</v>
      </c>
      <c r="E1112" s="31"/>
      <c r="F1112" s="73" t="s">
        <v>11</v>
      </c>
      <c r="G1112" s="32">
        <v>30682</v>
      </c>
      <c r="H1112" s="29">
        <v>4974.0500000000029</v>
      </c>
      <c r="I1112" s="17">
        <v>0</v>
      </c>
      <c r="J1112" s="17">
        <v>0</v>
      </c>
      <c r="K1112" s="17">
        <f t="shared" si="184"/>
        <v>4974.0500000000029</v>
      </c>
      <c r="L1112" s="23">
        <f t="shared" si="194"/>
        <v>248.70250000000016</v>
      </c>
      <c r="M1112" s="33">
        <v>25</v>
      </c>
      <c r="N1112" s="18">
        <f t="shared" si="187"/>
        <v>37.276712328767125</v>
      </c>
      <c r="O1112" s="23">
        <v>49770.747000000003</v>
      </c>
      <c r="P1112" s="18">
        <f t="shared" si="188"/>
        <v>37.778082191780825</v>
      </c>
      <c r="Q1112" s="18">
        <v>0</v>
      </c>
      <c r="R1112" s="18">
        <f t="shared" si="185"/>
        <v>49770.747000000003</v>
      </c>
      <c r="S1112" s="18">
        <f t="shared" si="195"/>
        <v>248.70250000000016</v>
      </c>
    </row>
    <row r="1113" spans="1:19" ht="18.75" customHeight="1" x14ac:dyDescent="0.25">
      <c r="A1113" s="14">
        <f t="shared" si="189"/>
        <v>1110</v>
      </c>
      <c r="B1113" s="14" t="s">
        <v>1038</v>
      </c>
      <c r="C1113" s="15" t="s">
        <v>3</v>
      </c>
      <c r="D1113" s="31" t="s">
        <v>500</v>
      </c>
      <c r="E1113" s="31"/>
      <c r="F1113" s="73" t="s">
        <v>11</v>
      </c>
      <c r="G1113" s="32">
        <v>30682</v>
      </c>
      <c r="H1113" s="29">
        <v>3084.6999999999971</v>
      </c>
      <c r="I1113" s="17">
        <v>0</v>
      </c>
      <c r="J1113" s="17">
        <v>0</v>
      </c>
      <c r="K1113" s="17">
        <f t="shared" si="184"/>
        <v>3084.6999999999971</v>
      </c>
      <c r="L1113" s="23">
        <f t="shared" si="194"/>
        <v>154.23499999999987</v>
      </c>
      <c r="M1113" s="33">
        <v>25</v>
      </c>
      <c r="N1113" s="18">
        <f t="shared" si="187"/>
        <v>37.276712328767125</v>
      </c>
      <c r="O1113" s="23">
        <v>5890.0950000000003</v>
      </c>
      <c r="P1113" s="18">
        <f t="shared" si="188"/>
        <v>37.778082191780825</v>
      </c>
      <c r="Q1113" s="18">
        <v>0</v>
      </c>
      <c r="R1113" s="18">
        <f t="shared" si="185"/>
        <v>5890.0950000000003</v>
      </c>
      <c r="S1113" s="18">
        <f t="shared" si="195"/>
        <v>154.23499999999987</v>
      </c>
    </row>
    <row r="1114" spans="1:19" ht="18.75" customHeight="1" x14ac:dyDescent="0.25">
      <c r="A1114" s="14">
        <f t="shared" si="189"/>
        <v>1111</v>
      </c>
      <c r="B1114" s="14" t="s">
        <v>1039</v>
      </c>
      <c r="C1114" s="15" t="s">
        <v>3</v>
      </c>
      <c r="D1114" s="31" t="s">
        <v>500</v>
      </c>
      <c r="E1114" s="31"/>
      <c r="F1114" s="70" t="s">
        <v>7</v>
      </c>
      <c r="G1114" s="32">
        <v>38297</v>
      </c>
      <c r="H1114" s="29">
        <v>20321</v>
      </c>
      <c r="I1114" s="17">
        <v>0</v>
      </c>
      <c r="J1114" s="17">
        <v>0</v>
      </c>
      <c r="K1114" s="17">
        <f t="shared" si="184"/>
        <v>20321</v>
      </c>
      <c r="L1114" s="23">
        <f t="shared" si="194"/>
        <v>1016.0500000000001</v>
      </c>
      <c r="M1114" s="33">
        <v>15</v>
      </c>
      <c r="N1114" s="18">
        <f t="shared" si="187"/>
        <v>16.413698630136988</v>
      </c>
      <c r="O1114" s="23">
        <v>25535.914499999999</v>
      </c>
      <c r="P1114" s="18">
        <f t="shared" si="188"/>
        <v>16.915068493150685</v>
      </c>
      <c r="Q1114" s="18">
        <v>0</v>
      </c>
      <c r="R1114" s="18">
        <f t="shared" si="185"/>
        <v>25535.914499999999</v>
      </c>
      <c r="S1114" s="18">
        <f t="shared" si="195"/>
        <v>1016.0500000000001</v>
      </c>
    </row>
    <row r="1115" spans="1:19" ht="18.75" customHeight="1" x14ac:dyDescent="0.25">
      <c r="A1115" s="14">
        <f t="shared" si="189"/>
        <v>1112</v>
      </c>
      <c r="B1115" s="14" t="s">
        <v>1040</v>
      </c>
      <c r="C1115" s="15" t="s">
        <v>3</v>
      </c>
      <c r="D1115" s="31" t="s">
        <v>500</v>
      </c>
      <c r="E1115" s="31"/>
      <c r="F1115" s="73" t="s">
        <v>8</v>
      </c>
      <c r="G1115" s="32">
        <v>36250</v>
      </c>
      <c r="H1115" s="29">
        <v>1034.3499999999985</v>
      </c>
      <c r="I1115" s="17">
        <v>0</v>
      </c>
      <c r="J1115" s="17">
        <v>0</v>
      </c>
      <c r="K1115" s="17">
        <f t="shared" si="184"/>
        <v>1034.3499999999985</v>
      </c>
      <c r="L1115" s="23">
        <f t="shared" si="194"/>
        <v>51.71749999999993</v>
      </c>
      <c r="M1115" s="33">
        <v>10</v>
      </c>
      <c r="N1115" s="18">
        <f t="shared" si="187"/>
        <v>22.021917808219179</v>
      </c>
      <c r="O1115" s="23">
        <v>125684.54399999999</v>
      </c>
      <c r="P1115" s="18">
        <f t="shared" si="188"/>
        <v>22.523287671232875</v>
      </c>
      <c r="Q1115" s="18">
        <v>0</v>
      </c>
      <c r="R1115" s="18">
        <f t="shared" si="185"/>
        <v>125684.54399999999</v>
      </c>
      <c r="S1115" s="18">
        <f t="shared" si="195"/>
        <v>51.71749999999993</v>
      </c>
    </row>
    <row r="1116" spans="1:19" ht="18.75" customHeight="1" x14ac:dyDescent="0.25">
      <c r="A1116" s="14">
        <f t="shared" si="189"/>
        <v>1113</v>
      </c>
      <c r="B1116" s="14" t="s">
        <v>1041</v>
      </c>
      <c r="C1116" s="15" t="s">
        <v>3</v>
      </c>
      <c r="D1116" s="31" t="s">
        <v>500</v>
      </c>
      <c r="E1116" s="31"/>
      <c r="F1116" s="73" t="s">
        <v>8</v>
      </c>
      <c r="G1116" s="32">
        <v>31048</v>
      </c>
      <c r="H1116" s="29">
        <v>10382.700000000012</v>
      </c>
      <c r="I1116" s="17">
        <v>0</v>
      </c>
      <c r="J1116" s="17">
        <v>0</v>
      </c>
      <c r="K1116" s="17">
        <f t="shared" si="184"/>
        <v>10382.700000000012</v>
      </c>
      <c r="L1116" s="23">
        <f t="shared" si="194"/>
        <v>519.13500000000056</v>
      </c>
      <c r="M1116" s="33">
        <v>25</v>
      </c>
      <c r="N1116" s="18">
        <f t="shared" si="187"/>
        <v>36.273972602739725</v>
      </c>
      <c r="O1116" s="23">
        <v>149624.46799999999</v>
      </c>
      <c r="P1116" s="18">
        <f t="shared" si="188"/>
        <v>36.775342465753425</v>
      </c>
      <c r="Q1116" s="18">
        <v>0</v>
      </c>
      <c r="R1116" s="18">
        <f t="shared" si="185"/>
        <v>149624.46799999999</v>
      </c>
      <c r="S1116" s="18">
        <f t="shared" si="195"/>
        <v>519.13500000000056</v>
      </c>
    </row>
    <row r="1117" spans="1:19" ht="18.75" customHeight="1" x14ac:dyDescent="0.25">
      <c r="A1117" s="14">
        <f t="shared" si="189"/>
        <v>1114</v>
      </c>
      <c r="B1117" s="14" t="s">
        <v>1042</v>
      </c>
      <c r="C1117" s="15" t="s">
        <v>3</v>
      </c>
      <c r="D1117" s="31" t="s">
        <v>500</v>
      </c>
      <c r="E1117" s="31"/>
      <c r="F1117" s="72" t="s">
        <v>8</v>
      </c>
      <c r="G1117" s="32">
        <v>31048</v>
      </c>
      <c r="H1117" s="29">
        <v>9742.3500000000058</v>
      </c>
      <c r="I1117" s="17">
        <v>0</v>
      </c>
      <c r="J1117" s="17">
        <v>0</v>
      </c>
      <c r="K1117" s="17">
        <f t="shared" si="184"/>
        <v>9742.3500000000058</v>
      </c>
      <c r="L1117" s="23">
        <f t="shared" si="194"/>
        <v>487.11750000000029</v>
      </c>
      <c r="M1117" s="33">
        <v>25</v>
      </c>
      <c r="N1117" s="18">
        <f t="shared" si="187"/>
        <v>36.273972602739725</v>
      </c>
      <c r="O1117" s="23">
        <v>713.52600000000029</v>
      </c>
      <c r="P1117" s="18">
        <f t="shared" si="188"/>
        <v>36.775342465753425</v>
      </c>
      <c r="Q1117" s="18">
        <v>0</v>
      </c>
      <c r="R1117" s="18">
        <f t="shared" si="185"/>
        <v>713.52600000000029</v>
      </c>
      <c r="S1117" s="18">
        <f t="shared" si="191"/>
        <v>9028.824000000006</v>
      </c>
    </row>
    <row r="1118" spans="1:19" ht="18.75" customHeight="1" x14ac:dyDescent="0.25">
      <c r="A1118" s="14">
        <f t="shared" si="189"/>
        <v>1115</v>
      </c>
      <c r="B1118" s="14" t="s">
        <v>1043</v>
      </c>
      <c r="C1118" s="15" t="s">
        <v>3</v>
      </c>
      <c r="D1118" s="31" t="s">
        <v>500</v>
      </c>
      <c r="E1118" s="31"/>
      <c r="F1118" s="73" t="s">
        <v>11</v>
      </c>
      <c r="G1118" s="32">
        <v>31048</v>
      </c>
      <c r="H1118" s="29">
        <v>165.90000000000009</v>
      </c>
      <c r="I1118" s="17">
        <v>0</v>
      </c>
      <c r="J1118" s="17">
        <v>0</v>
      </c>
      <c r="K1118" s="17">
        <f t="shared" si="184"/>
        <v>165.90000000000009</v>
      </c>
      <c r="L1118" s="23">
        <f t="shared" si="194"/>
        <v>8.2950000000000053</v>
      </c>
      <c r="M1118" s="33">
        <v>25</v>
      </c>
      <c r="N1118" s="18">
        <f t="shared" si="187"/>
        <v>36.273972602739725</v>
      </c>
      <c r="O1118" s="23">
        <v>137750</v>
      </c>
      <c r="P1118" s="18">
        <f t="shared" si="188"/>
        <v>36.775342465753425</v>
      </c>
      <c r="Q1118" s="18">
        <v>0</v>
      </c>
      <c r="R1118" s="18">
        <f t="shared" si="185"/>
        <v>137750</v>
      </c>
      <c r="S1118" s="18">
        <f t="shared" ref="S1118:S1121" si="196">L1118</f>
        <v>8.2950000000000053</v>
      </c>
    </row>
    <row r="1119" spans="1:19" ht="18.75" customHeight="1" x14ac:dyDescent="0.25">
      <c r="A1119" s="14">
        <f t="shared" si="189"/>
        <v>1116</v>
      </c>
      <c r="B1119" s="14" t="s">
        <v>1044</v>
      </c>
      <c r="C1119" s="15" t="s">
        <v>3</v>
      </c>
      <c r="D1119" s="31" t="s">
        <v>500</v>
      </c>
      <c r="E1119" s="31"/>
      <c r="F1119" s="73" t="s">
        <v>11</v>
      </c>
      <c r="G1119" s="32">
        <v>31048</v>
      </c>
      <c r="H1119" s="29">
        <v>150</v>
      </c>
      <c r="I1119" s="17">
        <v>0</v>
      </c>
      <c r="J1119" s="17">
        <v>0</v>
      </c>
      <c r="K1119" s="17">
        <f t="shared" si="184"/>
        <v>150</v>
      </c>
      <c r="L1119" s="23">
        <f t="shared" si="194"/>
        <v>7.5</v>
      </c>
      <c r="M1119" s="33">
        <v>25</v>
      </c>
      <c r="N1119" s="18">
        <f t="shared" si="187"/>
        <v>36.273972602739725</v>
      </c>
      <c r="O1119" s="23">
        <v>440800</v>
      </c>
      <c r="P1119" s="18">
        <f t="shared" si="188"/>
        <v>36.775342465753425</v>
      </c>
      <c r="Q1119" s="18">
        <v>0</v>
      </c>
      <c r="R1119" s="18">
        <f t="shared" si="185"/>
        <v>440800</v>
      </c>
      <c r="S1119" s="18">
        <f t="shared" si="196"/>
        <v>7.5</v>
      </c>
    </row>
    <row r="1120" spans="1:19" ht="18.75" customHeight="1" x14ac:dyDescent="0.25">
      <c r="A1120" s="14">
        <f t="shared" si="189"/>
        <v>1117</v>
      </c>
      <c r="B1120" s="14" t="s">
        <v>525</v>
      </c>
      <c r="C1120" s="15" t="s">
        <v>3</v>
      </c>
      <c r="D1120" s="31" t="s">
        <v>500</v>
      </c>
      <c r="E1120" s="31"/>
      <c r="F1120" s="70" t="s">
        <v>7</v>
      </c>
      <c r="G1120" s="32">
        <v>41258</v>
      </c>
      <c r="H1120" s="29">
        <v>219262.3523652968</v>
      </c>
      <c r="I1120" s="17">
        <v>0</v>
      </c>
      <c r="J1120" s="17">
        <v>0</v>
      </c>
      <c r="K1120" s="17">
        <f t="shared" si="184"/>
        <v>219262.3523652968</v>
      </c>
      <c r="L1120" s="23">
        <f t="shared" si="194"/>
        <v>10963.117618264841</v>
      </c>
      <c r="M1120" s="33">
        <v>15</v>
      </c>
      <c r="N1120" s="18">
        <f t="shared" si="187"/>
        <v>8.3013698630136989</v>
      </c>
      <c r="O1120" s="23">
        <v>299833.60349101981</v>
      </c>
      <c r="P1120" s="18">
        <f t="shared" si="188"/>
        <v>8.8027397260273972</v>
      </c>
      <c r="Q1120" s="18">
        <f t="shared" ref="Q1120:Q1143" si="197">(P1120-N1120)/M1120*(K1120-L1120)</f>
        <v>6962.3305860651717</v>
      </c>
      <c r="R1120" s="18">
        <f t="shared" si="185"/>
        <v>306795.934077085</v>
      </c>
      <c r="S1120" s="18">
        <f t="shared" si="196"/>
        <v>10963.117618264841</v>
      </c>
    </row>
    <row r="1121" spans="1:19" ht="18.75" customHeight="1" x14ac:dyDescent="0.25">
      <c r="A1121" s="14">
        <f t="shared" si="189"/>
        <v>1118</v>
      </c>
      <c r="B1121" s="14" t="s">
        <v>1045</v>
      </c>
      <c r="C1121" s="15" t="s">
        <v>3</v>
      </c>
      <c r="D1121" s="31" t="s">
        <v>500</v>
      </c>
      <c r="E1121" s="31"/>
      <c r="F1121" s="72" t="s">
        <v>12</v>
      </c>
      <c r="G1121" s="32">
        <v>36526</v>
      </c>
      <c r="H1121" s="29">
        <v>14380</v>
      </c>
      <c r="I1121" s="17">
        <v>0</v>
      </c>
      <c r="J1121" s="17">
        <v>0</v>
      </c>
      <c r="K1121" s="17">
        <f t="shared" si="184"/>
        <v>14380</v>
      </c>
      <c r="L1121" s="23">
        <f t="shared" si="194"/>
        <v>719</v>
      </c>
      <c r="M1121" s="33">
        <v>10</v>
      </c>
      <c r="N1121" s="18">
        <f t="shared" si="187"/>
        <v>21.265753424657536</v>
      </c>
      <c r="O1121" s="23">
        <v>66982.457500000004</v>
      </c>
      <c r="P1121" s="18">
        <f t="shared" si="188"/>
        <v>21.767123287671232</v>
      </c>
      <c r="Q1121" s="18">
        <v>0</v>
      </c>
      <c r="R1121" s="18">
        <f t="shared" si="185"/>
        <v>66982.457500000004</v>
      </c>
      <c r="S1121" s="18">
        <f t="shared" si="196"/>
        <v>719</v>
      </c>
    </row>
    <row r="1122" spans="1:19" ht="18.75" customHeight="1" x14ac:dyDescent="0.25">
      <c r="A1122" s="14">
        <f t="shared" si="189"/>
        <v>1119</v>
      </c>
      <c r="B1122" s="14" t="s">
        <v>1046</v>
      </c>
      <c r="C1122" s="15" t="s">
        <v>3</v>
      </c>
      <c r="D1122" s="31" t="s">
        <v>500</v>
      </c>
      <c r="E1122" s="31"/>
      <c r="F1122" s="70" t="s">
        <v>7</v>
      </c>
      <c r="G1122" s="32">
        <v>38748</v>
      </c>
      <c r="H1122" s="29">
        <v>286098.04374410957</v>
      </c>
      <c r="I1122" s="17">
        <v>0</v>
      </c>
      <c r="J1122" s="17">
        <v>0</v>
      </c>
      <c r="K1122" s="17">
        <f t="shared" si="184"/>
        <v>286098.04374410957</v>
      </c>
      <c r="L1122" s="23">
        <f t="shared" si="194"/>
        <v>14304.90218720548</v>
      </c>
      <c r="M1122" s="33">
        <v>15</v>
      </c>
      <c r="N1122" s="18">
        <f t="shared" si="187"/>
        <v>15.178082191780822</v>
      </c>
      <c r="O1122" s="23">
        <v>22775.079682940639</v>
      </c>
      <c r="P1122" s="18">
        <f t="shared" si="188"/>
        <v>15.67945205479452</v>
      </c>
      <c r="Q1122" s="18">
        <v>0</v>
      </c>
      <c r="R1122" s="18">
        <f t="shared" si="185"/>
        <v>22775.079682940639</v>
      </c>
      <c r="S1122" s="18">
        <f t="shared" si="191"/>
        <v>263322.96406116895</v>
      </c>
    </row>
    <row r="1123" spans="1:19" ht="18.75" customHeight="1" x14ac:dyDescent="0.25">
      <c r="A1123" s="14">
        <f t="shared" si="189"/>
        <v>1120</v>
      </c>
      <c r="B1123" s="14" t="s">
        <v>1047</v>
      </c>
      <c r="C1123" s="15" t="s">
        <v>3</v>
      </c>
      <c r="D1123" s="31" t="s">
        <v>500</v>
      </c>
      <c r="E1123" s="31"/>
      <c r="F1123" s="72" t="s">
        <v>14</v>
      </c>
      <c r="G1123" s="32">
        <v>34785</v>
      </c>
      <c r="H1123" s="29">
        <v>171770.04999999981</v>
      </c>
      <c r="I1123" s="17">
        <v>0</v>
      </c>
      <c r="J1123" s="17">
        <v>0</v>
      </c>
      <c r="K1123" s="17">
        <f t="shared" si="184"/>
        <v>171770.04999999981</v>
      </c>
      <c r="L1123" s="23">
        <f t="shared" si="194"/>
        <v>8588.5024999999914</v>
      </c>
      <c r="M1123" s="33">
        <v>15</v>
      </c>
      <c r="N1123" s="18">
        <f t="shared" si="187"/>
        <v>26.035616438356165</v>
      </c>
      <c r="O1123" s="23">
        <v>1427.0614999999864</v>
      </c>
      <c r="P1123" s="18">
        <f t="shared" si="188"/>
        <v>26.536986301369861</v>
      </c>
      <c r="Q1123" s="18">
        <v>0</v>
      </c>
      <c r="R1123" s="18">
        <f t="shared" si="185"/>
        <v>1427.0614999999864</v>
      </c>
      <c r="S1123" s="18">
        <f t="shared" si="191"/>
        <v>170342.98849999983</v>
      </c>
    </row>
    <row r="1124" spans="1:19" ht="18.75" customHeight="1" x14ac:dyDescent="0.25">
      <c r="A1124" s="14">
        <f t="shared" si="189"/>
        <v>1121</v>
      </c>
      <c r="B1124" s="14" t="s">
        <v>1047</v>
      </c>
      <c r="C1124" s="15" t="s">
        <v>3</v>
      </c>
      <c r="D1124" s="31" t="s">
        <v>500</v>
      </c>
      <c r="E1124" s="31"/>
      <c r="F1124" s="72" t="s">
        <v>14</v>
      </c>
      <c r="G1124" s="32">
        <v>34785</v>
      </c>
      <c r="H1124" s="29">
        <v>34415.900000000023</v>
      </c>
      <c r="I1124" s="17">
        <v>0</v>
      </c>
      <c r="J1124" s="17">
        <v>0</v>
      </c>
      <c r="K1124" s="17">
        <f t="shared" si="184"/>
        <v>34415.900000000023</v>
      </c>
      <c r="L1124" s="23">
        <f t="shared" si="194"/>
        <v>1720.7950000000012</v>
      </c>
      <c r="M1124" s="33">
        <v>15</v>
      </c>
      <c r="N1124" s="18">
        <f t="shared" si="187"/>
        <v>26.035616438356165</v>
      </c>
      <c r="O1124" s="23">
        <v>794.25700000000143</v>
      </c>
      <c r="P1124" s="18">
        <f t="shared" si="188"/>
        <v>26.536986301369861</v>
      </c>
      <c r="Q1124" s="18">
        <v>0</v>
      </c>
      <c r="R1124" s="18">
        <f t="shared" si="185"/>
        <v>794.25700000000143</v>
      </c>
      <c r="S1124" s="18">
        <f t="shared" si="191"/>
        <v>33621.643000000025</v>
      </c>
    </row>
    <row r="1125" spans="1:19" ht="18.75" customHeight="1" x14ac:dyDescent="0.25">
      <c r="A1125" s="14">
        <f t="shared" si="189"/>
        <v>1122</v>
      </c>
      <c r="B1125" s="14" t="s">
        <v>1048</v>
      </c>
      <c r="C1125" s="15" t="s">
        <v>3</v>
      </c>
      <c r="D1125" s="31" t="s">
        <v>500</v>
      </c>
      <c r="E1125" s="31"/>
      <c r="F1125" s="73" t="s">
        <v>11</v>
      </c>
      <c r="G1125" s="32">
        <v>31413</v>
      </c>
      <c r="H1125" s="29">
        <v>5464.3999999999942</v>
      </c>
      <c r="I1125" s="17">
        <v>0</v>
      </c>
      <c r="J1125" s="17">
        <v>0</v>
      </c>
      <c r="K1125" s="17">
        <f t="shared" si="184"/>
        <v>5464.3999999999942</v>
      </c>
      <c r="L1125" s="23">
        <f t="shared" si="194"/>
        <v>273.21999999999974</v>
      </c>
      <c r="M1125" s="33">
        <v>25</v>
      </c>
      <c r="N1125" s="18">
        <f t="shared" si="187"/>
        <v>35.273972602739725</v>
      </c>
      <c r="O1125" s="23">
        <v>794.25699999999972</v>
      </c>
      <c r="P1125" s="18">
        <f t="shared" si="188"/>
        <v>35.775342465753425</v>
      </c>
      <c r="Q1125" s="18">
        <v>0</v>
      </c>
      <c r="R1125" s="18">
        <f t="shared" si="185"/>
        <v>794.25699999999972</v>
      </c>
      <c r="S1125" s="18">
        <f t="shared" si="191"/>
        <v>4670.1429999999946</v>
      </c>
    </row>
    <row r="1126" spans="1:19" ht="18.75" customHeight="1" x14ac:dyDescent="0.25">
      <c r="A1126" s="14">
        <f t="shared" si="189"/>
        <v>1123</v>
      </c>
      <c r="B1126" s="14" t="s">
        <v>1049</v>
      </c>
      <c r="C1126" s="15" t="s">
        <v>3</v>
      </c>
      <c r="D1126" s="31" t="s">
        <v>500</v>
      </c>
      <c r="E1126" s="31"/>
      <c r="F1126" s="73" t="s">
        <v>11</v>
      </c>
      <c r="G1126" s="32">
        <v>31413</v>
      </c>
      <c r="H1126" s="29">
        <v>1312.9000000000015</v>
      </c>
      <c r="I1126" s="17">
        <v>0</v>
      </c>
      <c r="J1126" s="17">
        <v>0</v>
      </c>
      <c r="K1126" s="17">
        <f t="shared" si="184"/>
        <v>1312.9000000000015</v>
      </c>
      <c r="L1126" s="23">
        <f t="shared" si="194"/>
        <v>65.645000000000081</v>
      </c>
      <c r="M1126" s="33">
        <v>25</v>
      </c>
      <c r="N1126" s="18">
        <f t="shared" si="187"/>
        <v>35.273972602739725</v>
      </c>
      <c r="O1126" s="23">
        <v>1588.5139999999999</v>
      </c>
      <c r="P1126" s="18">
        <f t="shared" si="188"/>
        <v>35.775342465753425</v>
      </c>
      <c r="Q1126" s="18">
        <v>0</v>
      </c>
      <c r="R1126" s="18">
        <f t="shared" si="185"/>
        <v>1588.5139999999999</v>
      </c>
      <c r="S1126" s="18">
        <f>L1126</f>
        <v>65.645000000000081</v>
      </c>
    </row>
    <row r="1127" spans="1:19" ht="18.75" customHeight="1" x14ac:dyDescent="0.25">
      <c r="A1127" s="14">
        <f t="shared" si="189"/>
        <v>1124</v>
      </c>
      <c r="B1127" s="14" t="s">
        <v>1050</v>
      </c>
      <c r="C1127" s="15" t="s">
        <v>3</v>
      </c>
      <c r="D1127" s="31" t="s">
        <v>500</v>
      </c>
      <c r="E1127" s="31"/>
      <c r="F1127" s="73" t="s">
        <v>11</v>
      </c>
      <c r="G1127" s="32">
        <v>31413</v>
      </c>
      <c r="H1127" s="29">
        <v>1292.2000000000007</v>
      </c>
      <c r="I1127" s="17">
        <v>0</v>
      </c>
      <c r="J1127" s="17">
        <v>0</v>
      </c>
      <c r="K1127" s="17">
        <f t="shared" si="184"/>
        <v>1292.2000000000007</v>
      </c>
      <c r="L1127" s="23">
        <f t="shared" si="194"/>
        <v>64.610000000000042</v>
      </c>
      <c r="M1127" s="33">
        <v>25</v>
      </c>
      <c r="N1127" s="18">
        <f t="shared" si="187"/>
        <v>35.273972602739725</v>
      </c>
      <c r="O1127" s="23">
        <v>627.90250000000003</v>
      </c>
      <c r="P1127" s="18">
        <f t="shared" si="188"/>
        <v>35.775342465753425</v>
      </c>
      <c r="Q1127" s="18">
        <v>0</v>
      </c>
      <c r="R1127" s="18">
        <f t="shared" si="185"/>
        <v>627.90250000000003</v>
      </c>
      <c r="S1127" s="18">
        <f t="shared" si="191"/>
        <v>664.2975000000007</v>
      </c>
    </row>
    <row r="1128" spans="1:19" ht="18.75" customHeight="1" x14ac:dyDescent="0.25">
      <c r="A1128" s="14">
        <f t="shared" si="189"/>
        <v>1125</v>
      </c>
      <c r="B1128" s="14" t="s">
        <v>466</v>
      </c>
      <c r="C1128" s="15" t="s">
        <v>3</v>
      </c>
      <c r="D1128" s="31" t="s">
        <v>500</v>
      </c>
      <c r="E1128" s="31"/>
      <c r="F1128" s="73" t="s">
        <v>11</v>
      </c>
      <c r="G1128" s="32">
        <v>31413</v>
      </c>
      <c r="H1128" s="29">
        <v>1246.2999999999993</v>
      </c>
      <c r="I1128" s="17">
        <v>0</v>
      </c>
      <c r="J1128" s="17">
        <v>0</v>
      </c>
      <c r="K1128" s="17">
        <f t="shared" si="184"/>
        <v>1246.2999999999993</v>
      </c>
      <c r="L1128" s="23">
        <f t="shared" si="194"/>
        <v>62.314999999999969</v>
      </c>
      <c r="M1128" s="33">
        <v>25</v>
      </c>
      <c r="N1128" s="18">
        <f t="shared" si="187"/>
        <v>35.273972602739725</v>
      </c>
      <c r="O1128" s="23">
        <v>1425</v>
      </c>
      <c r="P1128" s="18">
        <f t="shared" si="188"/>
        <v>35.775342465753425</v>
      </c>
      <c r="Q1128" s="18">
        <v>0</v>
      </c>
      <c r="R1128" s="18">
        <f t="shared" si="185"/>
        <v>1425</v>
      </c>
      <c r="S1128" s="18">
        <f t="shared" ref="S1128:S1129" si="198">L1128</f>
        <v>62.314999999999969</v>
      </c>
    </row>
    <row r="1129" spans="1:19" ht="18.75" customHeight="1" x14ac:dyDescent="0.25">
      <c r="A1129" s="14">
        <f t="shared" si="189"/>
        <v>1126</v>
      </c>
      <c r="B1129" s="14" t="s">
        <v>1051</v>
      </c>
      <c r="C1129" s="15" t="s">
        <v>3</v>
      </c>
      <c r="D1129" s="31" t="s">
        <v>500</v>
      </c>
      <c r="E1129" s="31"/>
      <c r="F1129" s="72" t="s">
        <v>4</v>
      </c>
      <c r="G1129" s="32">
        <v>31413</v>
      </c>
      <c r="H1129" s="29">
        <v>734.60000000000036</v>
      </c>
      <c r="I1129" s="17">
        <v>0</v>
      </c>
      <c r="J1129" s="17">
        <v>0</v>
      </c>
      <c r="K1129" s="17">
        <f t="shared" si="184"/>
        <v>734.60000000000036</v>
      </c>
      <c r="L1129" s="23">
        <f t="shared" si="194"/>
        <v>36.730000000000018</v>
      </c>
      <c r="M1129" s="33">
        <v>25</v>
      </c>
      <c r="N1129" s="18">
        <f t="shared" si="187"/>
        <v>35.273972602739725</v>
      </c>
      <c r="O1129" s="23">
        <v>794.25699999999995</v>
      </c>
      <c r="P1129" s="18">
        <f t="shared" si="188"/>
        <v>35.775342465753425</v>
      </c>
      <c r="Q1129" s="18">
        <v>0</v>
      </c>
      <c r="R1129" s="18">
        <f t="shared" si="185"/>
        <v>794.25699999999995</v>
      </c>
      <c r="S1129" s="18">
        <f t="shared" si="198"/>
        <v>36.730000000000018</v>
      </c>
    </row>
    <row r="1130" spans="1:19" ht="18.75" customHeight="1" x14ac:dyDescent="0.25">
      <c r="A1130" s="14">
        <f t="shared" si="189"/>
        <v>1127</v>
      </c>
      <c r="B1130" s="14" t="s">
        <v>1052</v>
      </c>
      <c r="C1130" s="15" t="s">
        <v>3</v>
      </c>
      <c r="D1130" s="31" t="s">
        <v>500</v>
      </c>
      <c r="E1130" s="31"/>
      <c r="F1130" s="72" t="s">
        <v>8</v>
      </c>
      <c r="G1130" s="32">
        <v>35156</v>
      </c>
      <c r="H1130" s="29">
        <v>24601.849999999977</v>
      </c>
      <c r="I1130" s="17">
        <v>0</v>
      </c>
      <c r="J1130" s="17">
        <v>0</v>
      </c>
      <c r="K1130" s="17">
        <f t="shared" si="184"/>
        <v>24601.849999999977</v>
      </c>
      <c r="L1130" s="23">
        <f t="shared" si="194"/>
        <v>1230.0924999999988</v>
      </c>
      <c r="M1130" s="33">
        <v>15</v>
      </c>
      <c r="N1130" s="18">
        <f t="shared" si="187"/>
        <v>25.019178082191782</v>
      </c>
      <c r="O1130" s="23">
        <v>7383.8749999999982</v>
      </c>
      <c r="P1130" s="18">
        <f t="shared" si="188"/>
        <v>25.520547945205479</v>
      </c>
      <c r="Q1130" s="18">
        <v>0</v>
      </c>
      <c r="R1130" s="18">
        <f t="shared" si="185"/>
        <v>7383.8749999999982</v>
      </c>
      <c r="S1130" s="18">
        <f t="shared" si="191"/>
        <v>17217.974999999977</v>
      </c>
    </row>
    <row r="1131" spans="1:19" ht="18.75" customHeight="1" x14ac:dyDescent="0.25">
      <c r="A1131" s="14">
        <f t="shared" si="189"/>
        <v>1128</v>
      </c>
      <c r="B1131" s="14" t="s">
        <v>1053</v>
      </c>
      <c r="C1131" s="15" t="s">
        <v>3</v>
      </c>
      <c r="D1131" s="31" t="s">
        <v>500</v>
      </c>
      <c r="E1131" s="31"/>
      <c r="F1131" s="72" t="s">
        <v>11</v>
      </c>
      <c r="G1131" s="32">
        <v>31778</v>
      </c>
      <c r="H1131" s="29">
        <v>220664.20000000019</v>
      </c>
      <c r="I1131" s="17">
        <v>0</v>
      </c>
      <c r="J1131" s="17">
        <v>0</v>
      </c>
      <c r="K1131" s="17">
        <f t="shared" si="184"/>
        <v>220664.20000000019</v>
      </c>
      <c r="L1131" s="23">
        <f t="shared" si="194"/>
        <v>11033.21000000001</v>
      </c>
      <c r="M1131" s="33">
        <v>25</v>
      </c>
      <c r="N1131" s="18">
        <f t="shared" si="187"/>
        <v>34.273972602739725</v>
      </c>
      <c r="O1131" s="23">
        <v>886.80600000000697</v>
      </c>
      <c r="P1131" s="18">
        <f t="shared" si="188"/>
        <v>34.775342465753425</v>
      </c>
      <c r="Q1131" s="18">
        <v>0</v>
      </c>
      <c r="R1131" s="18">
        <f t="shared" si="185"/>
        <v>886.80600000000697</v>
      </c>
      <c r="S1131" s="18">
        <f t="shared" si="191"/>
        <v>219777.39400000017</v>
      </c>
    </row>
    <row r="1132" spans="1:19" ht="18.75" customHeight="1" x14ac:dyDescent="0.25">
      <c r="A1132" s="14">
        <f t="shared" si="189"/>
        <v>1129</v>
      </c>
      <c r="B1132" s="14" t="s">
        <v>1054</v>
      </c>
      <c r="C1132" s="15" t="s">
        <v>3</v>
      </c>
      <c r="D1132" s="31" t="s">
        <v>500</v>
      </c>
      <c r="E1132" s="31"/>
      <c r="F1132" s="72" t="s">
        <v>11</v>
      </c>
      <c r="G1132" s="32">
        <v>31778</v>
      </c>
      <c r="H1132" s="29">
        <v>127046.70000000019</v>
      </c>
      <c r="I1132" s="17">
        <v>0</v>
      </c>
      <c r="J1132" s="17">
        <v>0</v>
      </c>
      <c r="K1132" s="17">
        <f t="shared" si="184"/>
        <v>127046.70000000019</v>
      </c>
      <c r="L1132" s="23">
        <f t="shared" si="194"/>
        <v>6352.33500000001</v>
      </c>
      <c r="M1132" s="33">
        <v>25</v>
      </c>
      <c r="N1132" s="18">
        <f t="shared" si="187"/>
        <v>34.273972602739725</v>
      </c>
      <c r="O1132" s="23">
        <v>627.90250000000697</v>
      </c>
      <c r="P1132" s="18">
        <f t="shared" si="188"/>
        <v>34.775342465753425</v>
      </c>
      <c r="Q1132" s="18">
        <v>0</v>
      </c>
      <c r="R1132" s="18">
        <f t="shared" si="185"/>
        <v>627.90250000000697</v>
      </c>
      <c r="S1132" s="18">
        <f t="shared" si="191"/>
        <v>126418.79750000018</v>
      </c>
    </row>
    <row r="1133" spans="1:19" ht="18.75" customHeight="1" x14ac:dyDescent="0.25">
      <c r="A1133" s="14">
        <f t="shared" si="189"/>
        <v>1130</v>
      </c>
      <c r="B1133" s="14" t="s">
        <v>1055</v>
      </c>
      <c r="C1133" s="15" t="s">
        <v>3</v>
      </c>
      <c r="D1133" s="31" t="s">
        <v>500</v>
      </c>
      <c r="E1133" s="31"/>
      <c r="F1133" s="72" t="s">
        <v>11</v>
      </c>
      <c r="G1133" s="32">
        <v>31778</v>
      </c>
      <c r="H1133" s="29">
        <v>53670</v>
      </c>
      <c r="I1133" s="17">
        <v>0</v>
      </c>
      <c r="J1133" s="17">
        <v>0</v>
      </c>
      <c r="K1133" s="17">
        <f t="shared" si="184"/>
        <v>53670</v>
      </c>
      <c r="L1133" s="23">
        <f t="shared" si="194"/>
        <v>2683.5</v>
      </c>
      <c r="M1133" s="33">
        <v>25</v>
      </c>
      <c r="N1133" s="18">
        <f t="shared" si="187"/>
        <v>34.273972602739725</v>
      </c>
      <c r="O1133" s="23">
        <v>2089.6865000000003</v>
      </c>
      <c r="P1133" s="18">
        <f t="shared" si="188"/>
        <v>34.775342465753425</v>
      </c>
      <c r="Q1133" s="18">
        <v>0</v>
      </c>
      <c r="R1133" s="18">
        <f t="shared" si="185"/>
        <v>2089.6865000000003</v>
      </c>
      <c r="S1133" s="18">
        <f t="shared" si="191"/>
        <v>51580.313499999997</v>
      </c>
    </row>
    <row r="1134" spans="1:19" ht="18.75" customHeight="1" x14ac:dyDescent="0.25">
      <c r="A1134" s="14">
        <f t="shared" si="189"/>
        <v>1131</v>
      </c>
      <c r="B1134" s="14" t="s">
        <v>1056</v>
      </c>
      <c r="C1134" s="15" t="s">
        <v>3</v>
      </c>
      <c r="D1134" s="31" t="s">
        <v>500</v>
      </c>
      <c r="E1134" s="31"/>
      <c r="F1134" s="72" t="s">
        <v>8</v>
      </c>
      <c r="G1134" s="32">
        <v>31778</v>
      </c>
      <c r="H1134" s="29">
        <v>44669.199999999953</v>
      </c>
      <c r="I1134" s="17">
        <v>0</v>
      </c>
      <c r="J1134" s="17">
        <v>0</v>
      </c>
      <c r="K1134" s="17">
        <f t="shared" si="184"/>
        <v>44669.199999999953</v>
      </c>
      <c r="L1134" s="23">
        <f t="shared" si="194"/>
        <v>2233.4599999999978</v>
      </c>
      <c r="M1134" s="33">
        <v>25</v>
      </c>
      <c r="N1134" s="18">
        <f t="shared" si="187"/>
        <v>34.273972602739725</v>
      </c>
      <c r="O1134" s="23">
        <v>858.43899999999792</v>
      </c>
      <c r="P1134" s="18">
        <f t="shared" si="188"/>
        <v>34.775342465753425</v>
      </c>
      <c r="Q1134" s="18">
        <v>0</v>
      </c>
      <c r="R1134" s="18">
        <f t="shared" si="185"/>
        <v>858.43899999999792</v>
      </c>
      <c r="S1134" s="18">
        <f t="shared" si="191"/>
        <v>43810.760999999955</v>
      </c>
    </row>
    <row r="1135" spans="1:19" ht="18.75" customHeight="1" x14ac:dyDescent="0.25">
      <c r="A1135" s="14">
        <f t="shared" si="189"/>
        <v>1132</v>
      </c>
      <c r="B1135" s="14" t="s">
        <v>1057</v>
      </c>
      <c r="C1135" s="15" t="s">
        <v>3</v>
      </c>
      <c r="D1135" s="31" t="s">
        <v>500</v>
      </c>
      <c r="E1135" s="31"/>
      <c r="F1135" s="72" t="s">
        <v>11</v>
      </c>
      <c r="G1135" s="32">
        <v>31778</v>
      </c>
      <c r="H1135" s="29">
        <v>38531.849999999977</v>
      </c>
      <c r="I1135" s="17">
        <v>0</v>
      </c>
      <c r="J1135" s="17">
        <v>0</v>
      </c>
      <c r="K1135" s="17">
        <f t="shared" si="184"/>
        <v>38531.849999999977</v>
      </c>
      <c r="L1135" s="23">
        <f t="shared" si="194"/>
        <v>1926.5924999999988</v>
      </c>
      <c r="M1135" s="33">
        <v>25</v>
      </c>
      <c r="N1135" s="18">
        <f t="shared" si="187"/>
        <v>34.273972602739725</v>
      </c>
      <c r="O1135" s="23">
        <v>3490.461499999999</v>
      </c>
      <c r="P1135" s="18">
        <f t="shared" si="188"/>
        <v>34.775342465753425</v>
      </c>
      <c r="Q1135" s="18">
        <v>0</v>
      </c>
      <c r="R1135" s="18">
        <f t="shared" si="185"/>
        <v>3490.461499999999</v>
      </c>
      <c r="S1135" s="18">
        <f t="shared" si="191"/>
        <v>35041.388499999979</v>
      </c>
    </row>
    <row r="1136" spans="1:19" ht="18.75" customHeight="1" x14ac:dyDescent="0.25">
      <c r="A1136" s="14">
        <f t="shared" si="189"/>
        <v>1133</v>
      </c>
      <c r="B1136" s="14" t="s">
        <v>1058</v>
      </c>
      <c r="C1136" s="15" t="s">
        <v>3</v>
      </c>
      <c r="D1136" s="31" t="s">
        <v>500</v>
      </c>
      <c r="E1136" s="31"/>
      <c r="F1136" s="72" t="s">
        <v>11</v>
      </c>
      <c r="G1136" s="32">
        <v>31778</v>
      </c>
      <c r="H1136" s="29">
        <v>31738.829999999958</v>
      </c>
      <c r="I1136" s="17">
        <v>0</v>
      </c>
      <c r="J1136" s="17">
        <v>0</v>
      </c>
      <c r="K1136" s="17">
        <f t="shared" si="184"/>
        <v>31738.829999999958</v>
      </c>
      <c r="L1136" s="23">
        <f t="shared" si="194"/>
        <v>1586.9414999999981</v>
      </c>
      <c r="M1136" s="33">
        <v>25</v>
      </c>
      <c r="N1136" s="18">
        <f t="shared" si="187"/>
        <v>34.273972602739725</v>
      </c>
      <c r="O1136" s="23">
        <v>65551.899999999994</v>
      </c>
      <c r="P1136" s="18">
        <f t="shared" si="188"/>
        <v>34.775342465753425</v>
      </c>
      <c r="Q1136" s="18">
        <v>0</v>
      </c>
      <c r="R1136" s="18">
        <f t="shared" si="185"/>
        <v>65551.899999999994</v>
      </c>
      <c r="S1136" s="18">
        <f>L1136</f>
        <v>1586.9414999999981</v>
      </c>
    </row>
    <row r="1137" spans="1:19" ht="18.75" customHeight="1" x14ac:dyDescent="0.25">
      <c r="A1137" s="14">
        <f t="shared" si="189"/>
        <v>1134</v>
      </c>
      <c r="B1137" s="14" t="s">
        <v>1059</v>
      </c>
      <c r="C1137" s="15" t="s">
        <v>3</v>
      </c>
      <c r="D1137" s="31" t="s">
        <v>500</v>
      </c>
      <c r="E1137" s="31"/>
      <c r="F1137" s="72" t="s">
        <v>11</v>
      </c>
      <c r="G1137" s="32">
        <v>31778</v>
      </c>
      <c r="H1137" s="29">
        <v>28653.349999999977</v>
      </c>
      <c r="I1137" s="17">
        <v>0</v>
      </c>
      <c r="J1137" s="17">
        <v>0</v>
      </c>
      <c r="K1137" s="17">
        <f t="shared" si="184"/>
        <v>28653.349999999977</v>
      </c>
      <c r="L1137" s="23">
        <f t="shared" si="194"/>
        <v>1432.6674999999989</v>
      </c>
      <c r="M1137" s="33">
        <v>25</v>
      </c>
      <c r="N1137" s="18">
        <f t="shared" si="187"/>
        <v>34.273972602739725</v>
      </c>
      <c r="O1137" s="23">
        <v>947.56799999999907</v>
      </c>
      <c r="P1137" s="18">
        <f t="shared" si="188"/>
        <v>34.775342465753425</v>
      </c>
      <c r="Q1137" s="18">
        <v>0</v>
      </c>
      <c r="R1137" s="18">
        <f t="shared" si="185"/>
        <v>947.56799999999907</v>
      </c>
      <c r="S1137" s="18">
        <f t="shared" si="191"/>
        <v>27705.781999999977</v>
      </c>
    </row>
    <row r="1138" spans="1:19" ht="18.75" customHeight="1" x14ac:dyDescent="0.25">
      <c r="A1138" s="14">
        <f t="shared" si="189"/>
        <v>1135</v>
      </c>
      <c r="B1138" s="14" t="s">
        <v>1060</v>
      </c>
      <c r="C1138" s="15" t="s">
        <v>3</v>
      </c>
      <c r="D1138" s="31" t="s">
        <v>500</v>
      </c>
      <c r="E1138" s="31"/>
      <c r="F1138" s="72" t="s">
        <v>11</v>
      </c>
      <c r="G1138" s="32">
        <v>31778</v>
      </c>
      <c r="H1138" s="29">
        <v>18763.349999999977</v>
      </c>
      <c r="I1138" s="17">
        <v>0</v>
      </c>
      <c r="J1138" s="17">
        <v>0</v>
      </c>
      <c r="K1138" s="17">
        <f t="shared" si="184"/>
        <v>18763.349999999977</v>
      </c>
      <c r="L1138" s="23">
        <f t="shared" si="194"/>
        <v>938.16749999999888</v>
      </c>
      <c r="M1138" s="33">
        <v>25</v>
      </c>
      <c r="N1138" s="18">
        <f t="shared" si="187"/>
        <v>34.273972602739725</v>
      </c>
      <c r="O1138" s="23">
        <v>777.33749999999895</v>
      </c>
      <c r="P1138" s="18">
        <f t="shared" si="188"/>
        <v>34.775342465753425</v>
      </c>
      <c r="Q1138" s="18">
        <v>0</v>
      </c>
      <c r="R1138" s="18">
        <f t="shared" si="185"/>
        <v>777.33749999999895</v>
      </c>
      <c r="S1138" s="18">
        <f t="shared" si="191"/>
        <v>17986.012499999979</v>
      </c>
    </row>
    <row r="1139" spans="1:19" ht="18.75" customHeight="1" x14ac:dyDescent="0.25">
      <c r="A1139" s="14">
        <f t="shared" si="189"/>
        <v>1136</v>
      </c>
      <c r="B1139" s="14" t="s">
        <v>1061</v>
      </c>
      <c r="C1139" s="15" t="s">
        <v>3</v>
      </c>
      <c r="D1139" s="31" t="s">
        <v>500</v>
      </c>
      <c r="E1139" s="31"/>
      <c r="F1139" s="70" t="s">
        <v>7</v>
      </c>
      <c r="G1139" s="32">
        <v>31778</v>
      </c>
      <c r="H1139" s="29">
        <v>7403</v>
      </c>
      <c r="I1139" s="17">
        <v>0</v>
      </c>
      <c r="J1139" s="17">
        <v>0</v>
      </c>
      <c r="K1139" s="17">
        <f t="shared" si="184"/>
        <v>7403</v>
      </c>
      <c r="L1139" s="23">
        <f t="shared" si="194"/>
        <v>370.15000000000003</v>
      </c>
      <c r="M1139" s="33">
        <v>25</v>
      </c>
      <c r="N1139" s="18">
        <f t="shared" si="187"/>
        <v>34.273972602739725</v>
      </c>
      <c r="O1139" s="23">
        <v>5985</v>
      </c>
      <c r="P1139" s="18">
        <f t="shared" si="188"/>
        <v>34.775342465753425</v>
      </c>
      <c r="Q1139" s="18">
        <v>0</v>
      </c>
      <c r="R1139" s="18">
        <f t="shared" si="185"/>
        <v>5985</v>
      </c>
      <c r="S1139" s="18">
        <f t="shared" si="191"/>
        <v>1418</v>
      </c>
    </row>
    <row r="1140" spans="1:19" ht="18.75" customHeight="1" x14ac:dyDescent="0.25">
      <c r="A1140" s="14">
        <f t="shared" si="189"/>
        <v>1137</v>
      </c>
      <c r="B1140" s="14" t="s">
        <v>1062</v>
      </c>
      <c r="C1140" s="15" t="s">
        <v>3</v>
      </c>
      <c r="D1140" s="31" t="s">
        <v>500</v>
      </c>
      <c r="E1140" s="31"/>
      <c r="F1140" s="72" t="s">
        <v>11</v>
      </c>
      <c r="G1140" s="32">
        <v>31778</v>
      </c>
      <c r="H1140" s="29">
        <v>5796.6499999999942</v>
      </c>
      <c r="I1140" s="17">
        <v>0</v>
      </c>
      <c r="J1140" s="17">
        <v>0</v>
      </c>
      <c r="K1140" s="17">
        <f t="shared" si="184"/>
        <v>5796.6499999999942</v>
      </c>
      <c r="L1140" s="23">
        <f t="shared" si="194"/>
        <v>289.8324999999997</v>
      </c>
      <c r="M1140" s="33">
        <v>25</v>
      </c>
      <c r="N1140" s="18">
        <f t="shared" si="187"/>
        <v>34.273972602739725</v>
      </c>
      <c r="O1140" s="23">
        <v>5526.15</v>
      </c>
      <c r="P1140" s="18">
        <f t="shared" si="188"/>
        <v>34.775342465753425</v>
      </c>
      <c r="Q1140" s="18">
        <v>0</v>
      </c>
      <c r="R1140" s="18">
        <f t="shared" si="185"/>
        <v>5526.15</v>
      </c>
      <c r="S1140" s="18">
        <f t="shared" si="191"/>
        <v>270.49999999999454</v>
      </c>
    </row>
    <row r="1141" spans="1:19" ht="18.75" customHeight="1" x14ac:dyDescent="0.25">
      <c r="A1141" s="14">
        <f t="shared" si="189"/>
        <v>1138</v>
      </c>
      <c r="B1141" s="14" t="s">
        <v>1063</v>
      </c>
      <c r="C1141" s="15" t="s">
        <v>3</v>
      </c>
      <c r="D1141" s="31" t="s">
        <v>500</v>
      </c>
      <c r="E1141" s="31"/>
      <c r="F1141" s="72" t="s">
        <v>11</v>
      </c>
      <c r="G1141" s="32">
        <v>31778</v>
      </c>
      <c r="H1141" s="29">
        <v>4525.5</v>
      </c>
      <c r="I1141" s="17">
        <v>0</v>
      </c>
      <c r="J1141" s="17">
        <v>0</v>
      </c>
      <c r="K1141" s="17">
        <f t="shared" si="184"/>
        <v>4525.5</v>
      </c>
      <c r="L1141" s="23">
        <f t="shared" si="194"/>
        <v>226.27500000000001</v>
      </c>
      <c r="M1141" s="33">
        <v>25</v>
      </c>
      <c r="N1141" s="18">
        <f t="shared" si="187"/>
        <v>34.273972602739725</v>
      </c>
      <c r="O1141" s="23">
        <v>10173.549999999999</v>
      </c>
      <c r="P1141" s="18">
        <f t="shared" si="188"/>
        <v>34.775342465753425</v>
      </c>
      <c r="Q1141" s="18">
        <v>0</v>
      </c>
      <c r="R1141" s="18">
        <f t="shared" si="185"/>
        <v>10173.549999999999</v>
      </c>
      <c r="S1141" s="18">
        <f t="shared" ref="S1141:S1142" si="199">L1141</f>
        <v>226.27500000000001</v>
      </c>
    </row>
    <row r="1142" spans="1:19" ht="18.75" customHeight="1" x14ac:dyDescent="0.25">
      <c r="A1142" s="14">
        <f t="shared" si="189"/>
        <v>1139</v>
      </c>
      <c r="B1142" s="14" t="s">
        <v>1064</v>
      </c>
      <c r="C1142" s="15" t="s">
        <v>3</v>
      </c>
      <c r="D1142" s="31" t="s">
        <v>500</v>
      </c>
      <c r="E1142" s="31"/>
      <c r="F1142" s="70" t="s">
        <v>7</v>
      </c>
      <c r="G1142" s="32">
        <v>31778</v>
      </c>
      <c r="H1142" s="29">
        <v>3878.1999999999971</v>
      </c>
      <c r="I1142" s="17">
        <v>0</v>
      </c>
      <c r="J1142" s="17">
        <v>0</v>
      </c>
      <c r="K1142" s="17">
        <f t="shared" si="184"/>
        <v>3878.1999999999971</v>
      </c>
      <c r="L1142" s="23">
        <f t="shared" si="194"/>
        <v>193.90999999999985</v>
      </c>
      <c r="M1142" s="33">
        <v>25</v>
      </c>
      <c r="N1142" s="18">
        <f t="shared" si="187"/>
        <v>34.273972602739725</v>
      </c>
      <c r="O1142" s="23">
        <v>34324.449999999997</v>
      </c>
      <c r="P1142" s="18">
        <f t="shared" si="188"/>
        <v>34.775342465753425</v>
      </c>
      <c r="Q1142" s="18">
        <v>0</v>
      </c>
      <c r="R1142" s="18">
        <f t="shared" si="185"/>
        <v>34324.449999999997</v>
      </c>
      <c r="S1142" s="18">
        <f t="shared" si="199"/>
        <v>193.90999999999985</v>
      </c>
    </row>
    <row r="1143" spans="1:19" ht="18.75" customHeight="1" x14ac:dyDescent="0.25">
      <c r="A1143" s="14">
        <f t="shared" si="189"/>
        <v>1140</v>
      </c>
      <c r="B1143" s="14" t="s">
        <v>1065</v>
      </c>
      <c r="C1143" s="15" t="s">
        <v>3</v>
      </c>
      <c r="D1143" s="31" t="s">
        <v>500</v>
      </c>
      <c r="E1143" s="31"/>
      <c r="F1143" s="70" t="s">
        <v>7</v>
      </c>
      <c r="G1143" s="32">
        <v>39418</v>
      </c>
      <c r="H1143" s="29">
        <v>281994.08672438358</v>
      </c>
      <c r="I1143" s="17">
        <v>0</v>
      </c>
      <c r="J1143" s="17">
        <v>0</v>
      </c>
      <c r="K1143" s="17">
        <f t="shared" si="184"/>
        <v>281994.08672438358</v>
      </c>
      <c r="L1143" s="23">
        <f t="shared" si="194"/>
        <v>14099.70433621918</v>
      </c>
      <c r="M1143" s="33">
        <v>15</v>
      </c>
      <c r="N1143" s="18">
        <f t="shared" si="187"/>
        <v>13.342465753424657</v>
      </c>
      <c r="O1143" s="23">
        <v>20581.22618162557</v>
      </c>
      <c r="P1143" s="18">
        <f t="shared" si="188"/>
        <v>13.843835616438357</v>
      </c>
      <c r="Q1143" s="18">
        <f t="shared" si="197"/>
        <v>8954.2779866729161</v>
      </c>
      <c r="R1143" s="18">
        <f t="shared" si="185"/>
        <v>29535.504168298488</v>
      </c>
      <c r="S1143" s="18">
        <f t="shared" si="191"/>
        <v>252458.58255608508</v>
      </c>
    </row>
    <row r="1144" spans="1:19" ht="18.75" customHeight="1" x14ac:dyDescent="0.25">
      <c r="A1144" s="14">
        <f t="shared" si="189"/>
        <v>1141</v>
      </c>
      <c r="B1144" s="14" t="s">
        <v>1066</v>
      </c>
      <c r="C1144" s="15" t="s">
        <v>3</v>
      </c>
      <c r="D1144" s="31" t="s">
        <v>500</v>
      </c>
      <c r="E1144" s="31"/>
      <c r="F1144" s="72" t="s">
        <v>11</v>
      </c>
      <c r="G1144" s="32">
        <v>31778</v>
      </c>
      <c r="H1144" s="29">
        <v>2501.8000000000029</v>
      </c>
      <c r="I1144" s="17">
        <v>0</v>
      </c>
      <c r="J1144" s="17">
        <v>0</v>
      </c>
      <c r="K1144" s="17">
        <f t="shared" si="184"/>
        <v>2501.8000000000029</v>
      </c>
      <c r="L1144" s="23">
        <f t="shared" si="194"/>
        <v>125.09000000000015</v>
      </c>
      <c r="M1144" s="33">
        <v>25</v>
      </c>
      <c r="N1144" s="18">
        <f t="shared" si="187"/>
        <v>34.273972602739725</v>
      </c>
      <c r="O1144" s="23">
        <v>785.6880000000001</v>
      </c>
      <c r="P1144" s="18">
        <f t="shared" si="188"/>
        <v>34.775342465753425</v>
      </c>
      <c r="Q1144" s="18">
        <v>0</v>
      </c>
      <c r="R1144" s="18">
        <f t="shared" si="185"/>
        <v>785.6880000000001</v>
      </c>
      <c r="S1144" s="18">
        <f t="shared" si="191"/>
        <v>1716.1120000000028</v>
      </c>
    </row>
    <row r="1145" spans="1:19" ht="18.75" customHeight="1" x14ac:dyDescent="0.25">
      <c r="A1145" s="14">
        <f t="shared" si="189"/>
        <v>1142</v>
      </c>
      <c r="B1145" s="14" t="s">
        <v>1067</v>
      </c>
      <c r="C1145" s="15" t="s">
        <v>3</v>
      </c>
      <c r="D1145" s="31" t="s">
        <v>500</v>
      </c>
      <c r="E1145" s="31"/>
      <c r="F1145" s="72" t="s">
        <v>11</v>
      </c>
      <c r="G1145" s="32">
        <v>31778</v>
      </c>
      <c r="H1145" s="29">
        <v>1864.6500000000015</v>
      </c>
      <c r="I1145" s="17">
        <v>0</v>
      </c>
      <c r="J1145" s="17">
        <v>0</v>
      </c>
      <c r="K1145" s="17">
        <f t="shared" si="184"/>
        <v>1864.6500000000015</v>
      </c>
      <c r="L1145" s="23">
        <f t="shared" si="194"/>
        <v>93.232500000000073</v>
      </c>
      <c r="M1145" s="33">
        <v>25</v>
      </c>
      <c r="N1145" s="18">
        <f t="shared" si="187"/>
        <v>34.273972602739725</v>
      </c>
      <c r="O1145" s="23">
        <v>627.90250000000003</v>
      </c>
      <c r="P1145" s="18">
        <f t="shared" si="188"/>
        <v>34.775342465753425</v>
      </c>
      <c r="Q1145" s="18">
        <v>0</v>
      </c>
      <c r="R1145" s="18">
        <f t="shared" si="185"/>
        <v>627.90250000000003</v>
      </c>
      <c r="S1145" s="18">
        <f t="shared" si="191"/>
        <v>1236.7475000000013</v>
      </c>
    </row>
    <row r="1146" spans="1:19" ht="18.75" customHeight="1" x14ac:dyDescent="0.25">
      <c r="A1146" s="14">
        <f t="shared" si="189"/>
        <v>1143</v>
      </c>
      <c r="B1146" s="14" t="s">
        <v>1068</v>
      </c>
      <c r="C1146" s="15" t="s">
        <v>3</v>
      </c>
      <c r="D1146" s="31" t="s">
        <v>500</v>
      </c>
      <c r="E1146" s="31"/>
      <c r="F1146" s="70" t="s">
        <v>7</v>
      </c>
      <c r="G1146" s="32">
        <v>31778</v>
      </c>
      <c r="H1146" s="29">
        <v>1707.2999999999993</v>
      </c>
      <c r="I1146" s="17">
        <v>0</v>
      </c>
      <c r="J1146" s="17">
        <v>0</v>
      </c>
      <c r="K1146" s="17">
        <f t="shared" si="184"/>
        <v>1707.2999999999993</v>
      </c>
      <c r="L1146" s="23">
        <f t="shared" si="194"/>
        <v>85.364999999999966</v>
      </c>
      <c r="M1146" s="33">
        <v>25</v>
      </c>
      <c r="N1146" s="18">
        <f t="shared" si="187"/>
        <v>34.273972602739725</v>
      </c>
      <c r="O1146" s="23">
        <v>1738.4145000000001</v>
      </c>
      <c r="P1146" s="18">
        <f t="shared" si="188"/>
        <v>34.775342465753425</v>
      </c>
      <c r="Q1146" s="18">
        <v>0</v>
      </c>
      <c r="R1146" s="18">
        <f t="shared" si="185"/>
        <v>1738.4145000000001</v>
      </c>
      <c r="S1146" s="18">
        <f t="shared" ref="S1146:S1148" si="200">L1146</f>
        <v>85.364999999999966</v>
      </c>
    </row>
    <row r="1147" spans="1:19" ht="18.75" customHeight="1" x14ac:dyDescent="0.25">
      <c r="A1147" s="14">
        <f t="shared" si="189"/>
        <v>1144</v>
      </c>
      <c r="B1147" s="14" t="s">
        <v>1069</v>
      </c>
      <c r="C1147" s="15" t="s">
        <v>3</v>
      </c>
      <c r="D1147" s="31" t="s">
        <v>500</v>
      </c>
      <c r="E1147" s="31"/>
      <c r="F1147" s="72" t="s">
        <v>13</v>
      </c>
      <c r="G1147" s="32">
        <v>31778</v>
      </c>
      <c r="H1147" s="29">
        <v>297.35000000000036</v>
      </c>
      <c r="I1147" s="17">
        <v>0</v>
      </c>
      <c r="J1147" s="17">
        <v>0</v>
      </c>
      <c r="K1147" s="17">
        <f t="shared" si="184"/>
        <v>297.35000000000036</v>
      </c>
      <c r="L1147" s="23">
        <f t="shared" si="194"/>
        <v>14.867500000000019</v>
      </c>
      <c r="M1147" s="33">
        <v>25</v>
      </c>
      <c r="N1147" s="18">
        <f t="shared" si="187"/>
        <v>34.273972602739725</v>
      </c>
      <c r="O1147" s="23">
        <v>489537.85</v>
      </c>
      <c r="P1147" s="18">
        <f t="shared" si="188"/>
        <v>34.775342465753425</v>
      </c>
      <c r="Q1147" s="18">
        <v>0</v>
      </c>
      <c r="R1147" s="18">
        <f t="shared" si="185"/>
        <v>489537.85</v>
      </c>
      <c r="S1147" s="18">
        <f t="shared" si="200"/>
        <v>14.867500000000019</v>
      </c>
    </row>
    <row r="1148" spans="1:19" ht="18.75" customHeight="1" x14ac:dyDescent="0.25">
      <c r="A1148" s="14">
        <f t="shared" si="189"/>
        <v>1145</v>
      </c>
      <c r="B1148" s="14" t="s">
        <v>1070</v>
      </c>
      <c r="C1148" s="15" t="s">
        <v>3</v>
      </c>
      <c r="D1148" s="31" t="s">
        <v>500</v>
      </c>
      <c r="E1148" s="31"/>
      <c r="F1148" s="72" t="s">
        <v>11</v>
      </c>
      <c r="G1148" s="32">
        <v>31778</v>
      </c>
      <c r="H1148" s="29">
        <v>206.5</v>
      </c>
      <c r="I1148" s="17">
        <v>0</v>
      </c>
      <c r="J1148" s="17">
        <v>0</v>
      </c>
      <c r="K1148" s="17">
        <f t="shared" si="184"/>
        <v>206.5</v>
      </c>
      <c r="L1148" s="23">
        <f t="shared" si="194"/>
        <v>10.325000000000001</v>
      </c>
      <c r="M1148" s="33">
        <v>25</v>
      </c>
      <c r="N1148" s="18">
        <f t="shared" si="187"/>
        <v>34.273972602739725</v>
      </c>
      <c r="O1148" s="23">
        <v>3476.8195000000001</v>
      </c>
      <c r="P1148" s="18">
        <f t="shared" si="188"/>
        <v>34.775342465753425</v>
      </c>
      <c r="Q1148" s="18">
        <v>0</v>
      </c>
      <c r="R1148" s="18">
        <f t="shared" si="185"/>
        <v>3476.8195000000001</v>
      </c>
      <c r="S1148" s="18">
        <f t="shared" si="200"/>
        <v>10.325000000000001</v>
      </c>
    </row>
    <row r="1149" spans="1:19" ht="18.75" customHeight="1" x14ac:dyDescent="0.25">
      <c r="A1149" s="14">
        <f t="shared" si="189"/>
        <v>1146</v>
      </c>
      <c r="B1149" s="14" t="s">
        <v>1071</v>
      </c>
      <c r="C1149" s="15" t="s">
        <v>3</v>
      </c>
      <c r="D1149" s="31" t="s">
        <v>500</v>
      </c>
      <c r="E1149" s="31"/>
      <c r="F1149" s="72" t="s">
        <v>14</v>
      </c>
      <c r="G1149" s="32">
        <v>35514</v>
      </c>
      <c r="H1149" s="29">
        <v>18486.5</v>
      </c>
      <c r="I1149" s="17">
        <v>0</v>
      </c>
      <c r="J1149" s="17">
        <v>0</v>
      </c>
      <c r="K1149" s="17">
        <f t="shared" si="184"/>
        <v>18486.5</v>
      </c>
      <c r="L1149" s="23">
        <f t="shared" si="194"/>
        <v>924.32500000000005</v>
      </c>
      <c r="M1149" s="33">
        <v>15</v>
      </c>
      <c r="N1149" s="18">
        <f t="shared" si="187"/>
        <v>24.038356164383561</v>
      </c>
      <c r="O1149" s="23">
        <v>5732.6705000000002</v>
      </c>
      <c r="P1149" s="18">
        <f t="shared" si="188"/>
        <v>24.539726027397261</v>
      </c>
      <c r="Q1149" s="18">
        <v>0</v>
      </c>
      <c r="R1149" s="18">
        <f t="shared" si="185"/>
        <v>5732.6705000000002</v>
      </c>
      <c r="S1149" s="18">
        <f t="shared" si="191"/>
        <v>12753.8295</v>
      </c>
    </row>
    <row r="1150" spans="1:19" ht="18.75" customHeight="1" x14ac:dyDescent="0.25">
      <c r="A1150" s="14">
        <f t="shared" si="189"/>
        <v>1147</v>
      </c>
      <c r="B1150" s="14" t="s">
        <v>1072</v>
      </c>
      <c r="C1150" s="15" t="s">
        <v>3</v>
      </c>
      <c r="D1150" s="31" t="s">
        <v>500</v>
      </c>
      <c r="E1150" s="31"/>
      <c r="F1150" s="72" t="s">
        <v>4</v>
      </c>
      <c r="G1150" s="32">
        <v>35521</v>
      </c>
      <c r="H1150" s="29">
        <v>10487.049999999988</v>
      </c>
      <c r="I1150" s="17">
        <v>0</v>
      </c>
      <c r="J1150" s="17">
        <v>0</v>
      </c>
      <c r="K1150" s="17">
        <f t="shared" si="184"/>
        <v>10487.049999999988</v>
      </c>
      <c r="L1150" s="23">
        <f t="shared" si="194"/>
        <v>524.3524999999994</v>
      </c>
      <c r="M1150" s="33">
        <v>15</v>
      </c>
      <c r="N1150" s="18">
        <f t="shared" si="187"/>
        <v>24.019178082191782</v>
      </c>
      <c r="O1150" s="23">
        <v>1773.6024999999991</v>
      </c>
      <c r="P1150" s="18">
        <f t="shared" si="188"/>
        <v>24.520547945205479</v>
      </c>
      <c r="Q1150" s="18">
        <v>0</v>
      </c>
      <c r="R1150" s="18">
        <f t="shared" si="185"/>
        <v>1773.6024999999991</v>
      </c>
      <c r="S1150" s="18">
        <f t="shared" si="191"/>
        <v>8713.4474999999893</v>
      </c>
    </row>
    <row r="1151" spans="1:19" ht="18.75" customHeight="1" x14ac:dyDescent="0.25">
      <c r="A1151" s="14">
        <f t="shared" si="189"/>
        <v>1148</v>
      </c>
      <c r="B1151" s="14" t="s">
        <v>1073</v>
      </c>
      <c r="C1151" s="15" t="s">
        <v>3</v>
      </c>
      <c r="D1151" s="31" t="s">
        <v>500</v>
      </c>
      <c r="E1151" s="31"/>
      <c r="F1151" s="72" t="s">
        <v>4</v>
      </c>
      <c r="G1151" s="32">
        <v>35703</v>
      </c>
      <c r="H1151" s="29">
        <v>53292.150000000023</v>
      </c>
      <c r="I1151" s="17">
        <v>0</v>
      </c>
      <c r="J1151" s="17">
        <v>0</v>
      </c>
      <c r="K1151" s="17">
        <f t="shared" si="184"/>
        <v>53292.150000000023</v>
      </c>
      <c r="L1151" s="23">
        <f t="shared" si="194"/>
        <v>2664.6075000000014</v>
      </c>
      <c r="M1151" s="33">
        <v>15</v>
      </c>
      <c r="N1151" s="18">
        <f t="shared" si="187"/>
        <v>23.520547945205479</v>
      </c>
      <c r="O1151" s="23">
        <v>974.71900000000142</v>
      </c>
      <c r="P1151" s="18">
        <f t="shared" si="188"/>
        <v>24.021917808219179</v>
      </c>
      <c r="Q1151" s="18">
        <v>0</v>
      </c>
      <c r="R1151" s="18">
        <f t="shared" si="185"/>
        <v>974.71900000000142</v>
      </c>
      <c r="S1151" s="18">
        <f t="shared" si="191"/>
        <v>52317.431000000019</v>
      </c>
    </row>
    <row r="1152" spans="1:19" ht="18.75" customHeight="1" x14ac:dyDescent="0.25">
      <c r="A1152" s="14">
        <f t="shared" si="189"/>
        <v>1149</v>
      </c>
      <c r="B1152" s="14" t="s">
        <v>1074</v>
      </c>
      <c r="C1152" s="15" t="s">
        <v>3</v>
      </c>
      <c r="D1152" s="31" t="s">
        <v>500</v>
      </c>
      <c r="E1152" s="31"/>
      <c r="F1152" s="72" t="s">
        <v>8</v>
      </c>
      <c r="G1152" s="32">
        <v>32143</v>
      </c>
      <c r="H1152" s="29">
        <v>66946.649999999907</v>
      </c>
      <c r="I1152" s="17">
        <v>0</v>
      </c>
      <c r="J1152" s="17">
        <v>0</v>
      </c>
      <c r="K1152" s="17">
        <f t="shared" si="184"/>
        <v>66946.649999999907</v>
      </c>
      <c r="L1152" s="23">
        <f t="shared" si="194"/>
        <v>3347.3324999999954</v>
      </c>
      <c r="M1152" s="33">
        <v>25</v>
      </c>
      <c r="N1152" s="18">
        <f t="shared" si="187"/>
        <v>33.273972602739725</v>
      </c>
      <c r="O1152" s="23">
        <v>2654.6704999999956</v>
      </c>
      <c r="P1152" s="18">
        <f t="shared" si="188"/>
        <v>33.775342465753425</v>
      </c>
      <c r="Q1152" s="18">
        <v>0</v>
      </c>
      <c r="R1152" s="18">
        <f t="shared" si="185"/>
        <v>2654.6704999999956</v>
      </c>
      <c r="S1152" s="18">
        <f t="shared" si="191"/>
        <v>64291.979499999914</v>
      </c>
    </row>
    <row r="1153" spans="1:19" ht="18.75" customHeight="1" x14ac:dyDescent="0.25">
      <c r="A1153" s="14">
        <f t="shared" si="189"/>
        <v>1150</v>
      </c>
      <c r="B1153" s="14" t="s">
        <v>1075</v>
      </c>
      <c r="C1153" s="15" t="s">
        <v>3</v>
      </c>
      <c r="D1153" s="31" t="s">
        <v>500</v>
      </c>
      <c r="E1153" s="31"/>
      <c r="F1153" s="72" t="s">
        <v>11</v>
      </c>
      <c r="G1153" s="32">
        <v>32143</v>
      </c>
      <c r="H1153" s="29">
        <v>64729.149999999907</v>
      </c>
      <c r="I1153" s="17">
        <v>0</v>
      </c>
      <c r="J1153" s="17">
        <v>0</v>
      </c>
      <c r="K1153" s="17">
        <f t="shared" si="184"/>
        <v>64729.149999999907</v>
      </c>
      <c r="L1153" s="23">
        <f t="shared" si="194"/>
        <v>3236.4574999999954</v>
      </c>
      <c r="M1153" s="33">
        <v>25</v>
      </c>
      <c r="N1153" s="18">
        <f t="shared" si="187"/>
        <v>33.273972602739725</v>
      </c>
      <c r="O1153" s="23">
        <v>2018.7499999999961</v>
      </c>
      <c r="P1153" s="18">
        <f t="shared" si="188"/>
        <v>33.775342465753425</v>
      </c>
      <c r="Q1153" s="18">
        <v>0</v>
      </c>
      <c r="R1153" s="18">
        <f t="shared" si="185"/>
        <v>2018.7499999999961</v>
      </c>
      <c r="S1153" s="18">
        <f t="shared" si="191"/>
        <v>62710.399999999914</v>
      </c>
    </row>
    <row r="1154" spans="1:19" ht="18.75" customHeight="1" x14ac:dyDescent="0.25">
      <c r="A1154" s="14">
        <f t="shared" si="189"/>
        <v>1151</v>
      </c>
      <c r="B1154" s="14" t="s">
        <v>1076</v>
      </c>
      <c r="C1154" s="15" t="s">
        <v>3</v>
      </c>
      <c r="D1154" s="31" t="s">
        <v>500</v>
      </c>
      <c r="E1154" s="31"/>
      <c r="F1154" s="72" t="s">
        <v>11</v>
      </c>
      <c r="G1154" s="32">
        <v>32143</v>
      </c>
      <c r="H1154" s="29">
        <v>8255.3500000000058</v>
      </c>
      <c r="I1154" s="17">
        <v>0</v>
      </c>
      <c r="J1154" s="17">
        <v>0</v>
      </c>
      <c r="K1154" s="17">
        <f t="shared" si="184"/>
        <v>8255.3500000000058</v>
      </c>
      <c r="L1154" s="23">
        <f t="shared" si="194"/>
        <v>412.76750000000033</v>
      </c>
      <c r="M1154" s="33">
        <v>25</v>
      </c>
      <c r="N1154" s="18">
        <f t="shared" si="187"/>
        <v>33.273972602739725</v>
      </c>
      <c r="O1154" s="23">
        <v>7696.5770000000002</v>
      </c>
      <c r="P1154" s="18">
        <f t="shared" si="188"/>
        <v>33.775342465753425</v>
      </c>
      <c r="Q1154" s="18">
        <v>0</v>
      </c>
      <c r="R1154" s="18">
        <f t="shared" si="185"/>
        <v>7696.5770000000002</v>
      </c>
      <c r="S1154" s="18">
        <f t="shared" si="191"/>
        <v>558.7730000000056</v>
      </c>
    </row>
    <row r="1155" spans="1:19" ht="18.75" customHeight="1" x14ac:dyDescent="0.25">
      <c r="A1155" s="14">
        <f t="shared" si="189"/>
        <v>1152</v>
      </c>
      <c r="B1155" s="14" t="s">
        <v>1077</v>
      </c>
      <c r="C1155" s="15" t="s">
        <v>3</v>
      </c>
      <c r="D1155" s="31" t="s">
        <v>500</v>
      </c>
      <c r="E1155" s="31"/>
      <c r="F1155" s="72" t="s">
        <v>11</v>
      </c>
      <c r="G1155" s="32">
        <v>32143</v>
      </c>
      <c r="H1155" s="29">
        <v>8098</v>
      </c>
      <c r="I1155" s="17">
        <v>0</v>
      </c>
      <c r="J1155" s="17">
        <v>0</v>
      </c>
      <c r="K1155" s="17">
        <f t="shared" si="184"/>
        <v>8098</v>
      </c>
      <c r="L1155" s="23">
        <f t="shared" si="194"/>
        <v>404.90000000000003</v>
      </c>
      <c r="M1155" s="33">
        <v>25</v>
      </c>
      <c r="N1155" s="18">
        <f t="shared" si="187"/>
        <v>33.273972602739725</v>
      </c>
      <c r="O1155" s="23">
        <v>1001.3095</v>
      </c>
      <c r="P1155" s="18">
        <f t="shared" si="188"/>
        <v>33.775342465753425</v>
      </c>
      <c r="Q1155" s="18">
        <v>0</v>
      </c>
      <c r="R1155" s="18">
        <f t="shared" si="185"/>
        <v>1001.3095</v>
      </c>
      <c r="S1155" s="18">
        <f t="shared" si="191"/>
        <v>7096.6904999999997</v>
      </c>
    </row>
    <row r="1156" spans="1:19" ht="18.75" customHeight="1" x14ac:dyDescent="0.25">
      <c r="A1156" s="14">
        <f t="shared" si="189"/>
        <v>1153</v>
      </c>
      <c r="B1156" s="14" t="s">
        <v>1078</v>
      </c>
      <c r="C1156" s="15" t="s">
        <v>3</v>
      </c>
      <c r="D1156" s="31" t="s">
        <v>500</v>
      </c>
      <c r="E1156" s="31"/>
      <c r="F1156" s="72" t="s">
        <v>11</v>
      </c>
      <c r="G1156" s="32">
        <v>32143</v>
      </c>
      <c r="H1156" s="29">
        <v>6553.4499999999971</v>
      </c>
      <c r="I1156" s="17">
        <v>0</v>
      </c>
      <c r="J1156" s="17">
        <v>0</v>
      </c>
      <c r="K1156" s="17">
        <f t="shared" ref="K1156:K1219" si="201">H1156+I1156-J1156</f>
        <v>6553.4499999999971</v>
      </c>
      <c r="L1156" s="23">
        <f t="shared" si="194"/>
        <v>327.6724999999999</v>
      </c>
      <c r="M1156" s="33">
        <v>25</v>
      </c>
      <c r="N1156" s="18">
        <f t="shared" si="187"/>
        <v>33.273972602739725</v>
      </c>
      <c r="O1156" s="23">
        <v>1382.0884999999996</v>
      </c>
      <c r="P1156" s="18">
        <f t="shared" si="188"/>
        <v>33.775342465753425</v>
      </c>
      <c r="Q1156" s="18">
        <v>0</v>
      </c>
      <c r="R1156" s="18">
        <f t="shared" ref="R1156:R1219" si="202">Q1156+O1156</f>
        <v>1382.0884999999996</v>
      </c>
      <c r="S1156" s="18">
        <f t="shared" ref="S1156:S1212" si="203">K1156-R1156</f>
        <v>5171.3614999999972</v>
      </c>
    </row>
    <row r="1157" spans="1:19" ht="18.75" customHeight="1" x14ac:dyDescent="0.25">
      <c r="A1157" s="14">
        <f t="shared" si="189"/>
        <v>1154</v>
      </c>
      <c r="B1157" s="14" t="s">
        <v>1079</v>
      </c>
      <c r="C1157" s="15" t="s">
        <v>3</v>
      </c>
      <c r="D1157" s="31" t="s">
        <v>500</v>
      </c>
      <c r="E1157" s="31"/>
      <c r="F1157" s="72" t="s">
        <v>11</v>
      </c>
      <c r="G1157" s="32">
        <v>32143</v>
      </c>
      <c r="H1157" s="29">
        <v>5648.3000000000029</v>
      </c>
      <c r="I1157" s="17">
        <v>0</v>
      </c>
      <c r="J1157" s="17">
        <v>0</v>
      </c>
      <c r="K1157" s="17">
        <f t="shared" si="201"/>
        <v>5648.3000000000029</v>
      </c>
      <c r="L1157" s="23">
        <f t="shared" si="194"/>
        <v>282.41500000000013</v>
      </c>
      <c r="M1157" s="33">
        <v>25</v>
      </c>
      <c r="N1157" s="18">
        <f t="shared" ref="N1157:N1220" si="204">IF(($N$2-G1157+1)/365&gt;0,($N$2-G1157+1)/365,0)</f>
        <v>33.273972602739725</v>
      </c>
      <c r="O1157" s="23">
        <v>1024.7460000000001</v>
      </c>
      <c r="P1157" s="18">
        <f t="shared" ref="P1157:P1220" si="205">($P$2-G1157+1)/365</f>
        <v>33.775342465753425</v>
      </c>
      <c r="Q1157" s="18">
        <v>0</v>
      </c>
      <c r="R1157" s="18">
        <f t="shared" si="202"/>
        <v>1024.7460000000001</v>
      </c>
      <c r="S1157" s="18">
        <f t="shared" si="203"/>
        <v>4623.5540000000028</v>
      </c>
    </row>
    <row r="1158" spans="1:19" ht="18.75" customHeight="1" x14ac:dyDescent="0.25">
      <c r="A1158" s="14">
        <f t="shared" ref="A1158:A1221" si="206">+A1157+1</f>
        <v>1155</v>
      </c>
      <c r="B1158" s="14" t="s">
        <v>1080</v>
      </c>
      <c r="C1158" s="15" t="s">
        <v>3</v>
      </c>
      <c r="D1158" s="31" t="s">
        <v>500</v>
      </c>
      <c r="E1158" s="31"/>
      <c r="F1158" s="72" t="s">
        <v>15</v>
      </c>
      <c r="G1158" s="32">
        <v>32143</v>
      </c>
      <c r="H1158" s="29">
        <v>5472.75</v>
      </c>
      <c r="I1158" s="17">
        <v>0</v>
      </c>
      <c r="J1158" s="17">
        <v>0</v>
      </c>
      <c r="K1158" s="17">
        <f t="shared" si="201"/>
        <v>5472.75</v>
      </c>
      <c r="L1158" s="23">
        <f t="shared" si="194"/>
        <v>273.63749999999999</v>
      </c>
      <c r="M1158" s="33">
        <v>25</v>
      </c>
      <c r="N1158" s="18">
        <f t="shared" si="204"/>
        <v>33.273972602739725</v>
      </c>
      <c r="O1158" s="23">
        <v>11378.15</v>
      </c>
      <c r="P1158" s="18">
        <f t="shared" si="205"/>
        <v>33.775342465753425</v>
      </c>
      <c r="Q1158" s="18">
        <v>0</v>
      </c>
      <c r="R1158" s="18">
        <f t="shared" si="202"/>
        <v>11378.15</v>
      </c>
      <c r="S1158" s="18">
        <f>L1158</f>
        <v>273.63749999999999</v>
      </c>
    </row>
    <row r="1159" spans="1:19" ht="18.75" customHeight="1" x14ac:dyDescent="0.25">
      <c r="A1159" s="14">
        <f t="shared" si="206"/>
        <v>1156</v>
      </c>
      <c r="B1159" s="14" t="s">
        <v>1081</v>
      </c>
      <c r="C1159" s="15" t="s">
        <v>3</v>
      </c>
      <c r="D1159" s="31" t="s">
        <v>500</v>
      </c>
      <c r="E1159" s="31"/>
      <c r="F1159" s="72" t="s">
        <v>11</v>
      </c>
      <c r="G1159" s="32">
        <v>32143</v>
      </c>
      <c r="H1159" s="29">
        <v>4845.5</v>
      </c>
      <c r="I1159" s="17">
        <v>0</v>
      </c>
      <c r="J1159" s="17">
        <v>0</v>
      </c>
      <c r="K1159" s="17">
        <f t="shared" si="201"/>
        <v>4845.5</v>
      </c>
      <c r="L1159" s="23">
        <f t="shared" si="194"/>
        <v>242.27500000000001</v>
      </c>
      <c r="M1159" s="33">
        <v>25</v>
      </c>
      <c r="N1159" s="18">
        <f t="shared" si="204"/>
        <v>33.273972602739725</v>
      </c>
      <c r="O1159" s="23">
        <v>1320.576</v>
      </c>
      <c r="P1159" s="18">
        <f t="shared" si="205"/>
        <v>33.775342465753425</v>
      </c>
      <c r="Q1159" s="18">
        <v>0</v>
      </c>
      <c r="R1159" s="18">
        <f t="shared" si="202"/>
        <v>1320.576</v>
      </c>
      <c r="S1159" s="18">
        <f t="shared" si="203"/>
        <v>3524.924</v>
      </c>
    </row>
    <row r="1160" spans="1:19" ht="18.75" customHeight="1" x14ac:dyDescent="0.25">
      <c r="A1160" s="14">
        <f t="shared" si="206"/>
        <v>1157</v>
      </c>
      <c r="B1160" s="14" t="s">
        <v>1082</v>
      </c>
      <c r="C1160" s="15" t="s">
        <v>3</v>
      </c>
      <c r="D1160" s="31" t="s">
        <v>500</v>
      </c>
      <c r="E1160" s="31"/>
      <c r="F1160" s="72" t="s">
        <v>11</v>
      </c>
      <c r="G1160" s="32">
        <v>32143</v>
      </c>
      <c r="H1160" s="29">
        <v>4389.0500000000029</v>
      </c>
      <c r="I1160" s="17">
        <v>0</v>
      </c>
      <c r="J1160" s="17">
        <v>0</v>
      </c>
      <c r="K1160" s="17">
        <f t="shared" si="201"/>
        <v>4389.0500000000029</v>
      </c>
      <c r="L1160" s="23">
        <f t="shared" si="194"/>
        <v>219.45250000000016</v>
      </c>
      <c r="M1160" s="33">
        <v>25</v>
      </c>
      <c r="N1160" s="18">
        <f t="shared" si="204"/>
        <v>33.273972602739725</v>
      </c>
      <c r="O1160" s="23">
        <v>886.80600000000015</v>
      </c>
      <c r="P1160" s="18">
        <f t="shared" si="205"/>
        <v>33.775342465753425</v>
      </c>
      <c r="Q1160" s="18">
        <v>0</v>
      </c>
      <c r="R1160" s="18">
        <f t="shared" si="202"/>
        <v>886.80600000000015</v>
      </c>
      <c r="S1160" s="18">
        <f t="shared" si="203"/>
        <v>3502.2440000000029</v>
      </c>
    </row>
    <row r="1161" spans="1:19" ht="18.75" customHeight="1" x14ac:dyDescent="0.25">
      <c r="A1161" s="14">
        <f t="shared" si="206"/>
        <v>1158</v>
      </c>
      <c r="B1161" s="14" t="s">
        <v>1083</v>
      </c>
      <c r="C1161" s="15" t="s">
        <v>3</v>
      </c>
      <c r="D1161" s="31" t="s">
        <v>500</v>
      </c>
      <c r="E1161" s="31"/>
      <c r="F1161" s="72" t="s">
        <v>11</v>
      </c>
      <c r="G1161" s="32">
        <v>32143</v>
      </c>
      <c r="H1161" s="29">
        <v>4223.3500000000058</v>
      </c>
      <c r="I1161" s="17">
        <v>0</v>
      </c>
      <c r="J1161" s="17">
        <v>0</v>
      </c>
      <c r="K1161" s="17">
        <f t="shared" si="201"/>
        <v>4223.3500000000058</v>
      </c>
      <c r="L1161" s="23">
        <f t="shared" si="194"/>
        <v>211.1675000000003</v>
      </c>
      <c r="M1161" s="33">
        <v>25</v>
      </c>
      <c r="N1161" s="18">
        <f t="shared" si="204"/>
        <v>33.273972602739725</v>
      </c>
      <c r="O1161" s="23">
        <v>886.80600000000027</v>
      </c>
      <c r="P1161" s="18">
        <f t="shared" si="205"/>
        <v>33.775342465753425</v>
      </c>
      <c r="Q1161" s="18">
        <v>0</v>
      </c>
      <c r="R1161" s="18">
        <f t="shared" si="202"/>
        <v>886.80600000000027</v>
      </c>
      <c r="S1161" s="18">
        <f t="shared" si="203"/>
        <v>3336.5440000000053</v>
      </c>
    </row>
    <row r="1162" spans="1:19" ht="18.75" customHeight="1" x14ac:dyDescent="0.25">
      <c r="A1162" s="14">
        <f t="shared" si="206"/>
        <v>1159</v>
      </c>
      <c r="B1162" s="14" t="s">
        <v>1084</v>
      </c>
      <c r="C1162" s="15" t="s">
        <v>3</v>
      </c>
      <c r="D1162" s="31" t="s">
        <v>500</v>
      </c>
      <c r="E1162" s="31"/>
      <c r="F1162" s="72" t="s">
        <v>8</v>
      </c>
      <c r="G1162" s="32">
        <v>32143</v>
      </c>
      <c r="H1162" s="29">
        <v>4113.5</v>
      </c>
      <c r="I1162" s="17">
        <v>0</v>
      </c>
      <c r="J1162" s="17">
        <v>0</v>
      </c>
      <c r="K1162" s="17">
        <f t="shared" si="201"/>
        <v>4113.5</v>
      </c>
      <c r="L1162" s="23">
        <f t="shared" si="194"/>
        <v>205.67500000000001</v>
      </c>
      <c r="M1162" s="33">
        <v>25</v>
      </c>
      <c r="N1162" s="18">
        <f t="shared" si="204"/>
        <v>33.273972602739725</v>
      </c>
      <c r="O1162" s="23">
        <v>7980</v>
      </c>
      <c r="P1162" s="18">
        <f t="shared" si="205"/>
        <v>33.775342465753425</v>
      </c>
      <c r="Q1162" s="18">
        <v>0</v>
      </c>
      <c r="R1162" s="18">
        <f t="shared" si="202"/>
        <v>7980</v>
      </c>
      <c r="S1162" s="18">
        <f t="shared" ref="S1162:S1165" si="207">L1162</f>
        <v>205.67500000000001</v>
      </c>
    </row>
    <row r="1163" spans="1:19" ht="18.75" customHeight="1" x14ac:dyDescent="0.25">
      <c r="A1163" s="14">
        <f t="shared" si="206"/>
        <v>1160</v>
      </c>
      <c r="B1163" s="14" t="s">
        <v>1085</v>
      </c>
      <c r="C1163" s="15" t="s">
        <v>3</v>
      </c>
      <c r="D1163" s="31" t="s">
        <v>500</v>
      </c>
      <c r="E1163" s="31"/>
      <c r="F1163" s="72" t="s">
        <v>8</v>
      </c>
      <c r="G1163" s="32">
        <v>32143</v>
      </c>
      <c r="H1163" s="29">
        <v>4112.1999999999971</v>
      </c>
      <c r="I1163" s="17">
        <v>0</v>
      </c>
      <c r="J1163" s="17">
        <v>0</v>
      </c>
      <c r="K1163" s="17">
        <f t="shared" si="201"/>
        <v>4112.1999999999971</v>
      </c>
      <c r="L1163" s="23">
        <f t="shared" si="194"/>
        <v>205.60999999999987</v>
      </c>
      <c r="M1163" s="33">
        <v>25</v>
      </c>
      <c r="N1163" s="18">
        <f t="shared" si="204"/>
        <v>33.273972602739725</v>
      </c>
      <c r="O1163" s="23">
        <v>35710.5</v>
      </c>
      <c r="P1163" s="18">
        <f t="shared" si="205"/>
        <v>33.775342465753425</v>
      </c>
      <c r="Q1163" s="18">
        <v>0</v>
      </c>
      <c r="R1163" s="18">
        <f t="shared" si="202"/>
        <v>35710.5</v>
      </c>
      <c r="S1163" s="18">
        <f t="shared" si="207"/>
        <v>205.60999999999987</v>
      </c>
    </row>
    <row r="1164" spans="1:19" ht="18.75" customHeight="1" x14ac:dyDescent="0.25">
      <c r="A1164" s="14">
        <f t="shared" si="206"/>
        <v>1161</v>
      </c>
      <c r="B1164" s="14" t="s">
        <v>1086</v>
      </c>
      <c r="C1164" s="15" t="s">
        <v>3</v>
      </c>
      <c r="D1164" s="31" t="s">
        <v>500</v>
      </c>
      <c r="E1164" s="31"/>
      <c r="F1164" s="72" t="s">
        <v>11</v>
      </c>
      <c r="G1164" s="32">
        <v>32143</v>
      </c>
      <c r="H1164" s="29">
        <v>2711.1500000000015</v>
      </c>
      <c r="I1164" s="17">
        <v>0</v>
      </c>
      <c r="J1164" s="17">
        <v>0</v>
      </c>
      <c r="K1164" s="17">
        <f t="shared" si="201"/>
        <v>2711.1500000000015</v>
      </c>
      <c r="L1164" s="23">
        <f t="shared" si="194"/>
        <v>135.55750000000009</v>
      </c>
      <c r="M1164" s="33">
        <v>25</v>
      </c>
      <c r="N1164" s="18">
        <f t="shared" si="204"/>
        <v>33.273972602739725</v>
      </c>
      <c r="O1164" s="23">
        <v>3092.25</v>
      </c>
      <c r="P1164" s="18">
        <f t="shared" si="205"/>
        <v>33.775342465753425</v>
      </c>
      <c r="Q1164" s="18">
        <v>0</v>
      </c>
      <c r="R1164" s="18">
        <f t="shared" si="202"/>
        <v>3092.25</v>
      </c>
      <c r="S1164" s="18">
        <f t="shared" si="207"/>
        <v>135.55750000000009</v>
      </c>
    </row>
    <row r="1165" spans="1:19" ht="18.75" customHeight="1" x14ac:dyDescent="0.25">
      <c r="A1165" s="14">
        <f t="shared" si="206"/>
        <v>1162</v>
      </c>
      <c r="B1165" s="14" t="s">
        <v>1087</v>
      </c>
      <c r="C1165" s="15" t="s">
        <v>3</v>
      </c>
      <c r="D1165" s="31" t="s">
        <v>500</v>
      </c>
      <c r="E1165" s="31"/>
      <c r="F1165" s="72" t="s">
        <v>11</v>
      </c>
      <c r="G1165" s="32">
        <v>32143</v>
      </c>
      <c r="H1165" s="29">
        <v>1816.6999999999971</v>
      </c>
      <c r="I1165" s="17">
        <v>0</v>
      </c>
      <c r="J1165" s="17">
        <v>0</v>
      </c>
      <c r="K1165" s="17">
        <f t="shared" si="201"/>
        <v>1816.6999999999971</v>
      </c>
      <c r="L1165" s="23">
        <f t="shared" si="194"/>
        <v>90.834999999999866</v>
      </c>
      <c r="M1165" s="33">
        <v>25</v>
      </c>
      <c r="N1165" s="18">
        <f t="shared" si="204"/>
        <v>33.273972602739725</v>
      </c>
      <c r="O1165" s="23">
        <v>22443.75</v>
      </c>
      <c r="P1165" s="18">
        <f t="shared" si="205"/>
        <v>33.775342465753425</v>
      </c>
      <c r="Q1165" s="18">
        <v>0</v>
      </c>
      <c r="R1165" s="18">
        <f t="shared" si="202"/>
        <v>22443.75</v>
      </c>
      <c r="S1165" s="18">
        <f t="shared" si="207"/>
        <v>90.834999999999866</v>
      </c>
    </row>
    <row r="1166" spans="1:19" ht="18.75" customHeight="1" x14ac:dyDescent="0.25">
      <c r="A1166" s="14">
        <f t="shared" si="206"/>
        <v>1163</v>
      </c>
      <c r="B1166" s="14" t="s">
        <v>1088</v>
      </c>
      <c r="C1166" s="15" t="s">
        <v>3</v>
      </c>
      <c r="D1166" s="31" t="s">
        <v>500</v>
      </c>
      <c r="E1166" s="31"/>
      <c r="F1166" s="72" t="s">
        <v>13</v>
      </c>
      <c r="G1166" s="32">
        <v>32143</v>
      </c>
      <c r="H1166" s="29">
        <v>1566.2000000000007</v>
      </c>
      <c r="I1166" s="17">
        <v>0</v>
      </c>
      <c r="J1166" s="17">
        <v>0</v>
      </c>
      <c r="K1166" s="17">
        <f t="shared" si="201"/>
        <v>1566.2000000000007</v>
      </c>
      <c r="L1166" s="23">
        <f t="shared" si="194"/>
        <v>78.310000000000045</v>
      </c>
      <c r="M1166" s="33">
        <v>25</v>
      </c>
      <c r="N1166" s="18">
        <f t="shared" si="204"/>
        <v>33.273972602739725</v>
      </c>
      <c r="O1166" s="23">
        <v>1253.4870000000001</v>
      </c>
      <c r="P1166" s="18">
        <f t="shared" si="205"/>
        <v>33.775342465753425</v>
      </c>
      <c r="Q1166" s="18">
        <v>0</v>
      </c>
      <c r="R1166" s="18">
        <f t="shared" si="202"/>
        <v>1253.4870000000001</v>
      </c>
      <c r="S1166" s="18">
        <f t="shared" si="203"/>
        <v>312.71300000000065</v>
      </c>
    </row>
    <row r="1167" spans="1:19" ht="18.75" customHeight="1" x14ac:dyDescent="0.25">
      <c r="A1167" s="14">
        <f t="shared" si="206"/>
        <v>1164</v>
      </c>
      <c r="B1167" s="14" t="s">
        <v>1089</v>
      </c>
      <c r="C1167" s="15" t="s">
        <v>3</v>
      </c>
      <c r="D1167" s="31" t="s">
        <v>500</v>
      </c>
      <c r="E1167" s="31"/>
      <c r="F1167" s="72" t="s">
        <v>11</v>
      </c>
      <c r="G1167" s="32">
        <v>32143</v>
      </c>
      <c r="H1167" s="29">
        <v>1036.1955000000016</v>
      </c>
      <c r="I1167" s="17">
        <v>0</v>
      </c>
      <c r="J1167" s="17">
        <v>0</v>
      </c>
      <c r="K1167" s="17">
        <f t="shared" si="201"/>
        <v>1036.1955000000016</v>
      </c>
      <c r="L1167" s="23">
        <f t="shared" si="194"/>
        <v>51.809775000000087</v>
      </c>
      <c r="M1167" s="33">
        <v>25</v>
      </c>
      <c r="N1167" s="18">
        <f t="shared" si="204"/>
        <v>33.273972602739725</v>
      </c>
      <c r="O1167" s="23">
        <v>24462.5</v>
      </c>
      <c r="P1167" s="18">
        <f t="shared" si="205"/>
        <v>33.775342465753425</v>
      </c>
      <c r="Q1167" s="18">
        <v>0</v>
      </c>
      <c r="R1167" s="18">
        <f t="shared" si="202"/>
        <v>24462.5</v>
      </c>
      <c r="S1167" s="18">
        <f t="shared" ref="S1167:S1171" si="208">L1167</f>
        <v>51.809775000000087</v>
      </c>
    </row>
    <row r="1168" spans="1:19" ht="18.75" customHeight="1" x14ac:dyDescent="0.25">
      <c r="A1168" s="14">
        <f t="shared" si="206"/>
        <v>1165</v>
      </c>
      <c r="B1168" s="14" t="s">
        <v>1090</v>
      </c>
      <c r="C1168" s="15" t="s">
        <v>3</v>
      </c>
      <c r="D1168" s="31" t="s">
        <v>500</v>
      </c>
      <c r="E1168" s="31"/>
      <c r="F1168" s="72" t="s">
        <v>11</v>
      </c>
      <c r="G1168" s="32">
        <v>32143</v>
      </c>
      <c r="H1168" s="29">
        <v>694.70000000000073</v>
      </c>
      <c r="I1168" s="17">
        <v>0</v>
      </c>
      <c r="J1168" s="17">
        <v>0</v>
      </c>
      <c r="K1168" s="17">
        <f t="shared" si="201"/>
        <v>694.70000000000073</v>
      </c>
      <c r="L1168" s="23">
        <f t="shared" si="194"/>
        <v>34.735000000000035</v>
      </c>
      <c r="M1168" s="33">
        <v>25</v>
      </c>
      <c r="N1168" s="18">
        <f t="shared" si="204"/>
        <v>33.273972602739725</v>
      </c>
      <c r="O1168" s="23">
        <v>5225</v>
      </c>
      <c r="P1168" s="18">
        <f t="shared" si="205"/>
        <v>33.775342465753425</v>
      </c>
      <c r="Q1168" s="18">
        <v>0</v>
      </c>
      <c r="R1168" s="18">
        <f t="shared" si="202"/>
        <v>5225</v>
      </c>
      <c r="S1168" s="18">
        <f t="shared" si="208"/>
        <v>34.735000000000035</v>
      </c>
    </row>
    <row r="1169" spans="1:19" ht="18.75" customHeight="1" x14ac:dyDescent="0.25">
      <c r="A1169" s="14">
        <f t="shared" si="206"/>
        <v>1166</v>
      </c>
      <c r="B1169" s="14" t="s">
        <v>1091</v>
      </c>
      <c r="C1169" s="15" t="s">
        <v>3</v>
      </c>
      <c r="D1169" s="31" t="s">
        <v>500</v>
      </c>
      <c r="E1169" s="31"/>
      <c r="F1169" s="72" t="s">
        <v>11</v>
      </c>
      <c r="G1169" s="32">
        <v>32143</v>
      </c>
      <c r="H1169" s="29">
        <v>444.75</v>
      </c>
      <c r="I1169" s="17">
        <v>0</v>
      </c>
      <c r="J1169" s="17">
        <v>0</v>
      </c>
      <c r="K1169" s="17">
        <f t="shared" si="201"/>
        <v>444.75</v>
      </c>
      <c r="L1169" s="23">
        <f t="shared" si="194"/>
        <v>22.237500000000001</v>
      </c>
      <c r="M1169" s="33">
        <v>25</v>
      </c>
      <c r="N1169" s="18">
        <f t="shared" si="204"/>
        <v>33.273972602739725</v>
      </c>
      <c r="O1169" s="23">
        <v>840.57900000000006</v>
      </c>
      <c r="P1169" s="18">
        <f t="shared" si="205"/>
        <v>33.775342465753425</v>
      </c>
      <c r="Q1169" s="18">
        <v>0</v>
      </c>
      <c r="R1169" s="18">
        <f t="shared" si="202"/>
        <v>840.57900000000006</v>
      </c>
      <c r="S1169" s="18">
        <f t="shared" si="208"/>
        <v>22.237500000000001</v>
      </c>
    </row>
    <row r="1170" spans="1:19" ht="18.75" customHeight="1" x14ac:dyDescent="0.25">
      <c r="A1170" s="14">
        <f t="shared" si="206"/>
        <v>1167</v>
      </c>
      <c r="B1170" s="14" t="s">
        <v>1092</v>
      </c>
      <c r="C1170" s="15" t="s">
        <v>3</v>
      </c>
      <c r="D1170" s="31" t="s">
        <v>500</v>
      </c>
      <c r="E1170" s="31"/>
      <c r="F1170" s="72" t="s">
        <v>11</v>
      </c>
      <c r="G1170" s="32">
        <v>32143</v>
      </c>
      <c r="H1170" s="29">
        <v>258.35000000000036</v>
      </c>
      <c r="I1170" s="17">
        <v>0</v>
      </c>
      <c r="J1170" s="17">
        <v>0</v>
      </c>
      <c r="K1170" s="17">
        <f t="shared" si="201"/>
        <v>258.35000000000036</v>
      </c>
      <c r="L1170" s="23">
        <f t="shared" si="194"/>
        <v>12.917500000000018</v>
      </c>
      <c r="M1170" s="33">
        <v>25</v>
      </c>
      <c r="N1170" s="18">
        <f t="shared" si="204"/>
        <v>33.273972602739725</v>
      </c>
      <c r="O1170" s="23">
        <v>1639.8615</v>
      </c>
      <c r="P1170" s="18">
        <f t="shared" si="205"/>
        <v>33.775342465753425</v>
      </c>
      <c r="Q1170" s="18">
        <v>0</v>
      </c>
      <c r="R1170" s="18">
        <f t="shared" si="202"/>
        <v>1639.8615</v>
      </c>
      <c r="S1170" s="18">
        <f t="shared" si="208"/>
        <v>12.917500000000018</v>
      </c>
    </row>
    <row r="1171" spans="1:19" ht="18.75" customHeight="1" x14ac:dyDescent="0.25">
      <c r="A1171" s="14">
        <f t="shared" si="206"/>
        <v>1168</v>
      </c>
      <c r="B1171" s="14" t="s">
        <v>1093</v>
      </c>
      <c r="C1171" s="15" t="s">
        <v>3</v>
      </c>
      <c r="D1171" s="31" t="s">
        <v>500</v>
      </c>
      <c r="E1171" s="31"/>
      <c r="F1171" s="72" t="s">
        <v>11</v>
      </c>
      <c r="G1171" s="32">
        <v>32143</v>
      </c>
      <c r="H1171" s="29">
        <v>145.84999999999991</v>
      </c>
      <c r="I1171" s="17">
        <v>0</v>
      </c>
      <c r="J1171" s="17">
        <v>0</v>
      </c>
      <c r="K1171" s="17">
        <f t="shared" si="201"/>
        <v>145.84999999999991</v>
      </c>
      <c r="L1171" s="23">
        <f t="shared" si="194"/>
        <v>7.292499999999996</v>
      </c>
      <c r="M1171" s="33">
        <v>25</v>
      </c>
      <c r="N1171" s="18">
        <f t="shared" si="204"/>
        <v>33.273972602739725</v>
      </c>
      <c r="O1171" s="23">
        <v>1475.502</v>
      </c>
      <c r="P1171" s="18">
        <f t="shared" si="205"/>
        <v>33.775342465753425</v>
      </c>
      <c r="Q1171" s="18">
        <v>0</v>
      </c>
      <c r="R1171" s="18">
        <f t="shared" si="202"/>
        <v>1475.502</v>
      </c>
      <c r="S1171" s="18">
        <f t="shared" si="208"/>
        <v>7.292499999999996</v>
      </c>
    </row>
    <row r="1172" spans="1:19" ht="18.75" customHeight="1" x14ac:dyDescent="0.25">
      <c r="A1172" s="14">
        <f t="shared" si="206"/>
        <v>1169</v>
      </c>
      <c r="B1172" s="14" t="s">
        <v>1094</v>
      </c>
      <c r="C1172" s="15" t="s">
        <v>3</v>
      </c>
      <c r="D1172" s="31" t="s">
        <v>500</v>
      </c>
      <c r="E1172" s="31"/>
      <c r="F1172" s="72" t="s">
        <v>11</v>
      </c>
      <c r="G1172" s="32">
        <v>35885</v>
      </c>
      <c r="H1172" s="29">
        <v>4258.1999999999971</v>
      </c>
      <c r="I1172" s="17">
        <v>0</v>
      </c>
      <c r="J1172" s="17">
        <v>0</v>
      </c>
      <c r="K1172" s="17">
        <f t="shared" si="201"/>
        <v>4258.1999999999971</v>
      </c>
      <c r="L1172" s="23">
        <f t="shared" si="194"/>
        <v>212.90999999999985</v>
      </c>
      <c r="M1172" s="33">
        <v>15</v>
      </c>
      <c r="N1172" s="18">
        <f t="shared" si="204"/>
        <v>23.021917808219179</v>
      </c>
      <c r="O1172" s="23">
        <v>1060.8269999999998</v>
      </c>
      <c r="P1172" s="18">
        <f t="shared" si="205"/>
        <v>23.523287671232875</v>
      </c>
      <c r="Q1172" s="18">
        <v>0</v>
      </c>
      <c r="R1172" s="18">
        <f t="shared" si="202"/>
        <v>1060.8269999999998</v>
      </c>
      <c r="S1172" s="18">
        <f t="shared" si="203"/>
        <v>3197.3729999999973</v>
      </c>
    </row>
    <row r="1173" spans="1:19" ht="18.75" customHeight="1" x14ac:dyDescent="0.25">
      <c r="A1173" s="14">
        <f t="shared" si="206"/>
        <v>1170</v>
      </c>
      <c r="B1173" s="14" t="s">
        <v>1095</v>
      </c>
      <c r="C1173" s="15" t="s">
        <v>3</v>
      </c>
      <c r="D1173" s="31" t="s">
        <v>500</v>
      </c>
      <c r="E1173" s="31"/>
      <c r="F1173" s="72" t="s">
        <v>4</v>
      </c>
      <c r="G1173" s="32">
        <v>35885</v>
      </c>
      <c r="H1173" s="29">
        <v>1524.2000000000007</v>
      </c>
      <c r="I1173" s="17">
        <v>0</v>
      </c>
      <c r="J1173" s="17">
        <v>0</v>
      </c>
      <c r="K1173" s="17">
        <f t="shared" si="201"/>
        <v>1524.2000000000007</v>
      </c>
      <c r="L1173" s="23">
        <f t="shared" si="194"/>
        <v>76.210000000000036</v>
      </c>
      <c r="M1173" s="33">
        <v>15</v>
      </c>
      <c r="N1173" s="18">
        <f t="shared" si="204"/>
        <v>23.021917808219179</v>
      </c>
      <c r="O1173" s="23">
        <v>6448.5335000000005</v>
      </c>
      <c r="P1173" s="18">
        <f t="shared" si="205"/>
        <v>23.523287671232875</v>
      </c>
      <c r="Q1173" s="18">
        <v>0</v>
      </c>
      <c r="R1173" s="18">
        <f t="shared" si="202"/>
        <v>6448.5335000000005</v>
      </c>
      <c r="S1173" s="18">
        <f>L1173</f>
        <v>76.210000000000036</v>
      </c>
    </row>
    <row r="1174" spans="1:19" ht="18.75" customHeight="1" x14ac:dyDescent="0.25">
      <c r="A1174" s="14">
        <f t="shared" si="206"/>
        <v>1171</v>
      </c>
      <c r="B1174" s="14" t="s">
        <v>1096</v>
      </c>
      <c r="C1174" s="15" t="s">
        <v>3</v>
      </c>
      <c r="D1174" s="31" t="s">
        <v>500</v>
      </c>
      <c r="E1174" s="31"/>
      <c r="F1174" s="70" t="s">
        <v>7</v>
      </c>
      <c r="G1174" s="32">
        <v>39033</v>
      </c>
      <c r="H1174" s="29">
        <v>311082.92164383561</v>
      </c>
      <c r="I1174" s="17">
        <v>0</v>
      </c>
      <c r="J1174" s="17">
        <v>0</v>
      </c>
      <c r="K1174" s="17">
        <f t="shared" si="201"/>
        <v>311082.92164383561</v>
      </c>
      <c r="L1174" s="23">
        <f t="shared" si="194"/>
        <v>15554.146082191781</v>
      </c>
      <c r="M1174" s="33">
        <v>15</v>
      </c>
      <c r="N1174" s="18">
        <f t="shared" si="204"/>
        <v>14.397260273972602</v>
      </c>
      <c r="O1174" s="23">
        <v>19337.594776255708</v>
      </c>
      <c r="P1174" s="18">
        <f t="shared" si="205"/>
        <v>14.898630136986302</v>
      </c>
      <c r="Q1174" s="18">
        <f t="shared" ref="Q1174:Q1237" si="209">(P1174-N1174)/M1174*(K1174-L1174)</f>
        <v>9877.9481146631897</v>
      </c>
      <c r="R1174" s="18">
        <f t="shared" si="202"/>
        <v>29215.5428909189</v>
      </c>
      <c r="S1174" s="18">
        <f t="shared" si="203"/>
        <v>281867.3787529167</v>
      </c>
    </row>
    <row r="1175" spans="1:19" ht="18.75" customHeight="1" x14ac:dyDescent="0.25">
      <c r="A1175" s="14">
        <f t="shared" si="206"/>
        <v>1172</v>
      </c>
      <c r="B1175" s="14" t="s">
        <v>1097</v>
      </c>
      <c r="C1175" s="15" t="s">
        <v>3</v>
      </c>
      <c r="D1175" s="31" t="s">
        <v>500</v>
      </c>
      <c r="E1175" s="31"/>
      <c r="F1175" s="72" t="s">
        <v>8</v>
      </c>
      <c r="G1175" s="32">
        <v>37787</v>
      </c>
      <c r="H1175" s="29">
        <v>2463.9499999999971</v>
      </c>
      <c r="I1175" s="17">
        <v>0</v>
      </c>
      <c r="J1175" s="17">
        <v>0</v>
      </c>
      <c r="K1175" s="17">
        <f t="shared" si="201"/>
        <v>2463.9499999999971</v>
      </c>
      <c r="L1175" s="23">
        <f t="shared" ref="L1175:L1238" si="210">H1175*0.05</f>
        <v>123.19749999999986</v>
      </c>
      <c r="M1175" s="33">
        <v>10</v>
      </c>
      <c r="N1175" s="18">
        <f t="shared" si="204"/>
        <v>17.81095890410959</v>
      </c>
      <c r="O1175" s="23">
        <v>1435.5735</v>
      </c>
      <c r="P1175" s="18">
        <f t="shared" si="205"/>
        <v>18.312328767123287</v>
      </c>
      <c r="Q1175" s="18">
        <v>0</v>
      </c>
      <c r="R1175" s="18">
        <f t="shared" si="202"/>
        <v>1435.5735</v>
      </c>
      <c r="S1175" s="18">
        <f t="shared" si="203"/>
        <v>1028.3764999999971</v>
      </c>
    </row>
    <row r="1176" spans="1:19" ht="18.75" customHeight="1" x14ac:dyDescent="0.25">
      <c r="A1176" s="14">
        <f t="shared" si="206"/>
        <v>1173</v>
      </c>
      <c r="B1176" s="14" t="s">
        <v>1098</v>
      </c>
      <c r="C1176" s="15" t="s">
        <v>3</v>
      </c>
      <c r="D1176" s="31" t="s">
        <v>500</v>
      </c>
      <c r="E1176" s="31"/>
      <c r="F1176" s="72" t="s">
        <v>11</v>
      </c>
      <c r="G1176" s="32">
        <v>36068</v>
      </c>
      <c r="H1176" s="29">
        <v>6586.5500000000029</v>
      </c>
      <c r="I1176" s="17">
        <v>0</v>
      </c>
      <c r="J1176" s="17">
        <v>0</v>
      </c>
      <c r="K1176" s="17">
        <f t="shared" si="201"/>
        <v>6586.5500000000029</v>
      </c>
      <c r="L1176" s="23">
        <f t="shared" si="210"/>
        <v>329.32750000000016</v>
      </c>
      <c r="M1176" s="33">
        <v>15</v>
      </c>
      <c r="N1176" s="18">
        <f t="shared" si="204"/>
        <v>22.520547945205479</v>
      </c>
      <c r="O1176" s="23">
        <v>8129.8625000000002</v>
      </c>
      <c r="P1176" s="18">
        <f t="shared" si="205"/>
        <v>23.021917808219179</v>
      </c>
      <c r="Q1176" s="18">
        <v>0</v>
      </c>
      <c r="R1176" s="18">
        <f t="shared" si="202"/>
        <v>8129.8625000000002</v>
      </c>
      <c r="S1176" s="18">
        <f>L1176</f>
        <v>329.32750000000016</v>
      </c>
    </row>
    <row r="1177" spans="1:19" ht="18.75" customHeight="1" x14ac:dyDescent="0.25">
      <c r="A1177" s="14">
        <f t="shared" si="206"/>
        <v>1174</v>
      </c>
      <c r="B1177" s="14" t="s">
        <v>1099</v>
      </c>
      <c r="C1177" s="15" t="s">
        <v>3</v>
      </c>
      <c r="D1177" s="31" t="s">
        <v>500</v>
      </c>
      <c r="E1177" s="31"/>
      <c r="F1177" s="70" t="s">
        <v>7</v>
      </c>
      <c r="G1177" s="32">
        <v>40071</v>
      </c>
      <c r="H1177" s="29">
        <v>329536.754630137</v>
      </c>
      <c r="I1177" s="17">
        <v>0</v>
      </c>
      <c r="J1177" s="17">
        <v>0</v>
      </c>
      <c r="K1177" s="17">
        <f t="shared" si="201"/>
        <v>329536.754630137</v>
      </c>
      <c r="L1177" s="23">
        <f t="shared" si="210"/>
        <v>16476.83773150685</v>
      </c>
      <c r="M1177" s="33">
        <v>15</v>
      </c>
      <c r="N1177" s="18">
        <f t="shared" si="204"/>
        <v>11.553424657534247</v>
      </c>
      <c r="O1177" s="23">
        <v>29639.310308675802</v>
      </c>
      <c r="P1177" s="18">
        <f t="shared" si="205"/>
        <v>12.054794520547945</v>
      </c>
      <c r="Q1177" s="18">
        <f t="shared" si="209"/>
        <v>10463.920510036396</v>
      </c>
      <c r="R1177" s="18">
        <f t="shared" si="202"/>
        <v>40103.230818712196</v>
      </c>
      <c r="S1177" s="18">
        <f t="shared" si="203"/>
        <v>289433.52381142479</v>
      </c>
    </row>
    <row r="1178" spans="1:19" ht="18.75" customHeight="1" x14ac:dyDescent="0.25">
      <c r="A1178" s="14">
        <f t="shared" si="206"/>
        <v>1175</v>
      </c>
      <c r="B1178" s="14" t="s">
        <v>1100</v>
      </c>
      <c r="C1178" s="15" t="s">
        <v>3</v>
      </c>
      <c r="D1178" s="31" t="s">
        <v>500</v>
      </c>
      <c r="E1178" s="31"/>
      <c r="F1178" s="72" t="s">
        <v>11</v>
      </c>
      <c r="G1178" s="32">
        <v>32509</v>
      </c>
      <c r="H1178" s="29">
        <v>83223.800000000047</v>
      </c>
      <c r="I1178" s="17">
        <v>0</v>
      </c>
      <c r="J1178" s="17">
        <v>0</v>
      </c>
      <c r="K1178" s="17">
        <f t="shared" si="201"/>
        <v>83223.800000000047</v>
      </c>
      <c r="L1178" s="23">
        <f t="shared" si="210"/>
        <v>4161.1900000000023</v>
      </c>
      <c r="M1178" s="33">
        <v>25</v>
      </c>
      <c r="N1178" s="18">
        <f t="shared" si="204"/>
        <v>32.271232876712325</v>
      </c>
      <c r="O1178" s="23">
        <v>672.16300000000172</v>
      </c>
      <c r="P1178" s="18">
        <f t="shared" si="205"/>
        <v>32.772602739726025</v>
      </c>
      <c r="Q1178" s="18">
        <v>0</v>
      </c>
      <c r="R1178" s="18">
        <f t="shared" si="202"/>
        <v>672.16300000000172</v>
      </c>
      <c r="S1178" s="18">
        <f t="shared" si="203"/>
        <v>82551.637000000046</v>
      </c>
    </row>
    <row r="1179" spans="1:19" ht="18.75" customHeight="1" x14ac:dyDescent="0.25">
      <c r="A1179" s="14">
        <f t="shared" si="206"/>
        <v>1176</v>
      </c>
      <c r="B1179" s="14" t="s">
        <v>1101</v>
      </c>
      <c r="C1179" s="15" t="s">
        <v>3</v>
      </c>
      <c r="D1179" s="31" t="s">
        <v>500</v>
      </c>
      <c r="E1179" s="31"/>
      <c r="F1179" s="70" t="s">
        <v>7</v>
      </c>
      <c r="G1179" s="32">
        <v>32509</v>
      </c>
      <c r="H1179" s="29">
        <v>49326.650000000023</v>
      </c>
      <c r="I1179" s="17">
        <v>0</v>
      </c>
      <c r="J1179" s="17">
        <v>0</v>
      </c>
      <c r="K1179" s="17">
        <f t="shared" si="201"/>
        <v>49326.650000000023</v>
      </c>
      <c r="L1179" s="23">
        <f t="shared" si="210"/>
        <v>2466.3325000000013</v>
      </c>
      <c r="M1179" s="33">
        <v>25</v>
      </c>
      <c r="N1179" s="18">
        <f t="shared" si="204"/>
        <v>32.271232876712325</v>
      </c>
      <c r="O1179" s="23">
        <v>17479.9905</v>
      </c>
      <c r="P1179" s="18">
        <f t="shared" si="205"/>
        <v>32.772602739726025</v>
      </c>
      <c r="Q1179" s="18">
        <v>0</v>
      </c>
      <c r="R1179" s="18">
        <f t="shared" si="202"/>
        <v>17479.9905</v>
      </c>
      <c r="S1179" s="18">
        <f t="shared" si="203"/>
        <v>31846.659500000023</v>
      </c>
    </row>
    <row r="1180" spans="1:19" ht="18.75" customHeight="1" x14ac:dyDescent="0.25">
      <c r="A1180" s="14">
        <f t="shared" si="206"/>
        <v>1177</v>
      </c>
      <c r="B1180" s="14" t="s">
        <v>1102</v>
      </c>
      <c r="C1180" s="15" t="s">
        <v>3</v>
      </c>
      <c r="D1180" s="31" t="s">
        <v>500</v>
      </c>
      <c r="E1180" s="31"/>
      <c r="F1180" s="72" t="s">
        <v>11</v>
      </c>
      <c r="G1180" s="32">
        <v>32509</v>
      </c>
      <c r="H1180" s="29">
        <v>40583.699999999953</v>
      </c>
      <c r="I1180" s="17">
        <v>0</v>
      </c>
      <c r="J1180" s="17">
        <v>0</v>
      </c>
      <c r="K1180" s="17">
        <f t="shared" si="201"/>
        <v>40583.699999999953</v>
      </c>
      <c r="L1180" s="23">
        <f t="shared" si="210"/>
        <v>2029.1849999999977</v>
      </c>
      <c r="M1180" s="33">
        <v>25</v>
      </c>
      <c r="N1180" s="18">
        <f t="shared" si="204"/>
        <v>32.271232876712325</v>
      </c>
      <c r="O1180" s="23">
        <v>17325.149999999998</v>
      </c>
      <c r="P1180" s="18">
        <f t="shared" si="205"/>
        <v>32.772602739726025</v>
      </c>
      <c r="Q1180" s="18">
        <v>0</v>
      </c>
      <c r="R1180" s="18">
        <f t="shared" si="202"/>
        <v>17325.149999999998</v>
      </c>
      <c r="S1180" s="18">
        <f t="shared" si="203"/>
        <v>23258.549999999956</v>
      </c>
    </row>
    <row r="1181" spans="1:19" ht="18.75" customHeight="1" x14ac:dyDescent="0.25">
      <c r="A1181" s="14">
        <f t="shared" si="206"/>
        <v>1178</v>
      </c>
      <c r="B1181" s="14" t="s">
        <v>1103</v>
      </c>
      <c r="C1181" s="15" t="s">
        <v>3</v>
      </c>
      <c r="D1181" s="31" t="s">
        <v>500</v>
      </c>
      <c r="E1181" s="31"/>
      <c r="F1181" s="72" t="s">
        <v>11</v>
      </c>
      <c r="G1181" s="32">
        <v>32509</v>
      </c>
      <c r="H1181" s="29">
        <v>21283.349999999977</v>
      </c>
      <c r="I1181" s="17">
        <v>0</v>
      </c>
      <c r="J1181" s="17">
        <v>0</v>
      </c>
      <c r="K1181" s="17">
        <f t="shared" si="201"/>
        <v>21283.349999999977</v>
      </c>
      <c r="L1181" s="23">
        <f t="shared" si="210"/>
        <v>1064.1674999999989</v>
      </c>
      <c r="M1181" s="33">
        <v>25</v>
      </c>
      <c r="N1181" s="18">
        <f t="shared" si="204"/>
        <v>32.271232876712325</v>
      </c>
      <c r="O1181" s="23">
        <v>1253.4869999999992</v>
      </c>
      <c r="P1181" s="18">
        <f t="shared" si="205"/>
        <v>32.772602739726025</v>
      </c>
      <c r="Q1181" s="18">
        <v>0</v>
      </c>
      <c r="R1181" s="18">
        <f t="shared" si="202"/>
        <v>1253.4869999999992</v>
      </c>
      <c r="S1181" s="18">
        <f t="shared" si="203"/>
        <v>20029.862999999976</v>
      </c>
    </row>
    <row r="1182" spans="1:19" ht="18.75" customHeight="1" x14ac:dyDescent="0.25">
      <c r="A1182" s="14">
        <f t="shared" si="206"/>
        <v>1179</v>
      </c>
      <c r="B1182" s="14" t="s">
        <v>1104</v>
      </c>
      <c r="C1182" s="15" t="s">
        <v>3</v>
      </c>
      <c r="D1182" s="31" t="s">
        <v>500</v>
      </c>
      <c r="E1182" s="31"/>
      <c r="F1182" s="72" t="s">
        <v>11</v>
      </c>
      <c r="G1182" s="32">
        <v>32509</v>
      </c>
      <c r="H1182" s="29">
        <v>8904.1000000000058</v>
      </c>
      <c r="I1182" s="17">
        <v>0</v>
      </c>
      <c r="J1182" s="17">
        <v>0</v>
      </c>
      <c r="K1182" s="17">
        <f t="shared" si="201"/>
        <v>8904.1000000000058</v>
      </c>
      <c r="L1182" s="23">
        <f t="shared" si="210"/>
        <v>445.20500000000033</v>
      </c>
      <c r="M1182" s="33">
        <v>25</v>
      </c>
      <c r="N1182" s="18">
        <f t="shared" si="204"/>
        <v>32.271232876712325</v>
      </c>
      <c r="O1182" s="23">
        <v>2016.4795000000004</v>
      </c>
      <c r="P1182" s="18">
        <f t="shared" si="205"/>
        <v>32.772602739726025</v>
      </c>
      <c r="Q1182" s="18">
        <v>0</v>
      </c>
      <c r="R1182" s="18">
        <f t="shared" si="202"/>
        <v>2016.4795000000004</v>
      </c>
      <c r="S1182" s="18">
        <f t="shared" si="203"/>
        <v>6887.6205000000054</v>
      </c>
    </row>
    <row r="1183" spans="1:19" ht="18.75" customHeight="1" x14ac:dyDescent="0.25">
      <c r="A1183" s="14">
        <f t="shared" si="206"/>
        <v>1180</v>
      </c>
      <c r="B1183" s="14" t="s">
        <v>1105</v>
      </c>
      <c r="C1183" s="15" t="s">
        <v>3</v>
      </c>
      <c r="D1183" s="31" t="s">
        <v>500</v>
      </c>
      <c r="E1183" s="31"/>
      <c r="F1183" s="72" t="s">
        <v>8</v>
      </c>
      <c r="G1183" s="32">
        <v>32509</v>
      </c>
      <c r="H1183" s="29">
        <v>8683.7999999999884</v>
      </c>
      <c r="I1183" s="17">
        <v>0</v>
      </c>
      <c r="J1183" s="17">
        <v>0</v>
      </c>
      <c r="K1183" s="17">
        <f t="shared" si="201"/>
        <v>8683.7999999999884</v>
      </c>
      <c r="L1183" s="23">
        <f t="shared" si="210"/>
        <v>434.18999999999943</v>
      </c>
      <c r="M1183" s="33">
        <v>25</v>
      </c>
      <c r="N1183" s="18">
        <f t="shared" si="204"/>
        <v>32.271232876712325</v>
      </c>
      <c r="O1183" s="23">
        <v>10062.4</v>
      </c>
      <c r="P1183" s="18">
        <f t="shared" si="205"/>
        <v>32.772602739726025</v>
      </c>
      <c r="Q1183" s="18">
        <v>0</v>
      </c>
      <c r="R1183" s="18">
        <f t="shared" si="202"/>
        <v>10062.4</v>
      </c>
      <c r="S1183" s="18">
        <f>L1183</f>
        <v>434.18999999999943</v>
      </c>
    </row>
    <row r="1184" spans="1:19" ht="18.75" customHeight="1" x14ac:dyDescent="0.25">
      <c r="A1184" s="14">
        <f t="shared" si="206"/>
        <v>1181</v>
      </c>
      <c r="B1184" s="14" t="s">
        <v>884</v>
      </c>
      <c r="C1184" s="15" t="s">
        <v>3</v>
      </c>
      <c r="D1184" s="31" t="s">
        <v>500</v>
      </c>
      <c r="E1184" s="31"/>
      <c r="F1184" s="72" t="s">
        <v>4</v>
      </c>
      <c r="G1184" s="32">
        <v>32509</v>
      </c>
      <c r="H1184" s="29">
        <v>8495.7000000000116</v>
      </c>
      <c r="I1184" s="17">
        <v>0</v>
      </c>
      <c r="J1184" s="17">
        <v>0</v>
      </c>
      <c r="K1184" s="17">
        <f t="shared" si="201"/>
        <v>8495.7000000000116</v>
      </c>
      <c r="L1184" s="23">
        <f t="shared" si="210"/>
        <v>424.78500000000059</v>
      </c>
      <c r="M1184" s="33">
        <v>25</v>
      </c>
      <c r="N1184" s="18">
        <f t="shared" si="204"/>
        <v>32.271232876712325</v>
      </c>
      <c r="O1184" s="23">
        <v>1869.6000000000004</v>
      </c>
      <c r="P1184" s="18">
        <f t="shared" si="205"/>
        <v>32.772602739726025</v>
      </c>
      <c r="Q1184" s="18">
        <v>0</v>
      </c>
      <c r="R1184" s="18">
        <f t="shared" si="202"/>
        <v>1869.6000000000004</v>
      </c>
      <c r="S1184" s="18">
        <f t="shared" si="203"/>
        <v>6626.1000000000113</v>
      </c>
    </row>
    <row r="1185" spans="1:19" ht="18.75" customHeight="1" x14ac:dyDescent="0.25">
      <c r="A1185" s="14">
        <f t="shared" si="206"/>
        <v>1182</v>
      </c>
      <c r="B1185" s="14" t="s">
        <v>1106</v>
      </c>
      <c r="C1185" s="15" t="s">
        <v>3</v>
      </c>
      <c r="D1185" s="31" t="s">
        <v>500</v>
      </c>
      <c r="E1185" s="31"/>
      <c r="F1185" s="72" t="s">
        <v>11</v>
      </c>
      <c r="G1185" s="32">
        <v>32509</v>
      </c>
      <c r="H1185" s="29">
        <v>5066.3999999999942</v>
      </c>
      <c r="I1185" s="17">
        <v>0</v>
      </c>
      <c r="J1185" s="17">
        <v>0</v>
      </c>
      <c r="K1185" s="17">
        <f t="shared" si="201"/>
        <v>5066.3999999999942</v>
      </c>
      <c r="L1185" s="23">
        <f t="shared" si="210"/>
        <v>253.31999999999971</v>
      </c>
      <c r="M1185" s="33">
        <v>25</v>
      </c>
      <c r="N1185" s="18">
        <f t="shared" si="204"/>
        <v>32.271232876712325</v>
      </c>
      <c r="O1185" s="23">
        <v>2511.5624999999995</v>
      </c>
      <c r="P1185" s="18">
        <f t="shared" si="205"/>
        <v>32.772602739726025</v>
      </c>
      <c r="Q1185" s="18">
        <v>0</v>
      </c>
      <c r="R1185" s="18">
        <f t="shared" si="202"/>
        <v>2511.5624999999995</v>
      </c>
      <c r="S1185" s="18">
        <f t="shared" si="203"/>
        <v>2554.8374999999946</v>
      </c>
    </row>
    <row r="1186" spans="1:19" ht="18.75" customHeight="1" x14ac:dyDescent="0.25">
      <c r="A1186" s="14">
        <f t="shared" si="206"/>
        <v>1183</v>
      </c>
      <c r="B1186" s="14" t="s">
        <v>1107</v>
      </c>
      <c r="C1186" s="15" t="s">
        <v>3</v>
      </c>
      <c r="D1186" s="31" t="s">
        <v>500</v>
      </c>
      <c r="E1186" s="31"/>
      <c r="F1186" s="72" t="s">
        <v>11</v>
      </c>
      <c r="G1186" s="32">
        <v>32509</v>
      </c>
      <c r="H1186" s="29">
        <v>4971.8999999999942</v>
      </c>
      <c r="I1186" s="17">
        <v>0</v>
      </c>
      <c r="J1186" s="17">
        <v>0</v>
      </c>
      <c r="K1186" s="17">
        <f t="shared" si="201"/>
        <v>4971.8999999999942</v>
      </c>
      <c r="L1186" s="23">
        <f t="shared" si="210"/>
        <v>248.59499999999971</v>
      </c>
      <c r="M1186" s="33">
        <v>25</v>
      </c>
      <c r="N1186" s="18">
        <f t="shared" si="204"/>
        <v>32.271232876712325</v>
      </c>
      <c r="O1186" s="23">
        <v>27611.009000000002</v>
      </c>
      <c r="P1186" s="18">
        <f t="shared" si="205"/>
        <v>32.772602739726025</v>
      </c>
      <c r="Q1186" s="18">
        <v>0</v>
      </c>
      <c r="R1186" s="18">
        <f t="shared" si="202"/>
        <v>27611.009000000002</v>
      </c>
      <c r="S1186" s="18">
        <f>L1186</f>
        <v>248.59499999999971</v>
      </c>
    </row>
    <row r="1187" spans="1:19" ht="18.75" customHeight="1" x14ac:dyDescent="0.25">
      <c r="A1187" s="14">
        <f t="shared" si="206"/>
        <v>1184</v>
      </c>
      <c r="B1187" s="14" t="s">
        <v>1108</v>
      </c>
      <c r="C1187" s="15" t="s">
        <v>3</v>
      </c>
      <c r="D1187" s="31" t="s">
        <v>500</v>
      </c>
      <c r="E1187" s="31"/>
      <c r="F1187" s="72" t="s">
        <v>11</v>
      </c>
      <c r="G1187" s="32">
        <v>32509</v>
      </c>
      <c r="H1187" s="29">
        <v>4617</v>
      </c>
      <c r="I1187" s="17">
        <v>0</v>
      </c>
      <c r="J1187" s="17">
        <v>0</v>
      </c>
      <c r="K1187" s="17">
        <f t="shared" si="201"/>
        <v>4617</v>
      </c>
      <c r="L1187" s="23">
        <f t="shared" si="210"/>
        <v>230.85000000000002</v>
      </c>
      <c r="M1187" s="33">
        <v>25</v>
      </c>
      <c r="N1187" s="18">
        <f t="shared" si="204"/>
        <v>32.271232876712325</v>
      </c>
      <c r="O1187" s="23">
        <v>1344.3164999999999</v>
      </c>
      <c r="P1187" s="18">
        <f t="shared" si="205"/>
        <v>32.772602739726025</v>
      </c>
      <c r="Q1187" s="18">
        <v>0</v>
      </c>
      <c r="R1187" s="18">
        <f t="shared" si="202"/>
        <v>1344.3164999999999</v>
      </c>
      <c r="S1187" s="18">
        <f t="shared" si="203"/>
        <v>3272.6835000000001</v>
      </c>
    </row>
    <row r="1188" spans="1:19" ht="18.75" customHeight="1" x14ac:dyDescent="0.25">
      <c r="A1188" s="14">
        <f t="shared" si="206"/>
        <v>1185</v>
      </c>
      <c r="B1188" s="14" t="s">
        <v>1109</v>
      </c>
      <c r="C1188" s="15" t="s">
        <v>3</v>
      </c>
      <c r="D1188" s="31" t="s">
        <v>500</v>
      </c>
      <c r="E1188" s="31"/>
      <c r="F1188" s="72" t="s">
        <v>11</v>
      </c>
      <c r="G1188" s="32">
        <v>32509</v>
      </c>
      <c r="H1188" s="29">
        <v>4423.1999999999971</v>
      </c>
      <c r="I1188" s="17">
        <v>0</v>
      </c>
      <c r="J1188" s="17">
        <v>0</v>
      </c>
      <c r="K1188" s="17">
        <f t="shared" si="201"/>
        <v>4423.1999999999971</v>
      </c>
      <c r="L1188" s="23">
        <f t="shared" si="210"/>
        <v>221.15999999999985</v>
      </c>
      <c r="M1188" s="33">
        <v>25</v>
      </c>
      <c r="N1188" s="18">
        <f t="shared" si="204"/>
        <v>32.271232876712325</v>
      </c>
      <c r="O1188" s="23">
        <v>1741.3310000000001</v>
      </c>
      <c r="P1188" s="18">
        <f t="shared" si="205"/>
        <v>32.772602739726025</v>
      </c>
      <c r="Q1188" s="18">
        <v>0</v>
      </c>
      <c r="R1188" s="18">
        <f t="shared" si="202"/>
        <v>1741.3310000000001</v>
      </c>
      <c r="S1188" s="18">
        <f t="shared" si="203"/>
        <v>2681.868999999997</v>
      </c>
    </row>
    <row r="1189" spans="1:19" ht="18.75" customHeight="1" x14ac:dyDescent="0.25">
      <c r="A1189" s="14">
        <f t="shared" si="206"/>
        <v>1186</v>
      </c>
      <c r="B1189" s="14" t="s">
        <v>1110</v>
      </c>
      <c r="C1189" s="15" t="s">
        <v>3</v>
      </c>
      <c r="D1189" s="31" t="s">
        <v>500</v>
      </c>
      <c r="E1189" s="31"/>
      <c r="F1189" s="72" t="s">
        <v>11</v>
      </c>
      <c r="G1189" s="32">
        <v>32509</v>
      </c>
      <c r="H1189" s="29">
        <v>3750.4499999999971</v>
      </c>
      <c r="I1189" s="17">
        <v>0</v>
      </c>
      <c r="J1189" s="17">
        <v>0</v>
      </c>
      <c r="K1189" s="17">
        <f t="shared" si="201"/>
        <v>3750.4499999999971</v>
      </c>
      <c r="L1189" s="23">
        <f t="shared" si="210"/>
        <v>187.52249999999987</v>
      </c>
      <c r="M1189" s="33">
        <v>25</v>
      </c>
      <c r="N1189" s="18">
        <f t="shared" si="204"/>
        <v>32.271232876712325</v>
      </c>
      <c r="O1189" s="23">
        <v>29409.216499999999</v>
      </c>
      <c r="P1189" s="18">
        <f t="shared" si="205"/>
        <v>32.772602739726025</v>
      </c>
      <c r="Q1189" s="18">
        <v>0</v>
      </c>
      <c r="R1189" s="18">
        <f t="shared" si="202"/>
        <v>29409.216499999999</v>
      </c>
      <c r="S1189" s="18">
        <f t="shared" ref="S1189:S1197" si="211">L1189</f>
        <v>187.52249999999987</v>
      </c>
    </row>
    <row r="1190" spans="1:19" ht="18.75" customHeight="1" x14ac:dyDescent="0.25">
      <c r="A1190" s="14">
        <f t="shared" si="206"/>
        <v>1187</v>
      </c>
      <c r="B1190" s="14" t="s">
        <v>1111</v>
      </c>
      <c r="C1190" s="15" t="s">
        <v>3</v>
      </c>
      <c r="D1190" s="31" t="s">
        <v>500</v>
      </c>
      <c r="E1190" s="31"/>
      <c r="F1190" s="72" t="s">
        <v>11</v>
      </c>
      <c r="G1190" s="32">
        <v>32509</v>
      </c>
      <c r="H1190" s="29">
        <v>2944.6500000000015</v>
      </c>
      <c r="I1190" s="17">
        <v>0</v>
      </c>
      <c r="J1190" s="17">
        <v>0</v>
      </c>
      <c r="K1190" s="17">
        <f t="shared" si="201"/>
        <v>2944.6500000000015</v>
      </c>
      <c r="L1190" s="23">
        <f t="shared" si="210"/>
        <v>147.23250000000007</v>
      </c>
      <c r="M1190" s="33">
        <v>25</v>
      </c>
      <c r="N1190" s="18">
        <f t="shared" si="204"/>
        <v>32.271232876712325</v>
      </c>
      <c r="O1190" s="23">
        <v>32110</v>
      </c>
      <c r="P1190" s="18">
        <f t="shared" si="205"/>
        <v>32.772602739726025</v>
      </c>
      <c r="Q1190" s="18">
        <v>0</v>
      </c>
      <c r="R1190" s="18">
        <f t="shared" si="202"/>
        <v>32110</v>
      </c>
      <c r="S1190" s="18">
        <f t="shared" si="211"/>
        <v>147.23250000000007</v>
      </c>
    </row>
    <row r="1191" spans="1:19" ht="18.75" customHeight="1" x14ac:dyDescent="0.25">
      <c r="A1191" s="14">
        <f t="shared" si="206"/>
        <v>1188</v>
      </c>
      <c r="B1191" s="14" t="s">
        <v>1112</v>
      </c>
      <c r="C1191" s="15" t="s">
        <v>3</v>
      </c>
      <c r="D1191" s="31" t="s">
        <v>500</v>
      </c>
      <c r="E1191" s="31"/>
      <c r="F1191" s="72" t="s">
        <v>7</v>
      </c>
      <c r="G1191" s="32">
        <v>32509</v>
      </c>
      <c r="H1191" s="29">
        <v>2705</v>
      </c>
      <c r="I1191" s="17">
        <v>0</v>
      </c>
      <c r="J1191" s="17">
        <v>0</v>
      </c>
      <c r="K1191" s="17">
        <f t="shared" si="201"/>
        <v>2705</v>
      </c>
      <c r="L1191" s="23">
        <f t="shared" si="210"/>
        <v>135.25</v>
      </c>
      <c r="M1191" s="33">
        <v>25</v>
      </c>
      <c r="N1191" s="18">
        <f t="shared" si="204"/>
        <v>32.271232876712325</v>
      </c>
      <c r="O1191" s="23">
        <v>96330</v>
      </c>
      <c r="P1191" s="18">
        <f t="shared" si="205"/>
        <v>32.772602739726025</v>
      </c>
      <c r="Q1191" s="18">
        <v>0</v>
      </c>
      <c r="R1191" s="18">
        <f t="shared" si="202"/>
        <v>96330</v>
      </c>
      <c r="S1191" s="18">
        <f t="shared" si="211"/>
        <v>135.25</v>
      </c>
    </row>
    <row r="1192" spans="1:19" ht="18.75" customHeight="1" x14ac:dyDescent="0.25">
      <c r="A1192" s="14">
        <f t="shared" si="206"/>
        <v>1189</v>
      </c>
      <c r="B1192" s="14" t="s">
        <v>1113</v>
      </c>
      <c r="C1192" s="15" t="s">
        <v>3</v>
      </c>
      <c r="D1192" s="31" t="s">
        <v>500</v>
      </c>
      <c r="E1192" s="31"/>
      <c r="F1192" s="72" t="s">
        <v>11</v>
      </c>
      <c r="G1192" s="32">
        <v>32509</v>
      </c>
      <c r="H1192" s="29">
        <v>2624.9499999999971</v>
      </c>
      <c r="I1192" s="17">
        <v>0</v>
      </c>
      <c r="J1192" s="17">
        <v>0</v>
      </c>
      <c r="K1192" s="17">
        <f t="shared" si="201"/>
        <v>2624.9499999999971</v>
      </c>
      <c r="L1192" s="23">
        <f t="shared" si="210"/>
        <v>131.24749999999986</v>
      </c>
      <c r="M1192" s="33">
        <v>25</v>
      </c>
      <c r="N1192" s="18">
        <f t="shared" si="204"/>
        <v>32.271232876712325</v>
      </c>
      <c r="O1192" s="23">
        <v>8550</v>
      </c>
      <c r="P1192" s="18">
        <f t="shared" si="205"/>
        <v>32.772602739726025</v>
      </c>
      <c r="Q1192" s="18">
        <v>0</v>
      </c>
      <c r="R1192" s="18">
        <f t="shared" si="202"/>
        <v>8550</v>
      </c>
      <c r="S1192" s="18">
        <f t="shared" si="211"/>
        <v>131.24749999999986</v>
      </c>
    </row>
    <row r="1193" spans="1:19" ht="18.75" customHeight="1" x14ac:dyDescent="0.25">
      <c r="A1193" s="14">
        <f t="shared" si="206"/>
        <v>1190</v>
      </c>
      <c r="B1193" s="14" t="s">
        <v>1114</v>
      </c>
      <c r="C1193" s="15" t="s">
        <v>3</v>
      </c>
      <c r="D1193" s="31" t="s">
        <v>500</v>
      </c>
      <c r="E1193" s="31"/>
      <c r="F1193" s="72" t="s">
        <v>11</v>
      </c>
      <c r="G1193" s="32">
        <v>32509</v>
      </c>
      <c r="H1193" s="29">
        <v>2173.5999999999985</v>
      </c>
      <c r="I1193" s="17">
        <v>0</v>
      </c>
      <c r="J1193" s="17">
        <v>0</v>
      </c>
      <c r="K1193" s="17">
        <f t="shared" si="201"/>
        <v>2173.5999999999985</v>
      </c>
      <c r="L1193" s="23">
        <f t="shared" si="210"/>
        <v>108.67999999999994</v>
      </c>
      <c r="M1193" s="33">
        <v>25</v>
      </c>
      <c r="N1193" s="18">
        <f t="shared" si="204"/>
        <v>32.271232876712325</v>
      </c>
      <c r="O1193" s="23">
        <v>10450</v>
      </c>
      <c r="P1193" s="18">
        <f t="shared" si="205"/>
        <v>32.772602739726025</v>
      </c>
      <c r="Q1193" s="18">
        <v>0</v>
      </c>
      <c r="R1193" s="18">
        <f t="shared" si="202"/>
        <v>10450</v>
      </c>
      <c r="S1193" s="18">
        <f t="shared" si="211"/>
        <v>108.67999999999994</v>
      </c>
    </row>
    <row r="1194" spans="1:19" ht="18.75" customHeight="1" x14ac:dyDescent="0.25">
      <c r="A1194" s="14">
        <f t="shared" si="206"/>
        <v>1191</v>
      </c>
      <c r="B1194" s="14" t="s">
        <v>1115</v>
      </c>
      <c r="C1194" s="15" t="s">
        <v>3</v>
      </c>
      <c r="D1194" s="31" t="s">
        <v>500</v>
      </c>
      <c r="E1194" s="31"/>
      <c r="F1194" s="72" t="s">
        <v>11</v>
      </c>
      <c r="G1194" s="32">
        <v>32509</v>
      </c>
      <c r="H1194" s="29">
        <v>2108.25</v>
      </c>
      <c r="I1194" s="17">
        <v>0</v>
      </c>
      <c r="J1194" s="17">
        <v>0</v>
      </c>
      <c r="K1194" s="17">
        <f t="shared" si="201"/>
        <v>2108.25</v>
      </c>
      <c r="L1194" s="23">
        <f t="shared" si="210"/>
        <v>105.41250000000001</v>
      </c>
      <c r="M1194" s="33">
        <v>25</v>
      </c>
      <c r="N1194" s="18">
        <f t="shared" si="204"/>
        <v>32.271232876712325</v>
      </c>
      <c r="O1194" s="23">
        <v>7695</v>
      </c>
      <c r="P1194" s="18">
        <f t="shared" si="205"/>
        <v>32.772602739726025</v>
      </c>
      <c r="Q1194" s="18">
        <v>0</v>
      </c>
      <c r="R1194" s="18">
        <f t="shared" si="202"/>
        <v>7695</v>
      </c>
      <c r="S1194" s="18">
        <f t="shared" si="211"/>
        <v>105.41250000000001</v>
      </c>
    </row>
    <row r="1195" spans="1:19" ht="18.75" customHeight="1" x14ac:dyDescent="0.25">
      <c r="A1195" s="14">
        <f t="shared" si="206"/>
        <v>1192</v>
      </c>
      <c r="B1195" s="14" t="s">
        <v>1116</v>
      </c>
      <c r="C1195" s="15" t="s">
        <v>3</v>
      </c>
      <c r="D1195" s="31" t="s">
        <v>500</v>
      </c>
      <c r="E1195" s="31"/>
      <c r="F1195" s="72" t="s">
        <v>11</v>
      </c>
      <c r="G1195" s="32">
        <v>32509</v>
      </c>
      <c r="H1195" s="29">
        <v>1829.4499999999971</v>
      </c>
      <c r="I1195" s="17">
        <v>0</v>
      </c>
      <c r="J1195" s="17">
        <v>0</v>
      </c>
      <c r="K1195" s="17">
        <f t="shared" si="201"/>
        <v>1829.4499999999971</v>
      </c>
      <c r="L1195" s="23">
        <f t="shared" si="210"/>
        <v>91.472499999999854</v>
      </c>
      <c r="M1195" s="33">
        <v>25</v>
      </c>
      <c r="N1195" s="18">
        <f t="shared" si="204"/>
        <v>32.271232876712325</v>
      </c>
      <c r="O1195" s="23">
        <v>24538.5</v>
      </c>
      <c r="P1195" s="18">
        <f t="shared" si="205"/>
        <v>32.772602739726025</v>
      </c>
      <c r="Q1195" s="18">
        <v>0</v>
      </c>
      <c r="R1195" s="18">
        <f t="shared" si="202"/>
        <v>24538.5</v>
      </c>
      <c r="S1195" s="18">
        <f t="shared" si="211"/>
        <v>91.472499999999854</v>
      </c>
    </row>
    <row r="1196" spans="1:19" ht="18.75" customHeight="1" x14ac:dyDescent="0.25">
      <c r="A1196" s="14">
        <f t="shared" si="206"/>
        <v>1193</v>
      </c>
      <c r="B1196" s="14" t="s">
        <v>1117</v>
      </c>
      <c r="C1196" s="15" t="s">
        <v>3</v>
      </c>
      <c r="D1196" s="31" t="s">
        <v>500</v>
      </c>
      <c r="E1196" s="31"/>
      <c r="F1196" s="72" t="s">
        <v>11</v>
      </c>
      <c r="G1196" s="32">
        <v>32509</v>
      </c>
      <c r="H1196" s="29">
        <v>1187.0999999999985</v>
      </c>
      <c r="I1196" s="17">
        <v>0</v>
      </c>
      <c r="J1196" s="17">
        <v>0</v>
      </c>
      <c r="K1196" s="17">
        <f t="shared" si="201"/>
        <v>1187.0999999999985</v>
      </c>
      <c r="L1196" s="23">
        <f t="shared" si="210"/>
        <v>59.354999999999933</v>
      </c>
      <c r="M1196" s="33">
        <v>25</v>
      </c>
      <c r="N1196" s="18">
        <f t="shared" si="204"/>
        <v>32.271232876712325</v>
      </c>
      <c r="O1196" s="23">
        <v>13312.73</v>
      </c>
      <c r="P1196" s="18">
        <f t="shared" si="205"/>
        <v>32.772602739726025</v>
      </c>
      <c r="Q1196" s="18">
        <v>0</v>
      </c>
      <c r="R1196" s="18">
        <f t="shared" si="202"/>
        <v>13312.73</v>
      </c>
      <c r="S1196" s="18">
        <f t="shared" si="211"/>
        <v>59.354999999999933</v>
      </c>
    </row>
    <row r="1197" spans="1:19" ht="18.75" customHeight="1" x14ac:dyDescent="0.25">
      <c r="A1197" s="14">
        <f t="shared" si="206"/>
        <v>1194</v>
      </c>
      <c r="B1197" s="14" t="s">
        <v>1118</v>
      </c>
      <c r="C1197" s="15" t="s">
        <v>3</v>
      </c>
      <c r="D1197" s="31" t="s">
        <v>500</v>
      </c>
      <c r="E1197" s="31"/>
      <c r="F1197" s="72" t="s">
        <v>8</v>
      </c>
      <c r="G1197" s="32">
        <v>32509</v>
      </c>
      <c r="H1197" s="29">
        <v>1057.5999999999985</v>
      </c>
      <c r="I1197" s="17">
        <v>0</v>
      </c>
      <c r="J1197" s="17">
        <v>0</v>
      </c>
      <c r="K1197" s="17">
        <f t="shared" si="201"/>
        <v>1057.5999999999985</v>
      </c>
      <c r="L1197" s="23">
        <f t="shared" si="210"/>
        <v>52.879999999999932</v>
      </c>
      <c r="M1197" s="33">
        <v>25</v>
      </c>
      <c r="N1197" s="18">
        <f t="shared" si="204"/>
        <v>32.271232876712325</v>
      </c>
      <c r="O1197" s="23">
        <v>13988.0185</v>
      </c>
      <c r="P1197" s="18">
        <f t="shared" si="205"/>
        <v>32.772602739726025</v>
      </c>
      <c r="Q1197" s="18">
        <v>0</v>
      </c>
      <c r="R1197" s="18">
        <f t="shared" si="202"/>
        <v>13988.0185</v>
      </c>
      <c r="S1197" s="18">
        <f t="shared" si="211"/>
        <v>52.879999999999932</v>
      </c>
    </row>
    <row r="1198" spans="1:19" ht="18.75" customHeight="1" x14ac:dyDescent="0.25">
      <c r="A1198" s="14">
        <f t="shared" si="206"/>
        <v>1195</v>
      </c>
      <c r="B1198" s="14" t="s">
        <v>1119</v>
      </c>
      <c r="C1198" s="15" t="s">
        <v>3</v>
      </c>
      <c r="D1198" s="31" t="s">
        <v>500</v>
      </c>
      <c r="E1198" s="31"/>
      <c r="F1198" s="70" t="s">
        <v>7</v>
      </c>
      <c r="G1198" s="32">
        <v>40663</v>
      </c>
      <c r="H1198" s="29">
        <v>394721.97902009136</v>
      </c>
      <c r="I1198" s="17">
        <v>0</v>
      </c>
      <c r="J1198" s="17">
        <v>0</v>
      </c>
      <c r="K1198" s="17">
        <f t="shared" si="201"/>
        <v>394721.97902009136</v>
      </c>
      <c r="L1198" s="23">
        <f t="shared" si="210"/>
        <v>19736.098951004569</v>
      </c>
      <c r="M1198" s="33">
        <v>15</v>
      </c>
      <c r="N1198" s="18">
        <f t="shared" si="204"/>
        <v>9.9315068493150687</v>
      </c>
      <c r="O1198" s="23">
        <v>30325.033268006089</v>
      </c>
      <c r="P1198" s="18">
        <f t="shared" si="205"/>
        <v>10.432876712328767</v>
      </c>
      <c r="Q1198" s="18">
        <f t="shared" si="209"/>
        <v>12533.774621487273</v>
      </c>
      <c r="R1198" s="18">
        <f t="shared" si="202"/>
        <v>42858.807889493364</v>
      </c>
      <c r="S1198" s="18">
        <f t="shared" si="203"/>
        <v>351863.171130598</v>
      </c>
    </row>
    <row r="1199" spans="1:19" ht="18.75" customHeight="1" x14ac:dyDescent="0.25">
      <c r="A1199" s="14">
        <f t="shared" si="206"/>
        <v>1196</v>
      </c>
      <c r="B1199" s="14" t="s">
        <v>1120</v>
      </c>
      <c r="C1199" s="15" t="s">
        <v>3</v>
      </c>
      <c r="D1199" s="31" t="s">
        <v>500</v>
      </c>
      <c r="E1199" s="31"/>
      <c r="F1199" s="72" t="s">
        <v>11</v>
      </c>
      <c r="G1199" s="32">
        <v>36250</v>
      </c>
      <c r="H1199" s="29">
        <v>130.55000000000018</v>
      </c>
      <c r="I1199" s="17">
        <v>0</v>
      </c>
      <c r="J1199" s="17">
        <v>0</v>
      </c>
      <c r="K1199" s="17">
        <f t="shared" si="201"/>
        <v>130.55000000000018</v>
      </c>
      <c r="L1199" s="23">
        <f t="shared" si="210"/>
        <v>6.5275000000000096</v>
      </c>
      <c r="M1199" s="33">
        <v>15</v>
      </c>
      <c r="N1199" s="18">
        <f t="shared" si="204"/>
        <v>22.021917808219179</v>
      </c>
      <c r="O1199" s="23">
        <v>14159.75</v>
      </c>
      <c r="P1199" s="18">
        <f t="shared" si="205"/>
        <v>22.523287671232875</v>
      </c>
      <c r="Q1199" s="18">
        <v>0</v>
      </c>
      <c r="R1199" s="18">
        <f t="shared" si="202"/>
        <v>14159.75</v>
      </c>
      <c r="S1199" s="18">
        <f t="shared" ref="S1199:S1200" si="212">L1199</f>
        <v>6.5275000000000096</v>
      </c>
    </row>
    <row r="1200" spans="1:19" ht="18.75" customHeight="1" x14ac:dyDescent="0.25">
      <c r="A1200" s="14">
        <f t="shared" si="206"/>
        <v>1197</v>
      </c>
      <c r="B1200" s="14" t="s">
        <v>1121</v>
      </c>
      <c r="C1200" s="15" t="s">
        <v>3</v>
      </c>
      <c r="D1200" s="31" t="s">
        <v>500</v>
      </c>
      <c r="E1200" s="31"/>
      <c r="F1200" s="72" t="s">
        <v>4</v>
      </c>
      <c r="G1200" s="32">
        <v>36423</v>
      </c>
      <c r="H1200" s="29">
        <v>4090</v>
      </c>
      <c r="I1200" s="17">
        <v>0</v>
      </c>
      <c r="J1200" s="17">
        <v>0</v>
      </c>
      <c r="K1200" s="17">
        <f t="shared" si="201"/>
        <v>4090</v>
      </c>
      <c r="L1200" s="23">
        <f t="shared" si="210"/>
        <v>204.5</v>
      </c>
      <c r="M1200" s="33">
        <v>15</v>
      </c>
      <c r="N1200" s="18">
        <f t="shared" si="204"/>
        <v>21.547945205479451</v>
      </c>
      <c r="O1200" s="23">
        <v>15461.25</v>
      </c>
      <c r="P1200" s="18">
        <f t="shared" si="205"/>
        <v>22.049315068493151</v>
      </c>
      <c r="Q1200" s="18">
        <v>0</v>
      </c>
      <c r="R1200" s="18">
        <f t="shared" si="202"/>
        <v>15461.25</v>
      </c>
      <c r="S1200" s="18">
        <f t="shared" si="212"/>
        <v>204.5</v>
      </c>
    </row>
    <row r="1201" spans="1:19" ht="18.75" customHeight="1" x14ac:dyDescent="0.25">
      <c r="A1201" s="14">
        <f t="shared" si="206"/>
        <v>1198</v>
      </c>
      <c r="B1201" s="14" t="s">
        <v>1047</v>
      </c>
      <c r="C1201" s="15" t="s">
        <v>3</v>
      </c>
      <c r="D1201" s="31" t="s">
        <v>500</v>
      </c>
      <c r="E1201" s="31"/>
      <c r="F1201" s="72" t="s">
        <v>14</v>
      </c>
      <c r="G1201" s="32">
        <v>36495</v>
      </c>
      <c r="H1201" s="29">
        <v>381696.95000000019</v>
      </c>
      <c r="I1201" s="17">
        <v>0</v>
      </c>
      <c r="J1201" s="17">
        <v>0</v>
      </c>
      <c r="K1201" s="17">
        <f t="shared" si="201"/>
        <v>381696.95000000019</v>
      </c>
      <c r="L1201" s="23">
        <f t="shared" si="210"/>
        <v>19084.847500000011</v>
      </c>
      <c r="M1201" s="33">
        <v>15</v>
      </c>
      <c r="N1201" s="18">
        <f t="shared" si="204"/>
        <v>21.350684931506848</v>
      </c>
      <c r="O1201" s="23">
        <v>24538.500000000011</v>
      </c>
      <c r="P1201" s="18">
        <f t="shared" si="205"/>
        <v>21.852054794520548</v>
      </c>
      <c r="Q1201" s="18">
        <v>0</v>
      </c>
      <c r="R1201" s="18">
        <f t="shared" si="202"/>
        <v>24538.500000000011</v>
      </c>
      <c r="S1201" s="18">
        <f t="shared" si="203"/>
        <v>357158.45000000019</v>
      </c>
    </row>
    <row r="1202" spans="1:19" ht="18.75" customHeight="1" x14ac:dyDescent="0.25">
      <c r="A1202" s="14">
        <f t="shared" si="206"/>
        <v>1199</v>
      </c>
      <c r="B1202" s="14" t="s">
        <v>1122</v>
      </c>
      <c r="C1202" s="15" t="s">
        <v>3</v>
      </c>
      <c r="D1202" s="31" t="s">
        <v>500</v>
      </c>
      <c r="E1202" s="31"/>
      <c r="F1202" s="70" t="s">
        <v>7</v>
      </c>
      <c r="G1202" s="32">
        <v>39033</v>
      </c>
      <c r="H1202" s="29">
        <v>595696.74813315063</v>
      </c>
      <c r="I1202" s="17">
        <v>0</v>
      </c>
      <c r="J1202" s="17">
        <v>0</v>
      </c>
      <c r="K1202" s="17">
        <f t="shared" si="201"/>
        <v>595696.74813315063</v>
      </c>
      <c r="L1202" s="23">
        <f t="shared" si="210"/>
        <v>29784.837406657534</v>
      </c>
      <c r="M1202" s="33">
        <v>15</v>
      </c>
      <c r="N1202" s="18">
        <f t="shared" si="204"/>
        <v>14.397260273972602</v>
      </c>
      <c r="O1202" s="23">
        <v>40481.206475543375</v>
      </c>
      <c r="P1202" s="18">
        <f t="shared" si="205"/>
        <v>14.898630136986302</v>
      </c>
      <c r="Q1202" s="18">
        <f t="shared" si="209"/>
        <v>18915.411810584203</v>
      </c>
      <c r="R1202" s="18">
        <f t="shared" si="202"/>
        <v>59396.618286127574</v>
      </c>
      <c r="S1202" s="18">
        <f t="shared" si="203"/>
        <v>536300.12984702305</v>
      </c>
    </row>
    <row r="1203" spans="1:19" ht="18.75" customHeight="1" x14ac:dyDescent="0.25">
      <c r="A1203" s="14">
        <f t="shared" si="206"/>
        <v>1200</v>
      </c>
      <c r="B1203" s="14" t="s">
        <v>1123</v>
      </c>
      <c r="C1203" s="15" t="s">
        <v>3</v>
      </c>
      <c r="D1203" s="31" t="s">
        <v>500</v>
      </c>
      <c r="E1203" s="31"/>
      <c r="F1203" s="72" t="s">
        <v>8</v>
      </c>
      <c r="G1203" s="32">
        <v>32874</v>
      </c>
      <c r="H1203" s="29">
        <v>154239.89999999991</v>
      </c>
      <c r="I1203" s="17">
        <v>0</v>
      </c>
      <c r="J1203" s="17">
        <v>0</v>
      </c>
      <c r="K1203" s="17">
        <f t="shared" si="201"/>
        <v>154239.89999999991</v>
      </c>
      <c r="L1203" s="23">
        <f t="shared" si="210"/>
        <v>7711.9949999999953</v>
      </c>
      <c r="M1203" s="33">
        <v>25</v>
      </c>
      <c r="N1203" s="18">
        <f t="shared" si="204"/>
        <v>31.271232876712329</v>
      </c>
      <c r="O1203" s="23">
        <v>127679.886</v>
      </c>
      <c r="P1203" s="18">
        <f t="shared" si="205"/>
        <v>31.772602739726029</v>
      </c>
      <c r="Q1203" s="18">
        <v>0</v>
      </c>
      <c r="R1203" s="18">
        <f t="shared" si="202"/>
        <v>127679.886</v>
      </c>
      <c r="S1203" s="18">
        <f t="shared" si="203"/>
        <v>26560.013999999908</v>
      </c>
    </row>
    <row r="1204" spans="1:19" ht="18.75" customHeight="1" x14ac:dyDescent="0.25">
      <c r="A1204" s="14">
        <f t="shared" si="206"/>
        <v>1201</v>
      </c>
      <c r="B1204" s="14" t="s">
        <v>1124</v>
      </c>
      <c r="C1204" s="15" t="s">
        <v>3</v>
      </c>
      <c r="D1204" s="31" t="s">
        <v>500</v>
      </c>
      <c r="E1204" s="31"/>
      <c r="F1204" s="72" t="s">
        <v>8</v>
      </c>
      <c r="G1204" s="32">
        <v>32874</v>
      </c>
      <c r="H1204" s="29">
        <v>35308.949999999953</v>
      </c>
      <c r="I1204" s="17">
        <v>0</v>
      </c>
      <c r="J1204" s="17">
        <v>0</v>
      </c>
      <c r="K1204" s="17">
        <f t="shared" si="201"/>
        <v>35308.949999999953</v>
      </c>
      <c r="L1204" s="23">
        <f t="shared" si="210"/>
        <v>1765.4474999999977</v>
      </c>
      <c r="M1204" s="33">
        <v>25</v>
      </c>
      <c r="N1204" s="18">
        <f t="shared" si="204"/>
        <v>31.271232876712329</v>
      </c>
      <c r="O1204" s="23">
        <v>146656.136</v>
      </c>
      <c r="P1204" s="18">
        <f t="shared" si="205"/>
        <v>31.772602739726029</v>
      </c>
      <c r="Q1204" s="18">
        <v>0</v>
      </c>
      <c r="R1204" s="18">
        <f t="shared" si="202"/>
        <v>146656.136</v>
      </c>
      <c r="S1204" s="18">
        <f t="shared" ref="S1204:S1205" si="213">L1204</f>
        <v>1765.4474999999977</v>
      </c>
    </row>
    <row r="1205" spans="1:19" ht="18.75" customHeight="1" x14ac:dyDescent="0.25">
      <c r="A1205" s="14">
        <f t="shared" si="206"/>
        <v>1202</v>
      </c>
      <c r="B1205" s="14" t="s">
        <v>1125</v>
      </c>
      <c r="C1205" s="15" t="s">
        <v>3</v>
      </c>
      <c r="D1205" s="31" t="s">
        <v>500</v>
      </c>
      <c r="E1205" s="31"/>
      <c r="F1205" s="72" t="s">
        <v>8</v>
      </c>
      <c r="G1205" s="32">
        <v>32874</v>
      </c>
      <c r="H1205" s="29">
        <v>30682.349999999977</v>
      </c>
      <c r="I1205" s="17">
        <v>0</v>
      </c>
      <c r="J1205" s="17">
        <v>0</v>
      </c>
      <c r="K1205" s="17">
        <f t="shared" si="201"/>
        <v>30682.349999999977</v>
      </c>
      <c r="L1205" s="23">
        <f t="shared" si="210"/>
        <v>1534.1174999999989</v>
      </c>
      <c r="M1205" s="33">
        <v>25</v>
      </c>
      <c r="N1205" s="18">
        <f t="shared" si="204"/>
        <v>31.271232876712329</v>
      </c>
      <c r="O1205" s="23">
        <v>47025</v>
      </c>
      <c r="P1205" s="18">
        <f t="shared" si="205"/>
        <v>31.772602739726029</v>
      </c>
      <c r="Q1205" s="18">
        <v>0</v>
      </c>
      <c r="R1205" s="18">
        <f t="shared" si="202"/>
        <v>47025</v>
      </c>
      <c r="S1205" s="18">
        <f t="shared" si="213"/>
        <v>1534.1174999999989</v>
      </c>
    </row>
    <row r="1206" spans="1:19" ht="18.75" customHeight="1" x14ac:dyDescent="0.25">
      <c r="A1206" s="14">
        <f t="shared" si="206"/>
        <v>1203</v>
      </c>
      <c r="B1206" s="14" t="s">
        <v>1126</v>
      </c>
      <c r="C1206" s="15" t="s">
        <v>3</v>
      </c>
      <c r="D1206" s="31" t="s">
        <v>500</v>
      </c>
      <c r="E1206" s="31"/>
      <c r="F1206" s="72" t="s">
        <v>11</v>
      </c>
      <c r="G1206" s="32">
        <v>32874</v>
      </c>
      <c r="H1206" s="29">
        <v>23172.25</v>
      </c>
      <c r="I1206" s="17">
        <v>0</v>
      </c>
      <c r="J1206" s="17">
        <v>0</v>
      </c>
      <c r="K1206" s="17">
        <f t="shared" si="201"/>
        <v>23172.25</v>
      </c>
      <c r="L1206" s="23">
        <f t="shared" si="210"/>
        <v>1158.6125</v>
      </c>
      <c r="M1206" s="33">
        <v>25</v>
      </c>
      <c r="N1206" s="18">
        <f t="shared" si="204"/>
        <v>31.271232876712329</v>
      </c>
      <c r="O1206" s="23">
        <v>13965</v>
      </c>
      <c r="P1206" s="18">
        <f t="shared" si="205"/>
        <v>31.772602739726029</v>
      </c>
      <c r="Q1206" s="18">
        <v>0</v>
      </c>
      <c r="R1206" s="18">
        <f t="shared" si="202"/>
        <v>13965</v>
      </c>
      <c r="S1206" s="18">
        <f t="shared" si="203"/>
        <v>9207.25</v>
      </c>
    </row>
    <row r="1207" spans="1:19" ht="18.75" customHeight="1" x14ac:dyDescent="0.25">
      <c r="A1207" s="14">
        <f t="shared" si="206"/>
        <v>1204</v>
      </c>
      <c r="B1207" s="14" t="s">
        <v>1127</v>
      </c>
      <c r="C1207" s="15" t="s">
        <v>3</v>
      </c>
      <c r="D1207" s="31" t="s">
        <v>500</v>
      </c>
      <c r="E1207" s="31"/>
      <c r="F1207" s="72" t="s">
        <v>11</v>
      </c>
      <c r="G1207" s="32">
        <v>32874</v>
      </c>
      <c r="H1207" s="29">
        <v>16322</v>
      </c>
      <c r="I1207" s="17">
        <v>0</v>
      </c>
      <c r="J1207" s="17">
        <v>0</v>
      </c>
      <c r="K1207" s="17">
        <f t="shared" si="201"/>
        <v>16322</v>
      </c>
      <c r="L1207" s="23">
        <f t="shared" si="210"/>
        <v>816.1</v>
      </c>
      <c r="M1207" s="33">
        <v>25</v>
      </c>
      <c r="N1207" s="18">
        <f t="shared" si="204"/>
        <v>31.271232876712329</v>
      </c>
      <c r="O1207" s="23">
        <v>60420</v>
      </c>
      <c r="P1207" s="18">
        <f t="shared" si="205"/>
        <v>31.772602739726029</v>
      </c>
      <c r="Q1207" s="18">
        <v>0</v>
      </c>
      <c r="R1207" s="18">
        <f t="shared" si="202"/>
        <v>60420</v>
      </c>
      <c r="S1207" s="18">
        <f t="shared" ref="S1207:S1211" si="214">L1207</f>
        <v>816.1</v>
      </c>
    </row>
    <row r="1208" spans="1:19" ht="18.75" customHeight="1" x14ac:dyDescent="0.25">
      <c r="A1208" s="14">
        <f t="shared" si="206"/>
        <v>1205</v>
      </c>
      <c r="B1208" s="14" t="s">
        <v>1128</v>
      </c>
      <c r="C1208" s="15" t="s">
        <v>3</v>
      </c>
      <c r="D1208" s="31" t="s">
        <v>500</v>
      </c>
      <c r="E1208" s="31"/>
      <c r="F1208" s="72" t="s">
        <v>8</v>
      </c>
      <c r="G1208" s="32">
        <v>32874</v>
      </c>
      <c r="H1208" s="29">
        <v>15923.75</v>
      </c>
      <c r="I1208" s="17">
        <v>0</v>
      </c>
      <c r="J1208" s="17">
        <v>0</v>
      </c>
      <c r="K1208" s="17">
        <f t="shared" si="201"/>
        <v>15923.75</v>
      </c>
      <c r="L1208" s="23">
        <f t="shared" si="210"/>
        <v>796.1875</v>
      </c>
      <c r="M1208" s="33">
        <v>25</v>
      </c>
      <c r="N1208" s="18">
        <f t="shared" si="204"/>
        <v>31.271232876712329</v>
      </c>
      <c r="O1208" s="23">
        <v>65550</v>
      </c>
      <c r="P1208" s="18">
        <f t="shared" si="205"/>
        <v>31.772602739726029</v>
      </c>
      <c r="Q1208" s="18">
        <v>0</v>
      </c>
      <c r="R1208" s="18">
        <f t="shared" si="202"/>
        <v>65550</v>
      </c>
      <c r="S1208" s="18">
        <f t="shared" si="214"/>
        <v>796.1875</v>
      </c>
    </row>
    <row r="1209" spans="1:19" ht="18.75" customHeight="1" x14ac:dyDescent="0.25">
      <c r="A1209" s="14">
        <f t="shared" si="206"/>
        <v>1206</v>
      </c>
      <c r="B1209" s="14" t="s">
        <v>1129</v>
      </c>
      <c r="C1209" s="15" t="s">
        <v>3</v>
      </c>
      <c r="D1209" s="31" t="s">
        <v>500</v>
      </c>
      <c r="E1209" s="31"/>
      <c r="F1209" s="72" t="s">
        <v>11</v>
      </c>
      <c r="G1209" s="32">
        <v>32874</v>
      </c>
      <c r="H1209" s="29">
        <v>11890.899999999994</v>
      </c>
      <c r="I1209" s="17">
        <v>0</v>
      </c>
      <c r="J1209" s="17">
        <v>0</v>
      </c>
      <c r="K1209" s="17">
        <f t="shared" si="201"/>
        <v>11890.899999999994</v>
      </c>
      <c r="L1209" s="23">
        <f t="shared" si="210"/>
        <v>594.54499999999973</v>
      </c>
      <c r="M1209" s="33">
        <v>25</v>
      </c>
      <c r="N1209" s="18">
        <f t="shared" si="204"/>
        <v>31.271232876712329</v>
      </c>
      <c r="O1209" s="23">
        <v>141873</v>
      </c>
      <c r="P1209" s="18">
        <f t="shared" si="205"/>
        <v>31.772602739726029</v>
      </c>
      <c r="Q1209" s="18">
        <v>0</v>
      </c>
      <c r="R1209" s="18">
        <f t="shared" si="202"/>
        <v>141873</v>
      </c>
      <c r="S1209" s="18">
        <f t="shared" si="214"/>
        <v>594.54499999999973</v>
      </c>
    </row>
    <row r="1210" spans="1:19" ht="18.75" customHeight="1" x14ac:dyDescent="0.25">
      <c r="A1210" s="14">
        <f t="shared" si="206"/>
        <v>1207</v>
      </c>
      <c r="B1210" s="14" t="s">
        <v>1130</v>
      </c>
      <c r="C1210" s="15" t="s">
        <v>3</v>
      </c>
      <c r="D1210" s="31" t="s">
        <v>500</v>
      </c>
      <c r="E1210" s="31"/>
      <c r="F1210" s="72" t="s">
        <v>11</v>
      </c>
      <c r="G1210" s="32">
        <v>32874</v>
      </c>
      <c r="H1210" s="29">
        <v>10506</v>
      </c>
      <c r="I1210" s="17">
        <v>0</v>
      </c>
      <c r="J1210" s="17">
        <v>0</v>
      </c>
      <c r="K1210" s="17">
        <f t="shared" si="201"/>
        <v>10506</v>
      </c>
      <c r="L1210" s="23">
        <f t="shared" si="210"/>
        <v>525.30000000000007</v>
      </c>
      <c r="M1210" s="33">
        <v>25</v>
      </c>
      <c r="N1210" s="18">
        <f t="shared" si="204"/>
        <v>31.271232876712329</v>
      </c>
      <c r="O1210" s="23">
        <v>22842.692999999999</v>
      </c>
      <c r="P1210" s="18">
        <f t="shared" si="205"/>
        <v>31.772602739726029</v>
      </c>
      <c r="Q1210" s="18">
        <v>0</v>
      </c>
      <c r="R1210" s="18">
        <f t="shared" si="202"/>
        <v>22842.692999999999</v>
      </c>
      <c r="S1210" s="18">
        <f t="shared" si="214"/>
        <v>525.30000000000007</v>
      </c>
    </row>
    <row r="1211" spans="1:19" ht="18.75" customHeight="1" x14ac:dyDescent="0.25">
      <c r="A1211" s="14">
        <f t="shared" si="206"/>
        <v>1208</v>
      </c>
      <c r="B1211" s="14" t="s">
        <v>1131</v>
      </c>
      <c r="C1211" s="15" t="s">
        <v>3</v>
      </c>
      <c r="D1211" s="31" t="s">
        <v>500</v>
      </c>
      <c r="E1211" s="31"/>
      <c r="F1211" s="72" t="s">
        <v>11</v>
      </c>
      <c r="G1211" s="32">
        <v>32874</v>
      </c>
      <c r="H1211" s="29">
        <v>9464.3500000000058</v>
      </c>
      <c r="I1211" s="17">
        <v>0</v>
      </c>
      <c r="J1211" s="17">
        <v>0</v>
      </c>
      <c r="K1211" s="17">
        <f t="shared" si="201"/>
        <v>9464.3500000000058</v>
      </c>
      <c r="L1211" s="23">
        <f t="shared" si="210"/>
        <v>473.21750000000031</v>
      </c>
      <c r="M1211" s="33">
        <v>25</v>
      </c>
      <c r="N1211" s="18">
        <f t="shared" si="204"/>
        <v>31.271232876712329</v>
      </c>
      <c r="O1211" s="23">
        <v>31246.3835</v>
      </c>
      <c r="P1211" s="18">
        <f t="shared" si="205"/>
        <v>31.772602739726029</v>
      </c>
      <c r="Q1211" s="18">
        <v>0</v>
      </c>
      <c r="R1211" s="18">
        <f t="shared" si="202"/>
        <v>31246.3835</v>
      </c>
      <c r="S1211" s="18">
        <f t="shared" si="214"/>
        <v>473.21750000000031</v>
      </c>
    </row>
    <row r="1212" spans="1:19" ht="18.75" customHeight="1" x14ac:dyDescent="0.25">
      <c r="A1212" s="14">
        <f t="shared" si="206"/>
        <v>1209</v>
      </c>
      <c r="B1212" s="14" t="s">
        <v>1132</v>
      </c>
      <c r="C1212" s="15" t="s">
        <v>3</v>
      </c>
      <c r="D1212" s="31" t="s">
        <v>500</v>
      </c>
      <c r="E1212" s="31"/>
      <c r="F1212" s="72" t="s">
        <v>11</v>
      </c>
      <c r="G1212" s="32">
        <v>32874</v>
      </c>
      <c r="H1212" s="29">
        <v>7888.1499999999942</v>
      </c>
      <c r="I1212" s="17">
        <v>0</v>
      </c>
      <c r="J1212" s="17">
        <v>0</v>
      </c>
      <c r="K1212" s="17">
        <f t="shared" si="201"/>
        <v>7888.1499999999942</v>
      </c>
      <c r="L1212" s="23">
        <f t="shared" si="210"/>
        <v>394.40749999999974</v>
      </c>
      <c r="M1212" s="33">
        <v>25</v>
      </c>
      <c r="N1212" s="18">
        <f t="shared" si="204"/>
        <v>31.271232876712329</v>
      </c>
      <c r="O1212" s="23">
        <v>1792.2699999999998</v>
      </c>
      <c r="P1212" s="18">
        <f t="shared" si="205"/>
        <v>31.772602739726029</v>
      </c>
      <c r="Q1212" s="18">
        <v>0</v>
      </c>
      <c r="R1212" s="18">
        <f t="shared" si="202"/>
        <v>1792.2699999999998</v>
      </c>
      <c r="S1212" s="18">
        <f t="shared" si="203"/>
        <v>6095.8799999999947</v>
      </c>
    </row>
    <row r="1213" spans="1:19" ht="18.75" customHeight="1" x14ac:dyDescent="0.25">
      <c r="A1213" s="14">
        <f t="shared" si="206"/>
        <v>1210</v>
      </c>
      <c r="B1213" s="14" t="s">
        <v>1133</v>
      </c>
      <c r="C1213" s="15" t="s">
        <v>3</v>
      </c>
      <c r="D1213" s="31" t="s">
        <v>500</v>
      </c>
      <c r="E1213" s="31"/>
      <c r="F1213" s="72" t="s">
        <v>11</v>
      </c>
      <c r="G1213" s="32">
        <v>32874</v>
      </c>
      <c r="H1213" s="29">
        <v>3970.3999999999942</v>
      </c>
      <c r="I1213" s="17">
        <v>0</v>
      </c>
      <c r="J1213" s="17">
        <v>0</v>
      </c>
      <c r="K1213" s="17">
        <f t="shared" si="201"/>
        <v>3970.3999999999942</v>
      </c>
      <c r="L1213" s="23">
        <f t="shared" si="210"/>
        <v>198.51999999999973</v>
      </c>
      <c r="M1213" s="33">
        <v>25</v>
      </c>
      <c r="N1213" s="18">
        <f t="shared" si="204"/>
        <v>31.271232876712329</v>
      </c>
      <c r="O1213" s="23">
        <v>8861.1535000000003</v>
      </c>
      <c r="P1213" s="18">
        <f t="shared" si="205"/>
        <v>31.772602739726029</v>
      </c>
      <c r="Q1213" s="18">
        <v>0</v>
      </c>
      <c r="R1213" s="18">
        <f t="shared" si="202"/>
        <v>8861.1535000000003</v>
      </c>
      <c r="S1213" s="18">
        <f t="shared" ref="S1213:S1220" si="215">L1213</f>
        <v>198.51999999999973</v>
      </c>
    </row>
    <row r="1214" spans="1:19" ht="18.75" customHeight="1" x14ac:dyDescent="0.25">
      <c r="A1214" s="14">
        <f t="shared" si="206"/>
        <v>1211</v>
      </c>
      <c r="B1214" s="14" t="s">
        <v>1134</v>
      </c>
      <c r="C1214" s="15" t="s">
        <v>3</v>
      </c>
      <c r="D1214" s="31" t="s">
        <v>500</v>
      </c>
      <c r="E1214" s="31"/>
      <c r="F1214" s="72" t="s">
        <v>11</v>
      </c>
      <c r="G1214" s="32">
        <v>32874</v>
      </c>
      <c r="H1214" s="29">
        <v>2912.9000000000015</v>
      </c>
      <c r="I1214" s="17">
        <v>0</v>
      </c>
      <c r="J1214" s="17">
        <v>0</v>
      </c>
      <c r="K1214" s="17">
        <f t="shared" si="201"/>
        <v>2912.9000000000015</v>
      </c>
      <c r="L1214" s="23">
        <f t="shared" si="210"/>
        <v>145.64500000000007</v>
      </c>
      <c r="M1214" s="33">
        <v>25</v>
      </c>
      <c r="N1214" s="18">
        <f t="shared" si="204"/>
        <v>31.271232876712329</v>
      </c>
      <c r="O1214" s="23">
        <v>31465.463</v>
      </c>
      <c r="P1214" s="18">
        <f t="shared" si="205"/>
        <v>31.772602739726029</v>
      </c>
      <c r="Q1214" s="18">
        <v>0</v>
      </c>
      <c r="R1214" s="18">
        <f t="shared" si="202"/>
        <v>31465.463</v>
      </c>
      <c r="S1214" s="18">
        <f t="shared" si="215"/>
        <v>145.64500000000007</v>
      </c>
    </row>
    <row r="1215" spans="1:19" ht="18.75" customHeight="1" x14ac:dyDescent="0.25">
      <c r="A1215" s="14">
        <f t="shared" si="206"/>
        <v>1212</v>
      </c>
      <c r="B1215" s="14" t="s">
        <v>1135</v>
      </c>
      <c r="C1215" s="15" t="s">
        <v>3</v>
      </c>
      <c r="D1215" s="31" t="s">
        <v>500</v>
      </c>
      <c r="E1215" s="31"/>
      <c r="F1215" s="72" t="s">
        <v>11</v>
      </c>
      <c r="G1215" s="32">
        <v>32874</v>
      </c>
      <c r="H1215" s="29">
        <v>2529</v>
      </c>
      <c r="I1215" s="17">
        <v>0</v>
      </c>
      <c r="J1215" s="17">
        <v>0</v>
      </c>
      <c r="K1215" s="17">
        <f t="shared" si="201"/>
        <v>2529</v>
      </c>
      <c r="L1215" s="23">
        <f t="shared" si="210"/>
        <v>126.45</v>
      </c>
      <c r="M1215" s="33">
        <v>25</v>
      </c>
      <c r="N1215" s="18">
        <f t="shared" si="204"/>
        <v>31.271232876712329</v>
      </c>
      <c r="O1215" s="23">
        <v>34674.601000000002</v>
      </c>
      <c r="P1215" s="18">
        <f t="shared" si="205"/>
        <v>31.772602739726029</v>
      </c>
      <c r="Q1215" s="18">
        <v>0</v>
      </c>
      <c r="R1215" s="18">
        <f t="shared" si="202"/>
        <v>34674.601000000002</v>
      </c>
      <c r="S1215" s="18">
        <f t="shared" si="215"/>
        <v>126.45</v>
      </c>
    </row>
    <row r="1216" spans="1:19" ht="18.75" customHeight="1" x14ac:dyDescent="0.25">
      <c r="A1216" s="14">
        <f t="shared" si="206"/>
        <v>1213</v>
      </c>
      <c r="B1216" s="14" t="s">
        <v>1136</v>
      </c>
      <c r="C1216" s="15" t="s">
        <v>3</v>
      </c>
      <c r="D1216" s="31" t="s">
        <v>500</v>
      </c>
      <c r="E1216" s="31"/>
      <c r="F1216" s="72" t="s">
        <v>11</v>
      </c>
      <c r="G1216" s="32">
        <v>32874</v>
      </c>
      <c r="H1216" s="29">
        <v>2221.0500000000029</v>
      </c>
      <c r="I1216" s="17">
        <v>0</v>
      </c>
      <c r="J1216" s="17">
        <v>0</v>
      </c>
      <c r="K1216" s="17">
        <f t="shared" si="201"/>
        <v>2221.0500000000029</v>
      </c>
      <c r="L1216" s="23">
        <f t="shared" si="210"/>
        <v>111.05250000000015</v>
      </c>
      <c r="M1216" s="33">
        <v>25</v>
      </c>
      <c r="N1216" s="18">
        <f t="shared" si="204"/>
        <v>31.271232876712329</v>
      </c>
      <c r="O1216" s="23">
        <v>3591</v>
      </c>
      <c r="P1216" s="18">
        <f t="shared" si="205"/>
        <v>31.772602739726029</v>
      </c>
      <c r="Q1216" s="18">
        <v>0</v>
      </c>
      <c r="R1216" s="18">
        <f t="shared" si="202"/>
        <v>3591</v>
      </c>
      <c r="S1216" s="18">
        <f t="shared" si="215"/>
        <v>111.05250000000015</v>
      </c>
    </row>
    <row r="1217" spans="1:19" ht="18.75" customHeight="1" x14ac:dyDescent="0.25">
      <c r="A1217" s="14">
        <f t="shared" si="206"/>
        <v>1214</v>
      </c>
      <c r="B1217" s="14" t="s">
        <v>686</v>
      </c>
      <c r="C1217" s="15" t="s">
        <v>3</v>
      </c>
      <c r="D1217" s="31" t="s">
        <v>500</v>
      </c>
      <c r="E1217" s="31"/>
      <c r="F1217" s="72" t="s">
        <v>11</v>
      </c>
      <c r="G1217" s="32">
        <v>32874</v>
      </c>
      <c r="H1217" s="29">
        <v>1529.9000000000015</v>
      </c>
      <c r="I1217" s="17">
        <v>0</v>
      </c>
      <c r="J1217" s="17">
        <v>0</v>
      </c>
      <c r="K1217" s="17">
        <f t="shared" si="201"/>
        <v>1529.9000000000015</v>
      </c>
      <c r="L1217" s="23">
        <f t="shared" si="210"/>
        <v>76.495000000000076</v>
      </c>
      <c r="M1217" s="33">
        <v>25</v>
      </c>
      <c r="N1217" s="18">
        <f t="shared" si="204"/>
        <v>31.271232876712329</v>
      </c>
      <c r="O1217" s="23">
        <v>5985</v>
      </c>
      <c r="P1217" s="18">
        <f t="shared" si="205"/>
        <v>31.772602739726029</v>
      </c>
      <c r="Q1217" s="18">
        <v>0</v>
      </c>
      <c r="R1217" s="18">
        <f t="shared" si="202"/>
        <v>5985</v>
      </c>
      <c r="S1217" s="18">
        <f t="shared" si="215"/>
        <v>76.495000000000076</v>
      </c>
    </row>
    <row r="1218" spans="1:19" ht="18.75" customHeight="1" x14ac:dyDescent="0.25">
      <c r="A1218" s="14">
        <f t="shared" si="206"/>
        <v>1215</v>
      </c>
      <c r="B1218" s="14" t="s">
        <v>1137</v>
      </c>
      <c r="C1218" s="15" t="s">
        <v>3</v>
      </c>
      <c r="D1218" s="31" t="s">
        <v>500</v>
      </c>
      <c r="E1218" s="31"/>
      <c r="F1218" s="72" t="s">
        <v>11</v>
      </c>
      <c r="G1218" s="32">
        <v>32874</v>
      </c>
      <c r="H1218" s="29">
        <v>1241.5999999999985</v>
      </c>
      <c r="I1218" s="17">
        <v>0</v>
      </c>
      <c r="J1218" s="17">
        <v>0</v>
      </c>
      <c r="K1218" s="17">
        <f t="shared" si="201"/>
        <v>1241.5999999999985</v>
      </c>
      <c r="L1218" s="23">
        <f t="shared" si="210"/>
        <v>62.079999999999927</v>
      </c>
      <c r="M1218" s="33">
        <v>25</v>
      </c>
      <c r="N1218" s="18">
        <f t="shared" si="204"/>
        <v>31.271232876712329</v>
      </c>
      <c r="O1218" s="23">
        <v>27477.705000000002</v>
      </c>
      <c r="P1218" s="18">
        <f t="shared" si="205"/>
        <v>31.772602739726029</v>
      </c>
      <c r="Q1218" s="18">
        <v>0</v>
      </c>
      <c r="R1218" s="18">
        <f t="shared" si="202"/>
        <v>27477.705000000002</v>
      </c>
      <c r="S1218" s="18">
        <f t="shared" si="215"/>
        <v>62.079999999999927</v>
      </c>
    </row>
    <row r="1219" spans="1:19" ht="18.75" customHeight="1" x14ac:dyDescent="0.25">
      <c r="A1219" s="14">
        <f t="shared" si="206"/>
        <v>1216</v>
      </c>
      <c r="B1219" s="14" t="s">
        <v>693</v>
      </c>
      <c r="C1219" s="15" t="s">
        <v>3</v>
      </c>
      <c r="D1219" s="31" t="s">
        <v>500</v>
      </c>
      <c r="E1219" s="31"/>
      <c r="F1219" s="72" t="s">
        <v>11</v>
      </c>
      <c r="G1219" s="32">
        <v>32874</v>
      </c>
      <c r="H1219" s="29">
        <v>735.14999999999964</v>
      </c>
      <c r="I1219" s="17">
        <v>0</v>
      </c>
      <c r="J1219" s="17">
        <v>0</v>
      </c>
      <c r="K1219" s="17">
        <f t="shared" si="201"/>
        <v>735.14999999999964</v>
      </c>
      <c r="L1219" s="23">
        <f t="shared" si="210"/>
        <v>36.757499999999986</v>
      </c>
      <c r="M1219" s="33">
        <v>25</v>
      </c>
      <c r="N1219" s="18">
        <f t="shared" si="204"/>
        <v>31.271232876712329</v>
      </c>
      <c r="O1219" s="23">
        <v>91954.072</v>
      </c>
      <c r="P1219" s="18">
        <f t="shared" si="205"/>
        <v>31.772602739726029</v>
      </c>
      <c r="Q1219" s="18">
        <v>0</v>
      </c>
      <c r="R1219" s="18">
        <f t="shared" si="202"/>
        <v>91954.072</v>
      </c>
      <c r="S1219" s="18">
        <f t="shared" si="215"/>
        <v>36.757499999999986</v>
      </c>
    </row>
    <row r="1220" spans="1:19" ht="18.75" customHeight="1" x14ac:dyDescent="0.25">
      <c r="A1220" s="14">
        <f t="shared" si="206"/>
        <v>1217</v>
      </c>
      <c r="B1220" s="14" t="s">
        <v>1138</v>
      </c>
      <c r="C1220" s="15" t="s">
        <v>3</v>
      </c>
      <c r="D1220" s="31" t="s">
        <v>500</v>
      </c>
      <c r="E1220" s="31"/>
      <c r="F1220" s="72" t="s">
        <v>11</v>
      </c>
      <c r="G1220" s="32">
        <v>36616</v>
      </c>
      <c r="H1220" s="29">
        <v>860</v>
      </c>
      <c r="I1220" s="17">
        <v>0</v>
      </c>
      <c r="J1220" s="17">
        <v>0</v>
      </c>
      <c r="K1220" s="17">
        <f t="shared" ref="K1220:K1284" si="216">H1220+I1220-J1220</f>
        <v>860</v>
      </c>
      <c r="L1220" s="23">
        <f t="shared" si="210"/>
        <v>43</v>
      </c>
      <c r="M1220" s="33">
        <v>15</v>
      </c>
      <c r="N1220" s="18">
        <f t="shared" si="204"/>
        <v>21.019178082191782</v>
      </c>
      <c r="O1220" s="23">
        <v>45915.665999999997</v>
      </c>
      <c r="P1220" s="18">
        <f t="shared" si="205"/>
        <v>21.520547945205479</v>
      </c>
      <c r="Q1220" s="18">
        <v>0</v>
      </c>
      <c r="R1220" s="18">
        <f t="shared" ref="R1220:R1283" si="217">Q1220+O1220</f>
        <v>45915.665999999997</v>
      </c>
      <c r="S1220" s="18">
        <f t="shared" si="215"/>
        <v>43</v>
      </c>
    </row>
    <row r="1221" spans="1:19" ht="18.75" customHeight="1" x14ac:dyDescent="0.25">
      <c r="A1221" s="14">
        <f t="shared" si="206"/>
        <v>1218</v>
      </c>
      <c r="B1221" s="14" t="s">
        <v>1139</v>
      </c>
      <c r="C1221" s="15" t="s">
        <v>3</v>
      </c>
      <c r="D1221" s="31" t="s">
        <v>500</v>
      </c>
      <c r="E1221" s="31"/>
      <c r="F1221" s="72" t="s">
        <v>16</v>
      </c>
      <c r="G1221" s="32">
        <v>42689</v>
      </c>
      <c r="H1221" s="29">
        <v>538995</v>
      </c>
      <c r="I1221" s="17">
        <v>0</v>
      </c>
      <c r="J1221" s="17">
        <v>0</v>
      </c>
      <c r="K1221" s="17">
        <f t="shared" si="216"/>
        <v>538995</v>
      </c>
      <c r="L1221" s="23">
        <f t="shared" si="210"/>
        <v>26949.75</v>
      </c>
      <c r="M1221" s="33">
        <v>5</v>
      </c>
      <c r="N1221" s="18">
        <f t="shared" ref="N1221:N1284" si="218">IF(($N$2-G1221+1)/365&gt;0,($N$2-G1221+1)/365,0)</f>
        <v>4.3808219178082188</v>
      </c>
      <c r="O1221" s="23">
        <v>117609.04999999994</v>
      </c>
      <c r="P1221" s="18">
        <f t="shared" ref="P1221:P1284" si="219">($P$2-G1221+1)/365</f>
        <v>4.882191780821918</v>
      </c>
      <c r="Q1221" s="18">
        <f t="shared" si="209"/>
        <v>51344.811369863062</v>
      </c>
      <c r="R1221" s="18">
        <f t="shared" si="217"/>
        <v>168953.86136986301</v>
      </c>
      <c r="S1221" s="18">
        <f t="shared" ref="S1221:S1283" si="220">K1221-R1221</f>
        <v>370041.13863013696</v>
      </c>
    </row>
    <row r="1222" spans="1:19" ht="18.75" customHeight="1" x14ac:dyDescent="0.25">
      <c r="A1222" s="14">
        <f t="shared" ref="A1222:A1285" si="221">+A1221+1</f>
        <v>1219</v>
      </c>
      <c r="B1222" s="14" t="s">
        <v>1140</v>
      </c>
      <c r="C1222" s="15" t="s">
        <v>3</v>
      </c>
      <c r="D1222" s="31" t="s">
        <v>500</v>
      </c>
      <c r="E1222" s="31"/>
      <c r="F1222" s="72" t="s">
        <v>16</v>
      </c>
      <c r="G1222" s="32">
        <v>42689</v>
      </c>
      <c r="H1222" s="29">
        <v>163800</v>
      </c>
      <c r="I1222" s="17">
        <v>0</v>
      </c>
      <c r="J1222" s="17">
        <v>0</v>
      </c>
      <c r="K1222" s="17">
        <f t="shared" si="216"/>
        <v>163800</v>
      </c>
      <c r="L1222" s="23">
        <f t="shared" si="210"/>
        <v>8190</v>
      </c>
      <c r="M1222" s="33">
        <v>5</v>
      </c>
      <c r="N1222" s="18">
        <f t="shared" si="218"/>
        <v>4.3808219178082188</v>
      </c>
      <c r="O1222" s="23">
        <v>46567.517999999982</v>
      </c>
      <c r="P1222" s="18">
        <f t="shared" si="219"/>
        <v>4.882191780821918</v>
      </c>
      <c r="Q1222" s="18">
        <f t="shared" si="209"/>
        <v>15603.632876712343</v>
      </c>
      <c r="R1222" s="18">
        <f t="shared" si="217"/>
        <v>62171.150876712323</v>
      </c>
      <c r="S1222" s="18">
        <f t="shared" si="220"/>
        <v>101628.84912328768</v>
      </c>
    </row>
    <row r="1223" spans="1:19" ht="18.75" customHeight="1" x14ac:dyDescent="0.25">
      <c r="A1223" s="14">
        <f t="shared" si="221"/>
        <v>1220</v>
      </c>
      <c r="B1223" s="21" t="s">
        <v>1141</v>
      </c>
      <c r="C1223" s="15" t="s">
        <v>3</v>
      </c>
      <c r="D1223" s="21" t="s">
        <v>1142</v>
      </c>
      <c r="E1223" s="21"/>
      <c r="F1223" s="69" t="s">
        <v>8</v>
      </c>
      <c r="G1223" s="9">
        <v>40690</v>
      </c>
      <c r="H1223" s="22">
        <v>90025.010849315062</v>
      </c>
      <c r="I1223" s="17">
        <v>0</v>
      </c>
      <c r="J1223" s="17">
        <v>0</v>
      </c>
      <c r="K1223" s="17">
        <f t="shared" si="216"/>
        <v>90025.010849315062</v>
      </c>
      <c r="L1223" s="23">
        <f t="shared" si="210"/>
        <v>4501.2505424657529</v>
      </c>
      <c r="M1223" s="23">
        <v>25</v>
      </c>
      <c r="N1223" s="18">
        <f t="shared" si="218"/>
        <v>9.8575342465753426</v>
      </c>
      <c r="O1223" s="23">
        <v>23726.047433972602</v>
      </c>
      <c r="P1223" s="18">
        <f t="shared" si="219"/>
        <v>10.358904109589041</v>
      </c>
      <c r="Q1223" s="18">
        <f t="shared" si="209"/>
        <v>1715.1614395784559</v>
      </c>
      <c r="R1223" s="18">
        <f t="shared" si="217"/>
        <v>25441.208873551059</v>
      </c>
      <c r="S1223" s="18">
        <f t="shared" si="220"/>
        <v>64583.801975764</v>
      </c>
    </row>
    <row r="1224" spans="1:19" ht="18.75" customHeight="1" x14ac:dyDescent="0.25">
      <c r="A1224" s="14">
        <f t="shared" si="221"/>
        <v>1221</v>
      </c>
      <c r="B1224" s="21" t="s">
        <v>1143</v>
      </c>
      <c r="C1224" s="15" t="s">
        <v>3</v>
      </c>
      <c r="D1224" s="21" t="s">
        <v>1142</v>
      </c>
      <c r="E1224" s="21"/>
      <c r="F1224" s="69" t="s">
        <v>8</v>
      </c>
      <c r="G1224" s="9">
        <v>36526</v>
      </c>
      <c r="H1224" s="22">
        <v>26584.143320547948</v>
      </c>
      <c r="I1224" s="17">
        <v>0</v>
      </c>
      <c r="J1224" s="17">
        <v>0</v>
      </c>
      <c r="K1224" s="17">
        <f t="shared" si="216"/>
        <v>26584.143320547948</v>
      </c>
      <c r="L1224" s="23">
        <f t="shared" si="210"/>
        <v>1329.2071660273975</v>
      </c>
      <c r="M1224" s="23">
        <v>25</v>
      </c>
      <c r="N1224" s="18">
        <f t="shared" si="218"/>
        <v>21.265753424657536</v>
      </c>
      <c r="O1224" s="23">
        <v>8690.4337328219171</v>
      </c>
      <c r="P1224" s="18">
        <f t="shared" si="219"/>
        <v>21.767123287671232</v>
      </c>
      <c r="Q1224" s="18">
        <f t="shared" si="209"/>
        <v>506.48255520846476</v>
      </c>
      <c r="R1224" s="18">
        <f t="shared" si="217"/>
        <v>9196.9162880303811</v>
      </c>
      <c r="S1224" s="18">
        <f t="shared" si="220"/>
        <v>17387.227032517567</v>
      </c>
    </row>
    <row r="1225" spans="1:19" ht="18.75" customHeight="1" x14ac:dyDescent="0.25">
      <c r="A1225" s="14">
        <f t="shared" si="221"/>
        <v>1222</v>
      </c>
      <c r="B1225" s="21" t="s">
        <v>1144</v>
      </c>
      <c r="C1225" s="15" t="s">
        <v>3</v>
      </c>
      <c r="D1225" s="21" t="s">
        <v>1142</v>
      </c>
      <c r="E1225" s="21"/>
      <c r="F1225" s="69" t="s">
        <v>8</v>
      </c>
      <c r="G1225" s="9">
        <v>38353</v>
      </c>
      <c r="H1225" s="22">
        <v>94923.220096383549</v>
      </c>
      <c r="I1225" s="17">
        <v>0</v>
      </c>
      <c r="J1225" s="17">
        <v>0</v>
      </c>
      <c r="K1225" s="17">
        <f t="shared" si="216"/>
        <v>94923.220096383549</v>
      </c>
      <c r="L1225" s="23">
        <f t="shared" si="210"/>
        <v>4746.1610048191778</v>
      </c>
      <c r="M1225" s="23">
        <v>25</v>
      </c>
      <c r="N1225" s="18">
        <f t="shared" si="218"/>
        <v>16.260273972602739</v>
      </c>
      <c r="O1225" s="23">
        <v>14580.153383855342</v>
      </c>
      <c r="P1225" s="18">
        <f t="shared" si="219"/>
        <v>16.761643835616439</v>
      </c>
      <c r="Q1225" s="18">
        <f t="shared" si="209"/>
        <v>1808.4823905486385</v>
      </c>
      <c r="R1225" s="18">
        <f t="shared" si="217"/>
        <v>16388.635774403981</v>
      </c>
      <c r="S1225" s="18">
        <f t="shared" si="220"/>
        <v>78534.584321979564</v>
      </c>
    </row>
    <row r="1226" spans="1:19" ht="18.75" customHeight="1" x14ac:dyDescent="0.25">
      <c r="A1226" s="14">
        <f t="shared" si="221"/>
        <v>1223</v>
      </c>
      <c r="B1226" s="21" t="s">
        <v>1145</v>
      </c>
      <c r="C1226" s="15" t="s">
        <v>3</v>
      </c>
      <c r="D1226" s="21" t="s">
        <v>1142</v>
      </c>
      <c r="E1226" s="21"/>
      <c r="F1226" s="69" t="s">
        <v>8</v>
      </c>
      <c r="G1226" s="9">
        <v>38353</v>
      </c>
      <c r="H1226" s="22">
        <v>98772.976584438366</v>
      </c>
      <c r="I1226" s="17">
        <v>0</v>
      </c>
      <c r="J1226" s="17">
        <v>0</v>
      </c>
      <c r="K1226" s="17">
        <f t="shared" si="216"/>
        <v>98772.976584438366</v>
      </c>
      <c r="L1226" s="23">
        <f t="shared" si="210"/>
        <v>4938.6488292219183</v>
      </c>
      <c r="M1226" s="23">
        <v>25</v>
      </c>
      <c r="N1226" s="18">
        <f t="shared" si="218"/>
        <v>16.260273972602739</v>
      </c>
      <c r="O1226" s="23">
        <v>17665.687983377535</v>
      </c>
      <c r="P1226" s="18">
        <f t="shared" si="219"/>
        <v>16.761643835616439</v>
      </c>
      <c r="Q1226" s="18">
        <f t="shared" si="209"/>
        <v>1881.8281621046201</v>
      </c>
      <c r="R1226" s="18">
        <f t="shared" si="217"/>
        <v>19547.516145482154</v>
      </c>
      <c r="S1226" s="18">
        <f t="shared" si="220"/>
        <v>79225.460438956216</v>
      </c>
    </row>
    <row r="1227" spans="1:19" ht="18.75" customHeight="1" x14ac:dyDescent="0.25">
      <c r="A1227" s="14">
        <f t="shared" si="221"/>
        <v>1224</v>
      </c>
      <c r="B1227" s="21" t="s">
        <v>1146</v>
      </c>
      <c r="C1227" s="15" t="s">
        <v>3</v>
      </c>
      <c r="D1227" s="21" t="s">
        <v>1142</v>
      </c>
      <c r="E1227" s="21"/>
      <c r="F1227" s="69" t="s">
        <v>8</v>
      </c>
      <c r="G1227" s="9">
        <v>36526</v>
      </c>
      <c r="H1227" s="22">
        <v>19145.61420295891</v>
      </c>
      <c r="I1227" s="17">
        <v>0</v>
      </c>
      <c r="J1227" s="17">
        <v>0</v>
      </c>
      <c r="K1227" s="17">
        <f t="shared" si="216"/>
        <v>19145.61420295891</v>
      </c>
      <c r="L1227" s="23">
        <f t="shared" si="210"/>
        <v>957.28071014794557</v>
      </c>
      <c r="M1227" s="23">
        <v>25</v>
      </c>
      <c r="N1227" s="18">
        <f t="shared" si="218"/>
        <v>21.265753424657536</v>
      </c>
      <c r="O1227" s="23">
        <v>14773.087188118356</v>
      </c>
      <c r="P1227" s="18">
        <f t="shared" si="219"/>
        <v>21.767123287671232</v>
      </c>
      <c r="Q1227" s="18">
        <f t="shared" si="209"/>
        <v>364.76329086952245</v>
      </c>
      <c r="R1227" s="18">
        <f t="shared" si="217"/>
        <v>15137.850478987879</v>
      </c>
      <c r="S1227" s="18">
        <f t="shared" si="220"/>
        <v>4007.7637239710311</v>
      </c>
    </row>
    <row r="1228" spans="1:19" ht="18.75" customHeight="1" x14ac:dyDescent="0.25">
      <c r="A1228" s="14">
        <f t="shared" si="221"/>
        <v>1225</v>
      </c>
      <c r="B1228" s="21" t="s">
        <v>1147</v>
      </c>
      <c r="C1228" s="15" t="s">
        <v>3</v>
      </c>
      <c r="D1228" s="21" t="s">
        <v>1142</v>
      </c>
      <c r="E1228" s="21"/>
      <c r="F1228" s="69" t="s">
        <v>8</v>
      </c>
      <c r="G1228" s="9">
        <v>36526</v>
      </c>
      <c r="H1228" s="29">
        <v>38609.465710684941</v>
      </c>
      <c r="I1228" s="17">
        <v>0</v>
      </c>
      <c r="J1228" s="17">
        <v>0</v>
      </c>
      <c r="K1228" s="17">
        <f t="shared" si="216"/>
        <v>38609.465710684941</v>
      </c>
      <c r="L1228" s="23">
        <f t="shared" si="210"/>
        <v>1930.4732855342472</v>
      </c>
      <c r="M1228" s="23">
        <v>25</v>
      </c>
      <c r="N1228" s="18">
        <f t="shared" si="218"/>
        <v>21.265753424657536</v>
      </c>
      <c r="O1228" s="23">
        <v>155029.5422284274</v>
      </c>
      <c r="P1228" s="18">
        <f t="shared" si="219"/>
        <v>21.767123287671232</v>
      </c>
      <c r="Q1228" s="18">
        <f t="shared" si="209"/>
        <v>735.58965630712862</v>
      </c>
      <c r="R1228" s="18">
        <f t="shared" si="217"/>
        <v>155765.13188473452</v>
      </c>
      <c r="S1228" s="18">
        <f>L1228</f>
        <v>1930.4732855342472</v>
      </c>
    </row>
    <row r="1229" spans="1:19" ht="18.75" customHeight="1" x14ac:dyDescent="0.25">
      <c r="A1229" s="14">
        <f t="shared" si="221"/>
        <v>1226</v>
      </c>
      <c r="B1229" s="21" t="s">
        <v>1148</v>
      </c>
      <c r="C1229" s="15" t="s">
        <v>3</v>
      </c>
      <c r="D1229" s="21" t="s">
        <v>1142</v>
      </c>
      <c r="E1229" s="21"/>
      <c r="F1229" s="69" t="s">
        <v>8</v>
      </c>
      <c r="G1229" s="9">
        <v>36526</v>
      </c>
      <c r="H1229" s="22">
        <v>38465.564246575341</v>
      </c>
      <c r="I1229" s="17">
        <v>0</v>
      </c>
      <c r="J1229" s="17">
        <v>0</v>
      </c>
      <c r="K1229" s="17">
        <f t="shared" si="216"/>
        <v>38465.564246575341</v>
      </c>
      <c r="L1229" s="23">
        <f t="shared" si="210"/>
        <v>1923.278212328767</v>
      </c>
      <c r="M1229" s="23">
        <v>25</v>
      </c>
      <c r="N1229" s="18">
        <f t="shared" si="218"/>
        <v>21.265753424657536</v>
      </c>
      <c r="O1229" s="23">
        <v>2819.2350698630135</v>
      </c>
      <c r="P1229" s="18">
        <f t="shared" si="219"/>
        <v>21.767123287671232</v>
      </c>
      <c r="Q1229" s="18">
        <f t="shared" si="209"/>
        <v>732.84803772790076</v>
      </c>
      <c r="R1229" s="18">
        <f t="shared" si="217"/>
        <v>3552.0831075909141</v>
      </c>
      <c r="S1229" s="18">
        <f t="shared" si="220"/>
        <v>34913.481138984425</v>
      </c>
    </row>
    <row r="1230" spans="1:19" ht="18.75" customHeight="1" x14ac:dyDescent="0.25">
      <c r="A1230" s="14">
        <f t="shared" si="221"/>
        <v>1227</v>
      </c>
      <c r="B1230" s="21" t="s">
        <v>1149</v>
      </c>
      <c r="C1230" s="15" t="s">
        <v>3</v>
      </c>
      <c r="D1230" s="21" t="s">
        <v>1142</v>
      </c>
      <c r="E1230" s="21"/>
      <c r="F1230" s="69" t="s">
        <v>8</v>
      </c>
      <c r="G1230" s="9">
        <v>36526</v>
      </c>
      <c r="H1230" s="26">
        <v>27885.979793972605</v>
      </c>
      <c r="I1230" s="17">
        <v>0</v>
      </c>
      <c r="J1230" s="17">
        <v>0</v>
      </c>
      <c r="K1230" s="17">
        <f t="shared" si="216"/>
        <v>27885.979793972605</v>
      </c>
      <c r="L1230" s="23">
        <f t="shared" si="210"/>
        <v>1394.2989896986303</v>
      </c>
      <c r="M1230" s="23">
        <v>25</v>
      </c>
      <c r="N1230" s="18">
        <f t="shared" si="218"/>
        <v>21.265753424657536</v>
      </c>
      <c r="O1230" s="23">
        <v>7419.9413917589045</v>
      </c>
      <c r="P1230" s="18">
        <f t="shared" si="219"/>
        <v>21.767123287671232</v>
      </c>
      <c r="Q1230" s="18">
        <f t="shared" si="209"/>
        <v>531.28521503365664</v>
      </c>
      <c r="R1230" s="18">
        <f t="shared" si="217"/>
        <v>7951.2266067925611</v>
      </c>
      <c r="S1230" s="18">
        <f t="shared" si="220"/>
        <v>19934.753187180046</v>
      </c>
    </row>
    <row r="1231" spans="1:19" ht="18.75" customHeight="1" x14ac:dyDescent="0.25">
      <c r="A1231" s="14">
        <f t="shared" si="221"/>
        <v>1228</v>
      </c>
      <c r="B1231" s="21" t="s">
        <v>1150</v>
      </c>
      <c r="C1231" s="15" t="s">
        <v>3</v>
      </c>
      <c r="D1231" s="21" t="s">
        <v>1142</v>
      </c>
      <c r="E1231" s="21"/>
      <c r="F1231" s="69" t="s">
        <v>8</v>
      </c>
      <c r="G1231" s="9">
        <v>38353</v>
      </c>
      <c r="H1231" s="26">
        <v>37517.494423945202</v>
      </c>
      <c r="I1231" s="17">
        <v>0</v>
      </c>
      <c r="J1231" s="17">
        <v>0</v>
      </c>
      <c r="K1231" s="17">
        <f t="shared" si="216"/>
        <v>37517.494423945202</v>
      </c>
      <c r="L1231" s="23">
        <f t="shared" si="210"/>
        <v>1875.8747211972602</v>
      </c>
      <c r="M1231" s="23">
        <v>25</v>
      </c>
      <c r="N1231" s="18">
        <f t="shared" si="218"/>
        <v>16.260273972602739</v>
      </c>
      <c r="O1231" s="23">
        <v>55899.587716957809</v>
      </c>
      <c r="P1231" s="18">
        <f t="shared" si="219"/>
        <v>16.761643835616439</v>
      </c>
      <c r="Q1231" s="18">
        <f t="shared" si="209"/>
        <v>714.78535951812512</v>
      </c>
      <c r="R1231" s="18">
        <f t="shared" si="217"/>
        <v>56614.373076475931</v>
      </c>
      <c r="S1231" s="18">
        <f>L1231</f>
        <v>1875.8747211972602</v>
      </c>
    </row>
    <row r="1232" spans="1:19" ht="18.75" customHeight="1" x14ac:dyDescent="0.25">
      <c r="A1232" s="14">
        <f t="shared" si="221"/>
        <v>1229</v>
      </c>
      <c r="B1232" s="21" t="s">
        <v>1151</v>
      </c>
      <c r="C1232" s="15" t="s">
        <v>3</v>
      </c>
      <c r="D1232" s="21" t="s">
        <v>1142</v>
      </c>
      <c r="E1232" s="21"/>
      <c r="F1232" s="69" t="s">
        <v>8</v>
      </c>
      <c r="G1232" s="9">
        <v>36526</v>
      </c>
      <c r="H1232" s="22">
        <v>7434.4225586849316</v>
      </c>
      <c r="I1232" s="17">
        <v>0</v>
      </c>
      <c r="J1232" s="17">
        <v>0</v>
      </c>
      <c r="K1232" s="17">
        <f t="shared" si="216"/>
        <v>7434.4225586849316</v>
      </c>
      <c r="L1232" s="23">
        <f t="shared" si="210"/>
        <v>371.72112793424662</v>
      </c>
      <c r="M1232" s="23">
        <v>25</v>
      </c>
      <c r="N1232" s="18">
        <f t="shared" si="218"/>
        <v>21.265753424657536</v>
      </c>
      <c r="O1232" s="23">
        <v>5944.2037823473975</v>
      </c>
      <c r="P1232" s="18">
        <f t="shared" si="219"/>
        <v>21.767123287671232</v>
      </c>
      <c r="Q1232" s="18">
        <f t="shared" si="209"/>
        <v>141.64102595368436</v>
      </c>
      <c r="R1232" s="18">
        <f t="shared" si="217"/>
        <v>6085.8448083010817</v>
      </c>
      <c r="S1232" s="18">
        <f t="shared" si="220"/>
        <v>1348.5777503838499</v>
      </c>
    </row>
    <row r="1233" spans="1:19" ht="18.75" customHeight="1" x14ac:dyDescent="0.25">
      <c r="A1233" s="14">
        <f t="shared" si="221"/>
        <v>1230</v>
      </c>
      <c r="B1233" s="21" t="s">
        <v>1152</v>
      </c>
      <c r="C1233" s="15" t="s">
        <v>3</v>
      </c>
      <c r="D1233" s="21" t="s">
        <v>1142</v>
      </c>
      <c r="E1233" s="21"/>
      <c r="F1233" s="69" t="s">
        <v>8</v>
      </c>
      <c r="G1233" s="9">
        <v>36526</v>
      </c>
      <c r="H1233" s="22">
        <v>5357.6574097534249</v>
      </c>
      <c r="I1233" s="17">
        <v>0</v>
      </c>
      <c r="J1233" s="17">
        <v>0</v>
      </c>
      <c r="K1233" s="17">
        <f t="shared" si="216"/>
        <v>5357.6574097534249</v>
      </c>
      <c r="L1233" s="23">
        <f t="shared" si="210"/>
        <v>267.88287048767125</v>
      </c>
      <c r="M1233" s="23">
        <v>25</v>
      </c>
      <c r="N1233" s="18">
        <f t="shared" si="218"/>
        <v>21.265753424657536</v>
      </c>
      <c r="O1233" s="23">
        <v>14218.050636390137</v>
      </c>
      <c r="P1233" s="18">
        <f t="shared" si="219"/>
        <v>21.767123287671232</v>
      </c>
      <c r="Q1233" s="18">
        <f t="shared" si="209"/>
        <v>102.07438254089084</v>
      </c>
      <c r="R1233" s="18">
        <f t="shared" si="217"/>
        <v>14320.125018931027</v>
      </c>
      <c r="S1233" s="18">
        <f>L1233</f>
        <v>267.88287048767125</v>
      </c>
    </row>
    <row r="1234" spans="1:19" ht="18.75" customHeight="1" x14ac:dyDescent="0.25">
      <c r="A1234" s="14">
        <f t="shared" si="221"/>
        <v>1231</v>
      </c>
      <c r="B1234" s="21" t="s">
        <v>1153</v>
      </c>
      <c r="C1234" s="15" t="s">
        <v>3</v>
      </c>
      <c r="D1234" s="21" t="s">
        <v>1142</v>
      </c>
      <c r="E1234" s="21"/>
      <c r="F1234" s="69" t="s">
        <v>8</v>
      </c>
      <c r="G1234" s="9">
        <v>36526</v>
      </c>
      <c r="H1234" s="22">
        <v>4296.6333705205461</v>
      </c>
      <c r="I1234" s="17">
        <v>0</v>
      </c>
      <c r="J1234" s="17">
        <v>0</v>
      </c>
      <c r="K1234" s="17">
        <f t="shared" si="216"/>
        <v>4296.6333705205461</v>
      </c>
      <c r="L1234" s="23">
        <f t="shared" si="210"/>
        <v>214.83166852602733</v>
      </c>
      <c r="M1234" s="23">
        <v>25</v>
      </c>
      <c r="N1234" s="18">
        <f t="shared" si="218"/>
        <v>21.265753424657536</v>
      </c>
      <c r="O1234" s="23">
        <v>2297.7001948208217</v>
      </c>
      <c r="P1234" s="18">
        <f t="shared" si="219"/>
        <v>21.767123287671232</v>
      </c>
      <c r="Q1234" s="18">
        <f t="shared" si="209"/>
        <v>81.859694407122603</v>
      </c>
      <c r="R1234" s="18">
        <f t="shared" si="217"/>
        <v>2379.5598892279445</v>
      </c>
      <c r="S1234" s="18">
        <f t="shared" si="220"/>
        <v>1917.0734812926016</v>
      </c>
    </row>
    <row r="1235" spans="1:19" ht="18.75" customHeight="1" x14ac:dyDescent="0.25">
      <c r="A1235" s="14">
        <f t="shared" si="221"/>
        <v>1232</v>
      </c>
      <c r="B1235" s="21" t="s">
        <v>1154</v>
      </c>
      <c r="C1235" s="15" t="s">
        <v>3</v>
      </c>
      <c r="D1235" s="21" t="s">
        <v>1142</v>
      </c>
      <c r="E1235" s="21"/>
      <c r="F1235" s="69" t="s">
        <v>8</v>
      </c>
      <c r="G1235" s="9">
        <v>36526</v>
      </c>
      <c r="H1235" s="22">
        <v>7254.7577415890446</v>
      </c>
      <c r="I1235" s="17">
        <v>0</v>
      </c>
      <c r="J1235" s="17">
        <v>0</v>
      </c>
      <c r="K1235" s="17">
        <f t="shared" si="216"/>
        <v>7254.7577415890446</v>
      </c>
      <c r="L1235" s="23">
        <f t="shared" si="210"/>
        <v>362.73788707945226</v>
      </c>
      <c r="M1235" s="23">
        <v>25</v>
      </c>
      <c r="N1235" s="18">
        <f t="shared" si="218"/>
        <v>21.265753424657536</v>
      </c>
      <c r="O1235" s="23">
        <v>2617.7078296635618</v>
      </c>
      <c r="P1235" s="18">
        <f t="shared" si="219"/>
        <v>21.767123287671232</v>
      </c>
      <c r="Q1235" s="18">
        <f t="shared" si="209"/>
        <v>138.21804201372603</v>
      </c>
      <c r="R1235" s="18">
        <f t="shared" si="217"/>
        <v>2755.9258716772879</v>
      </c>
      <c r="S1235" s="18">
        <f t="shared" si="220"/>
        <v>4498.8318699117572</v>
      </c>
    </row>
    <row r="1236" spans="1:19" ht="18.75" customHeight="1" x14ac:dyDescent="0.25">
      <c r="A1236" s="14">
        <f t="shared" si="221"/>
        <v>1233</v>
      </c>
      <c r="B1236" s="21" t="s">
        <v>1155</v>
      </c>
      <c r="C1236" s="15" t="s">
        <v>3</v>
      </c>
      <c r="D1236" s="21" t="s">
        <v>1142</v>
      </c>
      <c r="E1236" s="21"/>
      <c r="F1236" s="69" t="s">
        <v>8</v>
      </c>
      <c r="G1236" s="9">
        <v>36526</v>
      </c>
      <c r="H1236" s="22">
        <v>5269.7388486575346</v>
      </c>
      <c r="I1236" s="17">
        <v>0</v>
      </c>
      <c r="J1236" s="17">
        <v>0</v>
      </c>
      <c r="K1236" s="17">
        <f t="shared" si="216"/>
        <v>5269.7388486575346</v>
      </c>
      <c r="L1236" s="23">
        <f t="shared" si="210"/>
        <v>263.48694243287673</v>
      </c>
      <c r="M1236" s="23">
        <v>25</v>
      </c>
      <c r="N1236" s="18">
        <f t="shared" si="218"/>
        <v>21.265753424657536</v>
      </c>
      <c r="O1236" s="23">
        <v>21374.498193946303</v>
      </c>
      <c r="P1236" s="18">
        <f t="shared" si="219"/>
        <v>21.767123287671232</v>
      </c>
      <c r="Q1236" s="18">
        <f t="shared" si="209"/>
        <v>100.39935329743653</v>
      </c>
      <c r="R1236" s="18">
        <f t="shared" si="217"/>
        <v>21474.897547243741</v>
      </c>
      <c r="S1236" s="18">
        <f>L1236</f>
        <v>263.48694243287673</v>
      </c>
    </row>
    <row r="1237" spans="1:19" ht="18.75" customHeight="1" x14ac:dyDescent="0.25">
      <c r="A1237" s="14">
        <f t="shared" si="221"/>
        <v>1234</v>
      </c>
      <c r="B1237" s="21" t="s">
        <v>1156</v>
      </c>
      <c r="C1237" s="15" t="s">
        <v>3</v>
      </c>
      <c r="D1237" s="21" t="s">
        <v>1142</v>
      </c>
      <c r="E1237" s="21"/>
      <c r="F1237" s="69" t="s">
        <v>8</v>
      </c>
      <c r="G1237" s="9">
        <v>36526</v>
      </c>
      <c r="H1237" s="26">
        <v>6242.7335452054813</v>
      </c>
      <c r="I1237" s="17">
        <v>0</v>
      </c>
      <c r="J1237" s="17">
        <v>0</v>
      </c>
      <c r="K1237" s="17">
        <f t="shared" si="216"/>
        <v>6242.7335452054813</v>
      </c>
      <c r="L1237" s="23">
        <f t="shared" si="210"/>
        <v>312.1366772602741</v>
      </c>
      <c r="M1237" s="23">
        <v>25</v>
      </c>
      <c r="N1237" s="18">
        <f t="shared" si="218"/>
        <v>21.265753424657536</v>
      </c>
      <c r="O1237" s="23">
        <v>2297.8388418082191</v>
      </c>
      <c r="P1237" s="18">
        <f t="shared" si="219"/>
        <v>21.767123287671232</v>
      </c>
      <c r="Q1237" s="18">
        <f t="shared" si="209"/>
        <v>118.93690157084583</v>
      </c>
      <c r="R1237" s="18">
        <f t="shared" si="217"/>
        <v>2416.7757433790648</v>
      </c>
      <c r="S1237" s="18">
        <f t="shared" si="220"/>
        <v>3825.9578018264165</v>
      </c>
    </row>
    <row r="1238" spans="1:19" ht="18.75" customHeight="1" x14ac:dyDescent="0.25">
      <c r="A1238" s="14"/>
      <c r="B1238" s="21" t="s">
        <v>2611</v>
      </c>
      <c r="C1238" s="15" t="s">
        <v>3</v>
      </c>
      <c r="D1238" s="21" t="s">
        <v>1142</v>
      </c>
      <c r="E1238" s="21"/>
      <c r="F1238" s="69"/>
      <c r="G1238" s="75">
        <v>44058</v>
      </c>
      <c r="H1238" s="58">
        <v>1041005.32</v>
      </c>
      <c r="I1238" s="58">
        <v>0</v>
      </c>
      <c r="J1238" s="17">
        <v>0</v>
      </c>
      <c r="K1238" s="58">
        <v>1041005.32</v>
      </c>
      <c r="L1238" s="23">
        <f t="shared" si="210"/>
        <v>52050.266000000003</v>
      </c>
      <c r="M1238" s="23">
        <v>25</v>
      </c>
      <c r="N1238" s="18">
        <f t="shared" si="218"/>
        <v>0.63013698630136983</v>
      </c>
      <c r="O1238" s="23">
        <v>1092240.8435</v>
      </c>
      <c r="P1238" s="18">
        <f t="shared" si="219"/>
        <v>1.1315068493150684</v>
      </c>
      <c r="Q1238" s="18">
        <f t="shared" ref="Q1238:Q1287" si="222">(P1238-N1238)/M1238*(K1238-L1238)</f>
        <v>19833.290398027395</v>
      </c>
      <c r="R1238" s="18">
        <f t="shared" si="217"/>
        <v>1112074.1338980272</v>
      </c>
      <c r="S1238" s="18">
        <f t="shared" ref="S1238:S1240" si="223">L1238</f>
        <v>52050.266000000003</v>
      </c>
    </row>
    <row r="1239" spans="1:19" ht="18.75" customHeight="1" x14ac:dyDescent="0.25">
      <c r="A1239" s="14"/>
      <c r="B1239" s="21" t="s">
        <v>2612</v>
      </c>
      <c r="C1239" s="15" t="s">
        <v>3</v>
      </c>
      <c r="D1239" s="21" t="s">
        <v>1142</v>
      </c>
      <c r="E1239" s="21"/>
      <c r="F1239" s="69"/>
      <c r="G1239" s="76">
        <v>44104</v>
      </c>
      <c r="H1239" s="59">
        <v>248982.08</v>
      </c>
      <c r="I1239" s="59">
        <v>0</v>
      </c>
      <c r="J1239" s="17">
        <v>0</v>
      </c>
      <c r="K1239" s="59">
        <v>248982.08</v>
      </c>
      <c r="L1239" s="23">
        <f t="shared" ref="L1239:L1302" si="224">H1239*0.05</f>
        <v>12449.103999999999</v>
      </c>
      <c r="M1239" s="23">
        <v>25</v>
      </c>
      <c r="N1239" s="18">
        <f t="shared" si="218"/>
        <v>0.50410958904109593</v>
      </c>
      <c r="O1239" s="23">
        <v>627620.78700000001</v>
      </c>
      <c r="P1239" s="18">
        <f t="shared" si="219"/>
        <v>1.0054794520547945</v>
      </c>
      <c r="Q1239" s="18">
        <f t="shared" si="222"/>
        <v>4743.6202310136978</v>
      </c>
      <c r="R1239" s="18">
        <f t="shared" si="217"/>
        <v>632364.40723101376</v>
      </c>
      <c r="S1239" s="18">
        <f t="shared" si="223"/>
        <v>12449.103999999999</v>
      </c>
    </row>
    <row r="1240" spans="1:19" ht="18.75" customHeight="1" x14ac:dyDescent="0.25">
      <c r="A1240" s="14"/>
      <c r="B1240" s="21" t="s">
        <v>2613</v>
      </c>
      <c r="C1240" s="15" t="s">
        <v>3</v>
      </c>
      <c r="D1240" s="21" t="s">
        <v>1142</v>
      </c>
      <c r="E1240" s="21"/>
      <c r="F1240" s="69"/>
      <c r="G1240" s="9">
        <v>43784</v>
      </c>
      <c r="H1240" s="56">
        <v>200477.43</v>
      </c>
      <c r="I1240" s="57">
        <v>0</v>
      </c>
      <c r="J1240" s="17">
        <v>0</v>
      </c>
      <c r="K1240" s="56">
        <v>200477.43</v>
      </c>
      <c r="L1240" s="23">
        <f t="shared" si="224"/>
        <v>10023.871500000001</v>
      </c>
      <c r="M1240" s="23">
        <v>25</v>
      </c>
      <c r="N1240" s="18">
        <f t="shared" si="218"/>
        <v>1.3808219178082193</v>
      </c>
      <c r="O1240" s="23">
        <v>437232.39</v>
      </c>
      <c r="P1240" s="18">
        <f t="shared" si="219"/>
        <v>1.8821917808219177</v>
      </c>
      <c r="Q1240" s="18">
        <f t="shared" si="222"/>
        <v>3819.5069814246558</v>
      </c>
      <c r="R1240" s="18">
        <f t="shared" si="217"/>
        <v>441051.89698142465</v>
      </c>
      <c r="S1240" s="18">
        <f t="shared" si="223"/>
        <v>10023.871500000001</v>
      </c>
    </row>
    <row r="1241" spans="1:19" ht="18.75" customHeight="1" x14ac:dyDescent="0.25">
      <c r="A1241" s="14">
        <f>+A1237+1</f>
        <v>1235</v>
      </c>
      <c r="B1241" s="24" t="s">
        <v>1157</v>
      </c>
      <c r="C1241" s="15" t="s">
        <v>3</v>
      </c>
      <c r="D1241" s="21" t="s">
        <v>1142</v>
      </c>
      <c r="E1241" s="21"/>
      <c r="F1241" s="69" t="s">
        <v>8</v>
      </c>
      <c r="G1241" s="25">
        <v>44211</v>
      </c>
      <c r="H1241" s="27">
        <v>369488.96</v>
      </c>
      <c r="I1241" s="27">
        <v>0</v>
      </c>
      <c r="J1241" s="17">
        <v>0</v>
      </c>
      <c r="K1241" s="17">
        <f t="shared" si="216"/>
        <v>369488.96</v>
      </c>
      <c r="L1241" s="23">
        <f t="shared" si="224"/>
        <v>18474.448</v>
      </c>
      <c r="M1241" s="23">
        <v>25</v>
      </c>
      <c r="N1241" s="18">
        <f t="shared" si="218"/>
        <v>0.21095890410958903</v>
      </c>
      <c r="O1241" s="23">
        <v>137114.96247112329</v>
      </c>
      <c r="P1241" s="18">
        <f t="shared" si="219"/>
        <v>0.71232876712328763</v>
      </c>
      <c r="Q1241" s="18">
        <f t="shared" si="222"/>
        <v>7039.523911890411</v>
      </c>
      <c r="R1241" s="18">
        <f t="shared" si="217"/>
        <v>144154.48638301369</v>
      </c>
      <c r="S1241" s="18">
        <f t="shared" si="220"/>
        <v>225334.47361698633</v>
      </c>
    </row>
    <row r="1242" spans="1:19" ht="18.75" customHeight="1" x14ac:dyDescent="0.25">
      <c r="A1242" s="14">
        <f t="shared" si="221"/>
        <v>1236</v>
      </c>
      <c r="B1242" s="24" t="s">
        <v>1158</v>
      </c>
      <c r="C1242" s="15" t="s">
        <v>3</v>
      </c>
      <c r="D1242" s="21" t="s">
        <v>1142</v>
      </c>
      <c r="E1242" s="21"/>
      <c r="F1242" s="69" t="s">
        <v>8</v>
      </c>
      <c r="G1242" s="25">
        <v>44242</v>
      </c>
      <c r="H1242" s="27">
        <v>201980.65</v>
      </c>
      <c r="I1242" s="27">
        <v>0</v>
      </c>
      <c r="J1242" s="17">
        <v>0</v>
      </c>
      <c r="K1242" s="17">
        <f t="shared" si="216"/>
        <v>201980.65</v>
      </c>
      <c r="L1242" s="23">
        <f t="shared" si="224"/>
        <v>10099.032500000001</v>
      </c>
      <c r="M1242" s="23">
        <v>25</v>
      </c>
      <c r="N1242" s="18">
        <f t="shared" si="218"/>
        <v>0.12602739726027398</v>
      </c>
      <c r="O1242" s="23">
        <v>8424.7936334246569</v>
      </c>
      <c r="P1242" s="18">
        <f t="shared" si="219"/>
        <v>0.62739726027397258</v>
      </c>
      <c r="Q1242" s="18">
        <f t="shared" si="222"/>
        <v>3848.1464112328758</v>
      </c>
      <c r="R1242" s="18">
        <f t="shared" si="217"/>
        <v>12272.940044657533</v>
      </c>
      <c r="S1242" s="18">
        <f t="shared" si="220"/>
        <v>189707.70995534246</v>
      </c>
    </row>
    <row r="1243" spans="1:19" ht="18.75" customHeight="1" x14ac:dyDescent="0.25">
      <c r="A1243" s="14">
        <f t="shared" si="221"/>
        <v>1237</v>
      </c>
      <c r="B1243" s="24" t="s">
        <v>1159</v>
      </c>
      <c r="C1243" s="15" t="s">
        <v>3</v>
      </c>
      <c r="D1243" s="21" t="s">
        <v>1142</v>
      </c>
      <c r="E1243" s="21"/>
      <c r="F1243" s="69" t="s">
        <v>8</v>
      </c>
      <c r="G1243" s="25">
        <v>44242</v>
      </c>
      <c r="H1243" s="27">
        <v>294517.76000000001</v>
      </c>
      <c r="I1243" s="27">
        <v>0</v>
      </c>
      <c r="J1243" s="17">
        <v>0</v>
      </c>
      <c r="K1243" s="17">
        <f t="shared" si="216"/>
        <v>294517.76000000001</v>
      </c>
      <c r="L1243" s="23">
        <f t="shared" si="224"/>
        <v>14725.888000000001</v>
      </c>
      <c r="M1243" s="23">
        <v>25</v>
      </c>
      <c r="N1243" s="18">
        <f t="shared" si="218"/>
        <v>0.12602739726027398</v>
      </c>
      <c r="O1243" s="23">
        <v>16103.794156109589</v>
      </c>
      <c r="P1243" s="18">
        <f t="shared" si="219"/>
        <v>0.62739726027397258</v>
      </c>
      <c r="Q1243" s="18">
        <f t="shared" si="222"/>
        <v>5611.1685014794521</v>
      </c>
      <c r="R1243" s="18">
        <f t="shared" si="217"/>
        <v>21714.96265758904</v>
      </c>
      <c r="S1243" s="18">
        <f t="shared" si="220"/>
        <v>272802.79734241095</v>
      </c>
    </row>
    <row r="1244" spans="1:19" ht="18.75" customHeight="1" x14ac:dyDescent="0.25">
      <c r="A1244" s="14">
        <f t="shared" si="221"/>
        <v>1238</v>
      </c>
      <c r="B1244" s="24" t="s">
        <v>1160</v>
      </c>
      <c r="C1244" s="15" t="s">
        <v>3</v>
      </c>
      <c r="D1244" s="21" t="s">
        <v>1142</v>
      </c>
      <c r="E1244" s="21"/>
      <c r="F1244" s="69" t="s">
        <v>8</v>
      </c>
      <c r="G1244" s="25">
        <v>44242</v>
      </c>
      <c r="H1244" s="27">
        <v>4741.34</v>
      </c>
      <c r="I1244" s="27">
        <v>0</v>
      </c>
      <c r="J1244" s="17">
        <v>0</v>
      </c>
      <c r="K1244" s="17">
        <f t="shared" si="216"/>
        <v>4741.34</v>
      </c>
      <c r="L1244" s="23">
        <f t="shared" si="224"/>
        <v>237.06700000000001</v>
      </c>
      <c r="M1244" s="23">
        <v>25</v>
      </c>
      <c r="N1244" s="18">
        <f t="shared" si="218"/>
        <v>0.12602739726027398</v>
      </c>
      <c r="O1244" s="23">
        <v>29409.379472109587</v>
      </c>
      <c r="P1244" s="18">
        <f t="shared" si="219"/>
        <v>0.62739726027397258</v>
      </c>
      <c r="Q1244" s="18">
        <f t="shared" si="222"/>
        <v>90.332269479452052</v>
      </c>
      <c r="R1244" s="18">
        <f t="shared" si="217"/>
        <v>29499.711741589039</v>
      </c>
      <c r="S1244" s="18">
        <f>L1244</f>
        <v>237.06700000000001</v>
      </c>
    </row>
    <row r="1245" spans="1:19" ht="18.75" customHeight="1" x14ac:dyDescent="0.25">
      <c r="A1245" s="14">
        <f t="shared" si="221"/>
        <v>1239</v>
      </c>
      <c r="B1245" s="21" t="s">
        <v>1161</v>
      </c>
      <c r="C1245" s="15" t="s">
        <v>3</v>
      </c>
      <c r="D1245" s="21" t="s">
        <v>1162</v>
      </c>
      <c r="E1245" s="21"/>
      <c r="F1245" s="69" t="s">
        <v>4</v>
      </c>
      <c r="G1245" s="9">
        <v>42139</v>
      </c>
      <c r="H1245" s="22">
        <v>3022.5739726027396</v>
      </c>
      <c r="I1245" s="17">
        <v>0</v>
      </c>
      <c r="J1245" s="17">
        <v>0</v>
      </c>
      <c r="K1245" s="17">
        <f t="shared" si="216"/>
        <v>3022.5739726027396</v>
      </c>
      <c r="L1245" s="23">
        <f t="shared" si="224"/>
        <v>151.128698630137</v>
      </c>
      <c r="M1245" s="23">
        <v>10</v>
      </c>
      <c r="N1245" s="18">
        <f t="shared" si="218"/>
        <v>5.8876712328767127</v>
      </c>
      <c r="O1245" s="23">
        <v>563.18342465753449</v>
      </c>
      <c r="P1245" s="18">
        <f t="shared" si="219"/>
        <v>6.3890410958904109</v>
      </c>
      <c r="Q1245" s="18">
        <f t="shared" si="222"/>
        <v>143.96561236629751</v>
      </c>
      <c r="R1245" s="18">
        <f t="shared" si="217"/>
        <v>707.14903702383197</v>
      </c>
      <c r="S1245" s="18">
        <f t="shared" si="220"/>
        <v>2315.4249355789075</v>
      </c>
    </row>
    <row r="1246" spans="1:19" ht="18.75" customHeight="1" x14ac:dyDescent="0.25">
      <c r="A1246" s="14">
        <f t="shared" si="221"/>
        <v>1240</v>
      </c>
      <c r="B1246" s="21" t="s">
        <v>1163</v>
      </c>
      <c r="C1246" s="15" t="s">
        <v>3</v>
      </c>
      <c r="D1246" s="21" t="s">
        <v>1162</v>
      </c>
      <c r="E1246" s="21"/>
      <c r="F1246" s="69" t="s">
        <v>4</v>
      </c>
      <c r="G1246" s="9">
        <v>41192</v>
      </c>
      <c r="H1246" s="22">
        <v>98153.910787670873</v>
      </c>
      <c r="I1246" s="17">
        <v>0</v>
      </c>
      <c r="J1246" s="17">
        <v>0</v>
      </c>
      <c r="K1246" s="17">
        <f t="shared" si="216"/>
        <v>98153.910787670873</v>
      </c>
      <c r="L1246" s="23">
        <f t="shared" si="224"/>
        <v>4907.6955393835442</v>
      </c>
      <c r="M1246" s="23">
        <v>8</v>
      </c>
      <c r="N1246" s="18">
        <f t="shared" si="218"/>
        <v>8.4821917808219176</v>
      </c>
      <c r="O1246" s="23">
        <v>218904.25759845885</v>
      </c>
      <c r="P1246" s="18">
        <f t="shared" si="219"/>
        <v>8.9835616438356158</v>
      </c>
      <c r="Q1246" s="18">
        <v>0</v>
      </c>
      <c r="R1246" s="18">
        <f t="shared" si="217"/>
        <v>218904.25759845885</v>
      </c>
      <c r="S1246" s="18">
        <f>L1246</f>
        <v>4907.6955393835442</v>
      </c>
    </row>
    <row r="1247" spans="1:19" ht="18.75" customHeight="1" x14ac:dyDescent="0.25">
      <c r="A1247" s="14">
        <f t="shared" si="221"/>
        <v>1241</v>
      </c>
      <c r="B1247" s="21" t="s">
        <v>1164</v>
      </c>
      <c r="C1247" s="15" t="s">
        <v>3</v>
      </c>
      <c r="D1247" s="21" t="s">
        <v>1162</v>
      </c>
      <c r="E1247" s="21"/>
      <c r="F1247" s="69" t="s">
        <v>7</v>
      </c>
      <c r="G1247" s="9">
        <v>41258</v>
      </c>
      <c r="H1247" s="22">
        <v>54920.220684930915</v>
      </c>
      <c r="I1247" s="17">
        <v>0</v>
      </c>
      <c r="J1247" s="17">
        <v>0</v>
      </c>
      <c r="K1247" s="17">
        <f t="shared" si="216"/>
        <v>54920.220684930915</v>
      </c>
      <c r="L1247" s="23">
        <f t="shared" si="224"/>
        <v>2746.0110342465459</v>
      </c>
      <c r="M1247" s="23">
        <v>8</v>
      </c>
      <c r="N1247" s="18">
        <f t="shared" si="218"/>
        <v>8.3013698630136989</v>
      </c>
      <c r="O1247" s="23">
        <v>50783.890085616367</v>
      </c>
      <c r="P1247" s="18">
        <f t="shared" si="219"/>
        <v>8.8027397260273972</v>
      </c>
      <c r="Q1247" s="18">
        <v>0</v>
      </c>
      <c r="R1247" s="18">
        <f t="shared" si="217"/>
        <v>50783.890085616367</v>
      </c>
      <c r="S1247" s="18">
        <f t="shared" si="220"/>
        <v>4136.3305993145477</v>
      </c>
    </row>
    <row r="1248" spans="1:19" ht="18.75" customHeight="1" x14ac:dyDescent="0.25">
      <c r="A1248" s="14">
        <f t="shared" si="221"/>
        <v>1242</v>
      </c>
      <c r="B1248" s="21" t="s">
        <v>1165</v>
      </c>
      <c r="C1248" s="15" t="s">
        <v>3</v>
      </c>
      <c r="D1248" s="21" t="s">
        <v>1162</v>
      </c>
      <c r="E1248" s="21"/>
      <c r="F1248" s="69" t="s">
        <v>4</v>
      </c>
      <c r="G1248" s="9">
        <v>41713</v>
      </c>
      <c r="H1248" s="22">
        <v>74490.455136986304</v>
      </c>
      <c r="I1248" s="17">
        <v>0</v>
      </c>
      <c r="J1248" s="17">
        <v>0</v>
      </c>
      <c r="K1248" s="17">
        <f t="shared" si="216"/>
        <v>74490.455136986304</v>
      </c>
      <c r="L1248" s="23">
        <f t="shared" si="224"/>
        <v>3724.5227568493156</v>
      </c>
      <c r="M1248" s="23">
        <v>8</v>
      </c>
      <c r="N1248" s="18">
        <f t="shared" si="218"/>
        <v>7.0547945205479454</v>
      </c>
      <c r="O1248" s="23">
        <v>81661.181892123292</v>
      </c>
      <c r="P1248" s="18">
        <f t="shared" si="219"/>
        <v>7.5561643835616437</v>
      </c>
      <c r="Q1248" s="18">
        <f t="shared" si="222"/>
        <v>4434.9882279332396</v>
      </c>
      <c r="R1248" s="18">
        <f t="shared" si="217"/>
        <v>86096.170120056529</v>
      </c>
      <c r="S1248" s="18">
        <f t="shared" ref="S1248:S1251" si="225">L1248</f>
        <v>3724.5227568493156</v>
      </c>
    </row>
    <row r="1249" spans="1:19" ht="18.75" customHeight="1" x14ac:dyDescent="0.25">
      <c r="A1249" s="14">
        <f t="shared" si="221"/>
        <v>1243</v>
      </c>
      <c r="B1249" s="21" t="s">
        <v>1166</v>
      </c>
      <c r="C1249" s="15" t="s">
        <v>3</v>
      </c>
      <c r="D1249" s="21" t="s">
        <v>1162</v>
      </c>
      <c r="E1249" s="21"/>
      <c r="F1249" s="69" t="s">
        <v>4</v>
      </c>
      <c r="G1249" s="9">
        <v>41238</v>
      </c>
      <c r="H1249" s="29">
        <v>2482.1500000000015</v>
      </c>
      <c r="I1249" s="17">
        <v>0</v>
      </c>
      <c r="J1249" s="17">
        <v>0</v>
      </c>
      <c r="K1249" s="17">
        <f t="shared" si="216"/>
        <v>2482.1500000000015</v>
      </c>
      <c r="L1249" s="23">
        <f t="shared" si="224"/>
        <v>124.10750000000007</v>
      </c>
      <c r="M1249" s="23">
        <v>10</v>
      </c>
      <c r="N1249" s="18">
        <f t="shared" si="218"/>
        <v>8.3561643835616444</v>
      </c>
      <c r="O1249" s="23">
        <v>23580</v>
      </c>
      <c r="P1249" s="18">
        <f t="shared" si="219"/>
        <v>8.8575342465753426</v>
      </c>
      <c r="Q1249" s="18">
        <f t="shared" si="222"/>
        <v>118.22514452054793</v>
      </c>
      <c r="R1249" s="18">
        <f t="shared" si="217"/>
        <v>23698.225144520547</v>
      </c>
      <c r="S1249" s="18">
        <f t="shared" si="225"/>
        <v>124.10750000000007</v>
      </c>
    </row>
    <row r="1250" spans="1:19" ht="18.75" customHeight="1" x14ac:dyDescent="0.25">
      <c r="A1250" s="14">
        <f t="shared" si="221"/>
        <v>1244</v>
      </c>
      <c r="B1250" s="21" t="s">
        <v>1167</v>
      </c>
      <c r="C1250" s="15" t="s">
        <v>3</v>
      </c>
      <c r="D1250" s="21" t="s">
        <v>1162</v>
      </c>
      <c r="E1250" s="21"/>
      <c r="F1250" s="69" t="s">
        <v>4</v>
      </c>
      <c r="G1250" s="9">
        <v>40873</v>
      </c>
      <c r="H1250" s="22">
        <v>1985</v>
      </c>
      <c r="I1250" s="17">
        <v>0</v>
      </c>
      <c r="J1250" s="17">
        <v>0</v>
      </c>
      <c r="K1250" s="17">
        <f t="shared" si="216"/>
        <v>1985</v>
      </c>
      <c r="L1250" s="23">
        <f t="shared" si="224"/>
        <v>99.25</v>
      </c>
      <c r="M1250" s="23">
        <v>10</v>
      </c>
      <c r="N1250" s="18">
        <f t="shared" si="218"/>
        <v>9.3561643835616444</v>
      </c>
      <c r="O1250" s="23">
        <v>18858</v>
      </c>
      <c r="P1250" s="18">
        <f t="shared" si="219"/>
        <v>9.8575342465753426</v>
      </c>
      <c r="Q1250" s="18">
        <f t="shared" si="222"/>
        <v>94.545821917808155</v>
      </c>
      <c r="R1250" s="18">
        <f t="shared" si="217"/>
        <v>18952.545821917807</v>
      </c>
      <c r="S1250" s="18">
        <f t="shared" si="225"/>
        <v>99.25</v>
      </c>
    </row>
    <row r="1251" spans="1:19" ht="18.75" customHeight="1" x14ac:dyDescent="0.25">
      <c r="A1251" s="14">
        <f t="shared" si="221"/>
        <v>1245</v>
      </c>
      <c r="B1251" s="21" t="s">
        <v>1168</v>
      </c>
      <c r="C1251" s="15" t="s">
        <v>3</v>
      </c>
      <c r="D1251" s="21" t="s">
        <v>1162</v>
      </c>
      <c r="E1251" s="21"/>
      <c r="F1251" s="69" t="s">
        <v>4</v>
      </c>
      <c r="G1251" s="9">
        <v>39064</v>
      </c>
      <c r="H1251" s="26">
        <v>1662.1334999999999</v>
      </c>
      <c r="I1251" s="17">
        <v>0</v>
      </c>
      <c r="J1251" s="17">
        <v>0</v>
      </c>
      <c r="K1251" s="17">
        <f t="shared" si="216"/>
        <v>1662.1334999999999</v>
      </c>
      <c r="L1251" s="23">
        <f t="shared" si="224"/>
        <v>83.106674999999996</v>
      </c>
      <c r="M1251" s="23">
        <v>10</v>
      </c>
      <c r="N1251" s="18">
        <f t="shared" si="218"/>
        <v>14.312328767123288</v>
      </c>
      <c r="O1251" s="23">
        <v>31580.536499999998</v>
      </c>
      <c r="P1251" s="18">
        <f t="shared" si="219"/>
        <v>14.813698630136987</v>
      </c>
      <c r="Q1251" s="18">
        <v>0</v>
      </c>
      <c r="R1251" s="18">
        <f t="shared" si="217"/>
        <v>31580.536499999998</v>
      </c>
      <c r="S1251" s="18">
        <f t="shared" si="225"/>
        <v>83.106674999999996</v>
      </c>
    </row>
    <row r="1252" spans="1:19" ht="18.75" customHeight="1" x14ac:dyDescent="0.25">
      <c r="A1252" s="14">
        <f t="shared" si="221"/>
        <v>1246</v>
      </c>
      <c r="B1252" s="21" t="s">
        <v>1168</v>
      </c>
      <c r="C1252" s="15" t="s">
        <v>3</v>
      </c>
      <c r="D1252" s="21" t="s">
        <v>1162</v>
      </c>
      <c r="E1252" s="21"/>
      <c r="F1252" s="69" t="s">
        <v>4</v>
      </c>
      <c r="G1252" s="9">
        <v>42091</v>
      </c>
      <c r="H1252" s="26">
        <v>3966.094383561644</v>
      </c>
      <c r="I1252" s="17">
        <v>0</v>
      </c>
      <c r="J1252" s="17">
        <v>0</v>
      </c>
      <c r="K1252" s="17">
        <f t="shared" si="216"/>
        <v>3966.094383561644</v>
      </c>
      <c r="L1252" s="23">
        <f t="shared" si="224"/>
        <v>198.30471917808222</v>
      </c>
      <c r="M1252" s="23">
        <v>10</v>
      </c>
      <c r="N1252" s="18">
        <f t="shared" si="218"/>
        <v>6.0191780821917806</v>
      </c>
      <c r="O1252" s="23">
        <v>798.56505479452039</v>
      </c>
      <c r="P1252" s="18">
        <f t="shared" si="219"/>
        <v>6.5205479452054798</v>
      </c>
      <c r="Q1252" s="18">
        <f t="shared" si="222"/>
        <v>188.90561878964178</v>
      </c>
      <c r="R1252" s="18">
        <f t="shared" si="217"/>
        <v>987.47067358416211</v>
      </c>
      <c r="S1252" s="18">
        <f t="shared" si="220"/>
        <v>2978.6237099774817</v>
      </c>
    </row>
    <row r="1253" spans="1:19" ht="18.75" customHeight="1" x14ac:dyDescent="0.25">
      <c r="A1253" s="14">
        <f t="shared" si="221"/>
        <v>1247</v>
      </c>
      <c r="B1253" s="21" t="s">
        <v>1161</v>
      </c>
      <c r="C1253" s="15" t="s">
        <v>3</v>
      </c>
      <c r="D1253" s="21" t="s">
        <v>1162</v>
      </c>
      <c r="E1253" s="21"/>
      <c r="F1253" s="69" t="s">
        <v>4</v>
      </c>
      <c r="G1253" s="9">
        <v>41866</v>
      </c>
      <c r="H1253" s="22">
        <v>2703.6054794520546</v>
      </c>
      <c r="I1253" s="17">
        <v>0</v>
      </c>
      <c r="J1253" s="17">
        <v>0</v>
      </c>
      <c r="K1253" s="17">
        <f t="shared" si="216"/>
        <v>2703.6054794520546</v>
      </c>
      <c r="L1253" s="23">
        <f t="shared" si="224"/>
        <v>135.18027397260275</v>
      </c>
      <c r="M1253" s="23">
        <v>10</v>
      </c>
      <c r="N1253" s="18">
        <f t="shared" si="218"/>
        <v>6.6356164383561644</v>
      </c>
      <c r="O1253" s="23">
        <v>750.75506849315082</v>
      </c>
      <c r="P1253" s="18">
        <f t="shared" si="219"/>
        <v>7.1369863013698627</v>
      </c>
      <c r="Q1253" s="18">
        <f t="shared" si="222"/>
        <v>128.77309934321627</v>
      </c>
      <c r="R1253" s="18">
        <f t="shared" si="217"/>
        <v>879.52816783636706</v>
      </c>
      <c r="S1253" s="18">
        <f t="shared" si="220"/>
        <v>1824.0773116156874</v>
      </c>
    </row>
    <row r="1254" spans="1:19" ht="18.75" customHeight="1" x14ac:dyDescent="0.25">
      <c r="A1254" s="14">
        <f t="shared" si="221"/>
        <v>1248</v>
      </c>
      <c r="B1254" s="21" t="s">
        <v>1169</v>
      </c>
      <c r="C1254" s="15" t="s">
        <v>3</v>
      </c>
      <c r="D1254" s="21" t="s">
        <v>1162</v>
      </c>
      <c r="E1254" s="21"/>
      <c r="F1254" s="70" t="s">
        <v>7</v>
      </c>
      <c r="G1254" s="9">
        <v>24473</v>
      </c>
      <c r="H1254" s="22">
        <v>2607.8000000000029</v>
      </c>
      <c r="I1254" s="17">
        <v>0</v>
      </c>
      <c r="J1254" s="17">
        <v>0</v>
      </c>
      <c r="K1254" s="17">
        <f t="shared" si="216"/>
        <v>2607.8000000000029</v>
      </c>
      <c r="L1254" s="23">
        <f t="shared" si="224"/>
        <v>130.39000000000016</v>
      </c>
      <c r="M1254" s="23">
        <v>8</v>
      </c>
      <c r="N1254" s="18">
        <f t="shared" si="218"/>
        <v>54.287671232876711</v>
      </c>
      <c r="O1254" s="23">
        <v>24774.1</v>
      </c>
      <c r="P1254" s="18">
        <f t="shared" si="219"/>
        <v>54.789041095890411</v>
      </c>
      <c r="Q1254" s="18">
        <v>0</v>
      </c>
      <c r="R1254" s="18">
        <f t="shared" si="217"/>
        <v>24774.1</v>
      </c>
      <c r="S1254" s="18">
        <f t="shared" ref="S1254:S1281" si="226">L1254</f>
        <v>130.39000000000016</v>
      </c>
    </row>
    <row r="1255" spans="1:19" ht="18.75" customHeight="1" x14ac:dyDescent="0.25">
      <c r="A1255" s="14">
        <f t="shared" si="221"/>
        <v>1249</v>
      </c>
      <c r="B1255" s="21" t="s">
        <v>1170</v>
      </c>
      <c r="C1255" s="15" t="s">
        <v>3</v>
      </c>
      <c r="D1255" s="21" t="s">
        <v>1162</v>
      </c>
      <c r="E1255" s="21"/>
      <c r="F1255" s="70" t="s">
        <v>7</v>
      </c>
      <c r="G1255" s="9">
        <v>25569</v>
      </c>
      <c r="H1255" s="22">
        <v>2781.0999999999985</v>
      </c>
      <c r="I1255" s="17">
        <v>0</v>
      </c>
      <c r="J1255" s="17">
        <v>0</v>
      </c>
      <c r="K1255" s="17">
        <f t="shared" si="216"/>
        <v>2781.0999999999985</v>
      </c>
      <c r="L1255" s="23">
        <f t="shared" si="224"/>
        <v>139.05499999999992</v>
      </c>
      <c r="M1255" s="23">
        <v>8</v>
      </c>
      <c r="N1255" s="18">
        <f t="shared" si="218"/>
        <v>51.284931506849318</v>
      </c>
      <c r="O1255" s="23">
        <v>26420.45</v>
      </c>
      <c r="P1255" s="18">
        <f t="shared" si="219"/>
        <v>51.786301369863011</v>
      </c>
      <c r="Q1255" s="18">
        <v>0</v>
      </c>
      <c r="R1255" s="18">
        <f t="shared" si="217"/>
        <v>26420.45</v>
      </c>
      <c r="S1255" s="18">
        <f t="shared" si="226"/>
        <v>139.05499999999992</v>
      </c>
    </row>
    <row r="1256" spans="1:19" ht="18.75" customHeight="1" x14ac:dyDescent="0.25">
      <c r="A1256" s="14">
        <f t="shared" si="221"/>
        <v>1250</v>
      </c>
      <c r="B1256" s="21" t="s">
        <v>1171</v>
      </c>
      <c r="C1256" s="15" t="s">
        <v>3</v>
      </c>
      <c r="D1256" s="21" t="s">
        <v>1162</v>
      </c>
      <c r="E1256" s="21"/>
      <c r="F1256" s="69" t="s">
        <v>4</v>
      </c>
      <c r="G1256" s="9">
        <v>27030</v>
      </c>
      <c r="H1256" s="22">
        <v>2248.6999999999971</v>
      </c>
      <c r="I1256" s="17">
        <v>0</v>
      </c>
      <c r="J1256" s="17">
        <v>0</v>
      </c>
      <c r="K1256" s="17">
        <f t="shared" si="216"/>
        <v>2248.6999999999971</v>
      </c>
      <c r="L1256" s="23">
        <f t="shared" si="224"/>
        <v>112.43499999999986</v>
      </c>
      <c r="M1256" s="23">
        <v>8</v>
      </c>
      <c r="N1256" s="18">
        <f t="shared" si="218"/>
        <v>47.282191780821918</v>
      </c>
      <c r="O1256" s="23">
        <v>21362.65</v>
      </c>
      <c r="P1256" s="18">
        <f t="shared" si="219"/>
        <v>47.783561643835618</v>
      </c>
      <c r="Q1256" s="18">
        <v>0</v>
      </c>
      <c r="R1256" s="18">
        <f t="shared" si="217"/>
        <v>21362.65</v>
      </c>
      <c r="S1256" s="18">
        <f t="shared" si="226"/>
        <v>112.43499999999986</v>
      </c>
    </row>
    <row r="1257" spans="1:19" ht="18.75" customHeight="1" x14ac:dyDescent="0.25">
      <c r="A1257" s="14">
        <f t="shared" si="221"/>
        <v>1251</v>
      </c>
      <c r="B1257" s="21" t="s">
        <v>1172</v>
      </c>
      <c r="C1257" s="15" t="s">
        <v>3</v>
      </c>
      <c r="D1257" s="21" t="s">
        <v>1162</v>
      </c>
      <c r="E1257" s="21"/>
      <c r="F1257" s="70" t="s">
        <v>7</v>
      </c>
      <c r="G1257" s="9">
        <v>27030</v>
      </c>
      <c r="H1257" s="22">
        <v>7005.1499999999942</v>
      </c>
      <c r="I1257" s="17">
        <v>0</v>
      </c>
      <c r="J1257" s="17">
        <v>0</v>
      </c>
      <c r="K1257" s="17">
        <f t="shared" si="216"/>
        <v>7005.1499999999942</v>
      </c>
      <c r="L1257" s="23">
        <f t="shared" si="224"/>
        <v>350.25749999999971</v>
      </c>
      <c r="M1257" s="23">
        <v>8</v>
      </c>
      <c r="N1257" s="18">
        <f t="shared" si="218"/>
        <v>47.282191780821918</v>
      </c>
      <c r="O1257" s="23">
        <v>66548.925000000003</v>
      </c>
      <c r="P1257" s="18">
        <f t="shared" si="219"/>
        <v>47.783561643835618</v>
      </c>
      <c r="Q1257" s="18">
        <v>0</v>
      </c>
      <c r="R1257" s="18">
        <f t="shared" si="217"/>
        <v>66548.925000000003</v>
      </c>
      <c r="S1257" s="18">
        <f t="shared" si="226"/>
        <v>350.25749999999971</v>
      </c>
    </row>
    <row r="1258" spans="1:19" ht="18.75" customHeight="1" x14ac:dyDescent="0.25">
      <c r="A1258" s="14">
        <f t="shared" si="221"/>
        <v>1252</v>
      </c>
      <c r="B1258" s="21" t="s">
        <v>1173</v>
      </c>
      <c r="C1258" s="15" t="s">
        <v>3</v>
      </c>
      <c r="D1258" s="21" t="s">
        <v>1162</v>
      </c>
      <c r="E1258" s="21"/>
      <c r="F1258" s="70" t="s">
        <v>7</v>
      </c>
      <c r="G1258" s="9">
        <v>27395</v>
      </c>
      <c r="H1258" s="26">
        <v>1894.5999999999985</v>
      </c>
      <c r="I1258" s="17">
        <v>0</v>
      </c>
      <c r="J1258" s="17">
        <v>0</v>
      </c>
      <c r="K1258" s="17">
        <f t="shared" si="216"/>
        <v>1894.5999999999985</v>
      </c>
      <c r="L1258" s="23">
        <f t="shared" si="224"/>
        <v>94.729999999999933</v>
      </c>
      <c r="M1258" s="23">
        <v>8</v>
      </c>
      <c r="N1258" s="18">
        <f t="shared" si="218"/>
        <v>46.282191780821918</v>
      </c>
      <c r="O1258" s="23">
        <v>17998.7</v>
      </c>
      <c r="P1258" s="18">
        <f t="shared" si="219"/>
        <v>46.783561643835618</v>
      </c>
      <c r="Q1258" s="18">
        <v>0</v>
      </c>
      <c r="R1258" s="18">
        <f t="shared" si="217"/>
        <v>17998.7</v>
      </c>
      <c r="S1258" s="18">
        <f t="shared" si="226"/>
        <v>94.729999999999933</v>
      </c>
    </row>
    <row r="1259" spans="1:19" ht="18.75" customHeight="1" x14ac:dyDescent="0.25">
      <c r="A1259" s="14">
        <f t="shared" si="221"/>
        <v>1253</v>
      </c>
      <c r="B1259" s="21" t="s">
        <v>1174</v>
      </c>
      <c r="C1259" s="15" t="s">
        <v>3</v>
      </c>
      <c r="D1259" s="21" t="s">
        <v>1162</v>
      </c>
      <c r="E1259" s="21"/>
      <c r="F1259" s="70" t="s">
        <v>7</v>
      </c>
      <c r="G1259" s="9">
        <v>27760</v>
      </c>
      <c r="H1259" s="22">
        <v>1614.4500000000007</v>
      </c>
      <c r="I1259" s="17">
        <v>0</v>
      </c>
      <c r="J1259" s="17">
        <v>0</v>
      </c>
      <c r="K1259" s="17">
        <f t="shared" si="216"/>
        <v>1614.4500000000007</v>
      </c>
      <c r="L1259" s="23">
        <f t="shared" si="224"/>
        <v>80.722500000000039</v>
      </c>
      <c r="M1259" s="23">
        <v>8</v>
      </c>
      <c r="N1259" s="18">
        <f t="shared" si="218"/>
        <v>45.282191780821918</v>
      </c>
      <c r="O1259" s="23">
        <v>15337.275</v>
      </c>
      <c r="P1259" s="18">
        <f t="shared" si="219"/>
        <v>45.783561643835618</v>
      </c>
      <c r="Q1259" s="18">
        <v>0</v>
      </c>
      <c r="R1259" s="18">
        <f t="shared" si="217"/>
        <v>15337.275</v>
      </c>
      <c r="S1259" s="18">
        <f t="shared" si="226"/>
        <v>80.722500000000039</v>
      </c>
    </row>
    <row r="1260" spans="1:19" ht="18.75" customHeight="1" x14ac:dyDescent="0.25">
      <c r="A1260" s="14">
        <f t="shared" si="221"/>
        <v>1254</v>
      </c>
      <c r="B1260" s="21" t="s">
        <v>1175</v>
      </c>
      <c r="C1260" s="15" t="s">
        <v>3</v>
      </c>
      <c r="D1260" s="21" t="s">
        <v>1162</v>
      </c>
      <c r="E1260" s="21"/>
      <c r="F1260" s="70" t="s">
        <v>7</v>
      </c>
      <c r="G1260" s="9">
        <v>29952</v>
      </c>
      <c r="H1260" s="22">
        <v>12465.899999999994</v>
      </c>
      <c r="I1260" s="17">
        <v>0</v>
      </c>
      <c r="J1260" s="17">
        <v>0</v>
      </c>
      <c r="K1260" s="17">
        <f t="shared" si="216"/>
        <v>12465.899999999994</v>
      </c>
      <c r="L1260" s="23">
        <f t="shared" si="224"/>
        <v>623.29499999999973</v>
      </c>
      <c r="M1260" s="23">
        <v>8</v>
      </c>
      <c r="N1260" s="18">
        <f t="shared" si="218"/>
        <v>39.276712328767125</v>
      </c>
      <c r="O1260" s="23">
        <v>68426.05</v>
      </c>
      <c r="P1260" s="18">
        <f t="shared" si="219"/>
        <v>39.778082191780825</v>
      </c>
      <c r="Q1260" s="18">
        <v>0</v>
      </c>
      <c r="R1260" s="18">
        <f t="shared" si="217"/>
        <v>68426.05</v>
      </c>
      <c r="S1260" s="18">
        <f t="shared" si="226"/>
        <v>623.29499999999973</v>
      </c>
    </row>
    <row r="1261" spans="1:19" ht="18.75" customHeight="1" x14ac:dyDescent="0.25">
      <c r="A1261" s="14">
        <f t="shared" si="221"/>
        <v>1255</v>
      </c>
      <c r="B1261" s="21" t="s">
        <v>1176</v>
      </c>
      <c r="C1261" s="15" t="s">
        <v>3</v>
      </c>
      <c r="D1261" s="21" t="s">
        <v>1162</v>
      </c>
      <c r="E1261" s="21"/>
      <c r="F1261" s="70" t="s">
        <v>7</v>
      </c>
      <c r="G1261" s="9">
        <v>29952</v>
      </c>
      <c r="H1261" s="22">
        <v>12618.299999999988</v>
      </c>
      <c r="I1261" s="17">
        <v>0</v>
      </c>
      <c r="J1261" s="17">
        <v>0</v>
      </c>
      <c r="K1261" s="17">
        <f t="shared" si="216"/>
        <v>12618.299999999988</v>
      </c>
      <c r="L1261" s="23">
        <f t="shared" si="224"/>
        <v>630.91499999999951</v>
      </c>
      <c r="M1261" s="23">
        <v>8</v>
      </c>
      <c r="N1261" s="18">
        <f t="shared" si="218"/>
        <v>39.276712328767125</v>
      </c>
      <c r="O1261" s="23">
        <v>119873.85</v>
      </c>
      <c r="P1261" s="18">
        <f t="shared" si="219"/>
        <v>39.778082191780825</v>
      </c>
      <c r="Q1261" s="18">
        <v>0</v>
      </c>
      <c r="R1261" s="18">
        <f t="shared" si="217"/>
        <v>119873.85</v>
      </c>
      <c r="S1261" s="18">
        <f t="shared" si="226"/>
        <v>630.91499999999951</v>
      </c>
    </row>
    <row r="1262" spans="1:19" ht="18.75" customHeight="1" x14ac:dyDescent="0.25">
      <c r="A1262" s="14">
        <f t="shared" si="221"/>
        <v>1256</v>
      </c>
      <c r="B1262" s="21" t="s">
        <v>1177</v>
      </c>
      <c r="C1262" s="15" t="s">
        <v>3</v>
      </c>
      <c r="D1262" s="21" t="s">
        <v>1162</v>
      </c>
      <c r="E1262" s="21"/>
      <c r="F1262" s="69" t="s">
        <v>4</v>
      </c>
      <c r="G1262" s="9">
        <v>30682</v>
      </c>
      <c r="H1262" s="22">
        <v>1.7999999999999972</v>
      </c>
      <c r="I1262" s="17">
        <v>0</v>
      </c>
      <c r="J1262" s="17">
        <v>0</v>
      </c>
      <c r="K1262" s="17">
        <f t="shared" si="216"/>
        <v>1.7999999999999972</v>
      </c>
      <c r="L1262" s="23">
        <f t="shared" si="224"/>
        <v>8.9999999999999858E-2</v>
      </c>
      <c r="M1262" s="23">
        <v>10</v>
      </c>
      <c r="N1262" s="18">
        <f t="shared" si="218"/>
        <v>37.276712328767125</v>
      </c>
      <c r="O1262" s="23">
        <v>17.100000000000001</v>
      </c>
      <c r="P1262" s="18">
        <f t="shared" si="219"/>
        <v>37.778082191780825</v>
      </c>
      <c r="Q1262" s="18">
        <v>0</v>
      </c>
      <c r="R1262" s="18">
        <f t="shared" si="217"/>
        <v>17.100000000000001</v>
      </c>
      <c r="S1262" s="18">
        <f t="shared" si="226"/>
        <v>8.9999999999999858E-2</v>
      </c>
    </row>
    <row r="1263" spans="1:19" ht="18.75" customHeight="1" x14ac:dyDescent="0.25">
      <c r="A1263" s="14">
        <f t="shared" si="221"/>
        <v>1257</v>
      </c>
      <c r="B1263" s="21" t="s">
        <v>1177</v>
      </c>
      <c r="C1263" s="15" t="s">
        <v>3</v>
      </c>
      <c r="D1263" s="21" t="s">
        <v>1162</v>
      </c>
      <c r="E1263" s="21"/>
      <c r="F1263" s="69" t="s">
        <v>4</v>
      </c>
      <c r="G1263" s="9">
        <v>31413</v>
      </c>
      <c r="H1263" s="22">
        <v>6.6500000000000057</v>
      </c>
      <c r="I1263" s="17">
        <v>0</v>
      </c>
      <c r="J1263" s="17">
        <v>0</v>
      </c>
      <c r="K1263" s="17">
        <f t="shared" si="216"/>
        <v>6.6500000000000057</v>
      </c>
      <c r="L1263" s="23">
        <f t="shared" si="224"/>
        <v>0.3325000000000003</v>
      </c>
      <c r="M1263" s="23">
        <v>10</v>
      </c>
      <c r="N1263" s="18">
        <f t="shared" si="218"/>
        <v>35.273972602739725</v>
      </c>
      <c r="O1263" s="23">
        <v>63.174999999999997</v>
      </c>
      <c r="P1263" s="18">
        <f t="shared" si="219"/>
        <v>35.775342465753425</v>
      </c>
      <c r="Q1263" s="18">
        <v>0</v>
      </c>
      <c r="R1263" s="18">
        <f t="shared" si="217"/>
        <v>63.174999999999997</v>
      </c>
      <c r="S1263" s="18">
        <f t="shared" si="226"/>
        <v>0.3325000000000003</v>
      </c>
    </row>
    <row r="1264" spans="1:19" ht="18.75" customHeight="1" x14ac:dyDescent="0.25">
      <c r="A1264" s="14">
        <f t="shared" si="221"/>
        <v>1258</v>
      </c>
      <c r="B1264" s="21" t="s">
        <v>1178</v>
      </c>
      <c r="C1264" s="15" t="s">
        <v>3</v>
      </c>
      <c r="D1264" s="21" t="s">
        <v>1162</v>
      </c>
      <c r="E1264" s="21"/>
      <c r="F1264" s="69" t="s">
        <v>4</v>
      </c>
      <c r="G1264" s="9">
        <v>31778</v>
      </c>
      <c r="H1264" s="22">
        <v>115.69999999999982</v>
      </c>
      <c r="I1264" s="17">
        <v>0</v>
      </c>
      <c r="J1264" s="17">
        <v>0</v>
      </c>
      <c r="K1264" s="17">
        <f t="shared" si="216"/>
        <v>115.69999999999982</v>
      </c>
      <c r="L1264" s="23">
        <f t="shared" si="224"/>
        <v>5.7849999999999913</v>
      </c>
      <c r="M1264" s="23">
        <v>10</v>
      </c>
      <c r="N1264" s="18">
        <f t="shared" si="218"/>
        <v>34.273972602739725</v>
      </c>
      <c r="O1264" s="23">
        <v>1099.1500000000001</v>
      </c>
      <c r="P1264" s="18">
        <f t="shared" si="219"/>
        <v>34.775342465753425</v>
      </c>
      <c r="Q1264" s="18">
        <v>0</v>
      </c>
      <c r="R1264" s="18">
        <f t="shared" si="217"/>
        <v>1099.1500000000001</v>
      </c>
      <c r="S1264" s="18">
        <f t="shared" si="226"/>
        <v>5.7849999999999913</v>
      </c>
    </row>
    <row r="1265" spans="1:19" ht="18.75" customHeight="1" x14ac:dyDescent="0.25">
      <c r="A1265" s="14">
        <f t="shared" si="221"/>
        <v>1259</v>
      </c>
      <c r="B1265" s="21" t="s">
        <v>1179</v>
      </c>
      <c r="C1265" s="15" t="s">
        <v>3</v>
      </c>
      <c r="D1265" s="21" t="s">
        <v>1162</v>
      </c>
      <c r="E1265" s="21"/>
      <c r="F1265" s="69" t="s">
        <v>4</v>
      </c>
      <c r="G1265" s="9">
        <v>32143</v>
      </c>
      <c r="H1265" s="22">
        <v>38.5</v>
      </c>
      <c r="I1265" s="17">
        <v>0</v>
      </c>
      <c r="J1265" s="17">
        <v>0</v>
      </c>
      <c r="K1265" s="17">
        <f t="shared" si="216"/>
        <v>38.5</v>
      </c>
      <c r="L1265" s="23">
        <f t="shared" si="224"/>
        <v>1.925</v>
      </c>
      <c r="M1265" s="23">
        <v>10</v>
      </c>
      <c r="N1265" s="18">
        <f t="shared" si="218"/>
        <v>33.273972602739725</v>
      </c>
      <c r="O1265" s="23">
        <v>365.75</v>
      </c>
      <c r="P1265" s="18">
        <f t="shared" si="219"/>
        <v>33.775342465753425</v>
      </c>
      <c r="Q1265" s="18">
        <v>0</v>
      </c>
      <c r="R1265" s="18">
        <f t="shared" si="217"/>
        <v>365.75</v>
      </c>
      <c r="S1265" s="18">
        <f t="shared" si="226"/>
        <v>1.925</v>
      </c>
    </row>
    <row r="1266" spans="1:19" ht="18.75" customHeight="1" x14ac:dyDescent="0.25">
      <c r="A1266" s="14">
        <f t="shared" si="221"/>
        <v>1260</v>
      </c>
      <c r="B1266" s="21" t="s">
        <v>1180</v>
      </c>
      <c r="C1266" s="15" t="s">
        <v>3</v>
      </c>
      <c r="D1266" s="21" t="s">
        <v>1162</v>
      </c>
      <c r="E1266" s="21"/>
      <c r="F1266" s="70" t="s">
        <v>7</v>
      </c>
      <c r="G1266" s="9">
        <v>32143</v>
      </c>
      <c r="H1266" s="22">
        <v>15737.400000000023</v>
      </c>
      <c r="I1266" s="17">
        <v>0</v>
      </c>
      <c r="J1266" s="17">
        <v>0</v>
      </c>
      <c r="K1266" s="17">
        <f t="shared" si="216"/>
        <v>15737.400000000023</v>
      </c>
      <c r="L1266" s="23">
        <f t="shared" si="224"/>
        <v>786.87000000000126</v>
      </c>
      <c r="M1266" s="23">
        <v>8</v>
      </c>
      <c r="N1266" s="18">
        <f t="shared" si="218"/>
        <v>33.273972602739725</v>
      </c>
      <c r="O1266" s="23">
        <v>149505.29999999999</v>
      </c>
      <c r="P1266" s="18">
        <f t="shared" si="219"/>
        <v>33.775342465753425</v>
      </c>
      <c r="Q1266" s="18">
        <v>0</v>
      </c>
      <c r="R1266" s="18">
        <f t="shared" si="217"/>
        <v>149505.29999999999</v>
      </c>
      <c r="S1266" s="18">
        <f t="shared" si="226"/>
        <v>786.87000000000126</v>
      </c>
    </row>
    <row r="1267" spans="1:19" ht="18.75" customHeight="1" x14ac:dyDescent="0.25">
      <c r="A1267" s="14">
        <f t="shared" si="221"/>
        <v>1261</v>
      </c>
      <c r="B1267" s="21" t="s">
        <v>2624</v>
      </c>
      <c r="C1267" s="15" t="s">
        <v>3</v>
      </c>
      <c r="D1267" s="21" t="s">
        <v>1162</v>
      </c>
      <c r="E1267" s="21"/>
      <c r="F1267" s="70" t="s">
        <v>4</v>
      </c>
      <c r="G1267" s="9">
        <v>41244</v>
      </c>
      <c r="H1267" s="22">
        <v>0</v>
      </c>
      <c r="I1267" s="17"/>
      <c r="J1267" s="17">
        <v>0</v>
      </c>
      <c r="K1267" s="17">
        <f t="shared" si="216"/>
        <v>0</v>
      </c>
      <c r="L1267" s="23">
        <f t="shared" si="224"/>
        <v>0</v>
      </c>
      <c r="M1267" s="23"/>
      <c r="N1267" s="18">
        <f t="shared" si="218"/>
        <v>8.3397260273972602</v>
      </c>
      <c r="O1267" s="23">
        <v>0</v>
      </c>
      <c r="P1267" s="18">
        <f t="shared" si="219"/>
        <v>8.8410958904109584</v>
      </c>
      <c r="Q1267" s="18">
        <v>0</v>
      </c>
      <c r="R1267" s="18">
        <f t="shared" si="217"/>
        <v>0</v>
      </c>
      <c r="S1267" s="18">
        <f t="shared" si="226"/>
        <v>0</v>
      </c>
    </row>
    <row r="1268" spans="1:19" ht="18.75" customHeight="1" x14ac:dyDescent="0.25">
      <c r="A1268" s="14">
        <f t="shared" si="221"/>
        <v>1262</v>
      </c>
      <c r="B1268" s="21" t="s">
        <v>1181</v>
      </c>
      <c r="C1268" s="15" t="s">
        <v>3</v>
      </c>
      <c r="D1268" s="21" t="s">
        <v>1162</v>
      </c>
      <c r="E1268" s="21"/>
      <c r="F1268" s="69" t="s">
        <v>4</v>
      </c>
      <c r="G1268" s="9">
        <v>34031</v>
      </c>
      <c r="H1268" s="26">
        <v>1527.2999999999993</v>
      </c>
      <c r="I1268" s="17">
        <v>0</v>
      </c>
      <c r="J1268" s="17">
        <v>0</v>
      </c>
      <c r="K1268" s="17">
        <f t="shared" si="216"/>
        <v>1527.2999999999993</v>
      </c>
      <c r="L1268" s="23">
        <f t="shared" si="224"/>
        <v>76.364999999999966</v>
      </c>
      <c r="M1268" s="23">
        <v>10</v>
      </c>
      <c r="N1268" s="18">
        <f t="shared" si="218"/>
        <v>28.101369863013698</v>
      </c>
      <c r="O1268" s="23">
        <v>14509.35</v>
      </c>
      <c r="P1268" s="18">
        <f t="shared" si="219"/>
        <v>28.602739726027398</v>
      </c>
      <c r="Q1268" s="18">
        <v>0</v>
      </c>
      <c r="R1268" s="18">
        <f t="shared" si="217"/>
        <v>14509.35</v>
      </c>
      <c r="S1268" s="18">
        <f t="shared" si="226"/>
        <v>76.364999999999966</v>
      </c>
    </row>
    <row r="1269" spans="1:19" ht="18.75" customHeight="1" x14ac:dyDescent="0.25">
      <c r="A1269" s="14">
        <f t="shared" si="221"/>
        <v>1263</v>
      </c>
      <c r="B1269" s="21" t="s">
        <v>1182</v>
      </c>
      <c r="C1269" s="15" t="s">
        <v>3</v>
      </c>
      <c r="D1269" s="21" t="s">
        <v>1162</v>
      </c>
      <c r="E1269" s="21"/>
      <c r="F1269" s="69" t="s">
        <v>4</v>
      </c>
      <c r="G1269" s="9">
        <v>34320</v>
      </c>
      <c r="H1269" s="22">
        <v>13713.25</v>
      </c>
      <c r="I1269" s="17">
        <v>0</v>
      </c>
      <c r="J1269" s="17">
        <v>0</v>
      </c>
      <c r="K1269" s="17">
        <f t="shared" si="216"/>
        <v>13713.25</v>
      </c>
      <c r="L1269" s="23">
        <f t="shared" si="224"/>
        <v>685.66250000000002</v>
      </c>
      <c r="M1269" s="23">
        <v>8</v>
      </c>
      <c r="N1269" s="18">
        <f t="shared" si="218"/>
        <v>27.30958904109589</v>
      </c>
      <c r="O1269" s="23">
        <v>130275.875</v>
      </c>
      <c r="P1269" s="18">
        <f t="shared" si="219"/>
        <v>27.81095890410959</v>
      </c>
      <c r="Q1269" s="18">
        <v>0</v>
      </c>
      <c r="R1269" s="18">
        <f t="shared" si="217"/>
        <v>130275.875</v>
      </c>
      <c r="S1269" s="18">
        <f t="shared" si="226"/>
        <v>685.66250000000002</v>
      </c>
    </row>
    <row r="1270" spans="1:19" ht="18.75" customHeight="1" x14ac:dyDescent="0.25">
      <c r="A1270" s="14">
        <f t="shared" si="221"/>
        <v>1264</v>
      </c>
      <c r="B1270" s="21" t="s">
        <v>1183</v>
      </c>
      <c r="C1270" s="15" t="s">
        <v>3</v>
      </c>
      <c r="D1270" s="21" t="s">
        <v>1162</v>
      </c>
      <c r="E1270" s="21"/>
      <c r="F1270" s="69" t="s">
        <v>4</v>
      </c>
      <c r="G1270" s="9">
        <v>34657</v>
      </c>
      <c r="H1270" s="29">
        <v>1827.9499999999971</v>
      </c>
      <c r="I1270" s="17">
        <v>0</v>
      </c>
      <c r="J1270" s="17">
        <v>0</v>
      </c>
      <c r="K1270" s="17">
        <f t="shared" si="216"/>
        <v>1827.9499999999971</v>
      </c>
      <c r="L1270" s="23">
        <f t="shared" si="224"/>
        <v>91.397499999999866</v>
      </c>
      <c r="M1270" s="23">
        <v>10</v>
      </c>
      <c r="N1270" s="18">
        <f t="shared" si="218"/>
        <v>26.386301369863013</v>
      </c>
      <c r="O1270" s="23">
        <v>17365.525000000001</v>
      </c>
      <c r="P1270" s="18">
        <f t="shared" si="219"/>
        <v>26.887671232876713</v>
      </c>
      <c r="Q1270" s="18">
        <v>0</v>
      </c>
      <c r="R1270" s="18">
        <f t="shared" si="217"/>
        <v>17365.525000000001</v>
      </c>
      <c r="S1270" s="18">
        <f t="shared" si="226"/>
        <v>91.397499999999866</v>
      </c>
    </row>
    <row r="1271" spans="1:19" ht="18.75" customHeight="1" x14ac:dyDescent="0.25">
      <c r="A1271" s="14">
        <f t="shared" si="221"/>
        <v>1265</v>
      </c>
      <c r="B1271" s="21" t="s">
        <v>1184</v>
      </c>
      <c r="C1271" s="15" t="s">
        <v>3</v>
      </c>
      <c r="D1271" s="21" t="s">
        <v>1162</v>
      </c>
      <c r="E1271" s="21"/>
      <c r="F1271" s="69" t="s">
        <v>4</v>
      </c>
      <c r="G1271" s="9">
        <v>35209</v>
      </c>
      <c r="H1271" s="22">
        <v>28588.449999999953</v>
      </c>
      <c r="I1271" s="17">
        <v>0</v>
      </c>
      <c r="J1271" s="17">
        <v>0</v>
      </c>
      <c r="K1271" s="17">
        <f t="shared" si="216"/>
        <v>28588.449999999953</v>
      </c>
      <c r="L1271" s="23">
        <f t="shared" si="224"/>
        <v>1429.4224999999979</v>
      </c>
      <c r="M1271" s="23">
        <v>8</v>
      </c>
      <c r="N1271" s="18">
        <f t="shared" si="218"/>
        <v>24.873972602739727</v>
      </c>
      <c r="O1271" s="23">
        <v>271590.27500000002</v>
      </c>
      <c r="P1271" s="18">
        <f t="shared" si="219"/>
        <v>25.375342465753423</v>
      </c>
      <c r="Q1271" s="18">
        <v>0</v>
      </c>
      <c r="R1271" s="18">
        <f t="shared" si="217"/>
        <v>271590.27500000002</v>
      </c>
      <c r="S1271" s="18">
        <f t="shared" si="226"/>
        <v>1429.4224999999979</v>
      </c>
    </row>
    <row r="1272" spans="1:19" ht="18.75" customHeight="1" x14ac:dyDescent="0.25">
      <c r="A1272" s="14">
        <f t="shared" si="221"/>
        <v>1266</v>
      </c>
      <c r="B1272" s="21" t="s">
        <v>1185</v>
      </c>
      <c r="C1272" s="15" t="s">
        <v>3</v>
      </c>
      <c r="D1272" s="21" t="s">
        <v>1162</v>
      </c>
      <c r="E1272" s="21"/>
      <c r="F1272" s="69" t="s">
        <v>4</v>
      </c>
      <c r="G1272" s="9">
        <v>35217</v>
      </c>
      <c r="H1272" s="22">
        <v>25467.599999999977</v>
      </c>
      <c r="I1272" s="17">
        <v>0</v>
      </c>
      <c r="J1272" s="17">
        <v>0</v>
      </c>
      <c r="K1272" s="17">
        <f t="shared" si="216"/>
        <v>25467.599999999977</v>
      </c>
      <c r="L1272" s="23">
        <f t="shared" si="224"/>
        <v>1273.379999999999</v>
      </c>
      <c r="M1272" s="23">
        <v>8</v>
      </c>
      <c r="N1272" s="18">
        <f t="shared" si="218"/>
        <v>24.852054794520548</v>
      </c>
      <c r="O1272" s="23">
        <v>241942.2</v>
      </c>
      <c r="P1272" s="18">
        <f t="shared" si="219"/>
        <v>25.353424657534248</v>
      </c>
      <c r="Q1272" s="18">
        <v>0</v>
      </c>
      <c r="R1272" s="18">
        <f t="shared" si="217"/>
        <v>241942.2</v>
      </c>
      <c r="S1272" s="18">
        <f t="shared" si="226"/>
        <v>1273.379999999999</v>
      </c>
    </row>
    <row r="1273" spans="1:19" ht="18.75" customHeight="1" x14ac:dyDescent="0.25">
      <c r="A1273" s="14">
        <f t="shared" si="221"/>
        <v>1267</v>
      </c>
      <c r="B1273" s="21" t="s">
        <v>1186</v>
      </c>
      <c r="C1273" s="15" t="s">
        <v>3</v>
      </c>
      <c r="D1273" s="21" t="s">
        <v>1162</v>
      </c>
      <c r="E1273" s="21"/>
      <c r="F1273" s="69" t="s">
        <v>4</v>
      </c>
      <c r="G1273" s="9">
        <v>35443</v>
      </c>
      <c r="H1273" s="22">
        <v>2055.75</v>
      </c>
      <c r="I1273" s="17">
        <v>0</v>
      </c>
      <c r="J1273" s="17">
        <v>0</v>
      </c>
      <c r="K1273" s="17">
        <f t="shared" si="216"/>
        <v>2055.75</v>
      </c>
      <c r="L1273" s="23">
        <f t="shared" si="224"/>
        <v>102.78750000000001</v>
      </c>
      <c r="M1273" s="23">
        <v>10</v>
      </c>
      <c r="N1273" s="18">
        <f t="shared" si="218"/>
        <v>24.232876712328768</v>
      </c>
      <c r="O1273" s="23">
        <v>19529.625</v>
      </c>
      <c r="P1273" s="18">
        <f t="shared" si="219"/>
        <v>24.734246575342464</v>
      </c>
      <c r="Q1273" s="18">
        <v>0</v>
      </c>
      <c r="R1273" s="18">
        <f t="shared" si="217"/>
        <v>19529.625</v>
      </c>
      <c r="S1273" s="18">
        <f t="shared" si="226"/>
        <v>102.78750000000001</v>
      </c>
    </row>
    <row r="1274" spans="1:19" ht="18.75" customHeight="1" x14ac:dyDescent="0.25">
      <c r="A1274" s="14">
        <f t="shared" si="221"/>
        <v>1268</v>
      </c>
      <c r="B1274" s="21" t="s">
        <v>1187</v>
      </c>
      <c r="C1274" s="15" t="s">
        <v>3</v>
      </c>
      <c r="D1274" s="21" t="s">
        <v>1162</v>
      </c>
      <c r="E1274" s="21"/>
      <c r="F1274" s="69" t="s">
        <v>4</v>
      </c>
      <c r="G1274" s="9">
        <v>35770</v>
      </c>
      <c r="H1274" s="26">
        <v>13797.599999999977</v>
      </c>
      <c r="I1274" s="17">
        <v>0</v>
      </c>
      <c r="J1274" s="17">
        <v>0</v>
      </c>
      <c r="K1274" s="17">
        <f t="shared" si="216"/>
        <v>13797.599999999977</v>
      </c>
      <c r="L1274" s="23">
        <f t="shared" si="224"/>
        <v>689.87999999999886</v>
      </c>
      <c r="M1274" s="23">
        <v>8</v>
      </c>
      <c r="N1274" s="18">
        <f t="shared" si="218"/>
        <v>23.336986301369862</v>
      </c>
      <c r="O1274" s="23">
        <v>131077.20000000001</v>
      </c>
      <c r="P1274" s="18">
        <f t="shared" si="219"/>
        <v>23.838356164383562</v>
      </c>
      <c r="Q1274" s="18">
        <v>0</v>
      </c>
      <c r="R1274" s="18">
        <f t="shared" si="217"/>
        <v>131077.20000000001</v>
      </c>
      <c r="S1274" s="18">
        <f t="shared" si="226"/>
        <v>689.87999999999886</v>
      </c>
    </row>
    <row r="1275" spans="1:19" ht="18.75" customHeight="1" x14ac:dyDescent="0.25">
      <c r="A1275" s="14">
        <f t="shared" si="221"/>
        <v>1269</v>
      </c>
      <c r="B1275" s="21" t="s">
        <v>1188</v>
      </c>
      <c r="C1275" s="15" t="s">
        <v>3</v>
      </c>
      <c r="D1275" s="21" t="s">
        <v>1162</v>
      </c>
      <c r="E1275" s="21"/>
      <c r="F1275" s="69" t="s">
        <v>4</v>
      </c>
      <c r="G1275" s="9">
        <v>35976</v>
      </c>
      <c r="H1275" s="26">
        <v>358.38950000000023</v>
      </c>
      <c r="I1275" s="17">
        <v>0</v>
      </c>
      <c r="J1275" s="17">
        <v>0</v>
      </c>
      <c r="K1275" s="17">
        <f t="shared" si="216"/>
        <v>358.38950000000023</v>
      </c>
      <c r="L1275" s="23">
        <f t="shared" si="224"/>
        <v>17.919475000000013</v>
      </c>
      <c r="M1275" s="23">
        <v>10</v>
      </c>
      <c r="N1275" s="18">
        <f t="shared" si="218"/>
        <v>22.772602739726029</v>
      </c>
      <c r="O1275" s="23">
        <v>3404.7002499999999</v>
      </c>
      <c r="P1275" s="18">
        <f t="shared" si="219"/>
        <v>23.273972602739725</v>
      </c>
      <c r="Q1275" s="18">
        <v>0</v>
      </c>
      <c r="R1275" s="18">
        <f t="shared" si="217"/>
        <v>3404.7002499999999</v>
      </c>
      <c r="S1275" s="18">
        <f t="shared" si="226"/>
        <v>17.919475000000013</v>
      </c>
    </row>
    <row r="1276" spans="1:19" ht="18.75" customHeight="1" x14ac:dyDescent="0.25">
      <c r="A1276" s="14">
        <f t="shared" si="221"/>
        <v>1270</v>
      </c>
      <c r="B1276" s="21" t="s">
        <v>1189</v>
      </c>
      <c r="C1276" s="15" t="s">
        <v>3</v>
      </c>
      <c r="D1276" s="21" t="s">
        <v>1162</v>
      </c>
      <c r="E1276" s="21"/>
      <c r="F1276" s="69" t="s">
        <v>4</v>
      </c>
      <c r="G1276" s="9">
        <v>36616</v>
      </c>
      <c r="H1276" s="22">
        <v>113.25</v>
      </c>
      <c r="I1276" s="17">
        <v>0</v>
      </c>
      <c r="J1276" s="17">
        <v>0</v>
      </c>
      <c r="K1276" s="17">
        <f t="shared" si="216"/>
        <v>113.25</v>
      </c>
      <c r="L1276" s="23">
        <f t="shared" si="224"/>
        <v>5.6625000000000005</v>
      </c>
      <c r="M1276" s="23">
        <v>10</v>
      </c>
      <c r="N1276" s="18">
        <f t="shared" si="218"/>
        <v>21.019178082191782</v>
      </c>
      <c r="O1276" s="23">
        <v>1075.875</v>
      </c>
      <c r="P1276" s="18">
        <f t="shared" si="219"/>
        <v>21.520547945205479</v>
      </c>
      <c r="Q1276" s="18">
        <v>0</v>
      </c>
      <c r="R1276" s="18">
        <f t="shared" si="217"/>
        <v>1075.875</v>
      </c>
      <c r="S1276" s="18">
        <f t="shared" si="226"/>
        <v>5.6625000000000005</v>
      </c>
    </row>
    <row r="1277" spans="1:19" ht="18.75" customHeight="1" x14ac:dyDescent="0.25">
      <c r="A1277" s="14">
        <f t="shared" si="221"/>
        <v>1271</v>
      </c>
      <c r="B1277" s="21" t="s">
        <v>1161</v>
      </c>
      <c r="C1277" s="15" t="s">
        <v>3</v>
      </c>
      <c r="D1277" s="21" t="s">
        <v>1162</v>
      </c>
      <c r="E1277" s="21"/>
      <c r="F1277" s="69" t="s">
        <v>4</v>
      </c>
      <c r="G1277" s="9">
        <v>36707</v>
      </c>
      <c r="H1277" s="26">
        <v>146.65000000000009</v>
      </c>
      <c r="I1277" s="17">
        <v>0</v>
      </c>
      <c r="J1277" s="17">
        <v>0</v>
      </c>
      <c r="K1277" s="17">
        <f t="shared" si="216"/>
        <v>146.65000000000009</v>
      </c>
      <c r="L1277" s="23">
        <f t="shared" si="224"/>
        <v>7.3325000000000049</v>
      </c>
      <c r="M1277" s="23">
        <v>10</v>
      </c>
      <c r="N1277" s="18">
        <f t="shared" si="218"/>
        <v>20.769863013698629</v>
      </c>
      <c r="O1277" s="23">
        <v>1393.175</v>
      </c>
      <c r="P1277" s="18">
        <f t="shared" si="219"/>
        <v>21.271232876712329</v>
      </c>
      <c r="Q1277" s="18">
        <v>0</v>
      </c>
      <c r="R1277" s="18">
        <f t="shared" si="217"/>
        <v>1393.175</v>
      </c>
      <c r="S1277" s="18">
        <f t="shared" si="226"/>
        <v>7.3325000000000049</v>
      </c>
    </row>
    <row r="1278" spans="1:19" ht="18.75" customHeight="1" x14ac:dyDescent="0.25">
      <c r="A1278" s="14">
        <f t="shared" si="221"/>
        <v>1272</v>
      </c>
      <c r="B1278" s="21" t="s">
        <v>1190</v>
      </c>
      <c r="C1278" s="15" t="s">
        <v>3</v>
      </c>
      <c r="D1278" s="21" t="s">
        <v>1162</v>
      </c>
      <c r="E1278" s="21"/>
      <c r="F1278" s="69" t="s">
        <v>4</v>
      </c>
      <c r="G1278" s="9">
        <v>37257</v>
      </c>
      <c r="H1278" s="22">
        <v>145.84999999999991</v>
      </c>
      <c r="I1278" s="17">
        <v>0</v>
      </c>
      <c r="J1278" s="17">
        <v>0</v>
      </c>
      <c r="K1278" s="17">
        <f t="shared" si="216"/>
        <v>145.84999999999991</v>
      </c>
      <c r="L1278" s="23">
        <f t="shared" si="224"/>
        <v>7.292499999999996</v>
      </c>
      <c r="M1278" s="23">
        <v>10</v>
      </c>
      <c r="N1278" s="18">
        <f t="shared" si="218"/>
        <v>19.263013698630136</v>
      </c>
      <c r="O1278" s="23">
        <v>1385.575</v>
      </c>
      <c r="P1278" s="18">
        <f t="shared" si="219"/>
        <v>19.764383561643836</v>
      </c>
      <c r="Q1278" s="18">
        <v>0</v>
      </c>
      <c r="R1278" s="18">
        <f t="shared" si="217"/>
        <v>1385.575</v>
      </c>
      <c r="S1278" s="18">
        <f t="shared" si="226"/>
        <v>7.292499999999996</v>
      </c>
    </row>
    <row r="1279" spans="1:19" ht="18.75" customHeight="1" x14ac:dyDescent="0.25">
      <c r="A1279" s="14">
        <f t="shared" si="221"/>
        <v>1273</v>
      </c>
      <c r="B1279" s="21" t="s">
        <v>1191</v>
      </c>
      <c r="C1279" s="15" t="s">
        <v>3</v>
      </c>
      <c r="D1279" s="21" t="s">
        <v>1162</v>
      </c>
      <c r="E1279" s="21"/>
      <c r="F1279" s="69" t="s">
        <v>4</v>
      </c>
      <c r="G1279" s="9">
        <v>38385</v>
      </c>
      <c r="H1279" s="22">
        <v>1798.2260000000024</v>
      </c>
      <c r="I1279" s="17">
        <v>0</v>
      </c>
      <c r="J1279" s="17">
        <v>0</v>
      </c>
      <c r="K1279" s="17">
        <f t="shared" si="216"/>
        <v>1798.2260000000024</v>
      </c>
      <c r="L1279" s="23">
        <f t="shared" si="224"/>
        <v>89.911300000000125</v>
      </c>
      <c r="M1279" s="23">
        <v>10</v>
      </c>
      <c r="N1279" s="18">
        <f t="shared" si="218"/>
        <v>16.172602739726027</v>
      </c>
      <c r="O1279" s="23">
        <v>17083.146999999997</v>
      </c>
      <c r="P1279" s="18">
        <f t="shared" si="219"/>
        <v>16.673972602739727</v>
      </c>
      <c r="Q1279" s="18">
        <v>0</v>
      </c>
      <c r="R1279" s="18">
        <f t="shared" si="217"/>
        <v>17083.146999999997</v>
      </c>
      <c r="S1279" s="18">
        <f t="shared" si="226"/>
        <v>89.911300000000125</v>
      </c>
    </row>
    <row r="1280" spans="1:19" ht="18.75" customHeight="1" x14ac:dyDescent="0.25">
      <c r="A1280" s="14">
        <f t="shared" si="221"/>
        <v>1274</v>
      </c>
      <c r="B1280" s="35" t="s">
        <v>1192</v>
      </c>
      <c r="C1280" s="15" t="s">
        <v>3</v>
      </c>
      <c r="D1280" s="21" t="s">
        <v>1162</v>
      </c>
      <c r="E1280" s="21"/>
      <c r="F1280" s="69" t="s">
        <v>4</v>
      </c>
      <c r="G1280" s="36">
        <v>38595</v>
      </c>
      <c r="H1280" s="37">
        <v>25091</v>
      </c>
      <c r="I1280" s="17">
        <v>0</v>
      </c>
      <c r="J1280" s="17">
        <v>0</v>
      </c>
      <c r="K1280" s="17">
        <f t="shared" si="216"/>
        <v>25091</v>
      </c>
      <c r="L1280" s="23">
        <f t="shared" si="224"/>
        <v>1254.5500000000002</v>
      </c>
      <c r="M1280" s="38">
        <v>8</v>
      </c>
      <c r="N1280" s="18">
        <f t="shared" si="218"/>
        <v>15.597260273972603</v>
      </c>
      <c r="O1280" s="23">
        <v>238362.77</v>
      </c>
      <c r="P1280" s="18">
        <f t="shared" si="219"/>
        <v>16.098630136986301</v>
      </c>
      <c r="Q1280" s="18">
        <v>0</v>
      </c>
      <c r="R1280" s="18">
        <f t="shared" si="217"/>
        <v>238362.77</v>
      </c>
      <c r="S1280" s="18">
        <f t="shared" si="226"/>
        <v>1254.5500000000002</v>
      </c>
    </row>
    <row r="1281" spans="1:19" ht="18.75" customHeight="1" x14ac:dyDescent="0.25">
      <c r="A1281" s="14">
        <f t="shared" si="221"/>
        <v>1275</v>
      </c>
      <c r="B1281" s="21" t="s">
        <v>1193</v>
      </c>
      <c r="C1281" s="15" t="s">
        <v>3</v>
      </c>
      <c r="D1281" s="21" t="s">
        <v>1162</v>
      </c>
      <c r="E1281" s="21"/>
      <c r="F1281" s="69" t="s">
        <v>4</v>
      </c>
      <c r="G1281" s="9">
        <v>38970</v>
      </c>
      <c r="H1281" s="29">
        <v>56859</v>
      </c>
      <c r="I1281" s="17">
        <v>0</v>
      </c>
      <c r="J1281" s="17">
        <v>0</v>
      </c>
      <c r="K1281" s="17">
        <f t="shared" si="216"/>
        <v>56859</v>
      </c>
      <c r="L1281" s="23">
        <f t="shared" si="224"/>
        <v>2842.9500000000003</v>
      </c>
      <c r="M1281" s="23">
        <v>8</v>
      </c>
      <c r="N1281" s="18">
        <f t="shared" si="218"/>
        <v>14.56986301369863</v>
      </c>
      <c r="O1281" s="23">
        <v>540160.5</v>
      </c>
      <c r="P1281" s="18">
        <f t="shared" si="219"/>
        <v>15.07123287671233</v>
      </c>
      <c r="Q1281" s="18">
        <v>0</v>
      </c>
      <c r="R1281" s="18">
        <f t="shared" si="217"/>
        <v>540160.5</v>
      </c>
      <c r="S1281" s="18">
        <f t="shared" si="226"/>
        <v>2842.9500000000003</v>
      </c>
    </row>
    <row r="1282" spans="1:19" ht="18.75" customHeight="1" x14ac:dyDescent="0.25">
      <c r="A1282" s="14">
        <f t="shared" si="221"/>
        <v>1276</v>
      </c>
      <c r="B1282" s="21" t="s">
        <v>1185</v>
      </c>
      <c r="C1282" s="15" t="s">
        <v>3</v>
      </c>
      <c r="D1282" s="21" t="s">
        <v>1162</v>
      </c>
      <c r="E1282" s="21"/>
      <c r="F1282" s="69" t="s">
        <v>4</v>
      </c>
      <c r="G1282" s="9">
        <v>42774</v>
      </c>
      <c r="H1282" s="22">
        <v>1308659</v>
      </c>
      <c r="I1282" s="17">
        <v>0</v>
      </c>
      <c r="J1282" s="17"/>
      <c r="K1282" s="17">
        <f t="shared" si="216"/>
        <v>1308659</v>
      </c>
      <c r="L1282" s="23">
        <f t="shared" si="224"/>
        <v>65432.950000000004</v>
      </c>
      <c r="M1282" s="23">
        <v>8</v>
      </c>
      <c r="N1282" s="18">
        <f t="shared" si="218"/>
        <v>4.1479452054794521</v>
      </c>
      <c r="O1282" s="23">
        <v>355403.25624999998</v>
      </c>
      <c r="P1282" s="18">
        <f t="shared" si="219"/>
        <v>4.6493150684931503</v>
      </c>
      <c r="Q1282" s="18">
        <f t="shared" si="222"/>
        <v>77914.509297945144</v>
      </c>
      <c r="R1282" s="18">
        <f t="shared" si="217"/>
        <v>433317.76554794511</v>
      </c>
      <c r="S1282" s="18">
        <f t="shared" si="220"/>
        <v>875341.23445205484</v>
      </c>
    </row>
    <row r="1283" spans="1:19" ht="18.75" customHeight="1" x14ac:dyDescent="0.25">
      <c r="A1283" s="14">
        <f t="shared" si="221"/>
        <v>1277</v>
      </c>
      <c r="B1283" s="21" t="s">
        <v>1194</v>
      </c>
      <c r="C1283" s="15" t="s">
        <v>3</v>
      </c>
      <c r="D1283" s="21" t="s">
        <v>1162</v>
      </c>
      <c r="E1283" s="21"/>
      <c r="F1283" s="69" t="s">
        <v>4</v>
      </c>
      <c r="G1283" s="9">
        <v>42795</v>
      </c>
      <c r="H1283" s="22">
        <v>932963</v>
      </c>
      <c r="I1283" s="17">
        <v>0</v>
      </c>
      <c r="J1283" s="17">
        <v>0</v>
      </c>
      <c r="K1283" s="17">
        <f t="shared" si="216"/>
        <v>932963</v>
      </c>
      <c r="L1283" s="23">
        <f t="shared" si="224"/>
        <v>46648.15</v>
      </c>
      <c r="M1283" s="23">
        <v>8</v>
      </c>
      <c r="N1283" s="18">
        <f t="shared" si="218"/>
        <v>4.0904109589041093</v>
      </c>
      <c r="O1283" s="23">
        <v>160789.35624999995</v>
      </c>
      <c r="P1283" s="18">
        <f t="shared" si="219"/>
        <v>4.5917808219178085</v>
      </c>
      <c r="Q1283" s="18">
        <f t="shared" si="222"/>
        <v>55546.444366438409</v>
      </c>
      <c r="R1283" s="18">
        <f t="shared" si="217"/>
        <v>216335.80061643836</v>
      </c>
      <c r="S1283" s="18">
        <f t="shared" si="220"/>
        <v>716627.19938356162</v>
      </c>
    </row>
    <row r="1284" spans="1:19" ht="18.75" customHeight="1" x14ac:dyDescent="0.25">
      <c r="A1284" s="14">
        <f t="shared" si="221"/>
        <v>1278</v>
      </c>
      <c r="B1284" s="28" t="s">
        <v>1195</v>
      </c>
      <c r="C1284" s="15" t="s">
        <v>3</v>
      </c>
      <c r="D1284" s="21" t="s">
        <v>1162</v>
      </c>
      <c r="E1284" s="21"/>
      <c r="F1284" s="69" t="s">
        <v>4</v>
      </c>
      <c r="G1284" s="25">
        <v>43699</v>
      </c>
      <c r="H1284" s="26">
        <v>1893749.12</v>
      </c>
      <c r="I1284" s="17">
        <v>0</v>
      </c>
      <c r="J1284" s="17">
        <v>0</v>
      </c>
      <c r="K1284" s="17">
        <f t="shared" si="216"/>
        <v>1893749.12</v>
      </c>
      <c r="L1284" s="23">
        <f t="shared" si="224"/>
        <v>94687.456000000006</v>
      </c>
      <c r="M1284" s="23">
        <v>8</v>
      </c>
      <c r="N1284" s="18">
        <f t="shared" si="218"/>
        <v>1.6136986301369862</v>
      </c>
      <c r="O1284" s="23">
        <v>349882.70799999998</v>
      </c>
      <c r="P1284" s="18">
        <f t="shared" si="219"/>
        <v>2.1150684931506851</v>
      </c>
      <c r="Q1284" s="18">
        <f t="shared" si="222"/>
        <v>112749.41250410966</v>
      </c>
      <c r="R1284" s="18">
        <f t="shared" ref="R1284:R1347" si="227">Q1284+O1284</f>
        <v>462632.12050410965</v>
      </c>
      <c r="S1284" s="18">
        <f t="shared" ref="S1284:S1344" si="228">K1284-R1284</f>
        <v>1431116.9994958905</v>
      </c>
    </row>
    <row r="1285" spans="1:19" ht="18.75" customHeight="1" x14ac:dyDescent="0.25">
      <c r="A1285" s="14">
        <f t="shared" si="221"/>
        <v>1279</v>
      </c>
      <c r="B1285" s="28" t="s">
        <v>1196</v>
      </c>
      <c r="C1285" s="15" t="s">
        <v>3</v>
      </c>
      <c r="D1285" s="21" t="s">
        <v>1162</v>
      </c>
      <c r="E1285" s="21"/>
      <c r="F1285" s="69" t="s">
        <v>4</v>
      </c>
      <c r="G1285" s="25">
        <v>43883</v>
      </c>
      <c r="H1285" s="26">
        <v>75633</v>
      </c>
      <c r="I1285" s="17">
        <v>0</v>
      </c>
      <c r="J1285" s="17">
        <v>0</v>
      </c>
      <c r="K1285" s="17">
        <f t="shared" ref="K1285:K1348" si="229">H1285+I1285-J1285</f>
        <v>75633</v>
      </c>
      <c r="L1285" s="23">
        <f t="shared" si="224"/>
        <v>3781.65</v>
      </c>
      <c r="M1285" s="34">
        <v>10</v>
      </c>
      <c r="N1285" s="18">
        <f t="shared" ref="N1285:N1348" si="230">IF(($N$2-G1285+1)/365&gt;0,($N$2-G1285+1)/365,0)</f>
        <v>1.1095890410958904</v>
      </c>
      <c r="O1285" s="23">
        <v>7185.1350000000011</v>
      </c>
      <c r="P1285" s="18">
        <f t="shared" ref="P1285:P1348" si="231">($P$2-G1285+1)/365</f>
        <v>1.6109589041095891</v>
      </c>
      <c r="Q1285" s="18">
        <f t="shared" si="222"/>
        <v>3602.410150684932</v>
      </c>
      <c r="R1285" s="18">
        <f t="shared" si="227"/>
        <v>10787.545150684933</v>
      </c>
      <c r="S1285" s="18">
        <f t="shared" si="228"/>
        <v>64845.454849315065</v>
      </c>
    </row>
    <row r="1286" spans="1:19" ht="18.75" customHeight="1" x14ac:dyDescent="0.25">
      <c r="A1286" s="14">
        <f t="shared" ref="A1286:A1349" si="232">+A1285+1</f>
        <v>1280</v>
      </c>
      <c r="B1286" s="28" t="s">
        <v>1197</v>
      </c>
      <c r="C1286" s="15" t="s">
        <v>3</v>
      </c>
      <c r="D1286" s="21" t="s">
        <v>1162</v>
      </c>
      <c r="E1286" s="21"/>
      <c r="F1286" s="69" t="s">
        <v>4</v>
      </c>
      <c r="G1286" s="25">
        <v>44004</v>
      </c>
      <c r="H1286" s="27">
        <v>1068185.1000000001</v>
      </c>
      <c r="I1286" s="27">
        <v>0</v>
      </c>
      <c r="J1286" s="17">
        <v>0</v>
      </c>
      <c r="K1286" s="17">
        <f t="shared" si="229"/>
        <v>1068185.1000000001</v>
      </c>
      <c r="L1286" s="23">
        <f t="shared" si="224"/>
        <v>53409.255000000005</v>
      </c>
      <c r="M1286" s="34">
        <v>8</v>
      </c>
      <c r="N1286" s="18">
        <f t="shared" si="230"/>
        <v>0.77808219178082194</v>
      </c>
      <c r="O1286" s="23">
        <v>133154.37670547946</v>
      </c>
      <c r="P1286" s="18">
        <f t="shared" si="231"/>
        <v>1.2794520547945205</v>
      </c>
      <c r="Q1286" s="18">
        <f t="shared" si="222"/>
        <v>63597.253299657532</v>
      </c>
      <c r="R1286" s="18">
        <f t="shared" si="227"/>
        <v>196751.63000513701</v>
      </c>
      <c r="S1286" s="18">
        <f t="shared" si="228"/>
        <v>871433.46999486303</v>
      </c>
    </row>
    <row r="1287" spans="1:19" ht="18.75" customHeight="1" x14ac:dyDescent="0.25">
      <c r="A1287" s="14">
        <f t="shared" si="232"/>
        <v>1281</v>
      </c>
      <c r="B1287" s="28" t="s">
        <v>1198</v>
      </c>
      <c r="C1287" s="15" t="s">
        <v>3</v>
      </c>
      <c r="D1287" s="21" t="s">
        <v>1162</v>
      </c>
      <c r="E1287" s="21"/>
      <c r="F1287" s="69" t="s">
        <v>4</v>
      </c>
      <c r="G1287" s="25">
        <v>44246</v>
      </c>
      <c r="H1287" s="27">
        <v>830107.78</v>
      </c>
      <c r="I1287" s="27">
        <v>0</v>
      </c>
      <c r="J1287" s="17">
        <v>0</v>
      </c>
      <c r="K1287" s="17">
        <f t="shared" si="229"/>
        <v>830107.78</v>
      </c>
      <c r="L1287" s="23">
        <f t="shared" si="224"/>
        <v>41505.389000000003</v>
      </c>
      <c r="M1287" s="34">
        <v>8</v>
      </c>
      <c r="N1287" s="18">
        <f t="shared" si="230"/>
        <v>0.11506849315068493</v>
      </c>
      <c r="O1287" s="23">
        <v>11342.911103424658</v>
      </c>
      <c r="P1287" s="18">
        <f t="shared" si="231"/>
        <v>0.61643835616438358</v>
      </c>
      <c r="Q1287" s="18">
        <f t="shared" si="222"/>
        <v>49422.684093493161</v>
      </c>
      <c r="R1287" s="18">
        <f t="shared" si="227"/>
        <v>60765.59519691782</v>
      </c>
      <c r="S1287" s="18">
        <f t="shared" si="228"/>
        <v>769342.18480308226</v>
      </c>
    </row>
    <row r="1288" spans="1:19" ht="18.75" customHeight="1" x14ac:dyDescent="0.25">
      <c r="A1288" s="14">
        <f t="shared" si="232"/>
        <v>1282</v>
      </c>
      <c r="B1288" s="21" t="s">
        <v>1199</v>
      </c>
      <c r="C1288" s="15" t="s">
        <v>3</v>
      </c>
      <c r="D1288" s="21" t="s">
        <v>1200</v>
      </c>
      <c r="E1288" s="21"/>
      <c r="F1288" s="69" t="s">
        <v>4</v>
      </c>
      <c r="G1288" s="9">
        <v>42170</v>
      </c>
      <c r="H1288" s="22">
        <v>44944</v>
      </c>
      <c r="I1288" s="17">
        <v>0</v>
      </c>
      <c r="J1288" s="17">
        <v>0</v>
      </c>
      <c r="K1288" s="17">
        <f t="shared" si="229"/>
        <v>44944</v>
      </c>
      <c r="L1288" s="23">
        <f t="shared" si="224"/>
        <v>2247.2000000000003</v>
      </c>
      <c r="M1288" s="23">
        <v>5</v>
      </c>
      <c r="N1288" s="18">
        <f t="shared" si="230"/>
        <v>5.8027397260273972</v>
      </c>
      <c r="O1288" s="23">
        <v>16514.800000000003</v>
      </c>
      <c r="P1288" s="18">
        <f t="shared" si="231"/>
        <v>6.3041095890410963</v>
      </c>
      <c r="Q1288" s="18">
        <v>0</v>
      </c>
      <c r="R1288" s="18">
        <f t="shared" si="227"/>
        <v>16514.800000000003</v>
      </c>
      <c r="S1288" s="18">
        <f t="shared" si="228"/>
        <v>28429.199999999997</v>
      </c>
    </row>
    <row r="1289" spans="1:19" ht="18.75" customHeight="1" x14ac:dyDescent="0.25">
      <c r="A1289" s="14">
        <f t="shared" si="232"/>
        <v>1283</v>
      </c>
      <c r="B1289" s="21" t="s">
        <v>1201</v>
      </c>
      <c r="C1289" s="15" t="s">
        <v>3</v>
      </c>
      <c r="D1289" s="21" t="s">
        <v>1200</v>
      </c>
      <c r="E1289" s="21"/>
      <c r="F1289" s="69" t="s">
        <v>4</v>
      </c>
      <c r="G1289" s="9">
        <v>42139</v>
      </c>
      <c r="H1289" s="22">
        <v>3974.3919205479451</v>
      </c>
      <c r="I1289" s="17">
        <v>0</v>
      </c>
      <c r="J1289" s="17">
        <v>0</v>
      </c>
      <c r="K1289" s="17">
        <f t="shared" si="229"/>
        <v>3974.3919205479451</v>
      </c>
      <c r="L1289" s="23">
        <f t="shared" si="224"/>
        <v>198.71959602739727</v>
      </c>
      <c r="M1289" s="23">
        <v>5</v>
      </c>
      <c r="N1289" s="18">
        <f t="shared" si="230"/>
        <v>5.8876712328767127</v>
      </c>
      <c r="O1289" s="23">
        <v>1550.4094635616439</v>
      </c>
      <c r="P1289" s="18">
        <f t="shared" si="231"/>
        <v>6.3890410958904109</v>
      </c>
      <c r="Q1289" s="18">
        <v>0</v>
      </c>
      <c r="R1289" s="18">
        <f t="shared" si="227"/>
        <v>1550.4094635616439</v>
      </c>
      <c r="S1289" s="18">
        <f t="shared" si="228"/>
        <v>2423.9824569863013</v>
      </c>
    </row>
    <row r="1290" spans="1:19" ht="18.75" customHeight="1" x14ac:dyDescent="0.25">
      <c r="A1290" s="14">
        <f t="shared" si="232"/>
        <v>1284</v>
      </c>
      <c r="B1290" s="21" t="s">
        <v>1202</v>
      </c>
      <c r="C1290" s="15" t="s">
        <v>3</v>
      </c>
      <c r="D1290" s="21" t="s">
        <v>1200</v>
      </c>
      <c r="E1290" s="21"/>
      <c r="F1290" s="69" t="s">
        <v>4</v>
      </c>
      <c r="G1290" s="9">
        <v>42139</v>
      </c>
      <c r="H1290" s="22">
        <v>55318.890410958906</v>
      </c>
      <c r="I1290" s="17">
        <v>0</v>
      </c>
      <c r="J1290" s="17">
        <v>0</v>
      </c>
      <c r="K1290" s="17">
        <f t="shared" si="229"/>
        <v>55318.890410958906</v>
      </c>
      <c r="L1290" s="23">
        <f t="shared" si="224"/>
        <v>2765.9445205479456</v>
      </c>
      <c r="M1290" s="23">
        <v>5</v>
      </c>
      <c r="N1290" s="18">
        <f t="shared" si="230"/>
        <v>5.8876712328767127</v>
      </c>
      <c r="O1290" s="23">
        <v>21579.887671232878</v>
      </c>
      <c r="P1290" s="18">
        <f t="shared" si="231"/>
        <v>6.3890410958904109</v>
      </c>
      <c r="Q1290" s="18">
        <v>0</v>
      </c>
      <c r="R1290" s="18">
        <f t="shared" si="227"/>
        <v>21579.887671232878</v>
      </c>
      <c r="S1290" s="18">
        <f t="shared" si="228"/>
        <v>33739.002739726027</v>
      </c>
    </row>
    <row r="1291" spans="1:19" ht="18.75" customHeight="1" x14ac:dyDescent="0.25">
      <c r="A1291" s="14">
        <f t="shared" si="232"/>
        <v>1285</v>
      </c>
      <c r="B1291" s="21" t="s">
        <v>1203</v>
      </c>
      <c r="C1291" s="15" t="s">
        <v>3</v>
      </c>
      <c r="D1291" s="21" t="s">
        <v>1200</v>
      </c>
      <c r="E1291" s="21"/>
      <c r="F1291" s="69" t="s">
        <v>4</v>
      </c>
      <c r="G1291" s="9">
        <v>42200</v>
      </c>
      <c r="H1291" s="22">
        <v>12608.8</v>
      </c>
      <c r="I1291" s="17">
        <v>0</v>
      </c>
      <c r="J1291" s="17">
        <v>0</v>
      </c>
      <c r="K1291" s="17">
        <f t="shared" si="229"/>
        <v>12608.8</v>
      </c>
      <c r="L1291" s="23">
        <f t="shared" si="224"/>
        <v>630.44000000000005</v>
      </c>
      <c r="M1291" s="23">
        <v>5</v>
      </c>
      <c r="N1291" s="18">
        <f t="shared" si="230"/>
        <v>5.720547945205479</v>
      </c>
      <c r="O1291" s="23">
        <v>4366.9600000000009</v>
      </c>
      <c r="P1291" s="18">
        <f t="shared" si="231"/>
        <v>6.2219178082191782</v>
      </c>
      <c r="Q1291" s="18">
        <v>0</v>
      </c>
      <c r="R1291" s="18">
        <f t="shared" si="227"/>
        <v>4366.9600000000009</v>
      </c>
      <c r="S1291" s="18">
        <f t="shared" si="228"/>
        <v>8241.8399999999983</v>
      </c>
    </row>
    <row r="1292" spans="1:19" ht="18.75" customHeight="1" x14ac:dyDescent="0.25">
      <c r="A1292" s="14">
        <f t="shared" si="232"/>
        <v>1286</v>
      </c>
      <c r="B1292" s="21" t="s">
        <v>1204</v>
      </c>
      <c r="C1292" s="15" t="s">
        <v>3</v>
      </c>
      <c r="D1292" s="21" t="s">
        <v>1200</v>
      </c>
      <c r="E1292" s="21"/>
      <c r="F1292" s="69" t="s">
        <v>4</v>
      </c>
      <c r="G1292" s="9">
        <v>42231</v>
      </c>
      <c r="H1292" s="22">
        <v>9110.3393742465742</v>
      </c>
      <c r="I1292" s="17">
        <v>0</v>
      </c>
      <c r="J1292" s="17">
        <v>0</v>
      </c>
      <c r="K1292" s="17">
        <f t="shared" si="229"/>
        <v>9110.3393742465742</v>
      </c>
      <c r="L1292" s="23">
        <f t="shared" si="224"/>
        <v>455.51696871232872</v>
      </c>
      <c r="M1292" s="23">
        <v>5</v>
      </c>
      <c r="N1292" s="18">
        <f t="shared" si="230"/>
        <v>5.6356164383561644</v>
      </c>
      <c r="O1292" s="23">
        <v>2963.7329006027403</v>
      </c>
      <c r="P1292" s="18">
        <f t="shared" si="231"/>
        <v>6.1369863013698627</v>
      </c>
      <c r="Q1292" s="18">
        <v>0</v>
      </c>
      <c r="R1292" s="18">
        <f t="shared" si="227"/>
        <v>2963.7329006027403</v>
      </c>
      <c r="S1292" s="18">
        <f t="shared" si="228"/>
        <v>6146.6064736438339</v>
      </c>
    </row>
    <row r="1293" spans="1:19" ht="18.75" customHeight="1" x14ac:dyDescent="0.25">
      <c r="A1293" s="14">
        <f t="shared" si="232"/>
        <v>1287</v>
      </c>
      <c r="B1293" s="21" t="s">
        <v>1205</v>
      </c>
      <c r="C1293" s="15" t="s">
        <v>3</v>
      </c>
      <c r="D1293" s="21" t="s">
        <v>1200</v>
      </c>
      <c r="E1293" s="21"/>
      <c r="F1293" s="69" t="s">
        <v>4</v>
      </c>
      <c r="G1293" s="9">
        <v>42231</v>
      </c>
      <c r="H1293" s="22">
        <v>323749.67980383564</v>
      </c>
      <c r="I1293" s="17">
        <v>0</v>
      </c>
      <c r="J1293" s="17">
        <v>0</v>
      </c>
      <c r="K1293" s="17">
        <f t="shared" si="229"/>
        <v>323749.67980383564</v>
      </c>
      <c r="L1293" s="23">
        <f t="shared" si="224"/>
        <v>16187.483990191782</v>
      </c>
      <c r="M1293" s="23">
        <v>5</v>
      </c>
      <c r="N1293" s="18">
        <f t="shared" si="230"/>
        <v>5.6356164383561644</v>
      </c>
      <c r="O1293" s="23">
        <v>71374.581756931497</v>
      </c>
      <c r="P1293" s="18">
        <f t="shared" si="231"/>
        <v>6.1369863013698627</v>
      </c>
      <c r="Q1293" s="18">
        <v>0</v>
      </c>
      <c r="R1293" s="18">
        <f t="shared" si="227"/>
        <v>71374.581756931497</v>
      </c>
      <c r="S1293" s="18">
        <f t="shared" si="228"/>
        <v>252375.09804690414</v>
      </c>
    </row>
    <row r="1294" spans="1:19" ht="18.75" customHeight="1" x14ac:dyDescent="0.25">
      <c r="A1294" s="14">
        <f t="shared" si="232"/>
        <v>1288</v>
      </c>
      <c r="B1294" s="21" t="s">
        <v>1206</v>
      </c>
      <c r="C1294" s="15" t="s">
        <v>3</v>
      </c>
      <c r="D1294" s="21" t="s">
        <v>1200</v>
      </c>
      <c r="E1294" s="21"/>
      <c r="F1294" s="69" t="s">
        <v>4</v>
      </c>
      <c r="G1294" s="9">
        <v>42231</v>
      </c>
      <c r="H1294" s="22">
        <v>6422.2</v>
      </c>
      <c r="I1294" s="17">
        <v>0</v>
      </c>
      <c r="J1294" s="17">
        <v>0</v>
      </c>
      <c r="K1294" s="17">
        <f t="shared" si="229"/>
        <v>6422.2</v>
      </c>
      <c r="L1294" s="23">
        <f t="shared" si="224"/>
        <v>321.11</v>
      </c>
      <c r="M1294" s="23">
        <v>5</v>
      </c>
      <c r="N1294" s="18">
        <f t="shared" si="230"/>
        <v>5.6356164383561644</v>
      </c>
      <c r="O1294" s="23">
        <v>2089.2400000000002</v>
      </c>
      <c r="P1294" s="18">
        <f t="shared" si="231"/>
        <v>6.1369863013698627</v>
      </c>
      <c r="Q1294" s="18">
        <v>0</v>
      </c>
      <c r="R1294" s="18">
        <f t="shared" si="227"/>
        <v>2089.2400000000002</v>
      </c>
      <c r="S1294" s="18">
        <f t="shared" si="228"/>
        <v>4332.9599999999991</v>
      </c>
    </row>
    <row r="1295" spans="1:19" ht="18.75" customHeight="1" x14ac:dyDescent="0.25">
      <c r="A1295" s="14">
        <f t="shared" si="232"/>
        <v>1289</v>
      </c>
      <c r="B1295" s="21" t="s">
        <v>1203</v>
      </c>
      <c r="C1295" s="15" t="s">
        <v>3</v>
      </c>
      <c r="D1295" s="21" t="s">
        <v>1200</v>
      </c>
      <c r="E1295" s="21"/>
      <c r="F1295" s="69" t="s">
        <v>4</v>
      </c>
      <c r="G1295" s="9">
        <v>42251</v>
      </c>
      <c r="H1295" s="22">
        <v>13352.465753424658</v>
      </c>
      <c r="I1295" s="17">
        <v>0</v>
      </c>
      <c r="J1295" s="17">
        <v>0</v>
      </c>
      <c r="K1295" s="17">
        <f t="shared" si="229"/>
        <v>13352.465753424658</v>
      </c>
      <c r="L1295" s="23">
        <f t="shared" si="224"/>
        <v>667.6232876712329</v>
      </c>
      <c r="M1295" s="23">
        <v>5</v>
      </c>
      <c r="N1295" s="18">
        <f t="shared" si="230"/>
        <v>5.580821917808219</v>
      </c>
      <c r="O1295" s="23">
        <v>4168.0273972602736</v>
      </c>
      <c r="P1295" s="18">
        <f t="shared" si="231"/>
        <v>6.0821917808219181</v>
      </c>
      <c r="Q1295" s="18">
        <v>0</v>
      </c>
      <c r="R1295" s="18">
        <f t="shared" si="227"/>
        <v>4168.0273972602736</v>
      </c>
      <c r="S1295" s="18">
        <f t="shared" si="228"/>
        <v>9184.4383561643845</v>
      </c>
    </row>
    <row r="1296" spans="1:19" ht="18.75" customHeight="1" x14ac:dyDescent="0.25">
      <c r="A1296" s="14">
        <f t="shared" si="232"/>
        <v>1290</v>
      </c>
      <c r="B1296" s="21" t="s">
        <v>1207</v>
      </c>
      <c r="C1296" s="15" t="s">
        <v>3</v>
      </c>
      <c r="D1296" s="21" t="s">
        <v>1200</v>
      </c>
      <c r="E1296" s="21"/>
      <c r="F1296" s="69" t="s">
        <v>4</v>
      </c>
      <c r="G1296" s="9">
        <v>42251</v>
      </c>
      <c r="H1296" s="22">
        <v>1869.345205479452</v>
      </c>
      <c r="I1296" s="17">
        <v>0</v>
      </c>
      <c r="J1296" s="17">
        <v>0</v>
      </c>
      <c r="K1296" s="17">
        <f t="shared" si="229"/>
        <v>1869.345205479452</v>
      </c>
      <c r="L1296" s="23">
        <f t="shared" si="224"/>
        <v>93.467260273972613</v>
      </c>
      <c r="M1296" s="23">
        <v>5</v>
      </c>
      <c r="N1296" s="18">
        <f t="shared" si="230"/>
        <v>5.580821917808219</v>
      </c>
      <c r="O1296" s="23">
        <v>583.52383561643842</v>
      </c>
      <c r="P1296" s="18">
        <f t="shared" si="231"/>
        <v>6.0821917808219181</v>
      </c>
      <c r="Q1296" s="18">
        <v>0</v>
      </c>
      <c r="R1296" s="18">
        <f t="shared" si="227"/>
        <v>583.52383561643842</v>
      </c>
      <c r="S1296" s="18">
        <f t="shared" si="228"/>
        <v>1285.8213698630136</v>
      </c>
    </row>
    <row r="1297" spans="1:19" ht="18.75" customHeight="1" x14ac:dyDescent="0.25">
      <c r="A1297" s="14">
        <f t="shared" si="232"/>
        <v>1291</v>
      </c>
      <c r="B1297" s="21" t="s">
        <v>1199</v>
      </c>
      <c r="C1297" s="15" t="s">
        <v>3</v>
      </c>
      <c r="D1297" s="21" t="s">
        <v>1200</v>
      </c>
      <c r="E1297" s="21"/>
      <c r="F1297" s="69" t="s">
        <v>4</v>
      </c>
      <c r="G1297" s="9">
        <v>42262</v>
      </c>
      <c r="H1297" s="22">
        <v>42017.260273972599</v>
      </c>
      <c r="I1297" s="17">
        <v>0</v>
      </c>
      <c r="J1297" s="17">
        <v>0</v>
      </c>
      <c r="K1297" s="17">
        <f t="shared" si="229"/>
        <v>42017.260273972599</v>
      </c>
      <c r="L1297" s="23">
        <f t="shared" si="224"/>
        <v>2100.8630136986299</v>
      </c>
      <c r="M1297" s="23">
        <v>5</v>
      </c>
      <c r="N1297" s="18">
        <f t="shared" si="230"/>
        <v>5.5506849315068489</v>
      </c>
      <c r="O1297" s="23">
        <v>12817.191780821922</v>
      </c>
      <c r="P1297" s="18">
        <f t="shared" si="231"/>
        <v>6.0520547945205481</v>
      </c>
      <c r="Q1297" s="18">
        <v>0</v>
      </c>
      <c r="R1297" s="18">
        <f t="shared" si="227"/>
        <v>12817.191780821922</v>
      </c>
      <c r="S1297" s="18">
        <f t="shared" si="228"/>
        <v>29200.068493150677</v>
      </c>
    </row>
    <row r="1298" spans="1:19" ht="18.75" customHeight="1" x14ac:dyDescent="0.25">
      <c r="A1298" s="14">
        <f t="shared" si="232"/>
        <v>1292</v>
      </c>
      <c r="B1298" s="21" t="s">
        <v>1208</v>
      </c>
      <c r="C1298" s="15" t="s">
        <v>3</v>
      </c>
      <c r="D1298" s="21" t="s">
        <v>1200</v>
      </c>
      <c r="E1298" s="21"/>
      <c r="F1298" s="69" t="s">
        <v>4</v>
      </c>
      <c r="G1298" s="9">
        <v>42292</v>
      </c>
      <c r="H1298" s="22">
        <v>18138.986301369863</v>
      </c>
      <c r="I1298" s="17">
        <v>0</v>
      </c>
      <c r="J1298" s="17">
        <v>0</v>
      </c>
      <c r="K1298" s="17">
        <f t="shared" si="229"/>
        <v>18138.986301369863</v>
      </c>
      <c r="L1298" s="23">
        <f t="shared" si="224"/>
        <v>906.94931506849321</v>
      </c>
      <c r="M1298" s="23">
        <v>5</v>
      </c>
      <c r="N1298" s="18">
        <f t="shared" si="230"/>
        <v>5.4684931506849317</v>
      </c>
      <c r="O1298" s="23">
        <v>5189.8109589041096</v>
      </c>
      <c r="P1298" s="18">
        <f t="shared" si="231"/>
        <v>5.9698630136986299</v>
      </c>
      <c r="Q1298" s="18">
        <v>0</v>
      </c>
      <c r="R1298" s="18">
        <f t="shared" si="227"/>
        <v>5189.8109589041096</v>
      </c>
      <c r="S1298" s="18">
        <f t="shared" si="228"/>
        <v>12949.175342465755</v>
      </c>
    </row>
    <row r="1299" spans="1:19" ht="18.75" customHeight="1" x14ac:dyDescent="0.25">
      <c r="A1299" s="14">
        <f t="shared" si="232"/>
        <v>1293</v>
      </c>
      <c r="B1299" s="21" t="s">
        <v>1209</v>
      </c>
      <c r="C1299" s="15" t="s">
        <v>3</v>
      </c>
      <c r="D1299" s="21" t="s">
        <v>1200</v>
      </c>
      <c r="E1299" s="21"/>
      <c r="F1299" s="69" t="s">
        <v>4</v>
      </c>
      <c r="G1299" s="9">
        <v>42323</v>
      </c>
      <c r="H1299" s="22">
        <v>25974.027397260274</v>
      </c>
      <c r="I1299" s="17">
        <v>0</v>
      </c>
      <c r="J1299" s="17">
        <v>0</v>
      </c>
      <c r="K1299" s="17">
        <f t="shared" si="229"/>
        <v>25974.027397260274</v>
      </c>
      <c r="L1299" s="23">
        <f t="shared" si="224"/>
        <v>1298.7013698630137</v>
      </c>
      <c r="M1299" s="23">
        <v>5</v>
      </c>
      <c r="N1299" s="18">
        <f t="shared" si="230"/>
        <v>5.3835616438356162</v>
      </c>
      <c r="O1299" s="23">
        <v>6940.7780821917813</v>
      </c>
      <c r="P1299" s="18">
        <f t="shared" si="231"/>
        <v>5.8849315068493153</v>
      </c>
      <c r="Q1299" s="18">
        <v>0</v>
      </c>
      <c r="R1299" s="18">
        <f t="shared" si="227"/>
        <v>6940.7780821917813</v>
      </c>
      <c r="S1299" s="18">
        <f t="shared" si="228"/>
        <v>19033.249315068493</v>
      </c>
    </row>
    <row r="1300" spans="1:19" ht="18.75" customHeight="1" x14ac:dyDescent="0.25">
      <c r="A1300" s="14">
        <f t="shared" si="232"/>
        <v>1294</v>
      </c>
      <c r="B1300" s="21" t="s">
        <v>1209</v>
      </c>
      <c r="C1300" s="15" t="s">
        <v>3</v>
      </c>
      <c r="D1300" s="21" t="s">
        <v>1200</v>
      </c>
      <c r="E1300" s="21"/>
      <c r="F1300" s="69" t="s">
        <v>4</v>
      </c>
      <c r="G1300" s="9">
        <v>42353</v>
      </c>
      <c r="H1300" s="22">
        <v>7144.8570016438362</v>
      </c>
      <c r="I1300" s="17">
        <v>0</v>
      </c>
      <c r="J1300" s="17">
        <v>0</v>
      </c>
      <c r="K1300" s="17">
        <f t="shared" si="229"/>
        <v>7144.8570016438362</v>
      </c>
      <c r="L1300" s="23">
        <f t="shared" si="224"/>
        <v>357.24285008219181</v>
      </c>
      <c r="M1300" s="23">
        <v>5</v>
      </c>
      <c r="N1300" s="18">
        <f t="shared" si="230"/>
        <v>5.3013698630136989</v>
      </c>
      <c r="O1300" s="23">
        <v>1783.0079986849314</v>
      </c>
      <c r="P1300" s="18">
        <f t="shared" si="231"/>
        <v>5.8027397260273972</v>
      </c>
      <c r="Q1300" s="18">
        <v>0</v>
      </c>
      <c r="R1300" s="18">
        <f t="shared" si="227"/>
        <v>1783.0079986849314</v>
      </c>
      <c r="S1300" s="18">
        <f t="shared" si="228"/>
        <v>5361.8490029589047</v>
      </c>
    </row>
    <row r="1301" spans="1:19" ht="18.75" customHeight="1" x14ac:dyDescent="0.25">
      <c r="A1301" s="14">
        <f t="shared" si="232"/>
        <v>1295</v>
      </c>
      <c r="B1301" s="21" t="s">
        <v>1210</v>
      </c>
      <c r="C1301" s="15" t="s">
        <v>3</v>
      </c>
      <c r="D1301" s="21" t="s">
        <v>1200</v>
      </c>
      <c r="E1301" s="21"/>
      <c r="F1301" s="70" t="s">
        <v>7</v>
      </c>
      <c r="G1301" s="9">
        <v>42353</v>
      </c>
      <c r="H1301" s="22">
        <v>98547.117123287666</v>
      </c>
      <c r="I1301" s="17">
        <v>0</v>
      </c>
      <c r="J1301" s="17">
        <v>0</v>
      </c>
      <c r="K1301" s="17">
        <f t="shared" si="229"/>
        <v>98547.117123287666</v>
      </c>
      <c r="L1301" s="23">
        <f t="shared" si="224"/>
        <v>4927.355856164384</v>
      </c>
      <c r="M1301" s="23">
        <v>5</v>
      </c>
      <c r="N1301" s="18">
        <f t="shared" si="230"/>
        <v>5.3013698630136989</v>
      </c>
      <c r="O1301" s="23">
        <v>24592.556301369867</v>
      </c>
      <c r="P1301" s="18">
        <f t="shared" si="231"/>
        <v>5.8027397260273972</v>
      </c>
      <c r="Q1301" s="18">
        <v>0</v>
      </c>
      <c r="R1301" s="18">
        <f t="shared" si="227"/>
        <v>24592.556301369867</v>
      </c>
      <c r="S1301" s="18">
        <f t="shared" si="228"/>
        <v>73954.560821917796</v>
      </c>
    </row>
    <row r="1302" spans="1:19" ht="18.75" customHeight="1" x14ac:dyDescent="0.25">
      <c r="A1302" s="14">
        <f t="shared" si="232"/>
        <v>1296</v>
      </c>
      <c r="B1302" s="21" t="s">
        <v>1211</v>
      </c>
      <c r="C1302" s="15" t="s">
        <v>3</v>
      </c>
      <c r="D1302" s="21" t="s">
        <v>1200</v>
      </c>
      <c r="E1302" s="21"/>
      <c r="F1302" s="70" t="s">
        <v>7</v>
      </c>
      <c r="G1302" s="9">
        <v>42353</v>
      </c>
      <c r="H1302" s="22">
        <v>131004.70315068493</v>
      </c>
      <c r="I1302" s="17">
        <v>0</v>
      </c>
      <c r="J1302" s="17">
        <v>0</v>
      </c>
      <c r="K1302" s="17">
        <f t="shared" si="229"/>
        <v>131004.70315068493</v>
      </c>
      <c r="L1302" s="23">
        <f t="shared" si="224"/>
        <v>6550.2351575342473</v>
      </c>
      <c r="M1302" s="23">
        <v>5</v>
      </c>
      <c r="N1302" s="18">
        <f t="shared" si="230"/>
        <v>5.3013698630136989</v>
      </c>
      <c r="O1302" s="23">
        <v>32692.387479452056</v>
      </c>
      <c r="P1302" s="18">
        <f t="shared" si="231"/>
        <v>5.8027397260273972</v>
      </c>
      <c r="Q1302" s="18">
        <v>0</v>
      </c>
      <c r="R1302" s="18">
        <f t="shared" si="227"/>
        <v>32692.387479452056</v>
      </c>
      <c r="S1302" s="18">
        <f t="shared" si="228"/>
        <v>98312.315671232878</v>
      </c>
    </row>
    <row r="1303" spans="1:19" ht="18.75" customHeight="1" x14ac:dyDescent="0.25">
      <c r="A1303" s="14">
        <f t="shared" si="232"/>
        <v>1297</v>
      </c>
      <c r="B1303" s="21" t="s">
        <v>1212</v>
      </c>
      <c r="C1303" s="15" t="s">
        <v>3</v>
      </c>
      <c r="D1303" s="21" t="s">
        <v>1200</v>
      </c>
      <c r="E1303" s="21"/>
      <c r="F1303" s="69" t="s">
        <v>4</v>
      </c>
      <c r="G1303" s="9">
        <v>42353</v>
      </c>
      <c r="H1303" s="22">
        <v>32047.267808219178</v>
      </c>
      <c r="I1303" s="17">
        <v>0</v>
      </c>
      <c r="J1303" s="17">
        <v>0</v>
      </c>
      <c r="K1303" s="17">
        <f t="shared" si="229"/>
        <v>32047.267808219178</v>
      </c>
      <c r="L1303" s="23">
        <f t="shared" ref="L1303:L1366" si="233">H1303*0.05</f>
        <v>1602.363390410959</v>
      </c>
      <c r="M1303" s="23">
        <v>5</v>
      </c>
      <c r="N1303" s="18">
        <f t="shared" si="230"/>
        <v>5.3013698630136989</v>
      </c>
      <c r="O1303" s="23">
        <v>7997.4357534246583</v>
      </c>
      <c r="P1303" s="18">
        <f t="shared" si="231"/>
        <v>5.8027397260273972</v>
      </c>
      <c r="Q1303" s="18">
        <v>0</v>
      </c>
      <c r="R1303" s="18">
        <f t="shared" si="227"/>
        <v>7997.4357534246583</v>
      </c>
      <c r="S1303" s="18">
        <f t="shared" si="228"/>
        <v>24049.832054794519</v>
      </c>
    </row>
    <row r="1304" spans="1:19" ht="18.75" customHeight="1" x14ac:dyDescent="0.25">
      <c r="A1304" s="14">
        <f t="shared" si="232"/>
        <v>1298</v>
      </c>
      <c r="B1304" s="21" t="s">
        <v>1213</v>
      </c>
      <c r="C1304" s="15" t="s">
        <v>3</v>
      </c>
      <c r="D1304" s="21" t="s">
        <v>1200</v>
      </c>
      <c r="E1304" s="21"/>
      <c r="F1304" s="69" t="s">
        <v>4</v>
      </c>
      <c r="G1304" s="9">
        <v>42362</v>
      </c>
      <c r="H1304" s="22">
        <v>176229.6493150685</v>
      </c>
      <c r="I1304" s="17">
        <v>0</v>
      </c>
      <c r="J1304" s="17">
        <v>0</v>
      </c>
      <c r="K1304" s="17">
        <f t="shared" si="229"/>
        <v>176229.6493150685</v>
      </c>
      <c r="L1304" s="23">
        <f t="shared" si="233"/>
        <v>8811.4824657534245</v>
      </c>
      <c r="M1304" s="23">
        <v>5</v>
      </c>
      <c r="N1304" s="18">
        <f t="shared" si="230"/>
        <v>5.2767123287671236</v>
      </c>
      <c r="O1304" s="23">
        <v>43064.2105479452</v>
      </c>
      <c r="P1304" s="18">
        <f t="shared" si="231"/>
        <v>5.7780821917808218</v>
      </c>
      <c r="Q1304" s="18">
        <v>0</v>
      </c>
      <c r="R1304" s="18">
        <f t="shared" si="227"/>
        <v>43064.2105479452</v>
      </c>
      <c r="S1304" s="18">
        <f t="shared" si="228"/>
        <v>133165.4387671233</v>
      </c>
    </row>
    <row r="1305" spans="1:19" ht="18.75" customHeight="1" x14ac:dyDescent="0.25">
      <c r="A1305" s="14">
        <f t="shared" si="232"/>
        <v>1299</v>
      </c>
      <c r="B1305" s="21" t="s">
        <v>1214</v>
      </c>
      <c r="C1305" s="15" t="s">
        <v>3</v>
      </c>
      <c r="D1305" s="21" t="s">
        <v>1200</v>
      </c>
      <c r="E1305" s="21"/>
      <c r="F1305" s="69" t="s">
        <v>4</v>
      </c>
      <c r="G1305" s="9">
        <v>42384</v>
      </c>
      <c r="H1305" s="22">
        <v>83467.561643835623</v>
      </c>
      <c r="I1305" s="17">
        <v>0</v>
      </c>
      <c r="J1305" s="17">
        <v>0</v>
      </c>
      <c r="K1305" s="17">
        <f t="shared" si="229"/>
        <v>83467.561643835623</v>
      </c>
      <c r="L1305" s="23">
        <f t="shared" si="233"/>
        <v>4173.3780821917817</v>
      </c>
      <c r="M1305" s="23">
        <v>5</v>
      </c>
      <c r="N1305" s="18">
        <f t="shared" si="230"/>
        <v>5.2164383561643834</v>
      </c>
      <c r="O1305" s="23">
        <v>19355.9506849315</v>
      </c>
      <c r="P1305" s="18">
        <f t="shared" si="231"/>
        <v>5.7178082191780826</v>
      </c>
      <c r="Q1305" s="18">
        <v>0</v>
      </c>
      <c r="R1305" s="18">
        <f t="shared" si="227"/>
        <v>19355.9506849315</v>
      </c>
      <c r="S1305" s="18">
        <f t="shared" si="228"/>
        <v>64111.610958904123</v>
      </c>
    </row>
    <row r="1306" spans="1:19" ht="18.75" customHeight="1" x14ac:dyDescent="0.25">
      <c r="A1306" s="14">
        <f t="shared" si="232"/>
        <v>1300</v>
      </c>
      <c r="B1306" s="21" t="s">
        <v>1215</v>
      </c>
      <c r="C1306" s="15" t="s">
        <v>3</v>
      </c>
      <c r="D1306" s="21" t="s">
        <v>1200</v>
      </c>
      <c r="E1306" s="21"/>
      <c r="F1306" s="69" t="s">
        <v>4</v>
      </c>
      <c r="G1306" s="9">
        <v>42384</v>
      </c>
      <c r="H1306" s="22">
        <v>153119.08319178081</v>
      </c>
      <c r="I1306" s="17">
        <v>0</v>
      </c>
      <c r="J1306" s="17">
        <v>0</v>
      </c>
      <c r="K1306" s="17">
        <f t="shared" si="229"/>
        <v>153119.08319178081</v>
      </c>
      <c r="L1306" s="23">
        <f t="shared" si="233"/>
        <v>7655.9541595890405</v>
      </c>
      <c r="M1306" s="23">
        <v>5</v>
      </c>
      <c r="N1306" s="18">
        <f t="shared" si="230"/>
        <v>5.2164383561643834</v>
      </c>
      <c r="O1306" s="23">
        <v>35507.990946575359</v>
      </c>
      <c r="P1306" s="18">
        <f t="shared" si="231"/>
        <v>5.7178082191780826</v>
      </c>
      <c r="Q1306" s="18">
        <v>0</v>
      </c>
      <c r="R1306" s="18">
        <f t="shared" si="227"/>
        <v>35507.990946575359</v>
      </c>
      <c r="S1306" s="18">
        <f t="shared" si="228"/>
        <v>117611.09224520545</v>
      </c>
    </row>
    <row r="1307" spans="1:19" ht="18.75" customHeight="1" x14ac:dyDescent="0.25">
      <c r="A1307" s="14">
        <f t="shared" si="232"/>
        <v>1301</v>
      </c>
      <c r="B1307" s="21" t="s">
        <v>1216</v>
      </c>
      <c r="C1307" s="15" t="s">
        <v>3</v>
      </c>
      <c r="D1307" s="21" t="s">
        <v>1200</v>
      </c>
      <c r="E1307" s="21"/>
      <c r="F1307" s="69" t="s">
        <v>4</v>
      </c>
      <c r="G1307" s="9">
        <v>42384</v>
      </c>
      <c r="H1307" s="22">
        <v>380881.2208093151</v>
      </c>
      <c r="I1307" s="17">
        <v>0</v>
      </c>
      <c r="J1307" s="17">
        <v>0</v>
      </c>
      <c r="K1307" s="17">
        <f t="shared" si="229"/>
        <v>380881.2208093151</v>
      </c>
      <c r="L1307" s="23">
        <f t="shared" si="233"/>
        <v>19044.061040465756</v>
      </c>
      <c r="M1307" s="23">
        <v>5</v>
      </c>
      <c r="N1307" s="18">
        <f t="shared" si="230"/>
        <v>5.2164383561643834</v>
      </c>
      <c r="O1307" s="23">
        <v>88325.548052547951</v>
      </c>
      <c r="P1307" s="18">
        <f t="shared" si="231"/>
        <v>5.7178082191780826</v>
      </c>
      <c r="Q1307" s="18">
        <v>0</v>
      </c>
      <c r="R1307" s="18">
        <f t="shared" si="227"/>
        <v>88325.548052547951</v>
      </c>
      <c r="S1307" s="18">
        <f t="shared" si="228"/>
        <v>292555.67275676713</v>
      </c>
    </row>
    <row r="1308" spans="1:19" ht="18.75" customHeight="1" x14ac:dyDescent="0.25">
      <c r="A1308" s="14">
        <f t="shared" si="232"/>
        <v>1302</v>
      </c>
      <c r="B1308" s="21" t="s">
        <v>1217</v>
      </c>
      <c r="C1308" s="15" t="s">
        <v>3</v>
      </c>
      <c r="D1308" s="21" t="s">
        <v>1200</v>
      </c>
      <c r="E1308" s="21"/>
      <c r="F1308" s="70" t="s">
        <v>7</v>
      </c>
      <c r="G1308" s="9">
        <v>42384</v>
      </c>
      <c r="H1308" s="22">
        <v>52886.773972602743</v>
      </c>
      <c r="I1308" s="17">
        <v>0</v>
      </c>
      <c r="J1308" s="17">
        <v>0</v>
      </c>
      <c r="K1308" s="17">
        <f t="shared" si="229"/>
        <v>52886.773972602743</v>
      </c>
      <c r="L1308" s="23">
        <f t="shared" si="233"/>
        <v>2644.3386986301375</v>
      </c>
      <c r="M1308" s="23">
        <v>5</v>
      </c>
      <c r="N1308" s="18">
        <f t="shared" si="230"/>
        <v>5.2164383561643834</v>
      </c>
      <c r="O1308" s="23">
        <v>12264.330821917807</v>
      </c>
      <c r="P1308" s="18">
        <f t="shared" si="231"/>
        <v>5.7178082191780826</v>
      </c>
      <c r="Q1308" s="18">
        <v>0</v>
      </c>
      <c r="R1308" s="18">
        <f t="shared" si="227"/>
        <v>12264.330821917807</v>
      </c>
      <c r="S1308" s="18">
        <f t="shared" si="228"/>
        <v>40622.443150684936</v>
      </c>
    </row>
    <row r="1309" spans="1:19" ht="18.75" customHeight="1" x14ac:dyDescent="0.25">
      <c r="A1309" s="14">
        <f t="shared" si="232"/>
        <v>1303</v>
      </c>
      <c r="B1309" s="21" t="s">
        <v>1218</v>
      </c>
      <c r="C1309" s="15" t="s">
        <v>3</v>
      </c>
      <c r="D1309" s="21" t="s">
        <v>1200</v>
      </c>
      <c r="E1309" s="21"/>
      <c r="F1309" s="70" t="s">
        <v>7</v>
      </c>
      <c r="G1309" s="9">
        <v>42384</v>
      </c>
      <c r="H1309" s="22">
        <v>29213.646575342467</v>
      </c>
      <c r="I1309" s="17">
        <v>0</v>
      </c>
      <c r="J1309" s="17">
        <v>0</v>
      </c>
      <c r="K1309" s="17">
        <f t="shared" si="229"/>
        <v>29213.646575342467</v>
      </c>
      <c r="L1309" s="23">
        <f t="shared" si="233"/>
        <v>1460.6823287671234</v>
      </c>
      <c r="M1309" s="23">
        <v>5</v>
      </c>
      <c r="N1309" s="18">
        <f t="shared" si="230"/>
        <v>5.2164383561643834</v>
      </c>
      <c r="O1309" s="23">
        <v>6774.5827397260264</v>
      </c>
      <c r="P1309" s="18">
        <f t="shared" si="231"/>
        <v>5.7178082191780826</v>
      </c>
      <c r="Q1309" s="18">
        <v>0</v>
      </c>
      <c r="R1309" s="18">
        <f t="shared" si="227"/>
        <v>6774.5827397260264</v>
      </c>
      <c r="S1309" s="18">
        <f t="shared" si="228"/>
        <v>22439.063835616442</v>
      </c>
    </row>
    <row r="1310" spans="1:19" ht="18.75" customHeight="1" x14ac:dyDescent="0.25">
      <c r="A1310" s="14">
        <f t="shared" si="232"/>
        <v>1304</v>
      </c>
      <c r="B1310" s="21" t="s">
        <v>1219</v>
      </c>
      <c r="C1310" s="15" t="s">
        <v>3</v>
      </c>
      <c r="D1310" s="21" t="s">
        <v>1200</v>
      </c>
      <c r="E1310" s="21"/>
      <c r="F1310" s="69" t="s">
        <v>4</v>
      </c>
      <c r="G1310" s="9">
        <v>42415</v>
      </c>
      <c r="H1310" s="22">
        <v>154915.05297369862</v>
      </c>
      <c r="I1310" s="17">
        <v>0</v>
      </c>
      <c r="J1310" s="17">
        <v>0</v>
      </c>
      <c r="K1310" s="17">
        <f t="shared" si="229"/>
        <v>154915.05297369862</v>
      </c>
      <c r="L1310" s="23">
        <f t="shared" si="233"/>
        <v>7745.752648684931</v>
      </c>
      <c r="M1310" s="23">
        <v>5</v>
      </c>
      <c r="N1310" s="18">
        <f t="shared" si="230"/>
        <v>5.1315068493150688</v>
      </c>
      <c r="O1310" s="23">
        <v>33280.175421041102</v>
      </c>
      <c r="P1310" s="18">
        <f t="shared" si="231"/>
        <v>5.6328767123287671</v>
      </c>
      <c r="Q1310" s="18">
        <v>0</v>
      </c>
      <c r="R1310" s="18">
        <f t="shared" si="227"/>
        <v>33280.175421041102</v>
      </c>
      <c r="S1310" s="18">
        <f t="shared" si="228"/>
        <v>121634.87755265752</v>
      </c>
    </row>
    <row r="1311" spans="1:19" ht="18.75" customHeight="1" x14ac:dyDescent="0.25">
      <c r="A1311" s="14">
        <f t="shared" si="232"/>
        <v>1305</v>
      </c>
      <c r="B1311" s="21" t="s">
        <v>1220</v>
      </c>
      <c r="C1311" s="15" t="s">
        <v>3</v>
      </c>
      <c r="D1311" s="21" t="s">
        <v>1200</v>
      </c>
      <c r="E1311" s="21"/>
      <c r="F1311" s="69" t="s">
        <v>4</v>
      </c>
      <c r="G1311" s="9">
        <v>42415</v>
      </c>
      <c r="H1311" s="22">
        <v>10384.56205479452</v>
      </c>
      <c r="I1311" s="17">
        <v>0</v>
      </c>
      <c r="J1311" s="17">
        <v>0</v>
      </c>
      <c r="K1311" s="17">
        <f t="shared" si="229"/>
        <v>10384.56205479452</v>
      </c>
      <c r="L1311" s="23">
        <f t="shared" si="233"/>
        <v>519.22810273972607</v>
      </c>
      <c r="M1311" s="23">
        <v>5</v>
      </c>
      <c r="N1311" s="18">
        <f t="shared" si="230"/>
        <v>5.1315068493150688</v>
      </c>
      <c r="O1311" s="23">
        <v>2230.900356164384</v>
      </c>
      <c r="P1311" s="18">
        <f t="shared" si="231"/>
        <v>5.6328767123287671</v>
      </c>
      <c r="Q1311" s="18">
        <v>0</v>
      </c>
      <c r="R1311" s="18">
        <f t="shared" si="227"/>
        <v>2230.900356164384</v>
      </c>
      <c r="S1311" s="18">
        <f t="shared" si="228"/>
        <v>8153.661698630136</v>
      </c>
    </row>
    <row r="1312" spans="1:19" ht="18.75" customHeight="1" x14ac:dyDescent="0.25">
      <c r="A1312" s="14">
        <f t="shared" si="232"/>
        <v>1306</v>
      </c>
      <c r="B1312" s="21" t="s">
        <v>1221</v>
      </c>
      <c r="C1312" s="15" t="s">
        <v>3</v>
      </c>
      <c r="D1312" s="21" t="s">
        <v>1200</v>
      </c>
      <c r="E1312" s="21"/>
      <c r="F1312" s="69" t="s">
        <v>4</v>
      </c>
      <c r="G1312" s="9">
        <v>42415</v>
      </c>
      <c r="H1312" s="22">
        <v>15608.547945205479</v>
      </c>
      <c r="I1312" s="17">
        <v>0</v>
      </c>
      <c r="J1312" s="17">
        <v>0</v>
      </c>
      <c r="K1312" s="17">
        <f t="shared" si="229"/>
        <v>15608.547945205479</v>
      </c>
      <c r="L1312" s="23">
        <f t="shared" si="233"/>
        <v>780.42739726027401</v>
      </c>
      <c r="M1312" s="23">
        <v>5</v>
      </c>
      <c r="N1312" s="18">
        <f t="shared" si="230"/>
        <v>5.1315068493150688</v>
      </c>
      <c r="O1312" s="23">
        <v>3353.1616438356173</v>
      </c>
      <c r="P1312" s="18">
        <f t="shared" si="231"/>
        <v>5.6328767123287671</v>
      </c>
      <c r="Q1312" s="18">
        <v>0</v>
      </c>
      <c r="R1312" s="18">
        <f t="shared" si="227"/>
        <v>3353.1616438356173</v>
      </c>
      <c r="S1312" s="18">
        <f t="shared" si="228"/>
        <v>12255.386301369861</v>
      </c>
    </row>
    <row r="1313" spans="1:19" ht="18.75" customHeight="1" x14ac:dyDescent="0.25">
      <c r="A1313" s="14">
        <f t="shared" si="232"/>
        <v>1307</v>
      </c>
      <c r="B1313" s="21" t="s">
        <v>1222</v>
      </c>
      <c r="C1313" s="15" t="s">
        <v>3</v>
      </c>
      <c r="D1313" s="21" t="s">
        <v>1200</v>
      </c>
      <c r="E1313" s="21"/>
      <c r="F1313" s="69" t="s">
        <v>4</v>
      </c>
      <c r="G1313" s="9">
        <v>42415</v>
      </c>
      <c r="H1313" s="22">
        <v>40405.213968493154</v>
      </c>
      <c r="I1313" s="17">
        <v>0</v>
      </c>
      <c r="J1313" s="17">
        <v>0</v>
      </c>
      <c r="K1313" s="17">
        <f t="shared" si="229"/>
        <v>40405.213968493154</v>
      </c>
      <c r="L1313" s="23">
        <f t="shared" si="233"/>
        <v>2020.2606984246577</v>
      </c>
      <c r="M1313" s="23">
        <v>5</v>
      </c>
      <c r="N1313" s="18">
        <f t="shared" si="230"/>
        <v>5.1315068493150688</v>
      </c>
      <c r="O1313" s="23">
        <v>8680.1933252054805</v>
      </c>
      <c r="P1313" s="18">
        <f t="shared" si="231"/>
        <v>5.6328767123287671</v>
      </c>
      <c r="Q1313" s="18">
        <v>0</v>
      </c>
      <c r="R1313" s="18">
        <f t="shared" si="227"/>
        <v>8680.1933252054805</v>
      </c>
      <c r="S1313" s="18">
        <f t="shared" si="228"/>
        <v>31725.020643287673</v>
      </c>
    </row>
    <row r="1314" spans="1:19" ht="18.75" customHeight="1" x14ac:dyDescent="0.25">
      <c r="A1314" s="14">
        <f t="shared" si="232"/>
        <v>1308</v>
      </c>
      <c r="B1314" s="21" t="s">
        <v>1223</v>
      </c>
      <c r="C1314" s="15" t="s">
        <v>3</v>
      </c>
      <c r="D1314" s="21" t="s">
        <v>1200</v>
      </c>
      <c r="E1314" s="21"/>
      <c r="F1314" s="69" t="s">
        <v>4</v>
      </c>
      <c r="G1314" s="9">
        <v>42415</v>
      </c>
      <c r="H1314" s="22">
        <v>48256.098967397265</v>
      </c>
      <c r="I1314" s="17">
        <v>0</v>
      </c>
      <c r="J1314" s="17">
        <v>0</v>
      </c>
      <c r="K1314" s="17">
        <f t="shared" si="229"/>
        <v>48256.098967397265</v>
      </c>
      <c r="L1314" s="23">
        <f t="shared" si="233"/>
        <v>2412.8049483698633</v>
      </c>
      <c r="M1314" s="23">
        <v>5</v>
      </c>
      <c r="N1314" s="18">
        <f t="shared" si="230"/>
        <v>5.1315068493150688</v>
      </c>
      <c r="O1314" s="23">
        <v>10366.787526082189</v>
      </c>
      <c r="P1314" s="18">
        <f t="shared" si="231"/>
        <v>5.6328767123287671</v>
      </c>
      <c r="Q1314" s="18">
        <v>0</v>
      </c>
      <c r="R1314" s="18">
        <f t="shared" si="227"/>
        <v>10366.787526082189</v>
      </c>
      <c r="S1314" s="18">
        <f t="shared" si="228"/>
        <v>37889.311441315076</v>
      </c>
    </row>
    <row r="1315" spans="1:19" ht="18.75" customHeight="1" x14ac:dyDescent="0.25">
      <c r="A1315" s="14">
        <f t="shared" si="232"/>
        <v>1309</v>
      </c>
      <c r="B1315" s="21" t="s">
        <v>1224</v>
      </c>
      <c r="C1315" s="15" t="s">
        <v>3</v>
      </c>
      <c r="D1315" s="21" t="s">
        <v>1200</v>
      </c>
      <c r="E1315" s="21"/>
      <c r="F1315" s="69" t="s">
        <v>4</v>
      </c>
      <c r="G1315" s="9">
        <v>42415</v>
      </c>
      <c r="H1315" s="22">
        <v>254552.87238986304</v>
      </c>
      <c r="I1315" s="17">
        <v>0</v>
      </c>
      <c r="J1315" s="17">
        <v>0</v>
      </c>
      <c r="K1315" s="17">
        <f t="shared" si="229"/>
        <v>254552.87238986304</v>
      </c>
      <c r="L1315" s="23">
        <f t="shared" si="233"/>
        <v>12727.643619493152</v>
      </c>
      <c r="M1315" s="23">
        <v>5</v>
      </c>
      <c r="N1315" s="18">
        <f t="shared" si="230"/>
        <v>5.1315068493150688</v>
      </c>
      <c r="O1315" s="23">
        <v>54685.223188109579</v>
      </c>
      <c r="P1315" s="18">
        <f t="shared" si="231"/>
        <v>5.6328767123287671</v>
      </c>
      <c r="Q1315" s="18">
        <v>0</v>
      </c>
      <c r="R1315" s="18">
        <f t="shared" si="227"/>
        <v>54685.223188109579</v>
      </c>
      <c r="S1315" s="18">
        <f t="shared" si="228"/>
        <v>199867.64920175346</v>
      </c>
    </row>
    <row r="1316" spans="1:19" ht="18.75" customHeight="1" x14ac:dyDescent="0.25">
      <c r="A1316" s="14">
        <f t="shared" si="232"/>
        <v>1310</v>
      </c>
      <c r="B1316" s="21" t="s">
        <v>1225</v>
      </c>
      <c r="C1316" s="15" t="s">
        <v>3</v>
      </c>
      <c r="D1316" s="21" t="s">
        <v>1200</v>
      </c>
      <c r="E1316" s="21"/>
      <c r="F1316" s="69" t="s">
        <v>4</v>
      </c>
      <c r="G1316" s="9">
        <v>42415</v>
      </c>
      <c r="H1316" s="22">
        <v>11014.981550958904</v>
      </c>
      <c r="I1316" s="17">
        <v>0</v>
      </c>
      <c r="J1316" s="17">
        <v>0</v>
      </c>
      <c r="K1316" s="17">
        <f t="shared" si="229"/>
        <v>11014.981550958904</v>
      </c>
      <c r="L1316" s="23">
        <f t="shared" si="233"/>
        <v>550.74907754794526</v>
      </c>
      <c r="M1316" s="23">
        <v>5</v>
      </c>
      <c r="N1316" s="18">
        <f t="shared" si="230"/>
        <v>5.1315068493150688</v>
      </c>
      <c r="O1316" s="23">
        <v>2366.3324592328763</v>
      </c>
      <c r="P1316" s="18">
        <f t="shared" si="231"/>
        <v>5.6328767123287671</v>
      </c>
      <c r="Q1316" s="18">
        <v>0</v>
      </c>
      <c r="R1316" s="18">
        <f t="shared" si="227"/>
        <v>2366.3324592328763</v>
      </c>
      <c r="S1316" s="18">
        <f t="shared" si="228"/>
        <v>8648.6490917260271</v>
      </c>
    </row>
    <row r="1317" spans="1:19" ht="18.75" customHeight="1" x14ac:dyDescent="0.25">
      <c r="A1317" s="14">
        <f t="shared" si="232"/>
        <v>1311</v>
      </c>
      <c r="B1317" s="21" t="s">
        <v>1226</v>
      </c>
      <c r="C1317" s="15" t="s">
        <v>3</v>
      </c>
      <c r="D1317" s="21" t="s">
        <v>1200</v>
      </c>
      <c r="E1317" s="21"/>
      <c r="F1317" s="69" t="s">
        <v>4</v>
      </c>
      <c r="G1317" s="9">
        <v>42415</v>
      </c>
      <c r="H1317" s="22">
        <v>10730.876712328767</v>
      </c>
      <c r="I1317" s="17">
        <v>0</v>
      </c>
      <c r="J1317" s="17">
        <v>0</v>
      </c>
      <c r="K1317" s="17">
        <f t="shared" si="229"/>
        <v>10730.876712328767</v>
      </c>
      <c r="L1317" s="23">
        <f t="shared" si="233"/>
        <v>536.5438356164384</v>
      </c>
      <c r="M1317" s="23">
        <v>5</v>
      </c>
      <c r="N1317" s="18">
        <f t="shared" si="230"/>
        <v>5.1315068493150688</v>
      </c>
      <c r="O1317" s="23">
        <v>2305.2986301369865</v>
      </c>
      <c r="P1317" s="18">
        <f t="shared" si="231"/>
        <v>5.6328767123287671</v>
      </c>
      <c r="Q1317" s="18">
        <v>0</v>
      </c>
      <c r="R1317" s="18">
        <f t="shared" si="227"/>
        <v>2305.2986301369865</v>
      </c>
      <c r="S1317" s="18">
        <f t="shared" si="228"/>
        <v>8425.5780821917797</v>
      </c>
    </row>
    <row r="1318" spans="1:19" ht="18.75" customHeight="1" x14ac:dyDescent="0.25">
      <c r="A1318" s="14">
        <f t="shared" si="232"/>
        <v>1312</v>
      </c>
      <c r="B1318" s="21" t="s">
        <v>1227</v>
      </c>
      <c r="C1318" s="15" t="s">
        <v>3</v>
      </c>
      <c r="D1318" s="21" t="s">
        <v>1200</v>
      </c>
      <c r="E1318" s="21"/>
      <c r="F1318" s="69" t="s">
        <v>4</v>
      </c>
      <c r="G1318" s="9">
        <v>42444</v>
      </c>
      <c r="H1318" s="22">
        <v>31689.267452054795</v>
      </c>
      <c r="I1318" s="17">
        <v>0</v>
      </c>
      <c r="J1318" s="17">
        <v>0</v>
      </c>
      <c r="K1318" s="17">
        <f t="shared" si="229"/>
        <v>31689.267452054795</v>
      </c>
      <c r="L1318" s="23">
        <f t="shared" si="233"/>
        <v>1584.4633726027398</v>
      </c>
      <c r="M1318" s="23">
        <v>5</v>
      </c>
      <c r="N1318" s="18">
        <f t="shared" si="230"/>
        <v>5.0520547945205481</v>
      </c>
      <c r="O1318" s="23">
        <v>6317.6960383561636</v>
      </c>
      <c r="P1318" s="18">
        <f t="shared" si="231"/>
        <v>5.5534246575342463</v>
      </c>
      <c r="Q1318" s="18">
        <v>0</v>
      </c>
      <c r="R1318" s="18">
        <f t="shared" si="227"/>
        <v>6317.6960383561636</v>
      </c>
      <c r="S1318" s="18">
        <f t="shared" si="228"/>
        <v>25371.571413698632</v>
      </c>
    </row>
    <row r="1319" spans="1:19" ht="18.75" customHeight="1" x14ac:dyDescent="0.25">
      <c r="A1319" s="14">
        <f t="shared" si="232"/>
        <v>1313</v>
      </c>
      <c r="B1319" s="21" t="s">
        <v>1228</v>
      </c>
      <c r="C1319" s="15" t="s">
        <v>3</v>
      </c>
      <c r="D1319" s="21" t="s">
        <v>1200</v>
      </c>
      <c r="E1319" s="21"/>
      <c r="F1319" s="69" t="s">
        <v>4</v>
      </c>
      <c r="G1319" s="9">
        <v>42079</v>
      </c>
      <c r="H1319" s="22">
        <v>11289.95</v>
      </c>
      <c r="I1319" s="17">
        <v>0</v>
      </c>
      <c r="J1319" s="17">
        <v>0</v>
      </c>
      <c r="K1319" s="17">
        <f t="shared" si="229"/>
        <v>11289.95</v>
      </c>
      <c r="L1319" s="23">
        <f t="shared" si="233"/>
        <v>564.49750000000006</v>
      </c>
      <c r="M1319" s="23">
        <v>5</v>
      </c>
      <c r="N1319" s="18">
        <f t="shared" si="230"/>
        <v>6.0520547945205481</v>
      </c>
      <c r="O1319" s="23">
        <v>9254.5249999999996</v>
      </c>
      <c r="P1319" s="18">
        <f t="shared" si="231"/>
        <v>6.5534246575342463</v>
      </c>
      <c r="Q1319" s="18">
        <v>0</v>
      </c>
      <c r="R1319" s="18">
        <f t="shared" si="227"/>
        <v>9254.5249999999996</v>
      </c>
      <c r="S1319" s="18">
        <f t="shared" si="228"/>
        <v>2035.4250000000011</v>
      </c>
    </row>
    <row r="1320" spans="1:19" ht="18.75" customHeight="1" x14ac:dyDescent="0.25">
      <c r="A1320" s="14">
        <f t="shared" si="232"/>
        <v>1314</v>
      </c>
      <c r="B1320" s="21" t="s">
        <v>1229</v>
      </c>
      <c r="C1320" s="15" t="s">
        <v>3</v>
      </c>
      <c r="D1320" s="21" t="s">
        <v>1200</v>
      </c>
      <c r="E1320" s="21"/>
      <c r="F1320" s="69" t="s">
        <v>4</v>
      </c>
      <c r="G1320" s="9">
        <v>42079</v>
      </c>
      <c r="H1320" s="22">
        <v>17130</v>
      </c>
      <c r="I1320" s="17">
        <v>0</v>
      </c>
      <c r="J1320" s="17">
        <v>0</v>
      </c>
      <c r="K1320" s="17">
        <f t="shared" si="229"/>
        <v>17130</v>
      </c>
      <c r="L1320" s="23">
        <f t="shared" si="233"/>
        <v>856.5</v>
      </c>
      <c r="M1320" s="23">
        <v>3</v>
      </c>
      <c r="N1320" s="18">
        <f t="shared" si="230"/>
        <v>6.0520547945205481</v>
      </c>
      <c r="O1320" s="23">
        <v>17735</v>
      </c>
      <c r="P1320" s="18">
        <f t="shared" si="231"/>
        <v>6.5534246575342463</v>
      </c>
      <c r="Q1320" s="18">
        <v>0</v>
      </c>
      <c r="R1320" s="18">
        <f t="shared" si="227"/>
        <v>17735</v>
      </c>
      <c r="S1320" s="18">
        <f>L1320</f>
        <v>856.5</v>
      </c>
    </row>
    <row r="1321" spans="1:19" ht="18.75" customHeight="1" x14ac:dyDescent="0.25">
      <c r="A1321" s="14">
        <f t="shared" si="232"/>
        <v>1315</v>
      </c>
      <c r="B1321" s="21" t="s">
        <v>1230</v>
      </c>
      <c r="C1321" s="15" t="s">
        <v>3</v>
      </c>
      <c r="D1321" s="21" t="s">
        <v>1200</v>
      </c>
      <c r="E1321" s="21"/>
      <c r="F1321" s="69" t="s">
        <v>4</v>
      </c>
      <c r="G1321" s="9">
        <v>42079</v>
      </c>
      <c r="H1321" s="22">
        <v>23000</v>
      </c>
      <c r="I1321" s="17">
        <v>0</v>
      </c>
      <c r="J1321" s="17">
        <v>0</v>
      </c>
      <c r="K1321" s="17">
        <f t="shared" si="229"/>
        <v>23000</v>
      </c>
      <c r="L1321" s="23">
        <f t="shared" si="233"/>
        <v>1150</v>
      </c>
      <c r="M1321" s="23">
        <v>5</v>
      </c>
      <c r="N1321" s="18">
        <f t="shared" si="230"/>
        <v>6.0520547945205481</v>
      </c>
      <c r="O1321" s="23">
        <v>22500</v>
      </c>
      <c r="P1321" s="18">
        <f t="shared" si="231"/>
        <v>6.5534246575342463</v>
      </c>
      <c r="Q1321" s="18">
        <v>0</v>
      </c>
      <c r="R1321" s="18">
        <f t="shared" si="227"/>
        <v>22500</v>
      </c>
      <c r="S1321" s="18">
        <f t="shared" si="228"/>
        <v>500</v>
      </c>
    </row>
    <row r="1322" spans="1:19" ht="18.75" customHeight="1" x14ac:dyDescent="0.25">
      <c r="A1322" s="14">
        <f t="shared" si="232"/>
        <v>1316</v>
      </c>
      <c r="B1322" s="31" t="s">
        <v>1231</v>
      </c>
      <c r="C1322" s="15" t="s">
        <v>3</v>
      </c>
      <c r="D1322" s="21" t="s">
        <v>1200</v>
      </c>
      <c r="E1322" s="21"/>
      <c r="F1322" s="69" t="s">
        <v>4</v>
      </c>
      <c r="G1322" s="32">
        <v>42063</v>
      </c>
      <c r="H1322" s="29">
        <v>11200</v>
      </c>
      <c r="I1322" s="17">
        <v>0</v>
      </c>
      <c r="J1322" s="17">
        <v>0</v>
      </c>
      <c r="K1322" s="17">
        <f t="shared" si="229"/>
        <v>11200</v>
      </c>
      <c r="L1322" s="23">
        <f t="shared" si="233"/>
        <v>560</v>
      </c>
      <c r="M1322" s="33">
        <v>5</v>
      </c>
      <c r="N1322" s="18">
        <f t="shared" si="230"/>
        <v>6.095890410958904</v>
      </c>
      <c r="O1322" s="23">
        <v>8400</v>
      </c>
      <c r="P1322" s="18">
        <f t="shared" si="231"/>
        <v>6.5972602739726032</v>
      </c>
      <c r="Q1322" s="18">
        <v>0</v>
      </c>
      <c r="R1322" s="18">
        <f t="shared" si="227"/>
        <v>8400</v>
      </c>
      <c r="S1322" s="18">
        <f t="shared" si="228"/>
        <v>2800</v>
      </c>
    </row>
    <row r="1323" spans="1:19" ht="18.75" customHeight="1" x14ac:dyDescent="0.25">
      <c r="A1323" s="14">
        <f t="shared" si="232"/>
        <v>1317</v>
      </c>
      <c r="B1323" s="21" t="s">
        <v>1232</v>
      </c>
      <c r="C1323" s="15" t="s">
        <v>3</v>
      </c>
      <c r="D1323" s="21" t="s">
        <v>1200</v>
      </c>
      <c r="E1323" s="21"/>
      <c r="F1323" s="69" t="s">
        <v>4</v>
      </c>
      <c r="G1323" s="9">
        <v>42063</v>
      </c>
      <c r="H1323" s="22">
        <v>1245</v>
      </c>
      <c r="I1323" s="17">
        <v>0</v>
      </c>
      <c r="J1323" s="17">
        <v>0</v>
      </c>
      <c r="K1323" s="17">
        <f t="shared" si="229"/>
        <v>1245</v>
      </c>
      <c r="L1323" s="23">
        <f t="shared" si="233"/>
        <v>62.25</v>
      </c>
      <c r="M1323" s="23">
        <v>5</v>
      </c>
      <c r="N1323" s="18">
        <f t="shared" si="230"/>
        <v>6.095890410958904</v>
      </c>
      <c r="O1323" s="23">
        <v>11827.5</v>
      </c>
      <c r="P1323" s="18">
        <f t="shared" si="231"/>
        <v>6.5972602739726032</v>
      </c>
      <c r="Q1323" s="18">
        <v>0</v>
      </c>
      <c r="R1323" s="18">
        <f t="shared" si="227"/>
        <v>11827.5</v>
      </c>
      <c r="S1323" s="18">
        <f t="shared" ref="S1323:S1324" si="234">L1323</f>
        <v>62.25</v>
      </c>
    </row>
    <row r="1324" spans="1:19" ht="18.75" customHeight="1" x14ac:dyDescent="0.25">
      <c r="A1324" s="14">
        <f t="shared" si="232"/>
        <v>1318</v>
      </c>
      <c r="B1324" s="21" t="s">
        <v>1228</v>
      </c>
      <c r="C1324" s="15" t="s">
        <v>3</v>
      </c>
      <c r="D1324" s="21" t="s">
        <v>1200</v>
      </c>
      <c r="E1324" s="21"/>
      <c r="F1324" s="69" t="s">
        <v>4</v>
      </c>
      <c r="G1324" s="9">
        <v>42035</v>
      </c>
      <c r="H1324" s="22">
        <v>795</v>
      </c>
      <c r="I1324" s="17">
        <v>0</v>
      </c>
      <c r="J1324" s="17">
        <v>0</v>
      </c>
      <c r="K1324" s="17">
        <f t="shared" si="229"/>
        <v>795</v>
      </c>
      <c r="L1324" s="23">
        <f t="shared" si="233"/>
        <v>39.75</v>
      </c>
      <c r="M1324" s="23">
        <v>5</v>
      </c>
      <c r="N1324" s="18">
        <f t="shared" si="230"/>
        <v>6.1726027397260275</v>
      </c>
      <c r="O1324" s="23">
        <v>7552.5</v>
      </c>
      <c r="P1324" s="18">
        <f t="shared" si="231"/>
        <v>6.6739726027397257</v>
      </c>
      <c r="Q1324" s="18">
        <v>0</v>
      </c>
      <c r="R1324" s="18">
        <f t="shared" si="227"/>
        <v>7552.5</v>
      </c>
      <c r="S1324" s="18">
        <f t="shared" si="234"/>
        <v>39.75</v>
      </c>
    </row>
    <row r="1325" spans="1:19" ht="18.75" customHeight="1" x14ac:dyDescent="0.25">
      <c r="A1325" s="14">
        <f t="shared" si="232"/>
        <v>1319</v>
      </c>
      <c r="B1325" s="21" t="s">
        <v>1233</v>
      </c>
      <c r="C1325" s="15" t="s">
        <v>3</v>
      </c>
      <c r="D1325" s="21" t="s">
        <v>1200</v>
      </c>
      <c r="E1325" s="21"/>
      <c r="F1325" s="69" t="s">
        <v>4</v>
      </c>
      <c r="G1325" s="9">
        <v>42035</v>
      </c>
      <c r="H1325" s="22">
        <v>106860</v>
      </c>
      <c r="I1325" s="17">
        <v>0</v>
      </c>
      <c r="J1325" s="17">
        <v>0</v>
      </c>
      <c r="K1325" s="17">
        <f t="shared" si="229"/>
        <v>106860</v>
      </c>
      <c r="L1325" s="23">
        <f t="shared" si="233"/>
        <v>5343</v>
      </c>
      <c r="M1325" s="23">
        <v>3</v>
      </c>
      <c r="N1325" s="18">
        <f t="shared" si="230"/>
        <v>6.1726027397260275</v>
      </c>
      <c r="O1325" s="23">
        <v>48503.333333333328</v>
      </c>
      <c r="P1325" s="18">
        <f t="shared" si="231"/>
        <v>6.6739726027397257</v>
      </c>
      <c r="Q1325" s="18">
        <v>0</v>
      </c>
      <c r="R1325" s="18">
        <f t="shared" si="227"/>
        <v>48503.333333333328</v>
      </c>
      <c r="S1325" s="18">
        <f t="shared" si="228"/>
        <v>58356.666666666672</v>
      </c>
    </row>
    <row r="1326" spans="1:19" ht="18.75" customHeight="1" x14ac:dyDescent="0.25">
      <c r="A1326" s="14">
        <f t="shared" si="232"/>
        <v>1320</v>
      </c>
      <c r="B1326" s="35" t="s">
        <v>1234</v>
      </c>
      <c r="C1326" s="15" t="s">
        <v>3</v>
      </c>
      <c r="D1326" s="21" t="s">
        <v>1200</v>
      </c>
      <c r="E1326" s="21"/>
      <c r="F1326" s="69" t="s">
        <v>4</v>
      </c>
      <c r="G1326" s="36">
        <v>42029</v>
      </c>
      <c r="H1326" s="37">
        <v>499.95000000000073</v>
      </c>
      <c r="I1326" s="17">
        <v>0</v>
      </c>
      <c r="J1326" s="17">
        <v>0</v>
      </c>
      <c r="K1326" s="17">
        <f t="shared" si="229"/>
        <v>499.95000000000073</v>
      </c>
      <c r="L1326" s="23">
        <f t="shared" si="233"/>
        <v>24.997500000000038</v>
      </c>
      <c r="M1326" s="38">
        <v>5</v>
      </c>
      <c r="N1326" s="18">
        <f t="shared" si="230"/>
        <v>6.1890410958904107</v>
      </c>
      <c r="O1326" s="23">
        <v>4749.5249999999996</v>
      </c>
      <c r="P1326" s="18">
        <f t="shared" si="231"/>
        <v>6.6904109589041099</v>
      </c>
      <c r="Q1326" s="18">
        <v>0</v>
      </c>
      <c r="R1326" s="18">
        <f t="shared" si="227"/>
        <v>4749.5249999999996</v>
      </c>
      <c r="S1326" s="18">
        <f t="shared" ref="S1326:S1328" si="235">L1326</f>
        <v>24.997500000000038</v>
      </c>
    </row>
    <row r="1327" spans="1:19" ht="18.75" customHeight="1" x14ac:dyDescent="0.25">
      <c r="A1327" s="14">
        <f t="shared" si="232"/>
        <v>1321</v>
      </c>
      <c r="B1327" s="35" t="s">
        <v>1235</v>
      </c>
      <c r="C1327" s="15" t="s">
        <v>3</v>
      </c>
      <c r="D1327" s="21" t="s">
        <v>1200</v>
      </c>
      <c r="E1327" s="21"/>
      <c r="F1327" s="69" t="s">
        <v>4</v>
      </c>
      <c r="G1327" s="36">
        <v>42029</v>
      </c>
      <c r="H1327" s="37">
        <v>2144.9499999999971</v>
      </c>
      <c r="I1327" s="17">
        <v>0</v>
      </c>
      <c r="J1327" s="17">
        <v>0</v>
      </c>
      <c r="K1327" s="17">
        <f t="shared" si="229"/>
        <v>2144.9499999999971</v>
      </c>
      <c r="L1327" s="23">
        <f t="shared" si="233"/>
        <v>107.24749999999986</v>
      </c>
      <c r="M1327" s="38">
        <v>5</v>
      </c>
      <c r="N1327" s="18">
        <f t="shared" si="230"/>
        <v>6.1890410958904107</v>
      </c>
      <c r="O1327" s="23">
        <v>20377.025000000001</v>
      </c>
      <c r="P1327" s="18">
        <f t="shared" si="231"/>
        <v>6.6904109589041099</v>
      </c>
      <c r="Q1327" s="18">
        <v>0</v>
      </c>
      <c r="R1327" s="18">
        <f t="shared" si="227"/>
        <v>20377.025000000001</v>
      </c>
      <c r="S1327" s="18">
        <f t="shared" si="235"/>
        <v>107.24749999999986</v>
      </c>
    </row>
    <row r="1328" spans="1:19" ht="18.75" customHeight="1" x14ac:dyDescent="0.25">
      <c r="A1328" s="14">
        <f t="shared" si="232"/>
        <v>1322</v>
      </c>
      <c r="B1328" s="35" t="s">
        <v>1236</v>
      </c>
      <c r="C1328" s="15" t="s">
        <v>3</v>
      </c>
      <c r="D1328" s="21" t="s">
        <v>1200</v>
      </c>
      <c r="E1328" s="21"/>
      <c r="F1328" s="69" t="s">
        <v>4</v>
      </c>
      <c r="G1328" s="36">
        <v>42009</v>
      </c>
      <c r="H1328" s="37">
        <v>2850</v>
      </c>
      <c r="I1328" s="17">
        <v>0</v>
      </c>
      <c r="J1328" s="17">
        <v>0</v>
      </c>
      <c r="K1328" s="17">
        <f t="shared" si="229"/>
        <v>2850</v>
      </c>
      <c r="L1328" s="23">
        <f t="shared" si="233"/>
        <v>142.5</v>
      </c>
      <c r="M1328" s="38">
        <v>3</v>
      </c>
      <c r="N1328" s="18">
        <f t="shared" si="230"/>
        <v>6.2438356164383562</v>
      </c>
      <c r="O1328" s="23">
        <v>27075</v>
      </c>
      <c r="P1328" s="18">
        <f t="shared" si="231"/>
        <v>6.7452054794520544</v>
      </c>
      <c r="Q1328" s="18">
        <v>0</v>
      </c>
      <c r="R1328" s="18">
        <f t="shared" si="227"/>
        <v>27075</v>
      </c>
      <c r="S1328" s="18">
        <f t="shared" si="235"/>
        <v>142.5</v>
      </c>
    </row>
    <row r="1329" spans="1:19" ht="18.75" customHeight="1" x14ac:dyDescent="0.25">
      <c r="A1329" s="14">
        <f t="shared" si="232"/>
        <v>1323</v>
      </c>
      <c r="B1329" s="21" t="s">
        <v>1237</v>
      </c>
      <c r="C1329" s="15" t="s">
        <v>3</v>
      </c>
      <c r="D1329" s="21" t="s">
        <v>1200</v>
      </c>
      <c r="E1329" s="21"/>
      <c r="F1329" s="69" t="s">
        <v>4</v>
      </c>
      <c r="G1329" s="9">
        <v>42004</v>
      </c>
      <c r="H1329" s="22">
        <v>22950</v>
      </c>
      <c r="I1329" s="17">
        <v>0</v>
      </c>
      <c r="J1329" s="17">
        <v>0</v>
      </c>
      <c r="K1329" s="17">
        <f t="shared" si="229"/>
        <v>22950</v>
      </c>
      <c r="L1329" s="23">
        <f t="shared" si="233"/>
        <v>1147.5</v>
      </c>
      <c r="M1329" s="23">
        <v>5</v>
      </c>
      <c r="N1329" s="18">
        <f t="shared" si="230"/>
        <v>6.2575342465753421</v>
      </c>
      <c r="O1329" s="23">
        <v>22025</v>
      </c>
      <c r="P1329" s="18">
        <f t="shared" si="231"/>
        <v>6.7589041095890412</v>
      </c>
      <c r="Q1329" s="18">
        <v>0</v>
      </c>
      <c r="R1329" s="18">
        <f t="shared" si="227"/>
        <v>22025</v>
      </c>
      <c r="S1329" s="18">
        <f t="shared" si="228"/>
        <v>925</v>
      </c>
    </row>
    <row r="1330" spans="1:19" ht="18.75" customHeight="1" x14ac:dyDescent="0.25">
      <c r="A1330" s="14">
        <f t="shared" si="232"/>
        <v>1324</v>
      </c>
      <c r="B1330" s="21" t="s">
        <v>1208</v>
      </c>
      <c r="C1330" s="15" t="s">
        <v>3</v>
      </c>
      <c r="D1330" s="21" t="s">
        <v>1200</v>
      </c>
      <c r="E1330" s="21"/>
      <c r="F1330" s="69" t="s">
        <v>4</v>
      </c>
      <c r="G1330" s="9">
        <v>41994</v>
      </c>
      <c r="H1330" s="22">
        <v>305</v>
      </c>
      <c r="I1330" s="17">
        <v>0</v>
      </c>
      <c r="J1330" s="17">
        <v>0</v>
      </c>
      <c r="K1330" s="17">
        <f t="shared" si="229"/>
        <v>305</v>
      </c>
      <c r="L1330" s="23">
        <f t="shared" si="233"/>
        <v>15.25</v>
      </c>
      <c r="M1330" s="23">
        <v>3</v>
      </c>
      <c r="N1330" s="18">
        <f t="shared" si="230"/>
        <v>6.2849315068493148</v>
      </c>
      <c r="O1330" s="23">
        <v>2897.5</v>
      </c>
      <c r="P1330" s="18">
        <f t="shared" si="231"/>
        <v>6.7863013698630139</v>
      </c>
      <c r="Q1330" s="18">
        <v>0</v>
      </c>
      <c r="R1330" s="18">
        <f t="shared" si="227"/>
        <v>2897.5</v>
      </c>
      <c r="S1330" s="18">
        <f t="shared" ref="S1330:S1331" si="236">L1330</f>
        <v>15.25</v>
      </c>
    </row>
    <row r="1331" spans="1:19" ht="18.75" customHeight="1" x14ac:dyDescent="0.25">
      <c r="A1331" s="14">
        <f t="shared" si="232"/>
        <v>1325</v>
      </c>
      <c r="B1331" s="21" t="s">
        <v>1238</v>
      </c>
      <c r="C1331" s="15" t="s">
        <v>3</v>
      </c>
      <c r="D1331" s="21" t="s">
        <v>1200</v>
      </c>
      <c r="E1331" s="21"/>
      <c r="F1331" s="69" t="s">
        <v>4</v>
      </c>
      <c r="G1331" s="9">
        <v>41988</v>
      </c>
      <c r="H1331" s="22">
        <v>501.375</v>
      </c>
      <c r="I1331" s="17">
        <v>0</v>
      </c>
      <c r="J1331" s="17">
        <v>0</v>
      </c>
      <c r="K1331" s="17">
        <f t="shared" si="229"/>
        <v>501.375</v>
      </c>
      <c r="L1331" s="23">
        <f t="shared" si="233"/>
        <v>25.068750000000001</v>
      </c>
      <c r="M1331" s="23">
        <v>3</v>
      </c>
      <c r="N1331" s="18">
        <f t="shared" si="230"/>
        <v>6.3013698630136989</v>
      </c>
      <c r="O1331" s="23">
        <v>4763.0625</v>
      </c>
      <c r="P1331" s="18">
        <f t="shared" si="231"/>
        <v>6.8027397260273972</v>
      </c>
      <c r="Q1331" s="18">
        <v>0</v>
      </c>
      <c r="R1331" s="18">
        <f t="shared" si="227"/>
        <v>4763.0625</v>
      </c>
      <c r="S1331" s="18">
        <f t="shared" si="236"/>
        <v>25.068750000000001</v>
      </c>
    </row>
    <row r="1332" spans="1:19" ht="18.75" customHeight="1" x14ac:dyDescent="0.25">
      <c r="A1332" s="14">
        <f t="shared" si="232"/>
        <v>1326</v>
      </c>
      <c r="B1332" s="21" t="s">
        <v>1239</v>
      </c>
      <c r="C1332" s="15" t="s">
        <v>3</v>
      </c>
      <c r="D1332" s="21" t="s">
        <v>1200</v>
      </c>
      <c r="E1332" s="21"/>
      <c r="F1332" s="69" t="s">
        <v>4</v>
      </c>
      <c r="G1332" s="9">
        <v>41964</v>
      </c>
      <c r="H1332" s="22">
        <v>22500</v>
      </c>
      <c r="I1332" s="17">
        <v>0</v>
      </c>
      <c r="J1332" s="17">
        <v>0</v>
      </c>
      <c r="K1332" s="17">
        <f t="shared" si="229"/>
        <v>22500</v>
      </c>
      <c r="L1332" s="23">
        <f t="shared" si="233"/>
        <v>1125</v>
      </c>
      <c r="M1332" s="23">
        <v>3</v>
      </c>
      <c r="N1332" s="18">
        <f t="shared" si="230"/>
        <v>6.3671232876712329</v>
      </c>
      <c r="O1332" s="23">
        <v>20416.666666666664</v>
      </c>
      <c r="P1332" s="18">
        <f t="shared" si="231"/>
        <v>6.8684931506849312</v>
      </c>
      <c r="Q1332" s="18">
        <v>0</v>
      </c>
      <c r="R1332" s="18">
        <f t="shared" si="227"/>
        <v>20416.666666666664</v>
      </c>
      <c r="S1332" s="18">
        <f t="shared" si="228"/>
        <v>2083.3333333333358</v>
      </c>
    </row>
    <row r="1333" spans="1:19" ht="18.75" customHeight="1" x14ac:dyDescent="0.25">
      <c r="A1333" s="14">
        <f t="shared" si="232"/>
        <v>1327</v>
      </c>
      <c r="B1333" s="21" t="s">
        <v>1240</v>
      </c>
      <c r="C1333" s="15" t="s">
        <v>3</v>
      </c>
      <c r="D1333" s="21" t="s">
        <v>1200</v>
      </c>
      <c r="E1333" s="21"/>
      <c r="F1333" s="69" t="s">
        <v>4</v>
      </c>
      <c r="G1333" s="9">
        <v>41954</v>
      </c>
      <c r="H1333" s="22">
        <v>150</v>
      </c>
      <c r="I1333" s="17">
        <v>0</v>
      </c>
      <c r="J1333" s="17">
        <v>0</v>
      </c>
      <c r="K1333" s="17">
        <f t="shared" si="229"/>
        <v>150</v>
      </c>
      <c r="L1333" s="23">
        <f t="shared" si="233"/>
        <v>7.5</v>
      </c>
      <c r="M1333" s="23">
        <v>5</v>
      </c>
      <c r="N1333" s="18">
        <f t="shared" si="230"/>
        <v>6.3945205479452056</v>
      </c>
      <c r="O1333" s="23">
        <v>1425</v>
      </c>
      <c r="P1333" s="18">
        <f t="shared" si="231"/>
        <v>6.8958904109589039</v>
      </c>
      <c r="Q1333" s="18">
        <v>0</v>
      </c>
      <c r="R1333" s="18">
        <f t="shared" si="227"/>
        <v>1425</v>
      </c>
      <c r="S1333" s="18">
        <f t="shared" ref="S1333:S1337" si="237">L1333</f>
        <v>7.5</v>
      </c>
    </row>
    <row r="1334" spans="1:19" ht="18.75" customHeight="1" x14ac:dyDescent="0.25">
      <c r="A1334" s="14">
        <f t="shared" si="232"/>
        <v>1328</v>
      </c>
      <c r="B1334" s="21" t="s">
        <v>1208</v>
      </c>
      <c r="C1334" s="15" t="s">
        <v>3</v>
      </c>
      <c r="D1334" s="21" t="s">
        <v>1200</v>
      </c>
      <c r="E1334" s="21"/>
      <c r="F1334" s="69" t="s">
        <v>4</v>
      </c>
      <c r="G1334" s="9">
        <v>41953</v>
      </c>
      <c r="H1334" s="22">
        <v>80</v>
      </c>
      <c r="I1334" s="17">
        <v>0</v>
      </c>
      <c r="J1334" s="17">
        <v>0</v>
      </c>
      <c r="K1334" s="17">
        <f t="shared" si="229"/>
        <v>80</v>
      </c>
      <c r="L1334" s="23">
        <f t="shared" si="233"/>
        <v>4</v>
      </c>
      <c r="M1334" s="23">
        <v>5</v>
      </c>
      <c r="N1334" s="18">
        <f t="shared" si="230"/>
        <v>6.397260273972603</v>
      </c>
      <c r="O1334" s="23">
        <v>760</v>
      </c>
      <c r="P1334" s="18">
        <f t="shared" si="231"/>
        <v>6.8986301369863012</v>
      </c>
      <c r="Q1334" s="18">
        <v>0</v>
      </c>
      <c r="R1334" s="18">
        <f t="shared" si="227"/>
        <v>760</v>
      </c>
      <c r="S1334" s="18">
        <f t="shared" si="237"/>
        <v>4</v>
      </c>
    </row>
    <row r="1335" spans="1:19" ht="18.75" customHeight="1" x14ac:dyDescent="0.25">
      <c r="A1335" s="14">
        <f t="shared" si="232"/>
        <v>1329</v>
      </c>
      <c r="B1335" s="21" t="s">
        <v>1241</v>
      </c>
      <c r="C1335" s="15" t="s">
        <v>3</v>
      </c>
      <c r="D1335" s="21" t="s">
        <v>1200</v>
      </c>
      <c r="E1335" s="21"/>
      <c r="F1335" s="69" t="s">
        <v>4</v>
      </c>
      <c r="G1335" s="9">
        <v>41927</v>
      </c>
      <c r="H1335" s="22">
        <v>21.25</v>
      </c>
      <c r="I1335" s="17">
        <v>0</v>
      </c>
      <c r="J1335" s="17">
        <v>0</v>
      </c>
      <c r="K1335" s="17">
        <f t="shared" si="229"/>
        <v>21.25</v>
      </c>
      <c r="L1335" s="23">
        <f t="shared" si="233"/>
        <v>1.0625</v>
      </c>
      <c r="M1335" s="23">
        <v>5</v>
      </c>
      <c r="N1335" s="18">
        <f t="shared" si="230"/>
        <v>6.4684931506849317</v>
      </c>
      <c r="O1335" s="23">
        <v>201.875</v>
      </c>
      <c r="P1335" s="18">
        <f t="shared" si="231"/>
        <v>6.9698630136986299</v>
      </c>
      <c r="Q1335" s="18">
        <v>0</v>
      </c>
      <c r="R1335" s="18">
        <f t="shared" si="227"/>
        <v>201.875</v>
      </c>
      <c r="S1335" s="18">
        <f t="shared" si="237"/>
        <v>1.0625</v>
      </c>
    </row>
    <row r="1336" spans="1:19" ht="18.75" customHeight="1" x14ac:dyDescent="0.25">
      <c r="A1336" s="14">
        <f t="shared" si="232"/>
        <v>1330</v>
      </c>
      <c r="B1336" s="21" t="s">
        <v>1242</v>
      </c>
      <c r="C1336" s="15" t="s">
        <v>3</v>
      </c>
      <c r="D1336" s="21" t="s">
        <v>1200</v>
      </c>
      <c r="E1336" s="21"/>
      <c r="F1336" s="69" t="s">
        <v>4</v>
      </c>
      <c r="G1336" s="9">
        <v>41927</v>
      </c>
      <c r="H1336" s="22">
        <v>85</v>
      </c>
      <c r="I1336" s="17">
        <v>0</v>
      </c>
      <c r="J1336" s="17">
        <v>0</v>
      </c>
      <c r="K1336" s="17">
        <f t="shared" si="229"/>
        <v>85</v>
      </c>
      <c r="L1336" s="23">
        <f t="shared" si="233"/>
        <v>4.25</v>
      </c>
      <c r="M1336" s="23">
        <v>5</v>
      </c>
      <c r="N1336" s="18">
        <f t="shared" si="230"/>
        <v>6.4684931506849317</v>
      </c>
      <c r="O1336" s="23">
        <v>807.5</v>
      </c>
      <c r="P1336" s="18">
        <f t="shared" si="231"/>
        <v>6.9698630136986299</v>
      </c>
      <c r="Q1336" s="18">
        <v>0</v>
      </c>
      <c r="R1336" s="18">
        <f t="shared" si="227"/>
        <v>807.5</v>
      </c>
      <c r="S1336" s="18">
        <f t="shared" si="237"/>
        <v>4.25</v>
      </c>
    </row>
    <row r="1337" spans="1:19" ht="18.75" customHeight="1" x14ac:dyDescent="0.25">
      <c r="A1337" s="14">
        <f t="shared" si="232"/>
        <v>1331</v>
      </c>
      <c r="B1337" s="21" t="s">
        <v>1208</v>
      </c>
      <c r="C1337" s="15" t="s">
        <v>3</v>
      </c>
      <c r="D1337" s="21" t="s">
        <v>1200</v>
      </c>
      <c r="E1337" s="21"/>
      <c r="F1337" s="69" t="s">
        <v>4</v>
      </c>
      <c r="G1337" s="9">
        <v>41897</v>
      </c>
      <c r="H1337" s="22">
        <v>77.5</v>
      </c>
      <c r="I1337" s="17">
        <v>0</v>
      </c>
      <c r="J1337" s="17">
        <v>0</v>
      </c>
      <c r="K1337" s="17">
        <f t="shared" si="229"/>
        <v>77.5</v>
      </c>
      <c r="L1337" s="23">
        <f t="shared" si="233"/>
        <v>3.875</v>
      </c>
      <c r="M1337" s="23">
        <v>5</v>
      </c>
      <c r="N1337" s="18">
        <f t="shared" si="230"/>
        <v>6.5506849315068489</v>
      </c>
      <c r="O1337" s="23">
        <v>736.25</v>
      </c>
      <c r="P1337" s="18">
        <f t="shared" si="231"/>
        <v>7.0520547945205481</v>
      </c>
      <c r="Q1337" s="18">
        <v>0</v>
      </c>
      <c r="R1337" s="18">
        <f t="shared" si="227"/>
        <v>736.25</v>
      </c>
      <c r="S1337" s="18">
        <f t="shared" si="237"/>
        <v>3.875</v>
      </c>
    </row>
    <row r="1338" spans="1:19" ht="18.75" customHeight="1" x14ac:dyDescent="0.25">
      <c r="A1338" s="14">
        <f t="shared" si="232"/>
        <v>1332</v>
      </c>
      <c r="B1338" s="21" t="s">
        <v>1199</v>
      </c>
      <c r="C1338" s="15" t="s">
        <v>3</v>
      </c>
      <c r="D1338" s="21" t="s">
        <v>1200</v>
      </c>
      <c r="E1338" s="21"/>
      <c r="F1338" s="69" t="s">
        <v>4</v>
      </c>
      <c r="G1338" s="9">
        <v>41877</v>
      </c>
      <c r="H1338" s="22">
        <v>32645</v>
      </c>
      <c r="I1338" s="17">
        <v>0</v>
      </c>
      <c r="J1338" s="17">
        <v>0</v>
      </c>
      <c r="K1338" s="17">
        <f t="shared" si="229"/>
        <v>32645</v>
      </c>
      <c r="L1338" s="23">
        <f t="shared" si="233"/>
        <v>1632.25</v>
      </c>
      <c r="M1338" s="23">
        <v>3</v>
      </c>
      <c r="N1338" s="18">
        <f t="shared" si="230"/>
        <v>6.6054794520547944</v>
      </c>
      <c r="O1338" s="23">
        <v>20127.5</v>
      </c>
      <c r="P1338" s="18">
        <f t="shared" si="231"/>
        <v>7.1068493150684935</v>
      </c>
      <c r="Q1338" s="18">
        <v>0</v>
      </c>
      <c r="R1338" s="18">
        <f t="shared" si="227"/>
        <v>20127.5</v>
      </c>
      <c r="S1338" s="18">
        <f t="shared" si="228"/>
        <v>12517.5</v>
      </c>
    </row>
    <row r="1339" spans="1:19" ht="18.75" customHeight="1" x14ac:dyDescent="0.25">
      <c r="A1339" s="14">
        <f t="shared" si="232"/>
        <v>1333</v>
      </c>
      <c r="B1339" s="21" t="s">
        <v>1243</v>
      </c>
      <c r="C1339" s="15" t="s">
        <v>3</v>
      </c>
      <c r="D1339" s="21" t="s">
        <v>1200</v>
      </c>
      <c r="E1339" s="21"/>
      <c r="F1339" s="69" t="s">
        <v>4</v>
      </c>
      <c r="G1339" s="9">
        <v>41866</v>
      </c>
      <c r="H1339" s="22">
        <v>32971.493999999999</v>
      </c>
      <c r="I1339" s="17">
        <v>0</v>
      </c>
      <c r="J1339" s="17">
        <v>0</v>
      </c>
      <c r="K1339" s="17">
        <f t="shared" si="229"/>
        <v>32971.493999999999</v>
      </c>
      <c r="L1339" s="23">
        <f t="shared" si="233"/>
        <v>1648.5747000000001</v>
      </c>
      <c r="M1339" s="23">
        <v>3</v>
      </c>
      <c r="N1339" s="18">
        <f t="shared" si="230"/>
        <v>6.6356164383561644</v>
      </c>
      <c r="O1339" s="23">
        <v>23229.192999999999</v>
      </c>
      <c r="P1339" s="18">
        <f t="shared" si="231"/>
        <v>7.1369863013698627</v>
      </c>
      <c r="Q1339" s="18">
        <v>0</v>
      </c>
      <c r="R1339" s="18">
        <f t="shared" si="227"/>
        <v>23229.192999999999</v>
      </c>
      <c r="S1339" s="18">
        <f t="shared" si="228"/>
        <v>9742.3009999999995</v>
      </c>
    </row>
    <row r="1340" spans="1:19" ht="18.75" customHeight="1" x14ac:dyDescent="0.25">
      <c r="A1340" s="14">
        <f t="shared" si="232"/>
        <v>1334</v>
      </c>
      <c r="B1340" s="21" t="s">
        <v>1244</v>
      </c>
      <c r="C1340" s="15" t="s">
        <v>3</v>
      </c>
      <c r="D1340" s="21" t="s">
        <v>1200</v>
      </c>
      <c r="E1340" s="21"/>
      <c r="F1340" s="69" t="s">
        <v>4</v>
      </c>
      <c r="G1340" s="9">
        <v>41820</v>
      </c>
      <c r="H1340" s="22">
        <v>131.5</v>
      </c>
      <c r="I1340" s="17">
        <v>0</v>
      </c>
      <c r="J1340" s="17">
        <v>0</v>
      </c>
      <c r="K1340" s="17">
        <f t="shared" si="229"/>
        <v>131.5</v>
      </c>
      <c r="L1340" s="23">
        <f t="shared" si="233"/>
        <v>6.5750000000000002</v>
      </c>
      <c r="M1340" s="23">
        <v>5</v>
      </c>
      <c r="N1340" s="18">
        <f t="shared" si="230"/>
        <v>6.7616438356164386</v>
      </c>
      <c r="O1340" s="23">
        <v>1249.25</v>
      </c>
      <c r="P1340" s="18">
        <f t="shared" si="231"/>
        <v>7.2630136986301368</v>
      </c>
      <c r="Q1340" s="18">
        <v>0</v>
      </c>
      <c r="R1340" s="18">
        <f t="shared" si="227"/>
        <v>1249.25</v>
      </c>
      <c r="S1340" s="18">
        <f t="shared" ref="S1340:S1342" si="238">L1340</f>
        <v>6.5750000000000002</v>
      </c>
    </row>
    <row r="1341" spans="1:19" ht="18.75" customHeight="1" x14ac:dyDescent="0.25">
      <c r="A1341" s="14">
        <f t="shared" si="232"/>
        <v>1335</v>
      </c>
      <c r="B1341" s="21" t="s">
        <v>1245</v>
      </c>
      <c r="C1341" s="15" t="s">
        <v>3</v>
      </c>
      <c r="D1341" s="21" t="s">
        <v>1200</v>
      </c>
      <c r="E1341" s="21"/>
      <c r="F1341" s="69" t="s">
        <v>4</v>
      </c>
      <c r="G1341" s="9">
        <v>41805</v>
      </c>
      <c r="H1341" s="22">
        <v>275</v>
      </c>
      <c r="I1341" s="17">
        <v>0</v>
      </c>
      <c r="J1341" s="17">
        <v>0</v>
      </c>
      <c r="K1341" s="17">
        <f t="shared" si="229"/>
        <v>275</v>
      </c>
      <c r="L1341" s="23">
        <f t="shared" si="233"/>
        <v>13.75</v>
      </c>
      <c r="M1341" s="23">
        <v>5</v>
      </c>
      <c r="N1341" s="18">
        <f t="shared" si="230"/>
        <v>6.8027397260273972</v>
      </c>
      <c r="O1341" s="23">
        <v>2612.5</v>
      </c>
      <c r="P1341" s="18">
        <f t="shared" si="231"/>
        <v>7.3041095890410963</v>
      </c>
      <c r="Q1341" s="18">
        <v>0</v>
      </c>
      <c r="R1341" s="18">
        <f t="shared" si="227"/>
        <v>2612.5</v>
      </c>
      <c r="S1341" s="18">
        <f t="shared" si="238"/>
        <v>13.75</v>
      </c>
    </row>
    <row r="1342" spans="1:19" ht="18.75" customHeight="1" x14ac:dyDescent="0.25">
      <c r="A1342" s="14">
        <f t="shared" si="232"/>
        <v>1336</v>
      </c>
      <c r="B1342" s="21" t="s">
        <v>1246</v>
      </c>
      <c r="C1342" s="15" t="s">
        <v>3</v>
      </c>
      <c r="D1342" s="21" t="s">
        <v>1200</v>
      </c>
      <c r="E1342" s="21"/>
      <c r="F1342" s="69" t="s">
        <v>4</v>
      </c>
      <c r="G1342" s="9">
        <v>41805</v>
      </c>
      <c r="H1342" s="22">
        <v>2860</v>
      </c>
      <c r="I1342" s="17">
        <v>0</v>
      </c>
      <c r="J1342" s="17">
        <v>0</v>
      </c>
      <c r="K1342" s="17">
        <f t="shared" si="229"/>
        <v>2860</v>
      </c>
      <c r="L1342" s="23">
        <f t="shared" si="233"/>
        <v>143</v>
      </c>
      <c r="M1342" s="23">
        <v>5</v>
      </c>
      <c r="N1342" s="18">
        <f t="shared" si="230"/>
        <v>6.8027397260273972</v>
      </c>
      <c r="O1342" s="23">
        <v>27170</v>
      </c>
      <c r="P1342" s="18">
        <f t="shared" si="231"/>
        <v>7.3041095890410963</v>
      </c>
      <c r="Q1342" s="18">
        <v>0</v>
      </c>
      <c r="R1342" s="18">
        <f t="shared" si="227"/>
        <v>27170</v>
      </c>
      <c r="S1342" s="18">
        <f t="shared" si="238"/>
        <v>143</v>
      </c>
    </row>
    <row r="1343" spans="1:19" ht="18.75" customHeight="1" x14ac:dyDescent="0.25">
      <c r="A1343" s="14">
        <f t="shared" si="232"/>
        <v>1337</v>
      </c>
      <c r="B1343" s="21" t="s">
        <v>1247</v>
      </c>
      <c r="C1343" s="15" t="s">
        <v>3</v>
      </c>
      <c r="D1343" s="21" t="s">
        <v>1200</v>
      </c>
      <c r="E1343" s="21"/>
      <c r="F1343" s="69" t="s">
        <v>4</v>
      </c>
      <c r="G1343" s="9">
        <v>41774</v>
      </c>
      <c r="H1343" s="22">
        <v>83580</v>
      </c>
      <c r="I1343" s="17">
        <v>0</v>
      </c>
      <c r="J1343" s="17">
        <v>0</v>
      </c>
      <c r="K1343" s="17">
        <f t="shared" si="229"/>
        <v>83580</v>
      </c>
      <c r="L1343" s="23">
        <f t="shared" si="233"/>
        <v>4179</v>
      </c>
      <c r="M1343" s="23">
        <v>5</v>
      </c>
      <c r="N1343" s="18">
        <f t="shared" si="230"/>
        <v>6.8876712328767127</v>
      </c>
      <c r="O1343" s="23">
        <v>59010</v>
      </c>
      <c r="P1343" s="18">
        <f t="shared" si="231"/>
        <v>7.3890410958904109</v>
      </c>
      <c r="Q1343" s="18">
        <v>0</v>
      </c>
      <c r="R1343" s="18">
        <f t="shared" si="227"/>
        <v>59010</v>
      </c>
      <c r="S1343" s="18">
        <f t="shared" si="228"/>
        <v>24570</v>
      </c>
    </row>
    <row r="1344" spans="1:19" ht="18.75" customHeight="1" x14ac:dyDescent="0.25">
      <c r="A1344" s="14">
        <f t="shared" si="232"/>
        <v>1338</v>
      </c>
      <c r="B1344" s="21" t="s">
        <v>1248</v>
      </c>
      <c r="C1344" s="15" t="s">
        <v>3</v>
      </c>
      <c r="D1344" s="21" t="s">
        <v>1200</v>
      </c>
      <c r="E1344" s="21"/>
      <c r="F1344" s="69" t="s">
        <v>4</v>
      </c>
      <c r="G1344" s="9">
        <v>41759</v>
      </c>
      <c r="H1344" s="22">
        <v>11235</v>
      </c>
      <c r="I1344" s="17">
        <v>0</v>
      </c>
      <c r="J1344" s="17">
        <v>0</v>
      </c>
      <c r="K1344" s="17">
        <f t="shared" si="229"/>
        <v>11235</v>
      </c>
      <c r="L1344" s="23">
        <f t="shared" si="233"/>
        <v>561.75</v>
      </c>
      <c r="M1344" s="23">
        <v>5</v>
      </c>
      <c r="N1344" s="18">
        <f t="shared" si="230"/>
        <v>6.9287671232876713</v>
      </c>
      <c r="O1344" s="23">
        <v>8732.5</v>
      </c>
      <c r="P1344" s="18">
        <f t="shared" si="231"/>
        <v>7.4301369863013695</v>
      </c>
      <c r="Q1344" s="18">
        <v>0</v>
      </c>
      <c r="R1344" s="18">
        <f t="shared" si="227"/>
        <v>8732.5</v>
      </c>
      <c r="S1344" s="18">
        <f t="shared" si="228"/>
        <v>2502.5</v>
      </c>
    </row>
    <row r="1345" spans="1:19" ht="18.75" customHeight="1" x14ac:dyDescent="0.25">
      <c r="A1345" s="14">
        <f t="shared" si="232"/>
        <v>1339</v>
      </c>
      <c r="B1345" s="21" t="s">
        <v>1206</v>
      </c>
      <c r="C1345" s="15" t="s">
        <v>3</v>
      </c>
      <c r="D1345" s="21" t="s">
        <v>1200</v>
      </c>
      <c r="E1345" s="21"/>
      <c r="F1345" s="69" t="s">
        <v>4</v>
      </c>
      <c r="G1345" s="9">
        <v>41744</v>
      </c>
      <c r="H1345" s="22">
        <v>345</v>
      </c>
      <c r="I1345" s="17">
        <v>0</v>
      </c>
      <c r="J1345" s="17">
        <v>0</v>
      </c>
      <c r="K1345" s="17">
        <f t="shared" si="229"/>
        <v>345</v>
      </c>
      <c r="L1345" s="23">
        <f t="shared" si="233"/>
        <v>17.25</v>
      </c>
      <c r="M1345" s="23">
        <v>3</v>
      </c>
      <c r="N1345" s="18">
        <f t="shared" si="230"/>
        <v>6.9698630136986299</v>
      </c>
      <c r="O1345" s="23">
        <v>3277.5</v>
      </c>
      <c r="P1345" s="18">
        <f t="shared" si="231"/>
        <v>7.4712328767123291</v>
      </c>
      <c r="Q1345" s="18">
        <v>0</v>
      </c>
      <c r="R1345" s="18">
        <f t="shared" si="227"/>
        <v>3277.5</v>
      </c>
      <c r="S1345" s="18">
        <f t="shared" ref="S1345:S1348" si="239">L1345</f>
        <v>17.25</v>
      </c>
    </row>
    <row r="1346" spans="1:19" ht="18.75" customHeight="1" x14ac:dyDescent="0.25">
      <c r="A1346" s="14">
        <f t="shared" si="232"/>
        <v>1340</v>
      </c>
      <c r="B1346" s="21" t="s">
        <v>1249</v>
      </c>
      <c r="C1346" s="15" t="s">
        <v>3</v>
      </c>
      <c r="D1346" s="21" t="s">
        <v>1200</v>
      </c>
      <c r="E1346" s="21"/>
      <c r="F1346" s="69" t="s">
        <v>4</v>
      </c>
      <c r="G1346" s="9">
        <v>41743</v>
      </c>
      <c r="H1346" s="22">
        <v>405</v>
      </c>
      <c r="I1346" s="17">
        <v>0</v>
      </c>
      <c r="J1346" s="17">
        <v>0</v>
      </c>
      <c r="K1346" s="17">
        <f t="shared" si="229"/>
        <v>405</v>
      </c>
      <c r="L1346" s="23">
        <f t="shared" si="233"/>
        <v>20.25</v>
      </c>
      <c r="M1346" s="23">
        <v>5</v>
      </c>
      <c r="N1346" s="18">
        <f t="shared" si="230"/>
        <v>6.9726027397260273</v>
      </c>
      <c r="O1346" s="23">
        <v>3847.5</v>
      </c>
      <c r="P1346" s="18">
        <f t="shared" si="231"/>
        <v>7.4739726027397264</v>
      </c>
      <c r="Q1346" s="18">
        <v>0</v>
      </c>
      <c r="R1346" s="18">
        <f t="shared" si="227"/>
        <v>3847.5</v>
      </c>
      <c r="S1346" s="18">
        <f t="shared" si="239"/>
        <v>20.25</v>
      </c>
    </row>
    <row r="1347" spans="1:19" ht="18.75" customHeight="1" x14ac:dyDescent="0.25">
      <c r="A1347" s="14">
        <f t="shared" si="232"/>
        <v>1341</v>
      </c>
      <c r="B1347" s="21" t="s">
        <v>1250</v>
      </c>
      <c r="C1347" s="15" t="s">
        <v>3</v>
      </c>
      <c r="D1347" s="21" t="s">
        <v>1200</v>
      </c>
      <c r="E1347" s="21"/>
      <c r="F1347" s="69" t="s">
        <v>4</v>
      </c>
      <c r="G1347" s="9">
        <v>41713</v>
      </c>
      <c r="H1347" s="22">
        <v>400</v>
      </c>
      <c r="I1347" s="17">
        <v>0</v>
      </c>
      <c r="J1347" s="17">
        <v>0</v>
      </c>
      <c r="K1347" s="17">
        <f t="shared" si="229"/>
        <v>400</v>
      </c>
      <c r="L1347" s="23">
        <f t="shared" si="233"/>
        <v>20</v>
      </c>
      <c r="M1347" s="23">
        <v>3</v>
      </c>
      <c r="N1347" s="18">
        <f t="shared" si="230"/>
        <v>7.0547945205479454</v>
      </c>
      <c r="O1347" s="23">
        <v>3800</v>
      </c>
      <c r="P1347" s="18">
        <f t="shared" si="231"/>
        <v>7.5561643835616437</v>
      </c>
      <c r="Q1347" s="18">
        <v>0</v>
      </c>
      <c r="R1347" s="18">
        <f t="shared" si="227"/>
        <v>3800</v>
      </c>
      <c r="S1347" s="18">
        <f t="shared" si="239"/>
        <v>20</v>
      </c>
    </row>
    <row r="1348" spans="1:19" ht="18.75" customHeight="1" x14ac:dyDescent="0.25">
      <c r="A1348" s="14">
        <f t="shared" si="232"/>
        <v>1342</v>
      </c>
      <c r="B1348" s="21" t="s">
        <v>1251</v>
      </c>
      <c r="C1348" s="15" t="s">
        <v>3</v>
      </c>
      <c r="D1348" s="21" t="s">
        <v>1200</v>
      </c>
      <c r="E1348" s="21"/>
      <c r="F1348" s="69" t="s">
        <v>4</v>
      </c>
      <c r="G1348" s="9">
        <v>41713</v>
      </c>
      <c r="H1348" s="22">
        <v>1115</v>
      </c>
      <c r="I1348" s="17">
        <v>0</v>
      </c>
      <c r="J1348" s="17">
        <v>0</v>
      </c>
      <c r="K1348" s="17">
        <f t="shared" si="229"/>
        <v>1115</v>
      </c>
      <c r="L1348" s="23">
        <f t="shared" si="233"/>
        <v>55.75</v>
      </c>
      <c r="M1348" s="23">
        <v>3</v>
      </c>
      <c r="N1348" s="18">
        <f t="shared" si="230"/>
        <v>7.0547945205479454</v>
      </c>
      <c r="O1348" s="23">
        <v>10592.5</v>
      </c>
      <c r="P1348" s="18">
        <f t="shared" si="231"/>
        <v>7.5561643835616437</v>
      </c>
      <c r="Q1348" s="18">
        <v>0</v>
      </c>
      <c r="R1348" s="18">
        <f t="shared" ref="R1348:R1411" si="240">Q1348+O1348</f>
        <v>10592.5</v>
      </c>
      <c r="S1348" s="18">
        <f t="shared" si="239"/>
        <v>55.75</v>
      </c>
    </row>
    <row r="1349" spans="1:19" ht="18.75" customHeight="1" x14ac:dyDescent="0.25">
      <c r="A1349" s="14">
        <f t="shared" si="232"/>
        <v>1343</v>
      </c>
      <c r="B1349" s="21" t="s">
        <v>1252</v>
      </c>
      <c r="C1349" s="15" t="s">
        <v>3</v>
      </c>
      <c r="D1349" s="21" t="s">
        <v>1200</v>
      </c>
      <c r="E1349" s="21"/>
      <c r="F1349" s="69" t="s">
        <v>4</v>
      </c>
      <c r="G1349" s="9">
        <v>41713</v>
      </c>
      <c r="H1349" s="22">
        <v>21827</v>
      </c>
      <c r="I1349" s="17">
        <v>0</v>
      </c>
      <c r="J1349" s="17">
        <v>0</v>
      </c>
      <c r="K1349" s="17">
        <f t="shared" ref="K1349:K1412" si="241">H1349+I1349-J1349</f>
        <v>21827</v>
      </c>
      <c r="L1349" s="23">
        <f t="shared" si="233"/>
        <v>1091.3500000000001</v>
      </c>
      <c r="M1349" s="23">
        <v>3</v>
      </c>
      <c r="N1349" s="18">
        <f t="shared" ref="N1349:N1412" si="242">IF(($N$2-G1349+1)/365&gt;0,($N$2-G1349+1)/365,0)</f>
        <v>7.0547945205479454</v>
      </c>
      <c r="O1349" s="23">
        <v>14023.166666666666</v>
      </c>
      <c r="P1349" s="18">
        <f t="shared" ref="P1349:P1412" si="243">($P$2-G1349+1)/365</f>
        <v>7.5561643835616437</v>
      </c>
      <c r="Q1349" s="18">
        <v>0</v>
      </c>
      <c r="R1349" s="18">
        <f t="shared" si="240"/>
        <v>14023.166666666666</v>
      </c>
      <c r="S1349" s="18">
        <f t="shared" ref="S1349:S1406" si="244">K1349-R1349</f>
        <v>7803.8333333333339</v>
      </c>
    </row>
    <row r="1350" spans="1:19" ht="18.75" customHeight="1" x14ac:dyDescent="0.25">
      <c r="A1350" s="14">
        <f t="shared" ref="A1350:A1413" si="245">+A1349+1</f>
        <v>1344</v>
      </c>
      <c r="B1350" s="21" t="s">
        <v>1253</v>
      </c>
      <c r="C1350" s="15" t="s">
        <v>3</v>
      </c>
      <c r="D1350" s="21" t="s">
        <v>1200</v>
      </c>
      <c r="E1350" s="21"/>
      <c r="F1350" s="69" t="s">
        <v>4</v>
      </c>
      <c r="G1350" s="9">
        <v>41713</v>
      </c>
      <c r="H1350" s="22">
        <v>4149.9499999999971</v>
      </c>
      <c r="I1350" s="17">
        <v>0</v>
      </c>
      <c r="J1350" s="17">
        <v>0</v>
      </c>
      <c r="K1350" s="17">
        <f t="shared" si="241"/>
        <v>4149.9499999999971</v>
      </c>
      <c r="L1350" s="23">
        <f t="shared" si="233"/>
        <v>207.49749999999986</v>
      </c>
      <c r="M1350" s="23">
        <v>3</v>
      </c>
      <c r="N1350" s="18">
        <f t="shared" si="242"/>
        <v>7.0547945205479454</v>
      </c>
      <c r="O1350" s="23">
        <v>39424.525000000001</v>
      </c>
      <c r="P1350" s="18">
        <f t="shared" si="243"/>
        <v>7.5561643835616437</v>
      </c>
      <c r="Q1350" s="18">
        <v>0</v>
      </c>
      <c r="R1350" s="18">
        <f t="shared" si="240"/>
        <v>39424.525000000001</v>
      </c>
      <c r="S1350" s="18">
        <f>L1350</f>
        <v>207.49749999999986</v>
      </c>
    </row>
    <row r="1351" spans="1:19" ht="18.75" customHeight="1" x14ac:dyDescent="0.25">
      <c r="A1351" s="14">
        <f t="shared" si="245"/>
        <v>1345</v>
      </c>
      <c r="B1351" s="21" t="s">
        <v>1243</v>
      </c>
      <c r="C1351" s="15" t="s">
        <v>3</v>
      </c>
      <c r="D1351" s="21" t="s">
        <v>1200</v>
      </c>
      <c r="E1351" s="21"/>
      <c r="F1351" s="69" t="s">
        <v>4</v>
      </c>
      <c r="G1351" s="9">
        <v>41711</v>
      </c>
      <c r="H1351" s="22">
        <v>55407.5</v>
      </c>
      <c r="I1351" s="17">
        <v>0</v>
      </c>
      <c r="J1351" s="17">
        <v>0</v>
      </c>
      <c r="K1351" s="17">
        <f t="shared" si="241"/>
        <v>55407.5</v>
      </c>
      <c r="L1351" s="23">
        <f t="shared" si="233"/>
        <v>2770.375</v>
      </c>
      <c r="M1351" s="23">
        <v>3</v>
      </c>
      <c r="N1351" s="18">
        <f t="shared" si="242"/>
        <v>7.0602739726027401</v>
      </c>
      <c r="O1351" s="23">
        <v>43037.916666666664</v>
      </c>
      <c r="P1351" s="18">
        <f t="shared" si="243"/>
        <v>7.5616438356164384</v>
      </c>
      <c r="Q1351" s="18">
        <v>0</v>
      </c>
      <c r="R1351" s="18">
        <f t="shared" si="240"/>
        <v>43037.916666666664</v>
      </c>
      <c r="S1351" s="18">
        <f t="shared" si="244"/>
        <v>12369.583333333336</v>
      </c>
    </row>
    <row r="1352" spans="1:19" ht="18.75" customHeight="1" x14ac:dyDescent="0.25">
      <c r="A1352" s="14">
        <f t="shared" si="245"/>
        <v>1346</v>
      </c>
      <c r="B1352" s="21" t="s">
        <v>1209</v>
      </c>
      <c r="C1352" s="15" t="s">
        <v>3</v>
      </c>
      <c r="D1352" s="21" t="s">
        <v>1200</v>
      </c>
      <c r="E1352" s="21"/>
      <c r="F1352" s="69" t="s">
        <v>4</v>
      </c>
      <c r="G1352" s="9">
        <v>41710</v>
      </c>
      <c r="H1352" s="22">
        <v>345</v>
      </c>
      <c r="I1352" s="17">
        <v>0</v>
      </c>
      <c r="J1352" s="17">
        <v>0</v>
      </c>
      <c r="K1352" s="17">
        <f t="shared" si="241"/>
        <v>345</v>
      </c>
      <c r="L1352" s="23">
        <f t="shared" si="233"/>
        <v>17.25</v>
      </c>
      <c r="M1352" s="23">
        <v>3</v>
      </c>
      <c r="N1352" s="18">
        <f t="shared" si="242"/>
        <v>7.0630136986301366</v>
      </c>
      <c r="O1352" s="23">
        <v>3277.5</v>
      </c>
      <c r="P1352" s="18">
        <f t="shared" si="243"/>
        <v>7.5643835616438357</v>
      </c>
      <c r="Q1352" s="18">
        <v>0</v>
      </c>
      <c r="R1352" s="18">
        <f t="shared" si="240"/>
        <v>3277.5</v>
      </c>
      <c r="S1352" s="18">
        <f t="shared" ref="S1352:S1354" si="246">L1352</f>
        <v>17.25</v>
      </c>
    </row>
    <row r="1353" spans="1:19" ht="18.75" customHeight="1" x14ac:dyDescent="0.25">
      <c r="A1353" s="14">
        <f t="shared" si="245"/>
        <v>1347</v>
      </c>
      <c r="B1353" s="21" t="s">
        <v>1254</v>
      </c>
      <c r="C1353" s="15" t="s">
        <v>3</v>
      </c>
      <c r="D1353" s="21" t="s">
        <v>1200</v>
      </c>
      <c r="E1353" s="21"/>
      <c r="F1353" s="69" t="s">
        <v>4</v>
      </c>
      <c r="G1353" s="9">
        <v>41685</v>
      </c>
      <c r="H1353" s="22">
        <v>950.01550000000134</v>
      </c>
      <c r="I1353" s="17">
        <v>0</v>
      </c>
      <c r="J1353" s="17">
        <v>0</v>
      </c>
      <c r="K1353" s="17">
        <f t="shared" si="241"/>
        <v>950.01550000000134</v>
      </c>
      <c r="L1353" s="23">
        <f t="shared" si="233"/>
        <v>47.500775000000068</v>
      </c>
      <c r="M1353" s="23">
        <v>3</v>
      </c>
      <c r="N1353" s="18">
        <f t="shared" si="242"/>
        <v>7.1315068493150688</v>
      </c>
      <c r="O1353" s="23">
        <v>9025.14725</v>
      </c>
      <c r="P1353" s="18">
        <f t="shared" si="243"/>
        <v>7.6328767123287671</v>
      </c>
      <c r="Q1353" s="18">
        <v>0</v>
      </c>
      <c r="R1353" s="18">
        <f t="shared" si="240"/>
        <v>9025.14725</v>
      </c>
      <c r="S1353" s="18">
        <f t="shared" si="246"/>
        <v>47.500775000000068</v>
      </c>
    </row>
    <row r="1354" spans="1:19" ht="18.75" customHeight="1" x14ac:dyDescent="0.25">
      <c r="A1354" s="14">
        <f t="shared" si="245"/>
        <v>1348</v>
      </c>
      <c r="B1354" s="21" t="s">
        <v>1255</v>
      </c>
      <c r="C1354" s="15" t="s">
        <v>3</v>
      </c>
      <c r="D1354" s="21" t="s">
        <v>1200</v>
      </c>
      <c r="E1354" s="21"/>
      <c r="F1354" s="69" t="s">
        <v>4</v>
      </c>
      <c r="G1354" s="9">
        <v>41685</v>
      </c>
      <c r="H1354" s="22">
        <v>2635.5</v>
      </c>
      <c r="I1354" s="17">
        <v>0</v>
      </c>
      <c r="J1354" s="17">
        <v>0</v>
      </c>
      <c r="K1354" s="17">
        <f t="shared" si="241"/>
        <v>2635.5</v>
      </c>
      <c r="L1354" s="23">
        <f t="shared" si="233"/>
        <v>131.77500000000001</v>
      </c>
      <c r="M1354" s="23">
        <v>3</v>
      </c>
      <c r="N1354" s="18">
        <f t="shared" si="242"/>
        <v>7.1315068493150688</v>
      </c>
      <c r="O1354" s="23">
        <v>25037.25</v>
      </c>
      <c r="P1354" s="18">
        <f t="shared" si="243"/>
        <v>7.6328767123287671</v>
      </c>
      <c r="Q1354" s="18">
        <v>0</v>
      </c>
      <c r="R1354" s="18">
        <f t="shared" si="240"/>
        <v>25037.25</v>
      </c>
      <c r="S1354" s="18">
        <f t="shared" si="246"/>
        <v>131.77500000000001</v>
      </c>
    </row>
    <row r="1355" spans="1:19" ht="18.75" customHeight="1" x14ac:dyDescent="0.25">
      <c r="A1355" s="14">
        <f t="shared" si="245"/>
        <v>1349</v>
      </c>
      <c r="B1355" s="21" t="s">
        <v>1256</v>
      </c>
      <c r="C1355" s="15" t="s">
        <v>3</v>
      </c>
      <c r="D1355" s="21" t="s">
        <v>1200</v>
      </c>
      <c r="E1355" s="21"/>
      <c r="F1355" s="69" t="s">
        <v>4</v>
      </c>
      <c r="G1355" s="9">
        <v>41676</v>
      </c>
      <c r="H1355" s="22">
        <v>323112</v>
      </c>
      <c r="I1355" s="17">
        <v>0</v>
      </c>
      <c r="J1355" s="17">
        <v>0</v>
      </c>
      <c r="K1355" s="17">
        <f t="shared" si="241"/>
        <v>323112</v>
      </c>
      <c r="L1355" s="23">
        <f t="shared" si="233"/>
        <v>16155.6</v>
      </c>
      <c r="M1355" s="23">
        <v>3</v>
      </c>
      <c r="N1355" s="18">
        <f t="shared" si="242"/>
        <v>7.1561643835616442</v>
      </c>
      <c r="O1355" s="23">
        <v>169564</v>
      </c>
      <c r="P1355" s="18">
        <f t="shared" si="243"/>
        <v>7.6575342465753424</v>
      </c>
      <c r="Q1355" s="18">
        <v>0</v>
      </c>
      <c r="R1355" s="18">
        <f t="shared" si="240"/>
        <v>169564</v>
      </c>
      <c r="S1355" s="18">
        <f t="shared" si="244"/>
        <v>153548</v>
      </c>
    </row>
    <row r="1356" spans="1:19" ht="18.75" customHeight="1" x14ac:dyDescent="0.25">
      <c r="A1356" s="14">
        <f t="shared" si="245"/>
        <v>1350</v>
      </c>
      <c r="B1356" s="21" t="s">
        <v>1255</v>
      </c>
      <c r="C1356" s="15" t="s">
        <v>3</v>
      </c>
      <c r="D1356" s="21" t="s">
        <v>1200</v>
      </c>
      <c r="E1356" s="21"/>
      <c r="F1356" s="69" t="s">
        <v>4</v>
      </c>
      <c r="G1356" s="9">
        <v>41654</v>
      </c>
      <c r="H1356" s="22">
        <v>22635.5</v>
      </c>
      <c r="I1356" s="17">
        <v>0</v>
      </c>
      <c r="J1356" s="17">
        <v>0</v>
      </c>
      <c r="K1356" s="17">
        <f t="shared" si="241"/>
        <v>22635.5</v>
      </c>
      <c r="L1356" s="23">
        <f t="shared" si="233"/>
        <v>1131.7750000000001</v>
      </c>
      <c r="M1356" s="23">
        <v>3</v>
      </c>
      <c r="N1356" s="18">
        <f t="shared" si="242"/>
        <v>7.2164383561643834</v>
      </c>
      <c r="O1356" s="23">
        <v>21703.916666666664</v>
      </c>
      <c r="P1356" s="18">
        <f t="shared" si="243"/>
        <v>7.7178082191780826</v>
      </c>
      <c r="Q1356" s="18">
        <v>0</v>
      </c>
      <c r="R1356" s="18">
        <f t="shared" si="240"/>
        <v>21703.916666666664</v>
      </c>
      <c r="S1356" s="18">
        <f t="shared" si="244"/>
        <v>931.58333333333576</v>
      </c>
    </row>
    <row r="1357" spans="1:19" ht="18.75" customHeight="1" x14ac:dyDescent="0.25">
      <c r="A1357" s="14">
        <f t="shared" si="245"/>
        <v>1351</v>
      </c>
      <c r="B1357" s="21" t="s">
        <v>1257</v>
      </c>
      <c r="C1357" s="15" t="s">
        <v>3</v>
      </c>
      <c r="D1357" s="21" t="s">
        <v>1200</v>
      </c>
      <c r="E1357" s="21"/>
      <c r="F1357" s="69" t="s">
        <v>4</v>
      </c>
      <c r="G1357" s="9">
        <v>41640</v>
      </c>
      <c r="H1357" s="22">
        <v>16850</v>
      </c>
      <c r="I1357" s="17">
        <v>0</v>
      </c>
      <c r="J1357" s="17">
        <v>0</v>
      </c>
      <c r="K1357" s="17">
        <f t="shared" si="241"/>
        <v>16850</v>
      </c>
      <c r="L1357" s="23">
        <f t="shared" si="233"/>
        <v>842.5</v>
      </c>
      <c r="M1357" s="23">
        <v>5</v>
      </c>
      <c r="N1357" s="18">
        <f t="shared" si="242"/>
        <v>7.2547945205479456</v>
      </c>
      <c r="O1357" s="23">
        <v>13075</v>
      </c>
      <c r="P1357" s="18">
        <f t="shared" si="243"/>
        <v>7.7561643835616438</v>
      </c>
      <c r="Q1357" s="18">
        <v>0</v>
      </c>
      <c r="R1357" s="18">
        <f t="shared" si="240"/>
        <v>13075</v>
      </c>
      <c r="S1357" s="18">
        <f t="shared" si="244"/>
        <v>3775</v>
      </c>
    </row>
    <row r="1358" spans="1:19" ht="18.75" customHeight="1" x14ac:dyDescent="0.25">
      <c r="A1358" s="14">
        <f t="shared" si="245"/>
        <v>1352</v>
      </c>
      <c r="B1358" s="21" t="s">
        <v>1258</v>
      </c>
      <c r="C1358" s="15" t="s">
        <v>3</v>
      </c>
      <c r="D1358" s="21" t="s">
        <v>1200</v>
      </c>
      <c r="E1358" s="21"/>
      <c r="F1358" s="69" t="s">
        <v>4</v>
      </c>
      <c r="G1358" s="9">
        <v>41547</v>
      </c>
      <c r="H1358" s="22">
        <v>975</v>
      </c>
      <c r="I1358" s="17">
        <v>0</v>
      </c>
      <c r="J1358" s="17">
        <v>0</v>
      </c>
      <c r="K1358" s="17">
        <f t="shared" si="241"/>
        <v>975</v>
      </c>
      <c r="L1358" s="23">
        <f t="shared" si="233"/>
        <v>48.75</v>
      </c>
      <c r="M1358" s="23">
        <v>5</v>
      </c>
      <c r="N1358" s="18">
        <f t="shared" si="242"/>
        <v>7.5095890410958903</v>
      </c>
      <c r="O1358" s="23">
        <v>9262.5</v>
      </c>
      <c r="P1358" s="18">
        <f t="shared" si="243"/>
        <v>8.0109589041095894</v>
      </c>
      <c r="Q1358" s="18">
        <v>0</v>
      </c>
      <c r="R1358" s="18">
        <f t="shared" si="240"/>
        <v>9262.5</v>
      </c>
      <c r="S1358" s="18">
        <f>L1358</f>
        <v>48.75</v>
      </c>
    </row>
    <row r="1359" spans="1:19" ht="18.75" customHeight="1" x14ac:dyDescent="0.25">
      <c r="A1359" s="14">
        <f t="shared" si="245"/>
        <v>1353</v>
      </c>
      <c r="B1359" s="21" t="s">
        <v>1259</v>
      </c>
      <c r="C1359" s="15" t="s">
        <v>3</v>
      </c>
      <c r="D1359" s="21" t="s">
        <v>1200</v>
      </c>
      <c r="E1359" s="21"/>
      <c r="F1359" s="69" t="s">
        <v>4</v>
      </c>
      <c r="G1359" s="9">
        <v>41532</v>
      </c>
      <c r="H1359" s="22">
        <v>27500</v>
      </c>
      <c r="I1359" s="17">
        <v>0</v>
      </c>
      <c r="J1359" s="17">
        <v>0</v>
      </c>
      <c r="K1359" s="17">
        <f t="shared" si="241"/>
        <v>27500</v>
      </c>
      <c r="L1359" s="23">
        <f t="shared" si="233"/>
        <v>1375</v>
      </c>
      <c r="M1359" s="23">
        <v>5</v>
      </c>
      <c r="N1359" s="18">
        <f t="shared" si="242"/>
        <v>7.5506849315068489</v>
      </c>
      <c r="O1359" s="23">
        <v>16250</v>
      </c>
      <c r="P1359" s="18">
        <f t="shared" si="243"/>
        <v>8.0520547945205472</v>
      </c>
      <c r="Q1359" s="18">
        <v>0</v>
      </c>
      <c r="R1359" s="18">
        <f t="shared" si="240"/>
        <v>16250</v>
      </c>
      <c r="S1359" s="18">
        <f t="shared" si="244"/>
        <v>11250</v>
      </c>
    </row>
    <row r="1360" spans="1:19" ht="18.75" customHeight="1" x14ac:dyDescent="0.25">
      <c r="A1360" s="14">
        <f t="shared" si="245"/>
        <v>1354</v>
      </c>
      <c r="B1360" s="21" t="s">
        <v>1199</v>
      </c>
      <c r="C1360" s="15" t="s">
        <v>3</v>
      </c>
      <c r="D1360" s="21" t="s">
        <v>1200</v>
      </c>
      <c r="E1360" s="21"/>
      <c r="F1360" s="69" t="s">
        <v>4</v>
      </c>
      <c r="G1360" s="9">
        <v>41471</v>
      </c>
      <c r="H1360" s="22">
        <v>22475</v>
      </c>
      <c r="I1360" s="17">
        <v>0</v>
      </c>
      <c r="J1360" s="17">
        <v>0</v>
      </c>
      <c r="K1360" s="17">
        <f t="shared" si="241"/>
        <v>22475</v>
      </c>
      <c r="L1360" s="23">
        <f t="shared" si="233"/>
        <v>1123.75</v>
      </c>
      <c r="M1360" s="23">
        <v>3</v>
      </c>
      <c r="N1360" s="18">
        <f t="shared" si="242"/>
        <v>7.7178082191780826</v>
      </c>
      <c r="O1360" s="23">
        <v>20179.166666666664</v>
      </c>
      <c r="P1360" s="18">
        <f t="shared" si="243"/>
        <v>8.2191780821917817</v>
      </c>
      <c r="Q1360" s="18">
        <v>0</v>
      </c>
      <c r="R1360" s="18">
        <f t="shared" si="240"/>
        <v>20179.166666666664</v>
      </c>
      <c r="S1360" s="18">
        <f t="shared" si="244"/>
        <v>2295.8333333333358</v>
      </c>
    </row>
    <row r="1361" spans="1:19" ht="18.75" customHeight="1" x14ac:dyDescent="0.25">
      <c r="A1361" s="14">
        <f t="shared" si="245"/>
        <v>1355</v>
      </c>
      <c r="B1361" s="21" t="s">
        <v>1209</v>
      </c>
      <c r="C1361" s="15" t="s">
        <v>3</v>
      </c>
      <c r="D1361" s="21" t="s">
        <v>1200</v>
      </c>
      <c r="E1361" s="21"/>
      <c r="F1361" s="69" t="s">
        <v>4</v>
      </c>
      <c r="G1361" s="9">
        <v>41409</v>
      </c>
      <c r="H1361" s="22">
        <v>950.01550000000134</v>
      </c>
      <c r="I1361" s="17">
        <v>0</v>
      </c>
      <c r="J1361" s="17">
        <v>0</v>
      </c>
      <c r="K1361" s="17">
        <f t="shared" si="241"/>
        <v>950.01550000000134</v>
      </c>
      <c r="L1361" s="23">
        <f t="shared" si="233"/>
        <v>47.500775000000068</v>
      </c>
      <c r="M1361" s="23">
        <v>3</v>
      </c>
      <c r="N1361" s="18">
        <f t="shared" si="242"/>
        <v>7.8876712328767127</v>
      </c>
      <c r="O1361" s="23">
        <v>9025.14725</v>
      </c>
      <c r="P1361" s="18">
        <f t="shared" si="243"/>
        <v>8.3890410958904109</v>
      </c>
      <c r="Q1361" s="18">
        <v>0</v>
      </c>
      <c r="R1361" s="18">
        <f t="shared" si="240"/>
        <v>9025.14725</v>
      </c>
      <c r="S1361" s="18">
        <f t="shared" ref="S1361:S1362" si="247">L1361</f>
        <v>47.500775000000068</v>
      </c>
    </row>
    <row r="1362" spans="1:19" ht="18.75" customHeight="1" x14ac:dyDescent="0.25">
      <c r="A1362" s="14">
        <f t="shared" si="245"/>
        <v>1356</v>
      </c>
      <c r="B1362" s="21" t="s">
        <v>1260</v>
      </c>
      <c r="C1362" s="15" t="s">
        <v>3</v>
      </c>
      <c r="D1362" s="21" t="s">
        <v>1200</v>
      </c>
      <c r="E1362" s="21"/>
      <c r="F1362" s="69" t="s">
        <v>4</v>
      </c>
      <c r="G1362" s="9">
        <v>41379</v>
      </c>
      <c r="H1362" s="22">
        <v>515.64550000000054</v>
      </c>
      <c r="I1362" s="17">
        <v>0</v>
      </c>
      <c r="J1362" s="17">
        <v>0</v>
      </c>
      <c r="K1362" s="17">
        <f t="shared" si="241"/>
        <v>515.64550000000054</v>
      </c>
      <c r="L1362" s="23">
        <f t="shared" si="233"/>
        <v>25.782275000000027</v>
      </c>
      <c r="M1362" s="23">
        <v>5</v>
      </c>
      <c r="N1362" s="18">
        <f t="shared" si="242"/>
        <v>7.9698630136986299</v>
      </c>
      <c r="O1362" s="23">
        <v>4898.6322499999997</v>
      </c>
      <c r="P1362" s="18">
        <f t="shared" si="243"/>
        <v>8.4712328767123282</v>
      </c>
      <c r="Q1362" s="18">
        <v>0</v>
      </c>
      <c r="R1362" s="18">
        <f t="shared" si="240"/>
        <v>4898.6322499999997</v>
      </c>
      <c r="S1362" s="18">
        <f t="shared" si="247"/>
        <v>25.782275000000027</v>
      </c>
    </row>
    <row r="1363" spans="1:19" ht="18.75" customHeight="1" x14ac:dyDescent="0.25">
      <c r="A1363" s="14">
        <f t="shared" si="245"/>
        <v>1357</v>
      </c>
      <c r="B1363" s="21" t="s">
        <v>1199</v>
      </c>
      <c r="C1363" s="15" t="s">
        <v>3</v>
      </c>
      <c r="D1363" s="21" t="s">
        <v>1200</v>
      </c>
      <c r="E1363" s="21"/>
      <c r="F1363" s="69" t="s">
        <v>4</v>
      </c>
      <c r="G1363" s="9">
        <v>41379</v>
      </c>
      <c r="H1363" s="22">
        <v>22225</v>
      </c>
      <c r="I1363" s="17">
        <v>0</v>
      </c>
      <c r="J1363" s="17">
        <v>0</v>
      </c>
      <c r="K1363" s="17">
        <f t="shared" si="241"/>
        <v>22225</v>
      </c>
      <c r="L1363" s="23">
        <f t="shared" si="233"/>
        <v>1111.25</v>
      </c>
      <c r="M1363" s="23">
        <v>3</v>
      </c>
      <c r="N1363" s="18">
        <f t="shared" si="242"/>
        <v>7.9698630136986299</v>
      </c>
      <c r="O1363" s="23">
        <v>17804.166666666664</v>
      </c>
      <c r="P1363" s="18">
        <f t="shared" si="243"/>
        <v>8.4712328767123282</v>
      </c>
      <c r="Q1363" s="18">
        <v>0</v>
      </c>
      <c r="R1363" s="18">
        <f t="shared" si="240"/>
        <v>17804.166666666664</v>
      </c>
      <c r="S1363" s="18">
        <f t="shared" si="244"/>
        <v>4420.8333333333358</v>
      </c>
    </row>
    <row r="1364" spans="1:19" ht="18.75" customHeight="1" x14ac:dyDescent="0.25">
      <c r="A1364" s="14">
        <f t="shared" si="245"/>
        <v>1358</v>
      </c>
      <c r="B1364" s="21" t="s">
        <v>1209</v>
      </c>
      <c r="C1364" s="15" t="s">
        <v>3</v>
      </c>
      <c r="D1364" s="21" t="s">
        <v>1200</v>
      </c>
      <c r="E1364" s="21"/>
      <c r="F1364" s="69" t="s">
        <v>4</v>
      </c>
      <c r="G1364" s="9">
        <v>41348</v>
      </c>
      <c r="H1364" s="22">
        <v>704.5</v>
      </c>
      <c r="I1364" s="17">
        <v>0</v>
      </c>
      <c r="J1364" s="17">
        <v>0</v>
      </c>
      <c r="K1364" s="17">
        <f t="shared" si="241"/>
        <v>704.5</v>
      </c>
      <c r="L1364" s="23">
        <f t="shared" si="233"/>
        <v>35.225000000000001</v>
      </c>
      <c r="M1364" s="23">
        <v>3</v>
      </c>
      <c r="N1364" s="18">
        <f t="shared" si="242"/>
        <v>8.0547945205479454</v>
      </c>
      <c r="O1364" s="23">
        <v>6692.75</v>
      </c>
      <c r="P1364" s="18">
        <f t="shared" si="243"/>
        <v>8.5561643835616437</v>
      </c>
      <c r="Q1364" s="18">
        <v>0</v>
      </c>
      <c r="R1364" s="18">
        <f t="shared" si="240"/>
        <v>6692.75</v>
      </c>
      <c r="S1364" s="18">
        <f t="shared" ref="S1364:S1366" si="248">L1364</f>
        <v>35.225000000000001</v>
      </c>
    </row>
    <row r="1365" spans="1:19" ht="18.75" customHeight="1" x14ac:dyDescent="0.25">
      <c r="A1365" s="14">
        <f t="shared" si="245"/>
        <v>1359</v>
      </c>
      <c r="B1365" s="21" t="s">
        <v>1261</v>
      </c>
      <c r="C1365" s="15" t="s">
        <v>3</v>
      </c>
      <c r="D1365" s="21" t="s">
        <v>1200</v>
      </c>
      <c r="E1365" s="21"/>
      <c r="F1365" s="69" t="s">
        <v>4</v>
      </c>
      <c r="G1365" s="9">
        <v>41348</v>
      </c>
      <c r="H1365" s="22">
        <v>918.75</v>
      </c>
      <c r="I1365" s="17">
        <v>0</v>
      </c>
      <c r="J1365" s="17">
        <v>0</v>
      </c>
      <c r="K1365" s="17">
        <f t="shared" si="241"/>
        <v>918.75</v>
      </c>
      <c r="L1365" s="23">
        <f t="shared" si="233"/>
        <v>45.9375</v>
      </c>
      <c r="M1365" s="23">
        <v>5</v>
      </c>
      <c r="N1365" s="18">
        <f t="shared" si="242"/>
        <v>8.0547945205479454</v>
      </c>
      <c r="O1365" s="23">
        <v>8728.125</v>
      </c>
      <c r="P1365" s="18">
        <f t="shared" si="243"/>
        <v>8.5561643835616437</v>
      </c>
      <c r="Q1365" s="18">
        <v>0</v>
      </c>
      <c r="R1365" s="18">
        <f t="shared" si="240"/>
        <v>8728.125</v>
      </c>
      <c r="S1365" s="18">
        <f t="shared" si="248"/>
        <v>45.9375</v>
      </c>
    </row>
    <row r="1366" spans="1:19" ht="18.75" customHeight="1" x14ac:dyDescent="0.25">
      <c r="A1366" s="14">
        <f t="shared" si="245"/>
        <v>1360</v>
      </c>
      <c r="B1366" s="21" t="s">
        <v>1262</v>
      </c>
      <c r="C1366" s="15" t="s">
        <v>3</v>
      </c>
      <c r="D1366" s="21" t="s">
        <v>1200</v>
      </c>
      <c r="E1366" s="21"/>
      <c r="F1366" s="69" t="s">
        <v>4</v>
      </c>
      <c r="G1366" s="9">
        <v>41348</v>
      </c>
      <c r="H1366" s="22">
        <v>34938.050000000003</v>
      </c>
      <c r="I1366" s="17">
        <v>0</v>
      </c>
      <c r="J1366" s="17">
        <v>0</v>
      </c>
      <c r="K1366" s="17">
        <f t="shared" si="241"/>
        <v>34938.050000000003</v>
      </c>
      <c r="L1366" s="23">
        <f t="shared" si="233"/>
        <v>1746.9025000000001</v>
      </c>
      <c r="M1366" s="23">
        <v>5</v>
      </c>
      <c r="N1366" s="18">
        <f t="shared" si="242"/>
        <v>8.0547945205479454</v>
      </c>
      <c r="O1366" s="23">
        <v>37911.474999999999</v>
      </c>
      <c r="P1366" s="18">
        <f t="shared" si="243"/>
        <v>8.5561643835616437</v>
      </c>
      <c r="Q1366" s="18">
        <v>0</v>
      </c>
      <c r="R1366" s="18">
        <f t="shared" si="240"/>
        <v>37911.474999999999</v>
      </c>
      <c r="S1366" s="18">
        <f t="shared" si="248"/>
        <v>1746.9025000000001</v>
      </c>
    </row>
    <row r="1367" spans="1:19" ht="18.75" customHeight="1" x14ac:dyDescent="0.25">
      <c r="A1367" s="14">
        <f t="shared" si="245"/>
        <v>1361</v>
      </c>
      <c r="B1367" s="21" t="s">
        <v>1263</v>
      </c>
      <c r="C1367" s="15" t="s">
        <v>3</v>
      </c>
      <c r="D1367" s="21" t="s">
        <v>1200</v>
      </c>
      <c r="E1367" s="21"/>
      <c r="F1367" s="69" t="s">
        <v>4</v>
      </c>
      <c r="G1367" s="9">
        <v>41348</v>
      </c>
      <c r="H1367" s="22">
        <v>81592.25</v>
      </c>
      <c r="I1367" s="17">
        <v>0</v>
      </c>
      <c r="J1367" s="17">
        <v>0</v>
      </c>
      <c r="K1367" s="17">
        <f t="shared" si="241"/>
        <v>81592.25</v>
      </c>
      <c r="L1367" s="23">
        <f t="shared" ref="L1367:L1430" si="249">H1367*0.05</f>
        <v>4079.6125000000002</v>
      </c>
      <c r="M1367" s="23">
        <v>5</v>
      </c>
      <c r="N1367" s="18">
        <f t="shared" si="242"/>
        <v>8.0547945205479454</v>
      </c>
      <c r="O1367" s="23">
        <v>40126.375</v>
      </c>
      <c r="P1367" s="18">
        <f t="shared" si="243"/>
        <v>8.5561643835616437</v>
      </c>
      <c r="Q1367" s="18">
        <v>0</v>
      </c>
      <c r="R1367" s="18">
        <f t="shared" si="240"/>
        <v>40126.375</v>
      </c>
      <c r="S1367" s="18">
        <f t="shared" si="244"/>
        <v>41465.875</v>
      </c>
    </row>
    <row r="1368" spans="1:19" ht="18.75" customHeight="1" x14ac:dyDescent="0.25">
      <c r="A1368" s="14">
        <f t="shared" si="245"/>
        <v>1362</v>
      </c>
      <c r="B1368" s="21" t="s">
        <v>1264</v>
      </c>
      <c r="C1368" s="15" t="s">
        <v>3</v>
      </c>
      <c r="D1368" s="21" t="s">
        <v>1200</v>
      </c>
      <c r="E1368" s="21"/>
      <c r="F1368" s="69" t="s">
        <v>4</v>
      </c>
      <c r="G1368" s="9">
        <v>41320</v>
      </c>
      <c r="H1368" s="22">
        <v>20204.554794520547</v>
      </c>
      <c r="I1368" s="17">
        <v>0</v>
      </c>
      <c r="J1368" s="17">
        <v>0</v>
      </c>
      <c r="K1368" s="17">
        <f t="shared" si="241"/>
        <v>20204.554794520547</v>
      </c>
      <c r="L1368" s="23">
        <f t="shared" si="249"/>
        <v>1010.2277397260274</v>
      </c>
      <c r="M1368" s="23">
        <v>10</v>
      </c>
      <c r="N1368" s="18">
        <f t="shared" si="242"/>
        <v>8.131506849315068</v>
      </c>
      <c r="O1368" s="23">
        <v>6149.4280821917791</v>
      </c>
      <c r="P1368" s="18">
        <f t="shared" si="243"/>
        <v>8.632876712328768</v>
      </c>
      <c r="Q1368" s="18">
        <f t="shared" ref="Q1368" si="250">(P1368-N1368)/M1368*(K1368-L1368)</f>
        <v>962.34571261024848</v>
      </c>
      <c r="R1368" s="18">
        <f t="shared" si="240"/>
        <v>7111.7737948020276</v>
      </c>
      <c r="S1368" s="18">
        <f t="shared" si="244"/>
        <v>13092.78099971852</v>
      </c>
    </row>
    <row r="1369" spans="1:19" ht="18.75" customHeight="1" x14ac:dyDescent="0.25">
      <c r="A1369" s="14">
        <f t="shared" si="245"/>
        <v>1363</v>
      </c>
      <c r="B1369" s="21" t="s">
        <v>1265</v>
      </c>
      <c r="C1369" s="15" t="s">
        <v>3</v>
      </c>
      <c r="D1369" s="21" t="s">
        <v>1200</v>
      </c>
      <c r="E1369" s="21"/>
      <c r="F1369" s="69" t="s">
        <v>4</v>
      </c>
      <c r="G1369" s="9">
        <v>41320</v>
      </c>
      <c r="H1369" s="22">
        <v>11700</v>
      </c>
      <c r="I1369" s="17">
        <v>0</v>
      </c>
      <c r="J1369" s="17">
        <v>0</v>
      </c>
      <c r="K1369" s="17">
        <f t="shared" si="241"/>
        <v>11700</v>
      </c>
      <c r="L1369" s="23">
        <f t="shared" si="249"/>
        <v>585</v>
      </c>
      <c r="M1369" s="23">
        <v>5</v>
      </c>
      <c r="N1369" s="18">
        <f t="shared" si="242"/>
        <v>8.131506849315068</v>
      </c>
      <c r="O1369" s="23">
        <v>13149.999999999998</v>
      </c>
      <c r="P1369" s="18">
        <f t="shared" si="243"/>
        <v>8.632876712328768</v>
      </c>
      <c r="Q1369" s="18">
        <v>0</v>
      </c>
      <c r="R1369" s="18">
        <f t="shared" si="240"/>
        <v>13149.999999999998</v>
      </c>
      <c r="S1369" s="18">
        <f t="shared" ref="S1369:S1386" si="251">L1369</f>
        <v>585</v>
      </c>
    </row>
    <row r="1370" spans="1:19" ht="18.75" customHeight="1" x14ac:dyDescent="0.25">
      <c r="A1370" s="14">
        <f t="shared" si="245"/>
        <v>1364</v>
      </c>
      <c r="B1370" s="21" t="s">
        <v>1266</v>
      </c>
      <c r="C1370" s="15" t="s">
        <v>3</v>
      </c>
      <c r="D1370" s="21" t="s">
        <v>1200</v>
      </c>
      <c r="E1370" s="21"/>
      <c r="F1370" s="69" t="s">
        <v>4</v>
      </c>
      <c r="G1370" s="9">
        <v>41320</v>
      </c>
      <c r="H1370" s="22">
        <v>11802.5</v>
      </c>
      <c r="I1370" s="17">
        <v>0</v>
      </c>
      <c r="J1370" s="17">
        <v>0</v>
      </c>
      <c r="K1370" s="17">
        <f t="shared" si="241"/>
        <v>11802.5</v>
      </c>
      <c r="L1370" s="23">
        <f t="shared" si="249"/>
        <v>590.125</v>
      </c>
      <c r="M1370" s="23">
        <v>5</v>
      </c>
      <c r="N1370" s="18">
        <f t="shared" si="242"/>
        <v>8.131506849315068</v>
      </c>
      <c r="O1370" s="23">
        <v>14123.749999999998</v>
      </c>
      <c r="P1370" s="18">
        <f t="shared" si="243"/>
        <v>8.632876712328768</v>
      </c>
      <c r="Q1370" s="18">
        <v>0</v>
      </c>
      <c r="R1370" s="18">
        <f t="shared" si="240"/>
        <v>14123.749999999998</v>
      </c>
      <c r="S1370" s="18">
        <f t="shared" si="251"/>
        <v>590.125</v>
      </c>
    </row>
    <row r="1371" spans="1:19" ht="18.75" customHeight="1" x14ac:dyDescent="0.25">
      <c r="A1371" s="14">
        <f t="shared" si="245"/>
        <v>1365</v>
      </c>
      <c r="B1371" s="21" t="s">
        <v>1267</v>
      </c>
      <c r="C1371" s="15" t="s">
        <v>3</v>
      </c>
      <c r="D1371" s="21" t="s">
        <v>1200</v>
      </c>
      <c r="E1371" s="21"/>
      <c r="F1371" s="69" t="s">
        <v>4</v>
      </c>
      <c r="G1371" s="9">
        <v>41312</v>
      </c>
      <c r="H1371" s="22">
        <v>837.85000000000036</v>
      </c>
      <c r="I1371" s="17">
        <v>0</v>
      </c>
      <c r="J1371" s="17">
        <v>0</v>
      </c>
      <c r="K1371" s="17">
        <f t="shared" si="241"/>
        <v>837.85000000000036</v>
      </c>
      <c r="L1371" s="23">
        <f t="shared" si="249"/>
        <v>41.89250000000002</v>
      </c>
      <c r="M1371" s="23">
        <v>5</v>
      </c>
      <c r="N1371" s="18">
        <f t="shared" si="242"/>
        <v>8.1534246575342468</v>
      </c>
      <c r="O1371" s="23">
        <v>7959.5749999999998</v>
      </c>
      <c r="P1371" s="18">
        <f t="shared" si="243"/>
        <v>8.6547945205479451</v>
      </c>
      <c r="Q1371" s="18">
        <v>0</v>
      </c>
      <c r="R1371" s="18">
        <f t="shared" si="240"/>
        <v>7959.5749999999998</v>
      </c>
      <c r="S1371" s="18">
        <f t="shared" si="251"/>
        <v>41.89250000000002</v>
      </c>
    </row>
    <row r="1372" spans="1:19" ht="18.75" customHeight="1" x14ac:dyDescent="0.25">
      <c r="A1372" s="14">
        <f t="shared" si="245"/>
        <v>1366</v>
      </c>
      <c r="B1372" s="21" t="s">
        <v>1208</v>
      </c>
      <c r="C1372" s="15" t="s">
        <v>3</v>
      </c>
      <c r="D1372" s="21" t="s">
        <v>1200</v>
      </c>
      <c r="E1372" s="21"/>
      <c r="F1372" s="69" t="s">
        <v>4</v>
      </c>
      <c r="G1372" s="9">
        <v>41299</v>
      </c>
      <c r="H1372" s="22">
        <v>175</v>
      </c>
      <c r="I1372" s="17">
        <v>0</v>
      </c>
      <c r="J1372" s="17">
        <v>0</v>
      </c>
      <c r="K1372" s="17">
        <f t="shared" si="241"/>
        <v>175</v>
      </c>
      <c r="L1372" s="23">
        <f t="shared" si="249"/>
        <v>8.75</v>
      </c>
      <c r="M1372" s="23">
        <v>5</v>
      </c>
      <c r="N1372" s="18">
        <f t="shared" si="242"/>
        <v>8.1890410958904116</v>
      </c>
      <c r="O1372" s="23">
        <v>1662.5</v>
      </c>
      <c r="P1372" s="18">
        <f t="shared" si="243"/>
        <v>8.6904109589041099</v>
      </c>
      <c r="Q1372" s="18">
        <v>0</v>
      </c>
      <c r="R1372" s="18">
        <f t="shared" si="240"/>
        <v>1662.5</v>
      </c>
      <c r="S1372" s="18">
        <f t="shared" si="251"/>
        <v>8.75</v>
      </c>
    </row>
    <row r="1373" spans="1:19" ht="18.75" customHeight="1" x14ac:dyDescent="0.25">
      <c r="A1373" s="14">
        <f t="shared" si="245"/>
        <v>1367</v>
      </c>
      <c r="B1373" s="21" t="s">
        <v>1268</v>
      </c>
      <c r="C1373" s="15" t="s">
        <v>3</v>
      </c>
      <c r="D1373" s="21" t="s">
        <v>1200</v>
      </c>
      <c r="E1373" s="21"/>
      <c r="F1373" s="69" t="s">
        <v>4</v>
      </c>
      <c r="G1373" s="9">
        <v>41289</v>
      </c>
      <c r="H1373" s="22">
        <v>204.75</v>
      </c>
      <c r="I1373" s="17">
        <v>0</v>
      </c>
      <c r="J1373" s="17">
        <v>0</v>
      </c>
      <c r="K1373" s="17">
        <f t="shared" si="241"/>
        <v>204.75</v>
      </c>
      <c r="L1373" s="23">
        <f t="shared" si="249"/>
        <v>10.237500000000001</v>
      </c>
      <c r="M1373" s="23">
        <v>3</v>
      </c>
      <c r="N1373" s="18">
        <f t="shared" si="242"/>
        <v>8.2164383561643834</v>
      </c>
      <c r="O1373" s="23">
        <v>1945.125</v>
      </c>
      <c r="P1373" s="18">
        <f t="shared" si="243"/>
        <v>8.7178082191780817</v>
      </c>
      <c r="Q1373" s="18">
        <v>0</v>
      </c>
      <c r="R1373" s="18">
        <f t="shared" si="240"/>
        <v>1945.125</v>
      </c>
      <c r="S1373" s="18">
        <f t="shared" si="251"/>
        <v>10.237500000000001</v>
      </c>
    </row>
    <row r="1374" spans="1:19" ht="18.75" customHeight="1" x14ac:dyDescent="0.25">
      <c r="A1374" s="14">
        <f t="shared" si="245"/>
        <v>1368</v>
      </c>
      <c r="B1374" s="21" t="s">
        <v>1269</v>
      </c>
      <c r="C1374" s="15" t="s">
        <v>3</v>
      </c>
      <c r="D1374" s="21" t="s">
        <v>1200</v>
      </c>
      <c r="E1374" s="21"/>
      <c r="F1374" s="69" t="s">
        <v>4</v>
      </c>
      <c r="G1374" s="9">
        <v>41283</v>
      </c>
      <c r="H1374" s="22">
        <v>579.75</v>
      </c>
      <c r="I1374" s="17">
        <v>0</v>
      </c>
      <c r="J1374" s="17">
        <v>0</v>
      </c>
      <c r="K1374" s="17">
        <f t="shared" si="241"/>
        <v>579.75</v>
      </c>
      <c r="L1374" s="23">
        <f t="shared" si="249"/>
        <v>28.987500000000001</v>
      </c>
      <c r="M1374" s="23">
        <v>5</v>
      </c>
      <c r="N1374" s="18">
        <f t="shared" si="242"/>
        <v>8.2328767123287676</v>
      </c>
      <c r="O1374" s="23">
        <v>5507.625</v>
      </c>
      <c r="P1374" s="18">
        <f t="shared" si="243"/>
        <v>8.7342465753424658</v>
      </c>
      <c r="Q1374" s="18">
        <v>0</v>
      </c>
      <c r="R1374" s="18">
        <f t="shared" si="240"/>
        <v>5507.625</v>
      </c>
      <c r="S1374" s="18">
        <f t="shared" si="251"/>
        <v>28.987500000000001</v>
      </c>
    </row>
    <row r="1375" spans="1:19" ht="18.75" customHeight="1" x14ac:dyDescent="0.25">
      <c r="A1375" s="14">
        <f t="shared" si="245"/>
        <v>1369</v>
      </c>
      <c r="B1375" s="21" t="s">
        <v>1208</v>
      </c>
      <c r="C1375" s="15" t="s">
        <v>3</v>
      </c>
      <c r="D1375" s="21" t="s">
        <v>1200</v>
      </c>
      <c r="E1375" s="21"/>
      <c r="F1375" s="69" t="s">
        <v>4</v>
      </c>
      <c r="G1375" s="9">
        <v>41272</v>
      </c>
      <c r="H1375" s="22">
        <v>399.5</v>
      </c>
      <c r="I1375" s="17">
        <v>0</v>
      </c>
      <c r="J1375" s="17">
        <v>0</v>
      </c>
      <c r="K1375" s="17">
        <f t="shared" si="241"/>
        <v>399.5</v>
      </c>
      <c r="L1375" s="23">
        <f t="shared" si="249"/>
        <v>19.975000000000001</v>
      </c>
      <c r="M1375" s="23">
        <v>5</v>
      </c>
      <c r="N1375" s="18">
        <f t="shared" si="242"/>
        <v>8.2630136986301377</v>
      </c>
      <c r="O1375" s="23">
        <v>3795.25</v>
      </c>
      <c r="P1375" s="18">
        <f t="shared" si="243"/>
        <v>8.7643835616438359</v>
      </c>
      <c r="Q1375" s="18">
        <v>0</v>
      </c>
      <c r="R1375" s="18">
        <f t="shared" si="240"/>
        <v>3795.25</v>
      </c>
      <c r="S1375" s="18">
        <f t="shared" si="251"/>
        <v>19.975000000000001</v>
      </c>
    </row>
    <row r="1376" spans="1:19" ht="18.75" customHeight="1" x14ac:dyDescent="0.25">
      <c r="A1376" s="14">
        <f t="shared" si="245"/>
        <v>1370</v>
      </c>
      <c r="B1376" s="21" t="s">
        <v>1209</v>
      </c>
      <c r="C1376" s="15" t="s">
        <v>3</v>
      </c>
      <c r="D1376" s="21" t="s">
        <v>1200</v>
      </c>
      <c r="E1376" s="21"/>
      <c r="F1376" s="69" t="s">
        <v>4</v>
      </c>
      <c r="G1376" s="9">
        <v>41258</v>
      </c>
      <c r="H1376" s="22">
        <v>892.5</v>
      </c>
      <c r="I1376" s="17">
        <v>0</v>
      </c>
      <c r="J1376" s="17">
        <v>0</v>
      </c>
      <c r="K1376" s="17">
        <f t="shared" si="241"/>
        <v>892.5</v>
      </c>
      <c r="L1376" s="23">
        <f t="shared" si="249"/>
        <v>44.625</v>
      </c>
      <c r="M1376" s="23">
        <v>3</v>
      </c>
      <c r="N1376" s="18">
        <f t="shared" si="242"/>
        <v>8.3013698630136989</v>
      </c>
      <c r="O1376" s="23">
        <v>8478.75</v>
      </c>
      <c r="P1376" s="18">
        <f t="shared" si="243"/>
        <v>8.8027397260273972</v>
      </c>
      <c r="Q1376" s="18">
        <v>0</v>
      </c>
      <c r="R1376" s="18">
        <f t="shared" si="240"/>
        <v>8478.75</v>
      </c>
      <c r="S1376" s="18">
        <f t="shared" si="251"/>
        <v>44.625</v>
      </c>
    </row>
    <row r="1377" spans="1:19" ht="18.75" customHeight="1" x14ac:dyDescent="0.25">
      <c r="A1377" s="14">
        <f t="shared" si="245"/>
        <v>1371</v>
      </c>
      <c r="B1377" s="21" t="s">
        <v>1270</v>
      </c>
      <c r="C1377" s="15" t="s">
        <v>3</v>
      </c>
      <c r="D1377" s="21" t="s">
        <v>1200</v>
      </c>
      <c r="E1377" s="21"/>
      <c r="F1377" s="69" t="s">
        <v>4</v>
      </c>
      <c r="G1377" s="9">
        <v>41258</v>
      </c>
      <c r="H1377" s="22">
        <v>522.78299999999945</v>
      </c>
      <c r="I1377" s="17">
        <v>0</v>
      </c>
      <c r="J1377" s="17">
        <v>0</v>
      </c>
      <c r="K1377" s="17">
        <f t="shared" si="241"/>
        <v>522.78299999999945</v>
      </c>
      <c r="L1377" s="23">
        <f t="shared" si="249"/>
        <v>26.139149999999972</v>
      </c>
      <c r="M1377" s="23">
        <v>5</v>
      </c>
      <c r="N1377" s="18">
        <f t="shared" si="242"/>
        <v>8.3013698630136989</v>
      </c>
      <c r="O1377" s="23">
        <v>4966.4385000000002</v>
      </c>
      <c r="P1377" s="18">
        <f t="shared" si="243"/>
        <v>8.8027397260273972</v>
      </c>
      <c r="Q1377" s="18">
        <v>0</v>
      </c>
      <c r="R1377" s="18">
        <f t="shared" si="240"/>
        <v>4966.4385000000002</v>
      </c>
      <c r="S1377" s="18">
        <f t="shared" si="251"/>
        <v>26.139149999999972</v>
      </c>
    </row>
    <row r="1378" spans="1:19" ht="18.75" customHeight="1" x14ac:dyDescent="0.25">
      <c r="A1378" s="14">
        <f t="shared" si="245"/>
        <v>1372</v>
      </c>
      <c r="B1378" s="21" t="s">
        <v>1271</v>
      </c>
      <c r="C1378" s="15" t="s">
        <v>3</v>
      </c>
      <c r="D1378" s="21" t="s">
        <v>1200</v>
      </c>
      <c r="E1378" s="21"/>
      <c r="F1378" s="69" t="s">
        <v>4</v>
      </c>
      <c r="G1378" s="9">
        <v>41251</v>
      </c>
      <c r="H1378" s="22">
        <v>860</v>
      </c>
      <c r="I1378" s="17">
        <v>0</v>
      </c>
      <c r="J1378" s="17">
        <v>0</v>
      </c>
      <c r="K1378" s="17">
        <f t="shared" si="241"/>
        <v>860</v>
      </c>
      <c r="L1378" s="23">
        <f t="shared" si="249"/>
        <v>43</v>
      </c>
      <c r="M1378" s="23">
        <v>5</v>
      </c>
      <c r="N1378" s="18">
        <f t="shared" si="242"/>
        <v>8.3205479452054796</v>
      </c>
      <c r="O1378" s="23">
        <v>8170</v>
      </c>
      <c r="P1378" s="18">
        <f t="shared" si="243"/>
        <v>8.8219178082191778</v>
      </c>
      <c r="Q1378" s="18">
        <v>0</v>
      </c>
      <c r="R1378" s="18">
        <f t="shared" si="240"/>
        <v>8170</v>
      </c>
      <c r="S1378" s="18">
        <f t="shared" si="251"/>
        <v>43</v>
      </c>
    </row>
    <row r="1379" spans="1:19" ht="18.75" customHeight="1" x14ac:dyDescent="0.25">
      <c r="A1379" s="14">
        <f t="shared" si="245"/>
        <v>1373</v>
      </c>
      <c r="B1379" s="21" t="s">
        <v>1272</v>
      </c>
      <c r="C1379" s="15" t="s">
        <v>3</v>
      </c>
      <c r="D1379" s="21" t="s">
        <v>1200</v>
      </c>
      <c r="E1379" s="21"/>
      <c r="F1379" s="69" t="s">
        <v>4</v>
      </c>
      <c r="G1379" s="9">
        <v>41250</v>
      </c>
      <c r="H1379" s="22">
        <v>1290</v>
      </c>
      <c r="I1379" s="17">
        <v>0</v>
      </c>
      <c r="J1379" s="17">
        <v>0</v>
      </c>
      <c r="K1379" s="17">
        <f t="shared" si="241"/>
        <v>1290</v>
      </c>
      <c r="L1379" s="23">
        <f t="shared" si="249"/>
        <v>64.5</v>
      </c>
      <c r="M1379" s="23">
        <v>5</v>
      </c>
      <c r="N1379" s="18">
        <f t="shared" si="242"/>
        <v>8.3232876712328761</v>
      </c>
      <c r="O1379" s="23">
        <v>12255</v>
      </c>
      <c r="P1379" s="18">
        <f t="shared" si="243"/>
        <v>8.8246575342465761</v>
      </c>
      <c r="Q1379" s="18">
        <v>0</v>
      </c>
      <c r="R1379" s="18">
        <f t="shared" si="240"/>
        <v>12255</v>
      </c>
      <c r="S1379" s="18">
        <f t="shared" si="251"/>
        <v>64.5</v>
      </c>
    </row>
    <row r="1380" spans="1:19" ht="18.75" customHeight="1" x14ac:dyDescent="0.25">
      <c r="A1380" s="14">
        <f t="shared" si="245"/>
        <v>1374</v>
      </c>
      <c r="B1380" s="21" t="s">
        <v>1208</v>
      </c>
      <c r="C1380" s="15" t="s">
        <v>3</v>
      </c>
      <c r="D1380" s="21" t="s">
        <v>1200</v>
      </c>
      <c r="E1380" s="21"/>
      <c r="F1380" s="69" t="s">
        <v>4</v>
      </c>
      <c r="G1380" s="9">
        <v>41249</v>
      </c>
      <c r="H1380" s="22">
        <v>600</v>
      </c>
      <c r="I1380" s="17">
        <v>0</v>
      </c>
      <c r="J1380" s="17">
        <v>0</v>
      </c>
      <c r="K1380" s="17">
        <f t="shared" si="241"/>
        <v>600</v>
      </c>
      <c r="L1380" s="23">
        <f t="shared" si="249"/>
        <v>30</v>
      </c>
      <c r="M1380" s="23">
        <v>5</v>
      </c>
      <c r="N1380" s="18">
        <f t="shared" si="242"/>
        <v>8.3260273972602743</v>
      </c>
      <c r="O1380" s="23">
        <v>5700</v>
      </c>
      <c r="P1380" s="18">
        <f t="shared" si="243"/>
        <v>8.8273972602739725</v>
      </c>
      <c r="Q1380" s="18">
        <v>0</v>
      </c>
      <c r="R1380" s="18">
        <f t="shared" si="240"/>
        <v>5700</v>
      </c>
      <c r="S1380" s="18">
        <f t="shared" si="251"/>
        <v>30</v>
      </c>
    </row>
    <row r="1381" spans="1:19" ht="18.75" customHeight="1" x14ac:dyDescent="0.25">
      <c r="A1381" s="14">
        <f t="shared" si="245"/>
        <v>1375</v>
      </c>
      <c r="B1381" s="21" t="s">
        <v>1265</v>
      </c>
      <c r="C1381" s="15" t="s">
        <v>3</v>
      </c>
      <c r="D1381" s="21" t="s">
        <v>1200</v>
      </c>
      <c r="E1381" s="21"/>
      <c r="F1381" s="69" t="s">
        <v>4</v>
      </c>
      <c r="G1381" s="9">
        <v>41233</v>
      </c>
      <c r="H1381" s="22">
        <v>1530</v>
      </c>
      <c r="I1381" s="17">
        <v>0</v>
      </c>
      <c r="J1381" s="17">
        <v>0</v>
      </c>
      <c r="K1381" s="17">
        <f t="shared" si="241"/>
        <v>1530</v>
      </c>
      <c r="L1381" s="23">
        <f t="shared" si="249"/>
        <v>76.5</v>
      </c>
      <c r="M1381" s="23">
        <v>5</v>
      </c>
      <c r="N1381" s="18">
        <f t="shared" si="242"/>
        <v>8.3698630136986303</v>
      </c>
      <c r="O1381" s="23">
        <v>14535</v>
      </c>
      <c r="P1381" s="18">
        <f t="shared" si="243"/>
        <v>8.8712328767123285</v>
      </c>
      <c r="Q1381" s="18">
        <v>0</v>
      </c>
      <c r="R1381" s="18">
        <f t="shared" si="240"/>
        <v>14535</v>
      </c>
      <c r="S1381" s="18">
        <f t="shared" si="251"/>
        <v>76.5</v>
      </c>
    </row>
    <row r="1382" spans="1:19" ht="18.75" customHeight="1" x14ac:dyDescent="0.25">
      <c r="A1382" s="14">
        <f t="shared" si="245"/>
        <v>1376</v>
      </c>
      <c r="B1382" s="21" t="s">
        <v>1273</v>
      </c>
      <c r="C1382" s="15" t="s">
        <v>3</v>
      </c>
      <c r="D1382" s="21" t="s">
        <v>1200</v>
      </c>
      <c r="E1382" s="21"/>
      <c r="F1382" s="69" t="s">
        <v>4</v>
      </c>
      <c r="G1382" s="9">
        <v>41228</v>
      </c>
      <c r="H1382" s="22">
        <v>341.25</v>
      </c>
      <c r="I1382" s="17">
        <v>0</v>
      </c>
      <c r="J1382" s="17">
        <v>0</v>
      </c>
      <c r="K1382" s="17">
        <f t="shared" si="241"/>
        <v>341.25</v>
      </c>
      <c r="L1382" s="23">
        <f t="shared" si="249"/>
        <v>17.0625</v>
      </c>
      <c r="M1382" s="23">
        <v>3</v>
      </c>
      <c r="N1382" s="18">
        <f t="shared" si="242"/>
        <v>8.3835616438356162</v>
      </c>
      <c r="O1382" s="23">
        <v>3241.875</v>
      </c>
      <c r="P1382" s="18">
        <f t="shared" si="243"/>
        <v>8.8849315068493144</v>
      </c>
      <c r="Q1382" s="18">
        <v>0</v>
      </c>
      <c r="R1382" s="18">
        <f t="shared" si="240"/>
        <v>3241.875</v>
      </c>
      <c r="S1382" s="18">
        <f t="shared" si="251"/>
        <v>17.0625</v>
      </c>
    </row>
    <row r="1383" spans="1:19" ht="18.75" customHeight="1" x14ac:dyDescent="0.25">
      <c r="A1383" s="14">
        <f t="shared" si="245"/>
        <v>1377</v>
      </c>
      <c r="B1383" s="21" t="s">
        <v>1274</v>
      </c>
      <c r="C1383" s="15" t="s">
        <v>3</v>
      </c>
      <c r="D1383" s="21" t="s">
        <v>1200</v>
      </c>
      <c r="E1383" s="21"/>
      <c r="F1383" s="69" t="s">
        <v>4</v>
      </c>
      <c r="G1383" s="9">
        <v>41228</v>
      </c>
      <c r="H1383" s="22">
        <v>580</v>
      </c>
      <c r="I1383" s="17">
        <v>0</v>
      </c>
      <c r="J1383" s="17">
        <v>0</v>
      </c>
      <c r="K1383" s="17">
        <f t="shared" si="241"/>
        <v>580</v>
      </c>
      <c r="L1383" s="23">
        <f t="shared" si="249"/>
        <v>29</v>
      </c>
      <c r="M1383" s="23">
        <v>5</v>
      </c>
      <c r="N1383" s="18">
        <f t="shared" si="242"/>
        <v>8.3835616438356162</v>
      </c>
      <c r="O1383" s="23">
        <v>5510</v>
      </c>
      <c r="P1383" s="18">
        <f t="shared" si="243"/>
        <v>8.8849315068493144</v>
      </c>
      <c r="Q1383" s="18">
        <v>0</v>
      </c>
      <c r="R1383" s="18">
        <f t="shared" si="240"/>
        <v>5510</v>
      </c>
      <c r="S1383" s="18">
        <f t="shared" si="251"/>
        <v>29</v>
      </c>
    </row>
    <row r="1384" spans="1:19" ht="18.75" customHeight="1" x14ac:dyDescent="0.25">
      <c r="A1384" s="14">
        <f t="shared" si="245"/>
        <v>1378</v>
      </c>
      <c r="B1384" s="21" t="s">
        <v>1270</v>
      </c>
      <c r="C1384" s="15" t="s">
        <v>3</v>
      </c>
      <c r="D1384" s="21" t="s">
        <v>1200</v>
      </c>
      <c r="E1384" s="21"/>
      <c r="F1384" s="69" t="s">
        <v>4</v>
      </c>
      <c r="G1384" s="9">
        <v>41228</v>
      </c>
      <c r="H1384" s="22">
        <v>723.13349999999991</v>
      </c>
      <c r="I1384" s="17">
        <v>0</v>
      </c>
      <c r="J1384" s="17">
        <v>0</v>
      </c>
      <c r="K1384" s="17">
        <f t="shared" si="241"/>
        <v>723.13349999999991</v>
      </c>
      <c r="L1384" s="23">
        <f t="shared" si="249"/>
        <v>36.156675</v>
      </c>
      <c r="M1384" s="23">
        <v>5</v>
      </c>
      <c r="N1384" s="18">
        <f t="shared" si="242"/>
        <v>8.3835616438356162</v>
      </c>
      <c r="O1384" s="23">
        <v>6869.7682500000001</v>
      </c>
      <c r="P1384" s="18">
        <f t="shared" si="243"/>
        <v>8.8849315068493144</v>
      </c>
      <c r="Q1384" s="18">
        <v>0</v>
      </c>
      <c r="R1384" s="18">
        <f t="shared" si="240"/>
        <v>6869.7682500000001</v>
      </c>
      <c r="S1384" s="18">
        <f t="shared" si="251"/>
        <v>36.156675</v>
      </c>
    </row>
    <row r="1385" spans="1:19" ht="18.75" customHeight="1" x14ac:dyDescent="0.25">
      <c r="A1385" s="14">
        <f t="shared" si="245"/>
        <v>1379</v>
      </c>
      <c r="B1385" s="21" t="s">
        <v>1243</v>
      </c>
      <c r="C1385" s="15" t="s">
        <v>3</v>
      </c>
      <c r="D1385" s="21" t="s">
        <v>1200</v>
      </c>
      <c r="E1385" s="21"/>
      <c r="F1385" s="69" t="s">
        <v>4</v>
      </c>
      <c r="G1385" s="9">
        <v>41228</v>
      </c>
      <c r="H1385" s="22">
        <v>1574.9945000000007</v>
      </c>
      <c r="I1385" s="17">
        <v>0</v>
      </c>
      <c r="J1385" s="17">
        <v>0</v>
      </c>
      <c r="K1385" s="17">
        <f t="shared" si="241"/>
        <v>1574.9945000000007</v>
      </c>
      <c r="L1385" s="23">
        <f t="shared" si="249"/>
        <v>78.749725000000041</v>
      </c>
      <c r="M1385" s="23">
        <v>3</v>
      </c>
      <c r="N1385" s="18">
        <f t="shared" si="242"/>
        <v>8.3835616438356162</v>
      </c>
      <c r="O1385" s="23">
        <v>14962.447749999999</v>
      </c>
      <c r="P1385" s="18">
        <f t="shared" si="243"/>
        <v>8.8849315068493144</v>
      </c>
      <c r="Q1385" s="18">
        <v>0</v>
      </c>
      <c r="R1385" s="18">
        <f t="shared" si="240"/>
        <v>14962.447749999999</v>
      </c>
      <c r="S1385" s="18">
        <f t="shared" si="251"/>
        <v>78.749725000000041</v>
      </c>
    </row>
    <row r="1386" spans="1:19" ht="18.75" customHeight="1" x14ac:dyDescent="0.25">
      <c r="A1386" s="14">
        <f t="shared" si="245"/>
        <v>1380</v>
      </c>
      <c r="B1386" s="21" t="s">
        <v>1275</v>
      </c>
      <c r="C1386" s="15" t="s">
        <v>3</v>
      </c>
      <c r="D1386" s="21" t="s">
        <v>1200</v>
      </c>
      <c r="E1386" s="21"/>
      <c r="F1386" s="69" t="s">
        <v>4</v>
      </c>
      <c r="G1386" s="9">
        <v>41228</v>
      </c>
      <c r="H1386" s="22">
        <v>1194.6755000000012</v>
      </c>
      <c r="I1386" s="17">
        <v>0</v>
      </c>
      <c r="J1386" s="17">
        <v>0</v>
      </c>
      <c r="K1386" s="17">
        <f t="shared" si="241"/>
        <v>1194.6755000000012</v>
      </c>
      <c r="L1386" s="23">
        <f t="shared" si="249"/>
        <v>59.733775000000065</v>
      </c>
      <c r="M1386" s="23">
        <v>5</v>
      </c>
      <c r="N1386" s="18">
        <f t="shared" si="242"/>
        <v>8.3835616438356162</v>
      </c>
      <c r="O1386" s="23">
        <v>11349.41725</v>
      </c>
      <c r="P1386" s="18">
        <f t="shared" si="243"/>
        <v>8.8849315068493144</v>
      </c>
      <c r="Q1386" s="18">
        <v>0</v>
      </c>
      <c r="R1386" s="18">
        <f t="shared" si="240"/>
        <v>11349.41725</v>
      </c>
      <c r="S1386" s="18">
        <f t="shared" si="251"/>
        <v>59.733775000000065</v>
      </c>
    </row>
    <row r="1387" spans="1:19" ht="18.75" customHeight="1" x14ac:dyDescent="0.25">
      <c r="A1387" s="14">
        <f t="shared" si="245"/>
        <v>1381</v>
      </c>
      <c r="B1387" s="21" t="s">
        <v>1276</v>
      </c>
      <c r="C1387" s="15" t="s">
        <v>3</v>
      </c>
      <c r="D1387" s="21" t="s">
        <v>1200</v>
      </c>
      <c r="E1387" s="21"/>
      <c r="F1387" s="69" t="s">
        <v>4</v>
      </c>
      <c r="G1387" s="9">
        <v>41228</v>
      </c>
      <c r="H1387" s="22">
        <v>109500.32449999999</v>
      </c>
      <c r="I1387" s="17">
        <v>0</v>
      </c>
      <c r="J1387" s="17">
        <v>0</v>
      </c>
      <c r="K1387" s="17">
        <f t="shared" si="241"/>
        <v>109500.32449999999</v>
      </c>
      <c r="L1387" s="23">
        <f t="shared" si="249"/>
        <v>5475.0162249999994</v>
      </c>
      <c r="M1387" s="23">
        <v>5</v>
      </c>
      <c r="N1387" s="18">
        <f t="shared" si="242"/>
        <v>8.3835616438356162</v>
      </c>
      <c r="O1387" s="23">
        <v>60253.082750000016</v>
      </c>
      <c r="P1387" s="18">
        <f t="shared" si="243"/>
        <v>8.8849315068493144</v>
      </c>
      <c r="Q1387" s="18">
        <v>0</v>
      </c>
      <c r="R1387" s="18">
        <f t="shared" si="240"/>
        <v>60253.082750000016</v>
      </c>
      <c r="S1387" s="18">
        <f t="shared" si="244"/>
        <v>49247.241749999972</v>
      </c>
    </row>
    <row r="1388" spans="1:19" ht="18.75" customHeight="1" x14ac:dyDescent="0.25">
      <c r="A1388" s="14">
        <f t="shared" si="245"/>
        <v>1382</v>
      </c>
      <c r="B1388" s="21" t="s">
        <v>1208</v>
      </c>
      <c r="C1388" s="15" t="s">
        <v>3</v>
      </c>
      <c r="D1388" s="21" t="s">
        <v>1200</v>
      </c>
      <c r="E1388" s="21"/>
      <c r="F1388" s="69" t="s">
        <v>4</v>
      </c>
      <c r="G1388" s="9">
        <v>41223</v>
      </c>
      <c r="H1388" s="22">
        <v>17362.75</v>
      </c>
      <c r="I1388" s="17">
        <v>0</v>
      </c>
      <c r="J1388" s="17">
        <v>0</v>
      </c>
      <c r="K1388" s="17">
        <f t="shared" si="241"/>
        <v>17362.75</v>
      </c>
      <c r="L1388" s="23">
        <f t="shared" si="249"/>
        <v>868.13750000000005</v>
      </c>
      <c r="M1388" s="23">
        <v>5</v>
      </c>
      <c r="N1388" s="18">
        <f t="shared" si="242"/>
        <v>8.3972602739726021</v>
      </c>
      <c r="O1388" s="23">
        <v>17946.124999999996</v>
      </c>
      <c r="P1388" s="18">
        <f t="shared" si="243"/>
        <v>8.8986301369863021</v>
      </c>
      <c r="Q1388" s="18">
        <v>0</v>
      </c>
      <c r="R1388" s="18">
        <f t="shared" si="240"/>
        <v>17946.124999999996</v>
      </c>
      <c r="S1388" s="18">
        <f t="shared" ref="S1388:S1398" si="252">L1388</f>
        <v>868.13750000000005</v>
      </c>
    </row>
    <row r="1389" spans="1:19" ht="18.75" customHeight="1" x14ac:dyDescent="0.25">
      <c r="A1389" s="14">
        <f t="shared" si="245"/>
        <v>1383</v>
      </c>
      <c r="B1389" s="21" t="s">
        <v>1208</v>
      </c>
      <c r="C1389" s="15" t="s">
        <v>3</v>
      </c>
      <c r="D1389" s="21" t="s">
        <v>1200</v>
      </c>
      <c r="E1389" s="21"/>
      <c r="F1389" s="69" t="s">
        <v>4</v>
      </c>
      <c r="G1389" s="9">
        <v>41213</v>
      </c>
      <c r="H1389" s="22">
        <v>775</v>
      </c>
      <c r="I1389" s="17">
        <v>0</v>
      </c>
      <c r="J1389" s="17">
        <v>0</v>
      </c>
      <c r="K1389" s="17">
        <f t="shared" si="241"/>
        <v>775</v>
      </c>
      <c r="L1389" s="23">
        <f t="shared" si="249"/>
        <v>38.75</v>
      </c>
      <c r="M1389" s="23">
        <v>5</v>
      </c>
      <c r="N1389" s="18">
        <f t="shared" si="242"/>
        <v>8.4246575342465757</v>
      </c>
      <c r="O1389" s="23">
        <v>7362.5</v>
      </c>
      <c r="P1389" s="18">
        <f t="shared" si="243"/>
        <v>8.9260273972602739</v>
      </c>
      <c r="Q1389" s="18">
        <v>0</v>
      </c>
      <c r="R1389" s="18">
        <f t="shared" si="240"/>
        <v>7362.5</v>
      </c>
      <c r="S1389" s="18">
        <f t="shared" si="252"/>
        <v>38.75</v>
      </c>
    </row>
    <row r="1390" spans="1:19" ht="18.75" customHeight="1" x14ac:dyDescent="0.25">
      <c r="A1390" s="14">
        <f t="shared" si="245"/>
        <v>1384</v>
      </c>
      <c r="B1390" s="21" t="s">
        <v>1277</v>
      </c>
      <c r="C1390" s="15" t="s">
        <v>3</v>
      </c>
      <c r="D1390" s="21" t="s">
        <v>1200</v>
      </c>
      <c r="E1390" s="21"/>
      <c r="F1390" s="69" t="s">
        <v>4</v>
      </c>
      <c r="G1390" s="9">
        <v>41200</v>
      </c>
      <c r="H1390" s="22">
        <v>275</v>
      </c>
      <c r="I1390" s="17">
        <v>0</v>
      </c>
      <c r="J1390" s="17">
        <v>0</v>
      </c>
      <c r="K1390" s="17">
        <f t="shared" si="241"/>
        <v>275</v>
      </c>
      <c r="L1390" s="23">
        <f t="shared" si="249"/>
        <v>13.75</v>
      </c>
      <c r="M1390" s="23">
        <v>5</v>
      </c>
      <c r="N1390" s="18">
        <f t="shared" si="242"/>
        <v>8.4602739726027405</v>
      </c>
      <c r="O1390" s="23">
        <v>2612.5</v>
      </c>
      <c r="P1390" s="18">
        <f t="shared" si="243"/>
        <v>8.9616438356164387</v>
      </c>
      <c r="Q1390" s="18">
        <v>0</v>
      </c>
      <c r="R1390" s="18">
        <f t="shared" si="240"/>
        <v>2612.5</v>
      </c>
      <c r="S1390" s="18">
        <f t="shared" si="252"/>
        <v>13.75</v>
      </c>
    </row>
    <row r="1391" spans="1:19" ht="18.75" customHeight="1" x14ac:dyDescent="0.25">
      <c r="A1391" s="14">
        <f t="shared" si="245"/>
        <v>1385</v>
      </c>
      <c r="B1391" s="21" t="s">
        <v>1278</v>
      </c>
      <c r="C1391" s="15" t="s">
        <v>3</v>
      </c>
      <c r="D1391" s="21" t="s">
        <v>1200</v>
      </c>
      <c r="E1391" s="21"/>
      <c r="F1391" s="69" t="s">
        <v>4</v>
      </c>
      <c r="G1391" s="9">
        <v>41200</v>
      </c>
      <c r="H1391" s="22">
        <v>500</v>
      </c>
      <c r="I1391" s="17">
        <v>0</v>
      </c>
      <c r="J1391" s="17">
        <v>0</v>
      </c>
      <c r="K1391" s="17">
        <f t="shared" si="241"/>
        <v>500</v>
      </c>
      <c r="L1391" s="23">
        <f t="shared" si="249"/>
        <v>25</v>
      </c>
      <c r="M1391" s="23">
        <v>5</v>
      </c>
      <c r="N1391" s="18">
        <f t="shared" si="242"/>
        <v>8.4602739726027405</v>
      </c>
      <c r="O1391" s="23">
        <v>4750</v>
      </c>
      <c r="P1391" s="18">
        <f t="shared" si="243"/>
        <v>8.9616438356164387</v>
      </c>
      <c r="Q1391" s="18">
        <v>0</v>
      </c>
      <c r="R1391" s="18">
        <f t="shared" si="240"/>
        <v>4750</v>
      </c>
      <c r="S1391" s="18">
        <f t="shared" si="252"/>
        <v>25</v>
      </c>
    </row>
    <row r="1392" spans="1:19" ht="18.75" customHeight="1" x14ac:dyDescent="0.25">
      <c r="A1392" s="14">
        <f t="shared" si="245"/>
        <v>1386</v>
      </c>
      <c r="B1392" s="21" t="s">
        <v>1274</v>
      </c>
      <c r="C1392" s="15" t="s">
        <v>3</v>
      </c>
      <c r="D1392" s="21" t="s">
        <v>1200</v>
      </c>
      <c r="E1392" s="21"/>
      <c r="F1392" s="69" t="s">
        <v>4</v>
      </c>
      <c r="G1392" s="9">
        <v>41187</v>
      </c>
      <c r="H1392" s="22">
        <v>932.5</v>
      </c>
      <c r="I1392" s="17">
        <v>0</v>
      </c>
      <c r="J1392" s="17">
        <v>0</v>
      </c>
      <c r="K1392" s="17">
        <f t="shared" si="241"/>
        <v>932.5</v>
      </c>
      <c r="L1392" s="23">
        <f t="shared" si="249"/>
        <v>46.625</v>
      </c>
      <c r="M1392" s="23">
        <v>5</v>
      </c>
      <c r="N1392" s="18">
        <f t="shared" si="242"/>
        <v>8.4958904109589035</v>
      </c>
      <c r="O1392" s="23">
        <v>8858.75</v>
      </c>
      <c r="P1392" s="18">
        <f t="shared" si="243"/>
        <v>8.9972602739726035</v>
      </c>
      <c r="Q1392" s="18">
        <v>0</v>
      </c>
      <c r="R1392" s="18">
        <f t="shared" si="240"/>
        <v>8858.75</v>
      </c>
      <c r="S1392" s="18">
        <f t="shared" si="252"/>
        <v>46.625</v>
      </c>
    </row>
    <row r="1393" spans="1:19" ht="18.75" customHeight="1" x14ac:dyDescent="0.25">
      <c r="A1393" s="14">
        <f t="shared" si="245"/>
        <v>1387</v>
      </c>
      <c r="B1393" s="21" t="s">
        <v>1279</v>
      </c>
      <c r="C1393" s="15" t="s">
        <v>3</v>
      </c>
      <c r="D1393" s="21" t="s">
        <v>1200</v>
      </c>
      <c r="E1393" s="21"/>
      <c r="F1393" s="69" t="s">
        <v>4</v>
      </c>
      <c r="G1393" s="9">
        <v>41177</v>
      </c>
      <c r="H1393" s="22">
        <v>60</v>
      </c>
      <c r="I1393" s="17">
        <v>0</v>
      </c>
      <c r="J1393" s="17">
        <v>0</v>
      </c>
      <c r="K1393" s="17">
        <f t="shared" si="241"/>
        <v>60</v>
      </c>
      <c r="L1393" s="23">
        <f t="shared" si="249"/>
        <v>3</v>
      </c>
      <c r="M1393" s="23">
        <v>3</v>
      </c>
      <c r="N1393" s="18">
        <f t="shared" si="242"/>
        <v>8.5232876712328771</v>
      </c>
      <c r="O1393" s="23">
        <v>570</v>
      </c>
      <c r="P1393" s="18">
        <f t="shared" si="243"/>
        <v>9.0246575342465754</v>
      </c>
      <c r="Q1393" s="18">
        <v>0</v>
      </c>
      <c r="R1393" s="18">
        <f t="shared" si="240"/>
        <v>570</v>
      </c>
      <c r="S1393" s="18">
        <f t="shared" si="252"/>
        <v>3</v>
      </c>
    </row>
    <row r="1394" spans="1:19" ht="18.75" customHeight="1" x14ac:dyDescent="0.25">
      <c r="A1394" s="14">
        <f t="shared" si="245"/>
        <v>1388</v>
      </c>
      <c r="B1394" s="21" t="s">
        <v>1280</v>
      </c>
      <c r="C1394" s="15" t="s">
        <v>3</v>
      </c>
      <c r="D1394" s="21" t="s">
        <v>1200</v>
      </c>
      <c r="E1394" s="21"/>
      <c r="F1394" s="69" t="s">
        <v>4</v>
      </c>
      <c r="G1394" s="9">
        <v>41172</v>
      </c>
      <c r="H1394" s="22">
        <v>800</v>
      </c>
      <c r="I1394" s="17">
        <v>0</v>
      </c>
      <c r="J1394" s="17">
        <v>0</v>
      </c>
      <c r="K1394" s="17">
        <f t="shared" si="241"/>
        <v>800</v>
      </c>
      <c r="L1394" s="23">
        <f t="shared" si="249"/>
        <v>40</v>
      </c>
      <c r="M1394" s="23">
        <v>5</v>
      </c>
      <c r="N1394" s="18">
        <f t="shared" si="242"/>
        <v>8.536986301369863</v>
      </c>
      <c r="O1394" s="23">
        <v>7600</v>
      </c>
      <c r="P1394" s="18">
        <f t="shared" si="243"/>
        <v>9.0383561643835613</v>
      </c>
      <c r="Q1394" s="18">
        <v>0</v>
      </c>
      <c r="R1394" s="18">
        <f t="shared" si="240"/>
        <v>7600</v>
      </c>
      <c r="S1394" s="18">
        <f t="shared" si="252"/>
        <v>40</v>
      </c>
    </row>
    <row r="1395" spans="1:19" ht="18.75" customHeight="1" x14ac:dyDescent="0.25">
      <c r="A1395" s="14">
        <f t="shared" si="245"/>
        <v>1389</v>
      </c>
      <c r="B1395" s="21" t="s">
        <v>1281</v>
      </c>
      <c r="C1395" s="15" t="s">
        <v>3</v>
      </c>
      <c r="D1395" s="21" t="s">
        <v>1200</v>
      </c>
      <c r="E1395" s="21"/>
      <c r="F1395" s="69" t="s">
        <v>4</v>
      </c>
      <c r="G1395" s="9">
        <v>41171</v>
      </c>
      <c r="H1395" s="22">
        <v>3589.25</v>
      </c>
      <c r="I1395" s="17">
        <v>0</v>
      </c>
      <c r="J1395" s="17">
        <v>0</v>
      </c>
      <c r="K1395" s="17">
        <f t="shared" si="241"/>
        <v>3589.25</v>
      </c>
      <c r="L1395" s="23">
        <f t="shared" si="249"/>
        <v>179.46250000000001</v>
      </c>
      <c r="M1395" s="23">
        <v>3</v>
      </c>
      <c r="N1395" s="18">
        <f t="shared" si="242"/>
        <v>8.5397260273972595</v>
      </c>
      <c r="O1395" s="23">
        <v>34097.875</v>
      </c>
      <c r="P1395" s="18">
        <f t="shared" si="243"/>
        <v>9.0410958904109595</v>
      </c>
      <c r="Q1395" s="18">
        <v>0</v>
      </c>
      <c r="R1395" s="18">
        <f t="shared" si="240"/>
        <v>34097.875</v>
      </c>
      <c r="S1395" s="18">
        <f t="shared" si="252"/>
        <v>179.46250000000001</v>
      </c>
    </row>
    <row r="1396" spans="1:19" ht="18.75" customHeight="1" x14ac:dyDescent="0.25">
      <c r="A1396" s="14">
        <f t="shared" si="245"/>
        <v>1390</v>
      </c>
      <c r="B1396" s="21" t="s">
        <v>1279</v>
      </c>
      <c r="C1396" s="15" t="s">
        <v>3</v>
      </c>
      <c r="D1396" s="21" t="s">
        <v>1200</v>
      </c>
      <c r="E1396" s="21"/>
      <c r="F1396" s="69" t="s">
        <v>4</v>
      </c>
      <c r="G1396" s="9">
        <v>41170</v>
      </c>
      <c r="H1396" s="22">
        <v>990</v>
      </c>
      <c r="I1396" s="17">
        <v>0</v>
      </c>
      <c r="J1396" s="17">
        <v>0</v>
      </c>
      <c r="K1396" s="17">
        <f t="shared" si="241"/>
        <v>990</v>
      </c>
      <c r="L1396" s="23">
        <f t="shared" si="249"/>
        <v>49.5</v>
      </c>
      <c r="M1396" s="23">
        <v>3</v>
      </c>
      <c r="N1396" s="18">
        <f t="shared" si="242"/>
        <v>8.5424657534246577</v>
      </c>
      <c r="O1396" s="23">
        <v>9405</v>
      </c>
      <c r="P1396" s="18">
        <f t="shared" si="243"/>
        <v>9.043835616438356</v>
      </c>
      <c r="Q1396" s="18">
        <v>0</v>
      </c>
      <c r="R1396" s="18">
        <f t="shared" si="240"/>
        <v>9405</v>
      </c>
      <c r="S1396" s="18">
        <f t="shared" si="252"/>
        <v>49.5</v>
      </c>
    </row>
    <row r="1397" spans="1:19" ht="18.75" customHeight="1" x14ac:dyDescent="0.25">
      <c r="A1397" s="14">
        <f t="shared" si="245"/>
        <v>1391</v>
      </c>
      <c r="B1397" s="21" t="s">
        <v>1206</v>
      </c>
      <c r="C1397" s="15" t="s">
        <v>3</v>
      </c>
      <c r="D1397" s="21" t="s">
        <v>1200</v>
      </c>
      <c r="E1397" s="21"/>
      <c r="F1397" s="69" t="s">
        <v>4</v>
      </c>
      <c r="G1397" s="9">
        <v>41136</v>
      </c>
      <c r="H1397" s="22">
        <v>335.99849999999969</v>
      </c>
      <c r="I1397" s="17">
        <v>0</v>
      </c>
      <c r="J1397" s="17">
        <v>0</v>
      </c>
      <c r="K1397" s="17">
        <f t="shared" si="241"/>
        <v>335.99849999999969</v>
      </c>
      <c r="L1397" s="23">
        <f t="shared" si="249"/>
        <v>16.799924999999984</v>
      </c>
      <c r="M1397" s="23">
        <v>3</v>
      </c>
      <c r="N1397" s="18">
        <f t="shared" si="242"/>
        <v>8.6356164383561644</v>
      </c>
      <c r="O1397" s="23">
        <v>3191.9857500000003</v>
      </c>
      <c r="P1397" s="18">
        <f t="shared" si="243"/>
        <v>9.1369863013698627</v>
      </c>
      <c r="Q1397" s="18">
        <v>0</v>
      </c>
      <c r="R1397" s="18">
        <f t="shared" si="240"/>
        <v>3191.9857500000003</v>
      </c>
      <c r="S1397" s="18">
        <f t="shared" si="252"/>
        <v>16.799924999999984</v>
      </c>
    </row>
    <row r="1398" spans="1:19" ht="18.75" customHeight="1" x14ac:dyDescent="0.25">
      <c r="A1398" s="14">
        <f t="shared" si="245"/>
        <v>1392</v>
      </c>
      <c r="B1398" s="21" t="s">
        <v>1282</v>
      </c>
      <c r="C1398" s="15" t="s">
        <v>3</v>
      </c>
      <c r="D1398" s="21" t="s">
        <v>1200</v>
      </c>
      <c r="E1398" s="21"/>
      <c r="F1398" s="69" t="s">
        <v>4</v>
      </c>
      <c r="G1398" s="9">
        <v>41136</v>
      </c>
      <c r="H1398" s="22">
        <v>1750</v>
      </c>
      <c r="I1398" s="17">
        <v>0</v>
      </c>
      <c r="J1398" s="17">
        <v>0</v>
      </c>
      <c r="K1398" s="17">
        <f t="shared" si="241"/>
        <v>1750</v>
      </c>
      <c r="L1398" s="23">
        <f t="shared" si="249"/>
        <v>87.5</v>
      </c>
      <c r="M1398" s="23">
        <v>3</v>
      </c>
      <c r="N1398" s="18">
        <f t="shared" si="242"/>
        <v>8.6356164383561644</v>
      </c>
      <c r="O1398" s="23">
        <v>16625</v>
      </c>
      <c r="P1398" s="18">
        <f t="shared" si="243"/>
        <v>9.1369863013698627</v>
      </c>
      <c r="Q1398" s="18">
        <v>0</v>
      </c>
      <c r="R1398" s="18">
        <f t="shared" si="240"/>
        <v>16625</v>
      </c>
      <c r="S1398" s="18">
        <f t="shared" si="252"/>
        <v>87.5</v>
      </c>
    </row>
    <row r="1399" spans="1:19" ht="18.75" customHeight="1" x14ac:dyDescent="0.25">
      <c r="A1399" s="14">
        <f t="shared" si="245"/>
        <v>1393</v>
      </c>
      <c r="B1399" s="21" t="s">
        <v>1283</v>
      </c>
      <c r="C1399" s="15" t="s">
        <v>3</v>
      </c>
      <c r="D1399" s="21" t="s">
        <v>1200</v>
      </c>
      <c r="E1399" s="21"/>
      <c r="F1399" s="69" t="s">
        <v>4</v>
      </c>
      <c r="G1399" s="9">
        <v>41014</v>
      </c>
      <c r="H1399" s="22">
        <v>22619.512999999999</v>
      </c>
      <c r="I1399" s="17">
        <v>0</v>
      </c>
      <c r="J1399" s="17">
        <v>0</v>
      </c>
      <c r="K1399" s="17">
        <f t="shared" si="241"/>
        <v>22619.512999999999</v>
      </c>
      <c r="L1399" s="23">
        <f t="shared" si="249"/>
        <v>1130.9756500000001</v>
      </c>
      <c r="M1399" s="23">
        <v>3</v>
      </c>
      <c r="N1399" s="18">
        <f t="shared" si="242"/>
        <v>8.9698630136986299</v>
      </c>
      <c r="O1399" s="23">
        <v>21552.040166666666</v>
      </c>
      <c r="P1399" s="18">
        <f t="shared" si="243"/>
        <v>9.4712328767123282</v>
      </c>
      <c r="Q1399" s="18">
        <v>0</v>
      </c>
      <c r="R1399" s="18">
        <f t="shared" si="240"/>
        <v>21552.040166666666</v>
      </c>
      <c r="S1399" s="18">
        <f t="shared" si="244"/>
        <v>1067.4728333333333</v>
      </c>
    </row>
    <row r="1400" spans="1:19" ht="18.75" customHeight="1" x14ac:dyDescent="0.25">
      <c r="A1400" s="14">
        <f t="shared" si="245"/>
        <v>1394</v>
      </c>
      <c r="B1400" s="21" t="s">
        <v>1284</v>
      </c>
      <c r="C1400" s="15" t="s">
        <v>3</v>
      </c>
      <c r="D1400" s="21" t="s">
        <v>1200</v>
      </c>
      <c r="E1400" s="21"/>
      <c r="F1400" s="69" t="s">
        <v>4</v>
      </c>
      <c r="G1400" s="9">
        <v>40983</v>
      </c>
      <c r="H1400" s="22">
        <v>310.00500000000011</v>
      </c>
      <c r="I1400" s="17">
        <v>0</v>
      </c>
      <c r="J1400" s="17">
        <v>0</v>
      </c>
      <c r="K1400" s="17">
        <f t="shared" si="241"/>
        <v>310.00500000000011</v>
      </c>
      <c r="L1400" s="23">
        <f t="shared" si="249"/>
        <v>15.500250000000007</v>
      </c>
      <c r="M1400" s="23">
        <v>3</v>
      </c>
      <c r="N1400" s="18">
        <f t="shared" si="242"/>
        <v>9.0547945205479454</v>
      </c>
      <c r="O1400" s="23">
        <v>2945.0475000000001</v>
      </c>
      <c r="P1400" s="18">
        <f t="shared" si="243"/>
        <v>9.5561643835616437</v>
      </c>
      <c r="Q1400" s="18">
        <v>0</v>
      </c>
      <c r="R1400" s="18">
        <f t="shared" si="240"/>
        <v>2945.0475000000001</v>
      </c>
      <c r="S1400" s="18">
        <f>L1400</f>
        <v>15.500250000000007</v>
      </c>
    </row>
    <row r="1401" spans="1:19" ht="18.75" customHeight="1" x14ac:dyDescent="0.25">
      <c r="A1401" s="14">
        <f t="shared" si="245"/>
        <v>1395</v>
      </c>
      <c r="B1401" s="21" t="s">
        <v>1283</v>
      </c>
      <c r="C1401" s="15" t="s">
        <v>3</v>
      </c>
      <c r="D1401" s="21" t="s">
        <v>1200</v>
      </c>
      <c r="E1401" s="21"/>
      <c r="F1401" s="69" t="s">
        <v>4</v>
      </c>
      <c r="G1401" s="9">
        <v>40983</v>
      </c>
      <c r="H1401" s="22">
        <v>11343.995500000001</v>
      </c>
      <c r="I1401" s="17">
        <v>0</v>
      </c>
      <c r="J1401" s="17">
        <v>0</v>
      </c>
      <c r="K1401" s="17">
        <f t="shared" si="241"/>
        <v>11343.995500000001</v>
      </c>
      <c r="L1401" s="23">
        <f t="shared" si="249"/>
        <v>567.19977500000005</v>
      </c>
      <c r="M1401" s="23">
        <v>3</v>
      </c>
      <c r="N1401" s="18">
        <f t="shared" si="242"/>
        <v>9.0547945205479454</v>
      </c>
      <c r="O1401" s="23">
        <v>11101.290583333332</v>
      </c>
      <c r="P1401" s="18">
        <f t="shared" si="243"/>
        <v>9.5561643835616437</v>
      </c>
      <c r="Q1401" s="18">
        <v>0</v>
      </c>
      <c r="R1401" s="18">
        <f t="shared" si="240"/>
        <v>11101.290583333332</v>
      </c>
      <c r="S1401" s="18">
        <f t="shared" si="244"/>
        <v>242.70491666666931</v>
      </c>
    </row>
    <row r="1402" spans="1:19" ht="18.75" customHeight="1" x14ac:dyDescent="0.25">
      <c r="A1402" s="14">
        <f t="shared" si="245"/>
        <v>1396</v>
      </c>
      <c r="B1402" s="21" t="s">
        <v>1285</v>
      </c>
      <c r="C1402" s="15" t="s">
        <v>3</v>
      </c>
      <c r="D1402" s="21" t="s">
        <v>1200</v>
      </c>
      <c r="E1402" s="21"/>
      <c r="F1402" s="69" t="s">
        <v>4</v>
      </c>
      <c r="G1402" s="9">
        <v>40983</v>
      </c>
      <c r="H1402" s="22">
        <v>81614.975999999995</v>
      </c>
      <c r="I1402" s="17">
        <v>0</v>
      </c>
      <c r="J1402" s="17">
        <v>0</v>
      </c>
      <c r="K1402" s="17">
        <f t="shared" si="241"/>
        <v>81614.975999999995</v>
      </c>
      <c r="L1402" s="23">
        <f t="shared" si="249"/>
        <v>4080.7487999999998</v>
      </c>
      <c r="M1402" s="23">
        <v>3</v>
      </c>
      <c r="N1402" s="18">
        <f t="shared" si="242"/>
        <v>9.0547945205479454</v>
      </c>
      <c r="O1402" s="23">
        <v>50342.271999999997</v>
      </c>
      <c r="P1402" s="18">
        <f t="shared" si="243"/>
        <v>9.5561643835616437</v>
      </c>
      <c r="Q1402" s="18">
        <v>0</v>
      </c>
      <c r="R1402" s="18">
        <f t="shared" si="240"/>
        <v>50342.271999999997</v>
      </c>
      <c r="S1402" s="18">
        <f t="shared" si="244"/>
        <v>31272.703999999998</v>
      </c>
    </row>
    <row r="1403" spans="1:19" ht="18.75" customHeight="1" x14ac:dyDescent="0.25">
      <c r="A1403" s="14">
        <f t="shared" si="245"/>
        <v>1397</v>
      </c>
      <c r="B1403" s="21" t="s">
        <v>1286</v>
      </c>
      <c r="C1403" s="15" t="s">
        <v>3</v>
      </c>
      <c r="D1403" s="21" t="s">
        <v>1200</v>
      </c>
      <c r="E1403" s="21"/>
      <c r="F1403" s="69" t="s">
        <v>4</v>
      </c>
      <c r="G1403" s="9">
        <v>40983</v>
      </c>
      <c r="H1403" s="22">
        <v>82874.972000000009</v>
      </c>
      <c r="I1403" s="17">
        <v>0</v>
      </c>
      <c r="J1403" s="17">
        <v>0</v>
      </c>
      <c r="K1403" s="17">
        <f t="shared" si="241"/>
        <v>82874.972000000009</v>
      </c>
      <c r="L1403" s="23">
        <f t="shared" si="249"/>
        <v>4143.7486000000008</v>
      </c>
      <c r="M1403" s="23">
        <v>3</v>
      </c>
      <c r="N1403" s="18">
        <f t="shared" si="242"/>
        <v>9.0547945205479454</v>
      </c>
      <c r="O1403" s="23">
        <v>62312.233999999997</v>
      </c>
      <c r="P1403" s="18">
        <f t="shared" si="243"/>
        <v>9.5561643835616437</v>
      </c>
      <c r="Q1403" s="18">
        <v>0</v>
      </c>
      <c r="R1403" s="18">
        <f t="shared" si="240"/>
        <v>62312.233999999997</v>
      </c>
      <c r="S1403" s="18">
        <f t="shared" si="244"/>
        <v>20562.738000000012</v>
      </c>
    </row>
    <row r="1404" spans="1:19" ht="18.75" customHeight="1" x14ac:dyDescent="0.25">
      <c r="A1404" s="14">
        <f t="shared" si="245"/>
        <v>1398</v>
      </c>
      <c r="B1404" s="21" t="s">
        <v>1287</v>
      </c>
      <c r="C1404" s="15" t="s">
        <v>3</v>
      </c>
      <c r="D1404" s="21" t="s">
        <v>1200</v>
      </c>
      <c r="E1404" s="21"/>
      <c r="F1404" s="69" t="s">
        <v>4</v>
      </c>
      <c r="G1404" s="9">
        <v>40920</v>
      </c>
      <c r="H1404" s="22">
        <v>37.553999999999974</v>
      </c>
      <c r="I1404" s="17">
        <v>0</v>
      </c>
      <c r="J1404" s="17">
        <v>0</v>
      </c>
      <c r="K1404" s="17">
        <f t="shared" si="241"/>
        <v>37.553999999999974</v>
      </c>
      <c r="L1404" s="23">
        <f t="shared" si="249"/>
        <v>1.8776999999999988</v>
      </c>
      <c r="M1404" s="23">
        <v>5</v>
      </c>
      <c r="N1404" s="18">
        <f t="shared" si="242"/>
        <v>9.2273972602739729</v>
      </c>
      <c r="O1404" s="23">
        <v>356.76300000000003</v>
      </c>
      <c r="P1404" s="18">
        <f t="shared" si="243"/>
        <v>9.7287671232876711</v>
      </c>
      <c r="Q1404" s="18">
        <v>0</v>
      </c>
      <c r="R1404" s="18">
        <f t="shared" si="240"/>
        <v>356.76300000000003</v>
      </c>
      <c r="S1404" s="18">
        <f>L1404</f>
        <v>1.8776999999999988</v>
      </c>
    </row>
    <row r="1405" spans="1:19" ht="18.75" customHeight="1" x14ac:dyDescent="0.25">
      <c r="A1405" s="14">
        <f t="shared" si="245"/>
        <v>1399</v>
      </c>
      <c r="B1405" s="21" t="s">
        <v>1288</v>
      </c>
      <c r="C1405" s="15" t="s">
        <v>3</v>
      </c>
      <c r="D1405" s="21" t="s">
        <v>1200</v>
      </c>
      <c r="E1405" s="21"/>
      <c r="F1405" s="70" t="s">
        <v>7</v>
      </c>
      <c r="G1405" s="9">
        <v>40892</v>
      </c>
      <c r="H1405" s="22">
        <v>82250</v>
      </c>
      <c r="I1405" s="17">
        <v>0</v>
      </c>
      <c r="J1405" s="17">
        <v>0</v>
      </c>
      <c r="K1405" s="17">
        <f t="shared" si="241"/>
        <v>82250</v>
      </c>
      <c r="L1405" s="23">
        <f t="shared" si="249"/>
        <v>4112.5</v>
      </c>
      <c r="M1405" s="23">
        <v>3</v>
      </c>
      <c r="N1405" s="18">
        <f t="shared" si="242"/>
        <v>9.3041095890410954</v>
      </c>
      <c r="O1405" s="23">
        <v>56375</v>
      </c>
      <c r="P1405" s="18">
        <f t="shared" si="243"/>
        <v>9.8054794520547937</v>
      </c>
      <c r="Q1405" s="18">
        <v>0</v>
      </c>
      <c r="R1405" s="18">
        <f t="shared" si="240"/>
        <v>56375</v>
      </c>
      <c r="S1405" s="18">
        <f t="shared" si="244"/>
        <v>25875</v>
      </c>
    </row>
    <row r="1406" spans="1:19" ht="18.75" customHeight="1" x14ac:dyDescent="0.25">
      <c r="A1406" s="14">
        <f t="shared" si="245"/>
        <v>1400</v>
      </c>
      <c r="B1406" s="21" t="s">
        <v>1289</v>
      </c>
      <c r="C1406" s="15" t="s">
        <v>3</v>
      </c>
      <c r="D1406" s="21" t="s">
        <v>1200</v>
      </c>
      <c r="E1406" s="21"/>
      <c r="F1406" s="70" t="s">
        <v>7</v>
      </c>
      <c r="G1406" s="9">
        <v>40862</v>
      </c>
      <c r="H1406" s="22">
        <v>273200</v>
      </c>
      <c r="I1406" s="17">
        <v>0</v>
      </c>
      <c r="J1406" s="17">
        <v>0</v>
      </c>
      <c r="K1406" s="17">
        <f t="shared" si="241"/>
        <v>273200</v>
      </c>
      <c r="L1406" s="23">
        <f t="shared" si="249"/>
        <v>13660</v>
      </c>
      <c r="M1406" s="23">
        <v>3</v>
      </c>
      <c r="N1406" s="18">
        <f t="shared" si="242"/>
        <v>9.3863013698630144</v>
      </c>
      <c r="O1406" s="23">
        <v>178733.33333333331</v>
      </c>
      <c r="P1406" s="18">
        <f t="shared" si="243"/>
        <v>9.8876712328767127</v>
      </c>
      <c r="Q1406" s="18">
        <v>0</v>
      </c>
      <c r="R1406" s="18">
        <f t="shared" si="240"/>
        <v>178733.33333333331</v>
      </c>
      <c r="S1406" s="18">
        <f t="shared" si="244"/>
        <v>94466.666666666686</v>
      </c>
    </row>
    <row r="1407" spans="1:19" ht="18.75" customHeight="1" x14ac:dyDescent="0.25">
      <c r="A1407" s="14">
        <f t="shared" si="245"/>
        <v>1401</v>
      </c>
      <c r="B1407" s="21" t="s">
        <v>1290</v>
      </c>
      <c r="C1407" s="15" t="s">
        <v>3</v>
      </c>
      <c r="D1407" s="21" t="s">
        <v>1200</v>
      </c>
      <c r="E1407" s="21"/>
      <c r="F1407" s="69" t="s">
        <v>4</v>
      </c>
      <c r="G1407" s="9">
        <v>40862</v>
      </c>
      <c r="H1407" s="22">
        <v>90060</v>
      </c>
      <c r="I1407" s="17">
        <v>0</v>
      </c>
      <c r="J1407" s="17">
        <v>0</v>
      </c>
      <c r="K1407" s="17">
        <f t="shared" si="241"/>
        <v>90060</v>
      </c>
      <c r="L1407" s="23">
        <f t="shared" si="249"/>
        <v>4503</v>
      </c>
      <c r="M1407" s="23">
        <v>3</v>
      </c>
      <c r="N1407" s="18">
        <f t="shared" si="242"/>
        <v>9.3863013698630144</v>
      </c>
      <c r="O1407" s="23">
        <v>130570</v>
      </c>
      <c r="P1407" s="18">
        <f t="shared" si="243"/>
        <v>9.8876712328767127</v>
      </c>
      <c r="Q1407" s="18">
        <v>0</v>
      </c>
      <c r="R1407" s="18">
        <f t="shared" si="240"/>
        <v>130570</v>
      </c>
      <c r="S1407" s="18">
        <f t="shared" ref="S1407:S1470" si="253">L1407</f>
        <v>4503</v>
      </c>
    </row>
    <row r="1408" spans="1:19" ht="18.75" customHeight="1" x14ac:dyDescent="0.25">
      <c r="A1408" s="14">
        <f t="shared" si="245"/>
        <v>1402</v>
      </c>
      <c r="B1408" s="21" t="s">
        <v>1291</v>
      </c>
      <c r="C1408" s="15" t="s">
        <v>3</v>
      </c>
      <c r="D1408" s="21" t="s">
        <v>1200</v>
      </c>
      <c r="E1408" s="21"/>
      <c r="F1408" s="69" t="s">
        <v>4</v>
      </c>
      <c r="G1408" s="9">
        <v>40862</v>
      </c>
      <c r="H1408" s="22">
        <v>3525.3925000000017</v>
      </c>
      <c r="I1408" s="17">
        <v>0</v>
      </c>
      <c r="J1408" s="17">
        <v>0</v>
      </c>
      <c r="K1408" s="17">
        <f t="shared" si="241"/>
        <v>3525.3925000000017</v>
      </c>
      <c r="L1408" s="23">
        <f t="shared" si="249"/>
        <v>176.2696250000001</v>
      </c>
      <c r="M1408" s="23">
        <v>3</v>
      </c>
      <c r="N1408" s="18">
        <f t="shared" si="242"/>
        <v>9.3863013698630144</v>
      </c>
      <c r="O1408" s="23">
        <v>33491.228750000002</v>
      </c>
      <c r="P1408" s="18">
        <f t="shared" si="243"/>
        <v>9.8876712328767127</v>
      </c>
      <c r="Q1408" s="18">
        <v>0</v>
      </c>
      <c r="R1408" s="18">
        <f t="shared" si="240"/>
        <v>33491.228750000002</v>
      </c>
      <c r="S1408" s="18">
        <f t="shared" si="253"/>
        <v>176.2696250000001</v>
      </c>
    </row>
    <row r="1409" spans="1:19" ht="18.75" customHeight="1" x14ac:dyDescent="0.25">
      <c r="A1409" s="14">
        <f t="shared" si="245"/>
        <v>1403</v>
      </c>
      <c r="B1409" s="21" t="s">
        <v>1292</v>
      </c>
      <c r="C1409" s="15" t="s">
        <v>3</v>
      </c>
      <c r="D1409" s="21" t="s">
        <v>1200</v>
      </c>
      <c r="E1409" s="21"/>
      <c r="F1409" s="69" t="s">
        <v>4</v>
      </c>
      <c r="G1409" s="9">
        <v>40856</v>
      </c>
      <c r="H1409" s="22">
        <v>336</v>
      </c>
      <c r="I1409" s="17">
        <v>0</v>
      </c>
      <c r="J1409" s="17">
        <v>0</v>
      </c>
      <c r="K1409" s="17">
        <f t="shared" si="241"/>
        <v>336</v>
      </c>
      <c r="L1409" s="23">
        <f t="shared" si="249"/>
        <v>16.8</v>
      </c>
      <c r="M1409" s="23">
        <v>3</v>
      </c>
      <c r="N1409" s="18">
        <f t="shared" si="242"/>
        <v>9.4027397260273968</v>
      </c>
      <c r="O1409" s="23">
        <v>3192</v>
      </c>
      <c r="P1409" s="18">
        <f t="shared" si="243"/>
        <v>9.9041095890410951</v>
      </c>
      <c r="Q1409" s="18">
        <v>0</v>
      </c>
      <c r="R1409" s="18">
        <f t="shared" si="240"/>
        <v>3192</v>
      </c>
      <c r="S1409" s="18">
        <f t="shared" si="253"/>
        <v>16.8</v>
      </c>
    </row>
    <row r="1410" spans="1:19" ht="18.75" customHeight="1" x14ac:dyDescent="0.25">
      <c r="A1410" s="14">
        <f t="shared" si="245"/>
        <v>1404</v>
      </c>
      <c r="B1410" s="21" t="s">
        <v>1287</v>
      </c>
      <c r="C1410" s="15" t="s">
        <v>3</v>
      </c>
      <c r="D1410" s="21" t="s">
        <v>1200</v>
      </c>
      <c r="E1410" s="21"/>
      <c r="F1410" s="69" t="s">
        <v>4</v>
      </c>
      <c r="G1410" s="9">
        <v>40801</v>
      </c>
      <c r="H1410" s="22">
        <v>75.108500000000049</v>
      </c>
      <c r="I1410" s="17">
        <v>0</v>
      </c>
      <c r="J1410" s="17">
        <v>0</v>
      </c>
      <c r="K1410" s="17">
        <f t="shared" si="241"/>
        <v>75.108500000000049</v>
      </c>
      <c r="L1410" s="23">
        <f t="shared" si="249"/>
        <v>3.7554250000000025</v>
      </c>
      <c r="M1410" s="23">
        <v>5</v>
      </c>
      <c r="N1410" s="18">
        <f t="shared" si="242"/>
        <v>9.5534246575342472</v>
      </c>
      <c r="O1410" s="23">
        <v>713.53075000000001</v>
      </c>
      <c r="P1410" s="18">
        <f t="shared" si="243"/>
        <v>10.054794520547945</v>
      </c>
      <c r="Q1410" s="18">
        <v>0</v>
      </c>
      <c r="R1410" s="18">
        <f t="shared" si="240"/>
        <v>713.53075000000001</v>
      </c>
      <c r="S1410" s="18">
        <f t="shared" si="253"/>
        <v>3.7554250000000025</v>
      </c>
    </row>
    <row r="1411" spans="1:19" ht="18.75" customHeight="1" x14ac:dyDescent="0.25">
      <c r="A1411" s="14">
        <f t="shared" si="245"/>
        <v>1405</v>
      </c>
      <c r="B1411" s="21" t="s">
        <v>1293</v>
      </c>
      <c r="C1411" s="15" t="s">
        <v>3</v>
      </c>
      <c r="D1411" s="21" t="s">
        <v>1200</v>
      </c>
      <c r="E1411" s="21"/>
      <c r="F1411" s="69" t="s">
        <v>4</v>
      </c>
      <c r="G1411" s="9">
        <v>40801</v>
      </c>
      <c r="H1411" s="22">
        <v>41.802999999999997</v>
      </c>
      <c r="I1411" s="17">
        <v>0</v>
      </c>
      <c r="J1411" s="17">
        <v>0</v>
      </c>
      <c r="K1411" s="17">
        <f t="shared" si="241"/>
        <v>41.802999999999997</v>
      </c>
      <c r="L1411" s="23">
        <f t="shared" si="249"/>
        <v>2.09015</v>
      </c>
      <c r="M1411" s="23">
        <v>5</v>
      </c>
      <c r="N1411" s="18">
        <f t="shared" si="242"/>
        <v>9.5534246575342472</v>
      </c>
      <c r="O1411" s="23">
        <v>397.12849999999997</v>
      </c>
      <c r="P1411" s="18">
        <f t="shared" si="243"/>
        <v>10.054794520547945</v>
      </c>
      <c r="Q1411" s="18">
        <v>0</v>
      </c>
      <c r="R1411" s="18">
        <f t="shared" si="240"/>
        <v>397.12849999999997</v>
      </c>
      <c r="S1411" s="18">
        <f t="shared" si="253"/>
        <v>2.09015</v>
      </c>
    </row>
    <row r="1412" spans="1:19" ht="18.75" customHeight="1" x14ac:dyDescent="0.25">
      <c r="A1412" s="14">
        <f t="shared" si="245"/>
        <v>1406</v>
      </c>
      <c r="B1412" s="21" t="s">
        <v>1294</v>
      </c>
      <c r="C1412" s="15" t="s">
        <v>3</v>
      </c>
      <c r="D1412" s="21" t="s">
        <v>1200</v>
      </c>
      <c r="E1412" s="21"/>
      <c r="F1412" s="69" t="s">
        <v>4</v>
      </c>
      <c r="G1412" s="9">
        <v>40770</v>
      </c>
      <c r="H1412" s="22">
        <v>41.802999999999997</v>
      </c>
      <c r="I1412" s="17">
        <v>0</v>
      </c>
      <c r="J1412" s="17">
        <v>0</v>
      </c>
      <c r="K1412" s="17">
        <f t="shared" si="241"/>
        <v>41.802999999999997</v>
      </c>
      <c r="L1412" s="23">
        <f t="shared" si="249"/>
        <v>2.09015</v>
      </c>
      <c r="M1412" s="23">
        <v>5</v>
      </c>
      <c r="N1412" s="18">
        <f t="shared" si="242"/>
        <v>9.6383561643835609</v>
      </c>
      <c r="O1412" s="23">
        <v>397.12849999999997</v>
      </c>
      <c r="P1412" s="18">
        <f t="shared" si="243"/>
        <v>10.139726027397261</v>
      </c>
      <c r="Q1412" s="18">
        <v>0</v>
      </c>
      <c r="R1412" s="18">
        <f t="shared" ref="R1412:R1475" si="254">Q1412+O1412</f>
        <v>397.12849999999997</v>
      </c>
      <c r="S1412" s="18">
        <f t="shared" si="253"/>
        <v>2.09015</v>
      </c>
    </row>
    <row r="1413" spans="1:19" ht="18.75" customHeight="1" x14ac:dyDescent="0.25">
      <c r="A1413" s="14">
        <f t="shared" si="245"/>
        <v>1407</v>
      </c>
      <c r="B1413" s="21" t="s">
        <v>1295</v>
      </c>
      <c r="C1413" s="15" t="s">
        <v>3</v>
      </c>
      <c r="D1413" s="21" t="s">
        <v>1200</v>
      </c>
      <c r="E1413" s="21"/>
      <c r="F1413" s="69" t="s">
        <v>4</v>
      </c>
      <c r="G1413" s="9">
        <v>40739</v>
      </c>
      <c r="H1413" s="22">
        <v>83.605999999999995</v>
      </c>
      <c r="I1413" s="17">
        <v>0</v>
      </c>
      <c r="J1413" s="17">
        <v>0</v>
      </c>
      <c r="K1413" s="17">
        <f t="shared" ref="K1413:K1476" si="255">H1413+I1413-J1413</f>
        <v>83.605999999999995</v>
      </c>
      <c r="L1413" s="23">
        <f t="shared" si="249"/>
        <v>4.1802999999999999</v>
      </c>
      <c r="M1413" s="23">
        <v>5</v>
      </c>
      <c r="N1413" s="18">
        <f t="shared" ref="N1413:N1476" si="256">IF(($N$2-G1413+1)/365&gt;0,($N$2-G1413+1)/365,0)</f>
        <v>9.7232876712328764</v>
      </c>
      <c r="O1413" s="23">
        <v>794.25699999999995</v>
      </c>
      <c r="P1413" s="18">
        <f t="shared" ref="P1413:P1476" si="257">($P$2-G1413+1)/365</f>
        <v>10.224657534246575</v>
      </c>
      <c r="Q1413" s="18">
        <v>0</v>
      </c>
      <c r="R1413" s="18">
        <f t="shared" si="254"/>
        <v>794.25699999999995</v>
      </c>
      <c r="S1413" s="18">
        <f t="shared" si="253"/>
        <v>4.1802999999999999</v>
      </c>
    </row>
    <row r="1414" spans="1:19" ht="18.75" customHeight="1" x14ac:dyDescent="0.25">
      <c r="A1414" s="14">
        <f t="shared" ref="A1414:A1477" si="258">+A1413+1</f>
        <v>1408</v>
      </c>
      <c r="B1414" s="21" t="s">
        <v>1287</v>
      </c>
      <c r="C1414" s="15" t="s">
        <v>3</v>
      </c>
      <c r="D1414" s="21" t="s">
        <v>1200</v>
      </c>
      <c r="E1414" s="21"/>
      <c r="F1414" s="69" t="s">
        <v>4</v>
      </c>
      <c r="G1414" s="9">
        <v>40739</v>
      </c>
      <c r="H1414" s="22">
        <v>33.047500000000014</v>
      </c>
      <c r="I1414" s="17">
        <v>0</v>
      </c>
      <c r="J1414" s="17">
        <v>0</v>
      </c>
      <c r="K1414" s="17">
        <f t="shared" si="255"/>
        <v>33.047500000000014</v>
      </c>
      <c r="L1414" s="23">
        <f t="shared" si="249"/>
        <v>1.6523750000000008</v>
      </c>
      <c r="M1414" s="23">
        <v>5</v>
      </c>
      <c r="N1414" s="18">
        <f t="shared" si="256"/>
        <v>9.7232876712328764</v>
      </c>
      <c r="O1414" s="23">
        <v>313.95125000000002</v>
      </c>
      <c r="P1414" s="18">
        <f t="shared" si="257"/>
        <v>10.224657534246575</v>
      </c>
      <c r="Q1414" s="18">
        <v>0</v>
      </c>
      <c r="R1414" s="18">
        <f t="shared" si="254"/>
        <v>313.95125000000002</v>
      </c>
      <c r="S1414" s="18">
        <f t="shared" si="253"/>
        <v>1.6523750000000008</v>
      </c>
    </row>
    <row r="1415" spans="1:19" ht="18.75" customHeight="1" x14ac:dyDescent="0.25">
      <c r="A1415" s="14">
        <f t="shared" si="258"/>
        <v>1409</v>
      </c>
      <c r="B1415" s="21" t="s">
        <v>1296</v>
      </c>
      <c r="C1415" s="15" t="s">
        <v>3</v>
      </c>
      <c r="D1415" s="21" t="s">
        <v>1200</v>
      </c>
      <c r="E1415" s="21"/>
      <c r="F1415" s="69" t="s">
        <v>4</v>
      </c>
      <c r="G1415" s="9">
        <v>40709</v>
      </c>
      <c r="H1415" s="22">
        <v>75</v>
      </c>
      <c r="I1415" s="17">
        <v>0</v>
      </c>
      <c r="J1415" s="17">
        <v>0</v>
      </c>
      <c r="K1415" s="17">
        <f t="shared" si="255"/>
        <v>75</v>
      </c>
      <c r="L1415" s="23">
        <f t="shared" si="249"/>
        <v>3.75</v>
      </c>
      <c r="M1415" s="23">
        <v>5</v>
      </c>
      <c r="N1415" s="18">
        <f t="shared" si="256"/>
        <v>9.8054794520547937</v>
      </c>
      <c r="O1415" s="23">
        <v>712.5</v>
      </c>
      <c r="P1415" s="18">
        <f t="shared" si="257"/>
        <v>10.306849315068494</v>
      </c>
      <c r="Q1415" s="18">
        <v>0</v>
      </c>
      <c r="R1415" s="18">
        <f t="shared" si="254"/>
        <v>712.5</v>
      </c>
      <c r="S1415" s="18">
        <f t="shared" si="253"/>
        <v>3.75</v>
      </c>
    </row>
    <row r="1416" spans="1:19" ht="18.75" customHeight="1" x14ac:dyDescent="0.25">
      <c r="A1416" s="14">
        <f t="shared" si="258"/>
        <v>1410</v>
      </c>
      <c r="B1416" s="21" t="s">
        <v>1294</v>
      </c>
      <c r="C1416" s="15" t="s">
        <v>3</v>
      </c>
      <c r="D1416" s="21" t="s">
        <v>1200</v>
      </c>
      <c r="E1416" s="21"/>
      <c r="F1416" s="69" t="s">
        <v>4</v>
      </c>
      <c r="G1416" s="9">
        <v>40709</v>
      </c>
      <c r="H1416" s="22">
        <v>41.802999999999997</v>
      </c>
      <c r="I1416" s="17">
        <v>0</v>
      </c>
      <c r="J1416" s="17">
        <v>0</v>
      </c>
      <c r="K1416" s="17">
        <f t="shared" si="255"/>
        <v>41.802999999999997</v>
      </c>
      <c r="L1416" s="23">
        <f t="shared" si="249"/>
        <v>2.09015</v>
      </c>
      <c r="M1416" s="23">
        <v>5</v>
      </c>
      <c r="N1416" s="18">
        <f t="shared" si="256"/>
        <v>9.8054794520547937</v>
      </c>
      <c r="O1416" s="23">
        <v>397.12849999999997</v>
      </c>
      <c r="P1416" s="18">
        <f t="shared" si="257"/>
        <v>10.306849315068494</v>
      </c>
      <c r="Q1416" s="18">
        <v>0</v>
      </c>
      <c r="R1416" s="18">
        <f t="shared" si="254"/>
        <v>397.12849999999997</v>
      </c>
      <c r="S1416" s="18">
        <f t="shared" si="253"/>
        <v>2.09015</v>
      </c>
    </row>
    <row r="1417" spans="1:19" ht="18.75" customHeight="1" x14ac:dyDescent="0.25">
      <c r="A1417" s="14">
        <f t="shared" si="258"/>
        <v>1411</v>
      </c>
      <c r="B1417" s="21" t="s">
        <v>1297</v>
      </c>
      <c r="C1417" s="15" t="s">
        <v>3</v>
      </c>
      <c r="D1417" s="21" t="s">
        <v>1200</v>
      </c>
      <c r="E1417" s="21"/>
      <c r="F1417" s="69" t="s">
        <v>4</v>
      </c>
      <c r="G1417" s="9">
        <v>40678</v>
      </c>
      <c r="H1417" s="22">
        <v>388.625</v>
      </c>
      <c r="I1417" s="17">
        <v>0</v>
      </c>
      <c r="J1417" s="17">
        <v>0</v>
      </c>
      <c r="K1417" s="17">
        <f t="shared" si="255"/>
        <v>388.625</v>
      </c>
      <c r="L1417" s="23">
        <f t="shared" si="249"/>
        <v>19.431250000000002</v>
      </c>
      <c r="M1417" s="23">
        <v>5</v>
      </c>
      <c r="N1417" s="18">
        <f t="shared" si="256"/>
        <v>9.8904109589041092</v>
      </c>
      <c r="O1417" s="23">
        <v>3691.9375</v>
      </c>
      <c r="P1417" s="18">
        <f t="shared" si="257"/>
        <v>10.391780821917807</v>
      </c>
      <c r="Q1417" s="18">
        <v>0</v>
      </c>
      <c r="R1417" s="18">
        <f t="shared" si="254"/>
        <v>3691.9375</v>
      </c>
      <c r="S1417" s="18">
        <f t="shared" si="253"/>
        <v>19.431250000000002</v>
      </c>
    </row>
    <row r="1418" spans="1:19" ht="18.75" customHeight="1" x14ac:dyDescent="0.25">
      <c r="A1418" s="14">
        <f t="shared" si="258"/>
        <v>1412</v>
      </c>
      <c r="B1418" s="21" t="s">
        <v>1294</v>
      </c>
      <c r="C1418" s="15" t="s">
        <v>3</v>
      </c>
      <c r="D1418" s="21" t="s">
        <v>1200</v>
      </c>
      <c r="E1418" s="21"/>
      <c r="F1418" s="69" t="s">
        <v>4</v>
      </c>
      <c r="G1418" s="9">
        <v>40678</v>
      </c>
      <c r="H1418" s="22">
        <v>46.673999999999978</v>
      </c>
      <c r="I1418" s="17">
        <v>0</v>
      </c>
      <c r="J1418" s="17">
        <v>0</v>
      </c>
      <c r="K1418" s="17">
        <f t="shared" si="255"/>
        <v>46.673999999999978</v>
      </c>
      <c r="L1418" s="23">
        <f t="shared" si="249"/>
        <v>2.333699999999999</v>
      </c>
      <c r="M1418" s="23">
        <v>5</v>
      </c>
      <c r="N1418" s="18">
        <f t="shared" si="256"/>
        <v>9.8904109589041092</v>
      </c>
      <c r="O1418" s="23">
        <v>443.40300000000002</v>
      </c>
      <c r="P1418" s="18">
        <f t="shared" si="257"/>
        <v>10.391780821917807</v>
      </c>
      <c r="Q1418" s="18">
        <v>0</v>
      </c>
      <c r="R1418" s="18">
        <f t="shared" si="254"/>
        <v>443.40300000000002</v>
      </c>
      <c r="S1418" s="18">
        <f t="shared" si="253"/>
        <v>2.333699999999999</v>
      </c>
    </row>
    <row r="1419" spans="1:19" ht="18.75" customHeight="1" x14ac:dyDescent="0.25">
      <c r="A1419" s="14">
        <f t="shared" si="258"/>
        <v>1413</v>
      </c>
      <c r="B1419" s="21" t="s">
        <v>1287</v>
      </c>
      <c r="C1419" s="15" t="s">
        <v>3</v>
      </c>
      <c r="D1419" s="21" t="s">
        <v>1200</v>
      </c>
      <c r="E1419" s="21"/>
      <c r="F1419" s="69" t="s">
        <v>4</v>
      </c>
      <c r="G1419" s="9">
        <v>40678</v>
      </c>
      <c r="H1419" s="22">
        <v>33.047500000000014</v>
      </c>
      <c r="I1419" s="17">
        <v>0</v>
      </c>
      <c r="J1419" s="17">
        <v>0</v>
      </c>
      <c r="K1419" s="17">
        <f t="shared" si="255"/>
        <v>33.047500000000014</v>
      </c>
      <c r="L1419" s="23">
        <f t="shared" si="249"/>
        <v>1.6523750000000008</v>
      </c>
      <c r="M1419" s="23">
        <v>5</v>
      </c>
      <c r="N1419" s="18">
        <f t="shared" si="256"/>
        <v>9.8904109589041092</v>
      </c>
      <c r="O1419" s="23">
        <v>313.95125000000002</v>
      </c>
      <c r="P1419" s="18">
        <f t="shared" si="257"/>
        <v>10.391780821917807</v>
      </c>
      <c r="Q1419" s="18">
        <v>0</v>
      </c>
      <c r="R1419" s="18">
        <f t="shared" si="254"/>
        <v>313.95125000000002</v>
      </c>
      <c r="S1419" s="18">
        <f t="shared" si="253"/>
        <v>1.6523750000000008</v>
      </c>
    </row>
    <row r="1420" spans="1:19" ht="18.75" customHeight="1" x14ac:dyDescent="0.25">
      <c r="A1420" s="14">
        <f t="shared" si="258"/>
        <v>1414</v>
      </c>
      <c r="B1420" s="21" t="s">
        <v>1298</v>
      </c>
      <c r="C1420" s="15" t="s">
        <v>3</v>
      </c>
      <c r="D1420" s="21" t="s">
        <v>1200</v>
      </c>
      <c r="E1420" s="21"/>
      <c r="F1420" s="69" t="s">
        <v>4</v>
      </c>
      <c r="G1420" s="9">
        <v>40648</v>
      </c>
      <c r="H1420" s="22">
        <v>109.98349999999982</v>
      </c>
      <c r="I1420" s="17">
        <v>0</v>
      </c>
      <c r="J1420" s="17">
        <v>0</v>
      </c>
      <c r="K1420" s="17">
        <f t="shared" si="255"/>
        <v>109.98349999999982</v>
      </c>
      <c r="L1420" s="23">
        <f t="shared" si="249"/>
        <v>5.4991749999999913</v>
      </c>
      <c r="M1420" s="23">
        <v>5</v>
      </c>
      <c r="N1420" s="18">
        <f t="shared" si="256"/>
        <v>9.9726027397260282</v>
      </c>
      <c r="O1420" s="23">
        <v>1044.8432500000001</v>
      </c>
      <c r="P1420" s="18">
        <f t="shared" si="257"/>
        <v>10.473972602739726</v>
      </c>
      <c r="Q1420" s="18">
        <v>0</v>
      </c>
      <c r="R1420" s="18">
        <f t="shared" si="254"/>
        <v>1044.8432500000001</v>
      </c>
      <c r="S1420" s="18">
        <f t="shared" si="253"/>
        <v>5.4991749999999913</v>
      </c>
    </row>
    <row r="1421" spans="1:19" ht="18.75" customHeight="1" x14ac:dyDescent="0.25">
      <c r="A1421" s="14">
        <f t="shared" si="258"/>
        <v>1415</v>
      </c>
      <c r="B1421" s="21" t="s">
        <v>1294</v>
      </c>
      <c r="C1421" s="15" t="s">
        <v>3</v>
      </c>
      <c r="D1421" s="21" t="s">
        <v>1200</v>
      </c>
      <c r="E1421" s="21"/>
      <c r="F1421" s="69" t="s">
        <v>4</v>
      </c>
      <c r="G1421" s="9">
        <v>40648</v>
      </c>
      <c r="H1421" s="22">
        <v>45.18100000000004</v>
      </c>
      <c r="I1421" s="17">
        <v>0</v>
      </c>
      <c r="J1421" s="17">
        <v>0</v>
      </c>
      <c r="K1421" s="17">
        <f t="shared" si="255"/>
        <v>45.18100000000004</v>
      </c>
      <c r="L1421" s="23">
        <f t="shared" si="249"/>
        <v>2.259050000000002</v>
      </c>
      <c r="M1421" s="23">
        <v>5</v>
      </c>
      <c r="N1421" s="18">
        <f t="shared" si="256"/>
        <v>9.9726027397260282</v>
      </c>
      <c r="O1421" s="23">
        <v>429.21949999999998</v>
      </c>
      <c r="P1421" s="18">
        <f t="shared" si="257"/>
        <v>10.473972602739726</v>
      </c>
      <c r="Q1421" s="18">
        <v>0</v>
      </c>
      <c r="R1421" s="18">
        <f t="shared" si="254"/>
        <v>429.21949999999998</v>
      </c>
      <c r="S1421" s="18">
        <f t="shared" si="253"/>
        <v>2.259050000000002</v>
      </c>
    </row>
    <row r="1422" spans="1:19" ht="18.75" customHeight="1" x14ac:dyDescent="0.25">
      <c r="A1422" s="14">
        <f t="shared" si="258"/>
        <v>1416</v>
      </c>
      <c r="B1422" s="21" t="s">
        <v>1299</v>
      </c>
      <c r="C1422" s="15" t="s">
        <v>3</v>
      </c>
      <c r="D1422" s="21" t="s">
        <v>1200</v>
      </c>
      <c r="E1422" s="21"/>
      <c r="F1422" s="69" t="s">
        <v>4</v>
      </c>
      <c r="G1422" s="9">
        <v>40617</v>
      </c>
      <c r="H1422" s="22">
        <v>183.70850000000019</v>
      </c>
      <c r="I1422" s="17">
        <v>0</v>
      </c>
      <c r="J1422" s="17">
        <v>0</v>
      </c>
      <c r="K1422" s="17">
        <f t="shared" si="255"/>
        <v>183.70850000000019</v>
      </c>
      <c r="L1422" s="23">
        <f t="shared" si="249"/>
        <v>9.1854250000000093</v>
      </c>
      <c r="M1422" s="23">
        <v>5</v>
      </c>
      <c r="N1422" s="18">
        <f t="shared" si="256"/>
        <v>10.057534246575342</v>
      </c>
      <c r="O1422" s="23">
        <v>1745.2307499999999</v>
      </c>
      <c r="P1422" s="18">
        <f t="shared" si="257"/>
        <v>10.558904109589042</v>
      </c>
      <c r="Q1422" s="18">
        <v>0</v>
      </c>
      <c r="R1422" s="18">
        <f t="shared" si="254"/>
        <v>1745.2307499999999</v>
      </c>
      <c r="S1422" s="18">
        <f t="shared" si="253"/>
        <v>9.1854250000000093</v>
      </c>
    </row>
    <row r="1423" spans="1:19" ht="18.75" customHeight="1" x14ac:dyDescent="0.25">
      <c r="A1423" s="14">
        <f t="shared" si="258"/>
        <v>1417</v>
      </c>
      <c r="B1423" s="21" t="s">
        <v>1300</v>
      </c>
      <c r="C1423" s="15" t="s">
        <v>3</v>
      </c>
      <c r="D1423" s="21" t="s">
        <v>1200</v>
      </c>
      <c r="E1423" s="21"/>
      <c r="F1423" s="69" t="s">
        <v>4</v>
      </c>
      <c r="G1423" s="9">
        <v>40597</v>
      </c>
      <c r="H1423" s="22">
        <v>3450.1000000000058</v>
      </c>
      <c r="I1423" s="17">
        <v>0</v>
      </c>
      <c r="J1423" s="17">
        <v>0</v>
      </c>
      <c r="K1423" s="17">
        <f t="shared" si="255"/>
        <v>3450.1000000000058</v>
      </c>
      <c r="L1423" s="23">
        <f t="shared" si="249"/>
        <v>172.50500000000031</v>
      </c>
      <c r="M1423" s="23">
        <v>5</v>
      </c>
      <c r="N1423" s="18">
        <f t="shared" si="256"/>
        <v>10.112328767123287</v>
      </c>
      <c r="O1423" s="23">
        <v>32775.949999999997</v>
      </c>
      <c r="P1423" s="18">
        <f t="shared" si="257"/>
        <v>10.613698630136986</v>
      </c>
      <c r="Q1423" s="18">
        <v>0</v>
      </c>
      <c r="R1423" s="18">
        <f t="shared" si="254"/>
        <v>32775.949999999997</v>
      </c>
      <c r="S1423" s="18">
        <f t="shared" si="253"/>
        <v>172.50500000000031</v>
      </c>
    </row>
    <row r="1424" spans="1:19" ht="18.75" customHeight="1" x14ac:dyDescent="0.25">
      <c r="A1424" s="14">
        <f t="shared" si="258"/>
        <v>1418</v>
      </c>
      <c r="B1424" s="21" t="s">
        <v>1207</v>
      </c>
      <c r="C1424" s="15" t="s">
        <v>3</v>
      </c>
      <c r="D1424" s="21" t="s">
        <v>1200</v>
      </c>
      <c r="E1424" s="21"/>
      <c r="F1424" s="69" t="s">
        <v>4</v>
      </c>
      <c r="G1424" s="9">
        <v>40589</v>
      </c>
      <c r="H1424" s="22">
        <v>49.871999999999957</v>
      </c>
      <c r="I1424" s="17">
        <v>0</v>
      </c>
      <c r="J1424" s="17">
        <v>0</v>
      </c>
      <c r="K1424" s="17">
        <f t="shared" si="255"/>
        <v>49.871999999999957</v>
      </c>
      <c r="L1424" s="23">
        <f t="shared" si="249"/>
        <v>2.493599999999998</v>
      </c>
      <c r="M1424" s="23">
        <v>5</v>
      </c>
      <c r="N1424" s="18">
        <f t="shared" si="256"/>
        <v>10.134246575342466</v>
      </c>
      <c r="O1424" s="23">
        <v>473.78400000000005</v>
      </c>
      <c r="P1424" s="18">
        <f t="shared" si="257"/>
        <v>10.635616438356164</v>
      </c>
      <c r="Q1424" s="18">
        <v>0</v>
      </c>
      <c r="R1424" s="18">
        <f t="shared" si="254"/>
        <v>473.78400000000005</v>
      </c>
      <c r="S1424" s="18">
        <f t="shared" si="253"/>
        <v>2.493599999999998</v>
      </c>
    </row>
    <row r="1425" spans="1:19" ht="18.75" customHeight="1" x14ac:dyDescent="0.25">
      <c r="A1425" s="14">
        <f t="shared" si="258"/>
        <v>1419</v>
      </c>
      <c r="B1425" s="21" t="s">
        <v>1294</v>
      </c>
      <c r="C1425" s="15" t="s">
        <v>3</v>
      </c>
      <c r="D1425" s="21" t="s">
        <v>1200</v>
      </c>
      <c r="E1425" s="21"/>
      <c r="F1425" s="69" t="s">
        <v>4</v>
      </c>
      <c r="G1425" s="9">
        <v>40589</v>
      </c>
      <c r="H1425" s="22">
        <v>40.912500000000023</v>
      </c>
      <c r="I1425" s="17">
        <v>0</v>
      </c>
      <c r="J1425" s="17">
        <v>0</v>
      </c>
      <c r="K1425" s="17">
        <f t="shared" si="255"/>
        <v>40.912500000000023</v>
      </c>
      <c r="L1425" s="23">
        <f t="shared" si="249"/>
        <v>2.0456250000000011</v>
      </c>
      <c r="M1425" s="23">
        <v>5</v>
      </c>
      <c r="N1425" s="18">
        <f t="shared" si="256"/>
        <v>10.134246575342466</v>
      </c>
      <c r="O1425" s="23">
        <v>388.66874999999999</v>
      </c>
      <c r="P1425" s="18">
        <f t="shared" si="257"/>
        <v>10.635616438356164</v>
      </c>
      <c r="Q1425" s="18">
        <v>0</v>
      </c>
      <c r="R1425" s="18">
        <f t="shared" si="254"/>
        <v>388.66874999999999</v>
      </c>
      <c r="S1425" s="18">
        <f t="shared" si="253"/>
        <v>2.0456250000000011</v>
      </c>
    </row>
    <row r="1426" spans="1:19" ht="18.75" customHeight="1" x14ac:dyDescent="0.25">
      <c r="A1426" s="14">
        <f t="shared" si="258"/>
        <v>1420</v>
      </c>
      <c r="B1426" s="21" t="s">
        <v>1292</v>
      </c>
      <c r="C1426" s="15" t="s">
        <v>3</v>
      </c>
      <c r="D1426" s="21" t="s">
        <v>1200</v>
      </c>
      <c r="E1426" s="21"/>
      <c r="F1426" s="69" t="s">
        <v>4</v>
      </c>
      <c r="G1426" s="9">
        <v>40589</v>
      </c>
      <c r="H1426" s="22">
        <v>315</v>
      </c>
      <c r="I1426" s="17">
        <v>0</v>
      </c>
      <c r="J1426" s="17">
        <v>0</v>
      </c>
      <c r="K1426" s="17">
        <f t="shared" si="255"/>
        <v>315</v>
      </c>
      <c r="L1426" s="23">
        <f t="shared" si="249"/>
        <v>15.75</v>
      </c>
      <c r="M1426" s="23">
        <v>3</v>
      </c>
      <c r="N1426" s="18">
        <f t="shared" si="256"/>
        <v>10.134246575342466</v>
      </c>
      <c r="O1426" s="23">
        <v>2992.5</v>
      </c>
      <c r="P1426" s="18">
        <f t="shared" si="257"/>
        <v>10.635616438356164</v>
      </c>
      <c r="Q1426" s="18">
        <v>0</v>
      </c>
      <c r="R1426" s="18">
        <f t="shared" si="254"/>
        <v>2992.5</v>
      </c>
      <c r="S1426" s="18">
        <f t="shared" si="253"/>
        <v>15.75</v>
      </c>
    </row>
    <row r="1427" spans="1:19" ht="18.75" customHeight="1" x14ac:dyDescent="0.25">
      <c r="A1427" s="14">
        <f t="shared" si="258"/>
        <v>1421</v>
      </c>
      <c r="B1427" s="21" t="s">
        <v>1301</v>
      </c>
      <c r="C1427" s="15" t="s">
        <v>3</v>
      </c>
      <c r="D1427" s="21" t="s">
        <v>1200</v>
      </c>
      <c r="E1427" s="21"/>
      <c r="F1427" s="69" t="s">
        <v>4</v>
      </c>
      <c r="G1427" s="9">
        <v>40558</v>
      </c>
      <c r="H1427" s="22">
        <v>290.85000000000036</v>
      </c>
      <c r="I1427" s="17">
        <v>0</v>
      </c>
      <c r="J1427" s="17">
        <v>0</v>
      </c>
      <c r="K1427" s="17">
        <f t="shared" si="255"/>
        <v>290.85000000000036</v>
      </c>
      <c r="L1427" s="23">
        <f t="shared" si="249"/>
        <v>14.542500000000018</v>
      </c>
      <c r="M1427" s="23">
        <v>5</v>
      </c>
      <c r="N1427" s="18">
        <f t="shared" si="256"/>
        <v>10.219178082191782</v>
      </c>
      <c r="O1427" s="23">
        <v>2763.0749999999998</v>
      </c>
      <c r="P1427" s="18">
        <f t="shared" si="257"/>
        <v>10.72054794520548</v>
      </c>
      <c r="Q1427" s="18">
        <v>0</v>
      </c>
      <c r="R1427" s="18">
        <f t="shared" si="254"/>
        <v>2763.0749999999998</v>
      </c>
      <c r="S1427" s="18">
        <f t="shared" si="253"/>
        <v>14.542500000000018</v>
      </c>
    </row>
    <row r="1428" spans="1:19" ht="18.75" customHeight="1" x14ac:dyDescent="0.25">
      <c r="A1428" s="14">
        <f t="shared" si="258"/>
        <v>1422</v>
      </c>
      <c r="B1428" s="21" t="s">
        <v>1302</v>
      </c>
      <c r="C1428" s="15" t="s">
        <v>3</v>
      </c>
      <c r="D1428" s="21" t="s">
        <v>1200</v>
      </c>
      <c r="E1428" s="21"/>
      <c r="F1428" s="69" t="s">
        <v>4</v>
      </c>
      <c r="G1428" s="9">
        <v>40558</v>
      </c>
      <c r="H1428" s="22">
        <v>535.45000000000073</v>
      </c>
      <c r="I1428" s="17">
        <v>0</v>
      </c>
      <c r="J1428" s="17">
        <v>0</v>
      </c>
      <c r="K1428" s="17">
        <f t="shared" si="255"/>
        <v>535.45000000000073</v>
      </c>
      <c r="L1428" s="23">
        <f t="shared" si="249"/>
        <v>26.772500000000036</v>
      </c>
      <c r="M1428" s="23">
        <v>5</v>
      </c>
      <c r="N1428" s="18">
        <f t="shared" si="256"/>
        <v>10.219178082191782</v>
      </c>
      <c r="O1428" s="23">
        <v>5086.7749999999996</v>
      </c>
      <c r="P1428" s="18">
        <f t="shared" si="257"/>
        <v>10.72054794520548</v>
      </c>
      <c r="Q1428" s="18">
        <v>0</v>
      </c>
      <c r="R1428" s="18">
        <f t="shared" si="254"/>
        <v>5086.7749999999996</v>
      </c>
      <c r="S1428" s="18">
        <f t="shared" si="253"/>
        <v>26.772500000000036</v>
      </c>
    </row>
    <row r="1429" spans="1:19" ht="18.75" customHeight="1" x14ac:dyDescent="0.25">
      <c r="A1429" s="14">
        <f t="shared" si="258"/>
        <v>1423</v>
      </c>
      <c r="B1429" s="21" t="s">
        <v>1303</v>
      </c>
      <c r="C1429" s="15" t="s">
        <v>3</v>
      </c>
      <c r="D1429" s="21" t="s">
        <v>1200</v>
      </c>
      <c r="E1429" s="21"/>
      <c r="F1429" s="69" t="s">
        <v>4</v>
      </c>
      <c r="G1429" s="9">
        <v>40558</v>
      </c>
      <c r="H1429" s="22">
        <v>1806.5500000000029</v>
      </c>
      <c r="I1429" s="17">
        <v>0</v>
      </c>
      <c r="J1429" s="17">
        <v>0</v>
      </c>
      <c r="K1429" s="17">
        <f t="shared" si="255"/>
        <v>1806.5500000000029</v>
      </c>
      <c r="L1429" s="23">
        <f t="shared" si="249"/>
        <v>90.327500000000157</v>
      </c>
      <c r="M1429" s="23">
        <v>5</v>
      </c>
      <c r="N1429" s="18">
        <f t="shared" si="256"/>
        <v>10.219178082191782</v>
      </c>
      <c r="O1429" s="23">
        <v>17162.224999999999</v>
      </c>
      <c r="P1429" s="18">
        <f t="shared" si="257"/>
        <v>10.72054794520548</v>
      </c>
      <c r="Q1429" s="18">
        <v>0</v>
      </c>
      <c r="R1429" s="18">
        <f t="shared" si="254"/>
        <v>17162.224999999999</v>
      </c>
      <c r="S1429" s="18">
        <f t="shared" si="253"/>
        <v>90.327500000000157</v>
      </c>
    </row>
    <row r="1430" spans="1:19" ht="18.75" customHeight="1" x14ac:dyDescent="0.25">
      <c r="A1430" s="14">
        <f t="shared" si="258"/>
        <v>1424</v>
      </c>
      <c r="B1430" s="21" t="s">
        <v>1301</v>
      </c>
      <c r="C1430" s="15" t="s">
        <v>3</v>
      </c>
      <c r="D1430" s="21" t="s">
        <v>1200</v>
      </c>
      <c r="E1430" s="21"/>
      <c r="F1430" s="69" t="s">
        <v>4</v>
      </c>
      <c r="G1430" s="9">
        <v>40527</v>
      </c>
      <c r="H1430" s="22">
        <v>198.625</v>
      </c>
      <c r="I1430" s="17">
        <v>0</v>
      </c>
      <c r="J1430" s="17">
        <v>0</v>
      </c>
      <c r="K1430" s="17">
        <f t="shared" si="255"/>
        <v>198.625</v>
      </c>
      <c r="L1430" s="23">
        <f t="shared" si="249"/>
        <v>9.9312500000000004</v>
      </c>
      <c r="M1430" s="23">
        <v>5</v>
      </c>
      <c r="N1430" s="18">
        <f t="shared" si="256"/>
        <v>10.304109589041095</v>
      </c>
      <c r="O1430" s="23">
        <v>1886.9375</v>
      </c>
      <c r="P1430" s="18">
        <f t="shared" si="257"/>
        <v>10.805479452054794</v>
      </c>
      <c r="Q1430" s="18">
        <v>0</v>
      </c>
      <c r="R1430" s="18">
        <f t="shared" si="254"/>
        <v>1886.9375</v>
      </c>
      <c r="S1430" s="18">
        <f t="shared" si="253"/>
        <v>9.9312500000000004</v>
      </c>
    </row>
    <row r="1431" spans="1:19" ht="18.75" customHeight="1" x14ac:dyDescent="0.25">
      <c r="A1431" s="14">
        <f t="shared" si="258"/>
        <v>1425</v>
      </c>
      <c r="B1431" s="21" t="s">
        <v>1207</v>
      </c>
      <c r="C1431" s="15" t="s">
        <v>3</v>
      </c>
      <c r="D1431" s="21" t="s">
        <v>1200</v>
      </c>
      <c r="E1431" s="21"/>
      <c r="F1431" s="69" t="s">
        <v>4</v>
      </c>
      <c r="G1431" s="9">
        <v>40527</v>
      </c>
      <c r="H1431" s="22">
        <v>41.351999999999975</v>
      </c>
      <c r="I1431" s="17">
        <v>0</v>
      </c>
      <c r="J1431" s="17">
        <v>0</v>
      </c>
      <c r="K1431" s="17">
        <f t="shared" si="255"/>
        <v>41.351999999999975</v>
      </c>
      <c r="L1431" s="23">
        <f t="shared" ref="L1431:L1494" si="259">H1431*0.05</f>
        <v>2.0675999999999988</v>
      </c>
      <c r="M1431" s="23">
        <v>5</v>
      </c>
      <c r="N1431" s="18">
        <f t="shared" si="256"/>
        <v>10.304109589041095</v>
      </c>
      <c r="O1431" s="23">
        <v>392.84399999999999</v>
      </c>
      <c r="P1431" s="18">
        <f t="shared" si="257"/>
        <v>10.805479452054794</v>
      </c>
      <c r="Q1431" s="18">
        <v>0</v>
      </c>
      <c r="R1431" s="18">
        <f t="shared" si="254"/>
        <v>392.84399999999999</v>
      </c>
      <c r="S1431" s="18">
        <f t="shared" si="253"/>
        <v>2.0675999999999988</v>
      </c>
    </row>
    <row r="1432" spans="1:19" ht="18.75" customHeight="1" x14ac:dyDescent="0.25">
      <c r="A1432" s="14">
        <f t="shared" si="258"/>
        <v>1426</v>
      </c>
      <c r="B1432" s="21" t="s">
        <v>1287</v>
      </c>
      <c r="C1432" s="15" t="s">
        <v>3</v>
      </c>
      <c r="D1432" s="21" t="s">
        <v>1200</v>
      </c>
      <c r="E1432" s="21"/>
      <c r="F1432" s="69" t="s">
        <v>4</v>
      </c>
      <c r="G1432" s="9">
        <v>40527</v>
      </c>
      <c r="H1432" s="22">
        <v>33.047500000000014</v>
      </c>
      <c r="I1432" s="17">
        <v>0</v>
      </c>
      <c r="J1432" s="17">
        <v>0</v>
      </c>
      <c r="K1432" s="17">
        <f t="shared" si="255"/>
        <v>33.047500000000014</v>
      </c>
      <c r="L1432" s="23">
        <f t="shared" si="259"/>
        <v>1.6523750000000008</v>
      </c>
      <c r="M1432" s="23">
        <v>5</v>
      </c>
      <c r="N1432" s="18">
        <f t="shared" si="256"/>
        <v>10.304109589041095</v>
      </c>
      <c r="O1432" s="23">
        <v>313.95125000000002</v>
      </c>
      <c r="P1432" s="18">
        <f t="shared" si="257"/>
        <v>10.805479452054794</v>
      </c>
      <c r="Q1432" s="18">
        <v>0</v>
      </c>
      <c r="R1432" s="18">
        <f t="shared" si="254"/>
        <v>313.95125000000002</v>
      </c>
      <c r="S1432" s="18">
        <f t="shared" si="253"/>
        <v>1.6523750000000008</v>
      </c>
    </row>
    <row r="1433" spans="1:19" ht="18.75" customHeight="1" x14ac:dyDescent="0.25">
      <c r="A1433" s="14">
        <f t="shared" si="258"/>
        <v>1427</v>
      </c>
      <c r="B1433" s="21" t="s">
        <v>1209</v>
      </c>
      <c r="C1433" s="15" t="s">
        <v>3</v>
      </c>
      <c r="D1433" s="21" t="s">
        <v>1200</v>
      </c>
      <c r="E1433" s="21"/>
      <c r="F1433" s="69" t="s">
        <v>4</v>
      </c>
      <c r="G1433" s="9">
        <v>40527</v>
      </c>
      <c r="H1433" s="22">
        <v>91.495499999999993</v>
      </c>
      <c r="I1433" s="17">
        <v>0</v>
      </c>
      <c r="J1433" s="17">
        <v>0</v>
      </c>
      <c r="K1433" s="17">
        <f t="shared" si="255"/>
        <v>91.495499999999993</v>
      </c>
      <c r="L1433" s="23">
        <f t="shared" si="259"/>
        <v>4.5747749999999998</v>
      </c>
      <c r="M1433" s="23">
        <v>3</v>
      </c>
      <c r="N1433" s="18">
        <f t="shared" si="256"/>
        <v>10.304109589041095</v>
      </c>
      <c r="O1433" s="23">
        <v>869.20725000000004</v>
      </c>
      <c r="P1433" s="18">
        <f t="shared" si="257"/>
        <v>10.805479452054794</v>
      </c>
      <c r="Q1433" s="18">
        <v>0</v>
      </c>
      <c r="R1433" s="18">
        <f t="shared" si="254"/>
        <v>869.20725000000004</v>
      </c>
      <c r="S1433" s="18">
        <f t="shared" si="253"/>
        <v>4.5747749999999998</v>
      </c>
    </row>
    <row r="1434" spans="1:19" ht="18.75" customHeight="1" x14ac:dyDescent="0.25">
      <c r="A1434" s="14">
        <f t="shared" si="258"/>
        <v>1428</v>
      </c>
      <c r="B1434" s="21" t="s">
        <v>1304</v>
      </c>
      <c r="C1434" s="15" t="s">
        <v>3</v>
      </c>
      <c r="D1434" s="21" t="s">
        <v>1200</v>
      </c>
      <c r="E1434" s="21"/>
      <c r="F1434" s="69" t="s">
        <v>4</v>
      </c>
      <c r="G1434" s="9">
        <v>40504</v>
      </c>
      <c r="H1434" s="22">
        <v>25765.150000000023</v>
      </c>
      <c r="I1434" s="17">
        <v>0</v>
      </c>
      <c r="J1434" s="17">
        <v>0</v>
      </c>
      <c r="K1434" s="17">
        <f t="shared" si="255"/>
        <v>25765.150000000023</v>
      </c>
      <c r="L1434" s="23">
        <f t="shared" si="259"/>
        <v>1288.2575000000013</v>
      </c>
      <c r="M1434" s="23">
        <v>3</v>
      </c>
      <c r="N1434" s="18">
        <f t="shared" si="256"/>
        <v>10.367123287671232</v>
      </c>
      <c r="O1434" s="23">
        <v>244768.92499999999</v>
      </c>
      <c r="P1434" s="18">
        <f t="shared" si="257"/>
        <v>10.868493150684932</v>
      </c>
      <c r="Q1434" s="18">
        <v>0</v>
      </c>
      <c r="R1434" s="18">
        <f t="shared" si="254"/>
        <v>244768.92499999999</v>
      </c>
      <c r="S1434" s="18">
        <f t="shared" si="253"/>
        <v>1288.2575000000013</v>
      </c>
    </row>
    <row r="1435" spans="1:19" ht="18.75" customHeight="1" x14ac:dyDescent="0.25">
      <c r="A1435" s="14">
        <f t="shared" si="258"/>
        <v>1429</v>
      </c>
      <c r="B1435" s="21" t="s">
        <v>1305</v>
      </c>
      <c r="C1435" s="15" t="s">
        <v>3</v>
      </c>
      <c r="D1435" s="21" t="s">
        <v>1200</v>
      </c>
      <c r="E1435" s="21"/>
      <c r="F1435" s="69" t="s">
        <v>4</v>
      </c>
      <c r="G1435" s="9">
        <v>40497</v>
      </c>
      <c r="H1435" s="22">
        <v>182.99049999999988</v>
      </c>
      <c r="I1435" s="17">
        <v>0</v>
      </c>
      <c r="J1435" s="17">
        <v>0</v>
      </c>
      <c r="K1435" s="17">
        <f t="shared" si="255"/>
        <v>182.99049999999988</v>
      </c>
      <c r="L1435" s="23">
        <f t="shared" si="259"/>
        <v>9.1495249999999952</v>
      </c>
      <c r="M1435" s="23">
        <v>3</v>
      </c>
      <c r="N1435" s="18">
        <f t="shared" si="256"/>
        <v>10.386301369863014</v>
      </c>
      <c r="O1435" s="23">
        <v>1738.40975</v>
      </c>
      <c r="P1435" s="18">
        <f t="shared" si="257"/>
        <v>10.887671232876713</v>
      </c>
      <c r="Q1435" s="18">
        <v>0</v>
      </c>
      <c r="R1435" s="18">
        <f t="shared" si="254"/>
        <v>1738.40975</v>
      </c>
      <c r="S1435" s="18">
        <f t="shared" si="253"/>
        <v>9.1495249999999952</v>
      </c>
    </row>
    <row r="1436" spans="1:19" ht="18.75" customHeight="1" x14ac:dyDescent="0.25">
      <c r="A1436" s="14">
        <f t="shared" si="258"/>
        <v>1430</v>
      </c>
      <c r="B1436" s="21" t="s">
        <v>1306</v>
      </c>
      <c r="C1436" s="15" t="s">
        <v>3</v>
      </c>
      <c r="D1436" s="21" t="s">
        <v>1200</v>
      </c>
      <c r="E1436" s="21"/>
      <c r="F1436" s="69" t="s">
        <v>4</v>
      </c>
      <c r="G1436" s="9">
        <v>40466</v>
      </c>
      <c r="H1436" s="22">
        <v>301.71950000000015</v>
      </c>
      <c r="I1436" s="17">
        <v>0</v>
      </c>
      <c r="J1436" s="17">
        <v>0</v>
      </c>
      <c r="K1436" s="17">
        <f t="shared" si="255"/>
        <v>301.71950000000015</v>
      </c>
      <c r="L1436" s="23">
        <f t="shared" si="259"/>
        <v>15.085975000000008</v>
      </c>
      <c r="M1436" s="23">
        <v>5</v>
      </c>
      <c r="N1436" s="18">
        <f t="shared" si="256"/>
        <v>10.471232876712328</v>
      </c>
      <c r="O1436" s="23">
        <v>2866.3352500000001</v>
      </c>
      <c r="P1436" s="18">
        <f t="shared" si="257"/>
        <v>10.972602739726028</v>
      </c>
      <c r="Q1436" s="18">
        <v>0</v>
      </c>
      <c r="R1436" s="18">
        <f t="shared" si="254"/>
        <v>2866.3352500000001</v>
      </c>
      <c r="S1436" s="18">
        <f t="shared" si="253"/>
        <v>15.085975000000008</v>
      </c>
    </row>
    <row r="1437" spans="1:19" ht="18.75" customHeight="1" x14ac:dyDescent="0.25">
      <c r="A1437" s="14">
        <f t="shared" si="258"/>
        <v>1431</v>
      </c>
      <c r="B1437" s="21" t="s">
        <v>1295</v>
      </c>
      <c r="C1437" s="15" t="s">
        <v>3</v>
      </c>
      <c r="D1437" s="21" t="s">
        <v>1200</v>
      </c>
      <c r="E1437" s="21"/>
      <c r="F1437" s="69" t="s">
        <v>4</v>
      </c>
      <c r="G1437" s="9">
        <v>40466</v>
      </c>
      <c r="H1437" s="22">
        <v>93.347500000000082</v>
      </c>
      <c r="I1437" s="17">
        <v>0</v>
      </c>
      <c r="J1437" s="17">
        <v>0</v>
      </c>
      <c r="K1437" s="17">
        <f t="shared" si="255"/>
        <v>93.347500000000082</v>
      </c>
      <c r="L1437" s="23">
        <f t="shared" si="259"/>
        <v>4.6673750000000043</v>
      </c>
      <c r="M1437" s="23">
        <v>5</v>
      </c>
      <c r="N1437" s="18">
        <f t="shared" si="256"/>
        <v>10.471232876712328</v>
      </c>
      <c r="O1437" s="23">
        <v>886.80124999999998</v>
      </c>
      <c r="P1437" s="18">
        <f t="shared" si="257"/>
        <v>10.972602739726028</v>
      </c>
      <c r="Q1437" s="18">
        <v>0</v>
      </c>
      <c r="R1437" s="18">
        <f t="shared" si="254"/>
        <v>886.80124999999998</v>
      </c>
      <c r="S1437" s="18">
        <f t="shared" si="253"/>
        <v>4.6673750000000043</v>
      </c>
    </row>
    <row r="1438" spans="1:19" ht="18.75" customHeight="1" x14ac:dyDescent="0.25">
      <c r="A1438" s="14">
        <f t="shared" si="258"/>
        <v>1432</v>
      </c>
      <c r="B1438" s="21" t="s">
        <v>1287</v>
      </c>
      <c r="C1438" s="15" t="s">
        <v>3</v>
      </c>
      <c r="D1438" s="21" t="s">
        <v>1200</v>
      </c>
      <c r="E1438" s="21"/>
      <c r="F1438" s="69" t="s">
        <v>4</v>
      </c>
      <c r="G1438" s="9">
        <v>40466</v>
      </c>
      <c r="H1438" s="22">
        <v>51.301000000000045</v>
      </c>
      <c r="I1438" s="17">
        <v>0</v>
      </c>
      <c r="J1438" s="17">
        <v>0</v>
      </c>
      <c r="K1438" s="17">
        <f t="shared" si="255"/>
        <v>51.301000000000045</v>
      </c>
      <c r="L1438" s="23">
        <f t="shared" si="259"/>
        <v>2.5650500000000025</v>
      </c>
      <c r="M1438" s="23">
        <v>5</v>
      </c>
      <c r="N1438" s="18">
        <f t="shared" si="256"/>
        <v>10.471232876712328</v>
      </c>
      <c r="O1438" s="23">
        <v>487.35949999999997</v>
      </c>
      <c r="P1438" s="18">
        <f t="shared" si="257"/>
        <v>10.972602739726028</v>
      </c>
      <c r="Q1438" s="18">
        <v>0</v>
      </c>
      <c r="R1438" s="18">
        <f t="shared" si="254"/>
        <v>487.35949999999997</v>
      </c>
      <c r="S1438" s="18">
        <f t="shared" si="253"/>
        <v>2.5650500000000025</v>
      </c>
    </row>
    <row r="1439" spans="1:19" ht="18.75" customHeight="1" x14ac:dyDescent="0.25">
      <c r="A1439" s="14">
        <f t="shared" si="258"/>
        <v>1433</v>
      </c>
      <c r="B1439" s="21" t="s">
        <v>1307</v>
      </c>
      <c r="C1439" s="15" t="s">
        <v>3</v>
      </c>
      <c r="D1439" s="21" t="s">
        <v>1200</v>
      </c>
      <c r="E1439" s="21"/>
      <c r="F1439" s="69" t="s">
        <v>4</v>
      </c>
      <c r="G1439" s="9">
        <v>40405</v>
      </c>
      <c r="H1439" s="22">
        <v>139.71950000000015</v>
      </c>
      <c r="I1439" s="17">
        <v>0</v>
      </c>
      <c r="J1439" s="17">
        <v>0</v>
      </c>
      <c r="K1439" s="17">
        <f t="shared" si="255"/>
        <v>139.71950000000015</v>
      </c>
      <c r="L1439" s="23">
        <f t="shared" si="259"/>
        <v>6.9859750000000078</v>
      </c>
      <c r="M1439" s="23">
        <v>5</v>
      </c>
      <c r="N1439" s="18">
        <f t="shared" si="256"/>
        <v>10.638356164383561</v>
      </c>
      <c r="O1439" s="23">
        <v>1327.3352499999999</v>
      </c>
      <c r="P1439" s="18">
        <f t="shared" si="257"/>
        <v>11.139726027397261</v>
      </c>
      <c r="Q1439" s="18">
        <v>0</v>
      </c>
      <c r="R1439" s="18">
        <f t="shared" si="254"/>
        <v>1327.3352499999999</v>
      </c>
      <c r="S1439" s="18">
        <f t="shared" si="253"/>
        <v>6.9859750000000078</v>
      </c>
    </row>
    <row r="1440" spans="1:19" ht="18.75" customHeight="1" x14ac:dyDescent="0.25">
      <c r="A1440" s="14">
        <f t="shared" si="258"/>
        <v>1434</v>
      </c>
      <c r="B1440" s="21" t="s">
        <v>1292</v>
      </c>
      <c r="C1440" s="15" t="s">
        <v>3</v>
      </c>
      <c r="D1440" s="21" t="s">
        <v>1200</v>
      </c>
      <c r="E1440" s="21"/>
      <c r="F1440" s="69" t="s">
        <v>4</v>
      </c>
      <c r="G1440" s="9">
        <v>40405</v>
      </c>
      <c r="H1440" s="22">
        <v>106.25</v>
      </c>
      <c r="I1440" s="17">
        <v>0</v>
      </c>
      <c r="J1440" s="17">
        <v>0</v>
      </c>
      <c r="K1440" s="17">
        <f t="shared" si="255"/>
        <v>106.25</v>
      </c>
      <c r="L1440" s="23">
        <f t="shared" si="259"/>
        <v>5.3125</v>
      </c>
      <c r="M1440" s="23">
        <v>3</v>
      </c>
      <c r="N1440" s="18">
        <f t="shared" si="256"/>
        <v>10.638356164383561</v>
      </c>
      <c r="O1440" s="23">
        <v>1009.375</v>
      </c>
      <c r="P1440" s="18">
        <f t="shared" si="257"/>
        <v>11.139726027397261</v>
      </c>
      <c r="Q1440" s="18">
        <v>0</v>
      </c>
      <c r="R1440" s="18">
        <f t="shared" si="254"/>
        <v>1009.375</v>
      </c>
      <c r="S1440" s="18">
        <f t="shared" si="253"/>
        <v>5.3125</v>
      </c>
    </row>
    <row r="1441" spans="1:19" ht="18.75" customHeight="1" x14ac:dyDescent="0.25">
      <c r="A1441" s="14">
        <f t="shared" si="258"/>
        <v>1435</v>
      </c>
      <c r="B1441" s="21" t="s">
        <v>1308</v>
      </c>
      <c r="C1441" s="15" t="s">
        <v>3</v>
      </c>
      <c r="D1441" s="21" t="s">
        <v>1200</v>
      </c>
      <c r="E1441" s="21"/>
      <c r="F1441" s="69" t="s">
        <v>4</v>
      </c>
      <c r="G1441" s="9">
        <v>40374</v>
      </c>
      <c r="H1441" s="22">
        <v>405.08299999999963</v>
      </c>
      <c r="I1441" s="17">
        <v>0</v>
      </c>
      <c r="J1441" s="17">
        <v>0</v>
      </c>
      <c r="K1441" s="17">
        <f t="shared" si="255"/>
        <v>405.08299999999963</v>
      </c>
      <c r="L1441" s="23">
        <f t="shared" si="259"/>
        <v>20.254149999999981</v>
      </c>
      <c r="M1441" s="23">
        <v>5</v>
      </c>
      <c r="N1441" s="18">
        <f t="shared" si="256"/>
        <v>10.723287671232876</v>
      </c>
      <c r="O1441" s="23">
        <v>3848.2885000000001</v>
      </c>
      <c r="P1441" s="18">
        <f t="shared" si="257"/>
        <v>11.224657534246575</v>
      </c>
      <c r="Q1441" s="18">
        <v>0</v>
      </c>
      <c r="R1441" s="18">
        <f t="shared" si="254"/>
        <v>3848.2885000000001</v>
      </c>
      <c r="S1441" s="18">
        <f t="shared" si="253"/>
        <v>20.254149999999981</v>
      </c>
    </row>
    <row r="1442" spans="1:19" ht="18.75" customHeight="1" x14ac:dyDescent="0.25">
      <c r="A1442" s="14">
        <f t="shared" si="258"/>
        <v>1436</v>
      </c>
      <c r="B1442" s="21" t="s">
        <v>1287</v>
      </c>
      <c r="C1442" s="15" t="s">
        <v>3</v>
      </c>
      <c r="D1442" s="21" t="s">
        <v>1200</v>
      </c>
      <c r="E1442" s="21"/>
      <c r="F1442" s="69" t="s">
        <v>4</v>
      </c>
      <c r="G1442" s="9">
        <v>40354</v>
      </c>
      <c r="H1442" s="22">
        <v>52.700500000000034</v>
      </c>
      <c r="I1442" s="17">
        <v>0</v>
      </c>
      <c r="J1442" s="17">
        <v>0</v>
      </c>
      <c r="K1442" s="17">
        <f t="shared" si="255"/>
        <v>52.700500000000034</v>
      </c>
      <c r="L1442" s="23">
        <f t="shared" si="259"/>
        <v>2.6350250000000019</v>
      </c>
      <c r="M1442" s="23">
        <v>5</v>
      </c>
      <c r="N1442" s="18">
        <f t="shared" si="256"/>
        <v>10.778082191780822</v>
      </c>
      <c r="O1442" s="23">
        <v>500.65474999999998</v>
      </c>
      <c r="P1442" s="18">
        <f t="shared" si="257"/>
        <v>11.27945205479452</v>
      </c>
      <c r="Q1442" s="18">
        <v>0</v>
      </c>
      <c r="R1442" s="18">
        <f t="shared" si="254"/>
        <v>500.65474999999998</v>
      </c>
      <c r="S1442" s="18">
        <f t="shared" si="253"/>
        <v>2.6350250000000019</v>
      </c>
    </row>
    <row r="1443" spans="1:19" ht="18.75" customHeight="1" x14ac:dyDescent="0.25">
      <c r="A1443" s="14">
        <f t="shared" si="258"/>
        <v>1437</v>
      </c>
      <c r="B1443" s="21" t="s">
        <v>1307</v>
      </c>
      <c r="C1443" s="15" t="s">
        <v>3</v>
      </c>
      <c r="D1443" s="21" t="s">
        <v>1200</v>
      </c>
      <c r="E1443" s="21"/>
      <c r="F1443" s="69" t="s">
        <v>4</v>
      </c>
      <c r="G1443" s="9">
        <v>40344</v>
      </c>
      <c r="H1443" s="22">
        <v>72.741500000000087</v>
      </c>
      <c r="I1443" s="17">
        <v>0</v>
      </c>
      <c r="J1443" s="17">
        <v>0</v>
      </c>
      <c r="K1443" s="17">
        <f t="shared" si="255"/>
        <v>72.741500000000087</v>
      </c>
      <c r="L1443" s="23">
        <f t="shared" si="259"/>
        <v>3.6370750000000047</v>
      </c>
      <c r="M1443" s="23">
        <v>5</v>
      </c>
      <c r="N1443" s="18">
        <f t="shared" si="256"/>
        <v>10.805479452054794</v>
      </c>
      <c r="O1443" s="23">
        <v>691.04424999999992</v>
      </c>
      <c r="P1443" s="18">
        <f t="shared" si="257"/>
        <v>11.306849315068494</v>
      </c>
      <c r="Q1443" s="18">
        <v>0</v>
      </c>
      <c r="R1443" s="18">
        <f t="shared" si="254"/>
        <v>691.04424999999992</v>
      </c>
      <c r="S1443" s="18">
        <f t="shared" si="253"/>
        <v>3.6370750000000047</v>
      </c>
    </row>
    <row r="1444" spans="1:19" ht="18.75" customHeight="1" x14ac:dyDescent="0.25">
      <c r="A1444" s="14">
        <f t="shared" si="258"/>
        <v>1438</v>
      </c>
      <c r="B1444" s="21" t="s">
        <v>1287</v>
      </c>
      <c r="C1444" s="15" t="s">
        <v>3</v>
      </c>
      <c r="D1444" s="21" t="s">
        <v>1200</v>
      </c>
      <c r="E1444" s="21"/>
      <c r="F1444" s="69" t="s">
        <v>4</v>
      </c>
      <c r="G1444" s="9">
        <v>40323</v>
      </c>
      <c r="H1444" s="22">
        <v>53.933999999999969</v>
      </c>
      <c r="I1444" s="17">
        <v>0</v>
      </c>
      <c r="J1444" s="17">
        <v>0</v>
      </c>
      <c r="K1444" s="17">
        <f t="shared" si="255"/>
        <v>53.933999999999969</v>
      </c>
      <c r="L1444" s="23">
        <f t="shared" si="259"/>
        <v>2.6966999999999985</v>
      </c>
      <c r="M1444" s="23">
        <v>5</v>
      </c>
      <c r="N1444" s="18">
        <f t="shared" si="256"/>
        <v>10.863013698630137</v>
      </c>
      <c r="O1444" s="23">
        <v>512.37300000000005</v>
      </c>
      <c r="P1444" s="18">
        <f t="shared" si="257"/>
        <v>11.364383561643836</v>
      </c>
      <c r="Q1444" s="18">
        <v>0</v>
      </c>
      <c r="R1444" s="18">
        <f t="shared" si="254"/>
        <v>512.37300000000005</v>
      </c>
      <c r="S1444" s="18">
        <f t="shared" si="253"/>
        <v>2.6966999999999985</v>
      </c>
    </row>
    <row r="1445" spans="1:19" ht="18.75" customHeight="1" x14ac:dyDescent="0.25">
      <c r="A1445" s="14">
        <f t="shared" si="258"/>
        <v>1439</v>
      </c>
      <c r="B1445" s="21" t="s">
        <v>1309</v>
      </c>
      <c r="C1445" s="15" t="s">
        <v>3</v>
      </c>
      <c r="D1445" s="21" t="s">
        <v>1200</v>
      </c>
      <c r="E1445" s="21"/>
      <c r="F1445" s="69" t="s">
        <v>4</v>
      </c>
      <c r="G1445" s="9">
        <v>40313</v>
      </c>
      <c r="H1445" s="22">
        <v>598.85000000000036</v>
      </c>
      <c r="I1445" s="17">
        <v>0</v>
      </c>
      <c r="J1445" s="17">
        <v>0</v>
      </c>
      <c r="K1445" s="17">
        <f t="shared" si="255"/>
        <v>598.85000000000036</v>
      </c>
      <c r="L1445" s="23">
        <f t="shared" si="259"/>
        <v>29.94250000000002</v>
      </c>
      <c r="M1445" s="23">
        <v>5</v>
      </c>
      <c r="N1445" s="18">
        <f t="shared" si="256"/>
        <v>10.890410958904109</v>
      </c>
      <c r="O1445" s="23">
        <v>5689.0749999999998</v>
      </c>
      <c r="P1445" s="18">
        <f t="shared" si="257"/>
        <v>11.391780821917807</v>
      </c>
      <c r="Q1445" s="18">
        <v>0</v>
      </c>
      <c r="R1445" s="18">
        <f t="shared" si="254"/>
        <v>5689.0749999999998</v>
      </c>
      <c r="S1445" s="18">
        <f t="shared" si="253"/>
        <v>29.94250000000002</v>
      </c>
    </row>
    <row r="1446" spans="1:19" ht="18.75" customHeight="1" x14ac:dyDescent="0.25">
      <c r="A1446" s="14">
        <f t="shared" si="258"/>
        <v>1440</v>
      </c>
      <c r="B1446" s="21" t="s">
        <v>1307</v>
      </c>
      <c r="C1446" s="15" t="s">
        <v>3</v>
      </c>
      <c r="D1446" s="21" t="s">
        <v>1200</v>
      </c>
      <c r="E1446" s="21"/>
      <c r="F1446" s="69" t="s">
        <v>4</v>
      </c>
      <c r="G1446" s="9">
        <v>40313</v>
      </c>
      <c r="H1446" s="22">
        <v>69.503999999999905</v>
      </c>
      <c r="I1446" s="17">
        <v>0</v>
      </c>
      <c r="J1446" s="17">
        <v>0</v>
      </c>
      <c r="K1446" s="17">
        <f t="shared" si="255"/>
        <v>69.503999999999905</v>
      </c>
      <c r="L1446" s="23">
        <f t="shared" si="259"/>
        <v>3.4751999999999956</v>
      </c>
      <c r="M1446" s="23">
        <v>5</v>
      </c>
      <c r="N1446" s="18">
        <f t="shared" si="256"/>
        <v>10.890410958904109</v>
      </c>
      <c r="O1446" s="23">
        <v>660.28800000000001</v>
      </c>
      <c r="P1446" s="18">
        <f t="shared" si="257"/>
        <v>11.391780821917807</v>
      </c>
      <c r="Q1446" s="18">
        <v>0</v>
      </c>
      <c r="R1446" s="18">
        <f t="shared" si="254"/>
        <v>660.28800000000001</v>
      </c>
      <c r="S1446" s="18">
        <f t="shared" si="253"/>
        <v>3.4751999999999956</v>
      </c>
    </row>
    <row r="1447" spans="1:19" ht="18.75" customHeight="1" x14ac:dyDescent="0.25">
      <c r="A1447" s="14">
        <f t="shared" si="258"/>
        <v>1441</v>
      </c>
      <c r="B1447" s="21" t="s">
        <v>1310</v>
      </c>
      <c r="C1447" s="15" t="s">
        <v>3</v>
      </c>
      <c r="D1447" s="21" t="s">
        <v>1200</v>
      </c>
      <c r="E1447" s="21"/>
      <c r="F1447" s="69" t="s">
        <v>4</v>
      </c>
      <c r="G1447" s="9">
        <v>40293</v>
      </c>
      <c r="H1447" s="22">
        <v>46.673999999999978</v>
      </c>
      <c r="I1447" s="17">
        <v>0</v>
      </c>
      <c r="J1447" s="17">
        <v>0</v>
      </c>
      <c r="K1447" s="17">
        <f t="shared" si="255"/>
        <v>46.673999999999978</v>
      </c>
      <c r="L1447" s="23">
        <f t="shared" si="259"/>
        <v>2.333699999999999</v>
      </c>
      <c r="M1447" s="23">
        <v>5</v>
      </c>
      <c r="N1447" s="18">
        <f t="shared" si="256"/>
        <v>10.945205479452055</v>
      </c>
      <c r="O1447" s="23">
        <v>443.40300000000002</v>
      </c>
      <c r="P1447" s="18">
        <f t="shared" si="257"/>
        <v>11.446575342465753</v>
      </c>
      <c r="Q1447" s="18">
        <v>0</v>
      </c>
      <c r="R1447" s="18">
        <f t="shared" si="254"/>
        <v>443.40300000000002</v>
      </c>
      <c r="S1447" s="18">
        <f t="shared" si="253"/>
        <v>2.333699999999999</v>
      </c>
    </row>
    <row r="1448" spans="1:19" ht="18.75" customHeight="1" x14ac:dyDescent="0.25">
      <c r="A1448" s="14">
        <f t="shared" si="258"/>
        <v>1442</v>
      </c>
      <c r="B1448" s="21" t="s">
        <v>1310</v>
      </c>
      <c r="C1448" s="15" t="s">
        <v>3</v>
      </c>
      <c r="D1448" s="21" t="s">
        <v>1200</v>
      </c>
      <c r="E1448" s="21"/>
      <c r="F1448" s="69" t="s">
        <v>4</v>
      </c>
      <c r="G1448" s="9">
        <v>40293</v>
      </c>
      <c r="H1448" s="22">
        <v>46.673999999999978</v>
      </c>
      <c r="I1448" s="17">
        <v>0</v>
      </c>
      <c r="J1448" s="17">
        <v>0</v>
      </c>
      <c r="K1448" s="17">
        <f t="shared" si="255"/>
        <v>46.673999999999978</v>
      </c>
      <c r="L1448" s="23">
        <f t="shared" si="259"/>
        <v>2.333699999999999</v>
      </c>
      <c r="M1448" s="23">
        <v>5</v>
      </c>
      <c r="N1448" s="18">
        <f t="shared" si="256"/>
        <v>10.945205479452055</v>
      </c>
      <c r="O1448" s="23">
        <v>443.40300000000002</v>
      </c>
      <c r="P1448" s="18">
        <f t="shared" si="257"/>
        <v>11.446575342465753</v>
      </c>
      <c r="Q1448" s="18">
        <v>0</v>
      </c>
      <c r="R1448" s="18">
        <f t="shared" si="254"/>
        <v>443.40300000000002</v>
      </c>
      <c r="S1448" s="18">
        <f t="shared" si="253"/>
        <v>2.333699999999999</v>
      </c>
    </row>
    <row r="1449" spans="1:19" ht="18.75" customHeight="1" x14ac:dyDescent="0.25">
      <c r="A1449" s="14">
        <f t="shared" si="258"/>
        <v>1443</v>
      </c>
      <c r="B1449" s="21" t="s">
        <v>1311</v>
      </c>
      <c r="C1449" s="15" t="s">
        <v>3</v>
      </c>
      <c r="D1449" s="21" t="s">
        <v>1200</v>
      </c>
      <c r="E1449" s="21"/>
      <c r="F1449" s="69" t="s">
        <v>4</v>
      </c>
      <c r="G1449" s="9">
        <v>40283</v>
      </c>
      <c r="H1449" s="22">
        <v>420</v>
      </c>
      <c r="I1449" s="17">
        <v>0</v>
      </c>
      <c r="J1449" s="17">
        <v>0</v>
      </c>
      <c r="K1449" s="17">
        <f t="shared" si="255"/>
        <v>420</v>
      </c>
      <c r="L1449" s="23">
        <f t="shared" si="259"/>
        <v>21</v>
      </c>
      <c r="M1449" s="23">
        <v>5</v>
      </c>
      <c r="N1449" s="18">
        <f t="shared" si="256"/>
        <v>10.972602739726028</v>
      </c>
      <c r="O1449" s="23">
        <v>3990</v>
      </c>
      <c r="P1449" s="18">
        <f t="shared" si="257"/>
        <v>11.473972602739726</v>
      </c>
      <c r="Q1449" s="18">
        <v>0</v>
      </c>
      <c r="R1449" s="18">
        <f t="shared" si="254"/>
        <v>3990</v>
      </c>
      <c r="S1449" s="18">
        <f t="shared" si="253"/>
        <v>21</v>
      </c>
    </row>
    <row r="1450" spans="1:19" ht="18.75" customHeight="1" x14ac:dyDescent="0.25">
      <c r="A1450" s="14">
        <f t="shared" si="258"/>
        <v>1444</v>
      </c>
      <c r="B1450" s="21" t="s">
        <v>1312</v>
      </c>
      <c r="C1450" s="15" t="s">
        <v>3</v>
      </c>
      <c r="D1450" s="21" t="s">
        <v>1200</v>
      </c>
      <c r="E1450" s="21"/>
      <c r="F1450" s="69" t="s">
        <v>4</v>
      </c>
      <c r="G1450" s="9">
        <v>40283</v>
      </c>
      <c r="H1450" s="22">
        <v>1879.5</v>
      </c>
      <c r="I1450" s="17">
        <v>0</v>
      </c>
      <c r="J1450" s="17">
        <v>0</v>
      </c>
      <c r="K1450" s="17">
        <f t="shared" si="255"/>
        <v>1879.5</v>
      </c>
      <c r="L1450" s="23">
        <f t="shared" si="259"/>
        <v>93.975000000000009</v>
      </c>
      <c r="M1450" s="23">
        <v>3</v>
      </c>
      <c r="N1450" s="18">
        <f t="shared" si="256"/>
        <v>10.972602739726028</v>
      </c>
      <c r="O1450" s="23">
        <v>17855.25</v>
      </c>
      <c r="P1450" s="18">
        <f t="shared" si="257"/>
        <v>11.473972602739726</v>
      </c>
      <c r="Q1450" s="18">
        <v>0</v>
      </c>
      <c r="R1450" s="18">
        <f t="shared" si="254"/>
        <v>17855.25</v>
      </c>
      <c r="S1450" s="18">
        <f t="shared" si="253"/>
        <v>93.975000000000009</v>
      </c>
    </row>
    <row r="1451" spans="1:19" ht="18.75" customHeight="1" x14ac:dyDescent="0.25">
      <c r="A1451" s="14">
        <f t="shared" si="258"/>
        <v>1445</v>
      </c>
      <c r="B1451" s="21" t="s">
        <v>1209</v>
      </c>
      <c r="C1451" s="15" t="s">
        <v>3</v>
      </c>
      <c r="D1451" s="21" t="s">
        <v>1200</v>
      </c>
      <c r="E1451" s="21"/>
      <c r="F1451" s="69" t="s">
        <v>4</v>
      </c>
      <c r="G1451" s="9">
        <v>40252</v>
      </c>
      <c r="H1451" s="22">
        <v>162.75</v>
      </c>
      <c r="I1451" s="17">
        <v>0</v>
      </c>
      <c r="J1451" s="17">
        <v>0</v>
      </c>
      <c r="K1451" s="17">
        <f t="shared" si="255"/>
        <v>162.75</v>
      </c>
      <c r="L1451" s="23">
        <f t="shared" si="259"/>
        <v>8.1375000000000011</v>
      </c>
      <c r="M1451" s="23">
        <v>3</v>
      </c>
      <c r="N1451" s="18">
        <f t="shared" si="256"/>
        <v>11.057534246575342</v>
      </c>
      <c r="O1451" s="23">
        <v>1546.125</v>
      </c>
      <c r="P1451" s="18">
        <f t="shared" si="257"/>
        <v>11.558904109589042</v>
      </c>
      <c r="Q1451" s="18">
        <v>0</v>
      </c>
      <c r="R1451" s="18">
        <f t="shared" si="254"/>
        <v>1546.125</v>
      </c>
      <c r="S1451" s="18">
        <f t="shared" si="253"/>
        <v>8.1375000000000011</v>
      </c>
    </row>
    <row r="1452" spans="1:19" ht="18.75" customHeight="1" x14ac:dyDescent="0.25">
      <c r="A1452" s="14">
        <f t="shared" si="258"/>
        <v>1446</v>
      </c>
      <c r="B1452" s="21" t="s">
        <v>1209</v>
      </c>
      <c r="C1452" s="15" t="s">
        <v>3</v>
      </c>
      <c r="D1452" s="21" t="s">
        <v>1200</v>
      </c>
      <c r="E1452" s="21"/>
      <c r="F1452" s="69" t="s">
        <v>4</v>
      </c>
      <c r="G1452" s="9">
        <v>40252</v>
      </c>
      <c r="H1452" s="22">
        <v>1181.25</v>
      </c>
      <c r="I1452" s="17">
        <v>0</v>
      </c>
      <c r="J1452" s="17">
        <v>0</v>
      </c>
      <c r="K1452" s="17">
        <f t="shared" si="255"/>
        <v>1181.25</v>
      </c>
      <c r="L1452" s="23">
        <f t="shared" si="259"/>
        <v>59.0625</v>
      </c>
      <c r="M1452" s="23">
        <v>3</v>
      </c>
      <c r="N1452" s="18">
        <f t="shared" si="256"/>
        <v>11.057534246575342</v>
      </c>
      <c r="O1452" s="23">
        <v>11221.875</v>
      </c>
      <c r="P1452" s="18">
        <f t="shared" si="257"/>
        <v>11.558904109589042</v>
      </c>
      <c r="Q1452" s="18">
        <v>0</v>
      </c>
      <c r="R1452" s="18">
        <f t="shared" si="254"/>
        <v>11221.875</v>
      </c>
      <c r="S1452" s="18">
        <f t="shared" si="253"/>
        <v>59.0625</v>
      </c>
    </row>
    <row r="1453" spans="1:19" ht="18.75" customHeight="1" x14ac:dyDescent="0.25">
      <c r="A1453" s="14">
        <f t="shared" si="258"/>
        <v>1447</v>
      </c>
      <c r="B1453" s="21" t="s">
        <v>1287</v>
      </c>
      <c r="C1453" s="15" t="s">
        <v>3</v>
      </c>
      <c r="D1453" s="21" t="s">
        <v>1200</v>
      </c>
      <c r="E1453" s="21"/>
      <c r="F1453" s="69" t="s">
        <v>4</v>
      </c>
      <c r="G1453" s="9">
        <v>40132</v>
      </c>
      <c r="H1453" s="22">
        <v>65.972999999999956</v>
      </c>
      <c r="I1453" s="17">
        <v>0</v>
      </c>
      <c r="J1453" s="17">
        <v>0</v>
      </c>
      <c r="K1453" s="17">
        <f t="shared" si="255"/>
        <v>65.972999999999956</v>
      </c>
      <c r="L1453" s="23">
        <f t="shared" si="259"/>
        <v>3.2986499999999981</v>
      </c>
      <c r="M1453" s="23">
        <v>5</v>
      </c>
      <c r="N1453" s="18">
        <f t="shared" si="256"/>
        <v>11.386301369863014</v>
      </c>
      <c r="O1453" s="23">
        <v>626.74350000000004</v>
      </c>
      <c r="P1453" s="18">
        <f t="shared" si="257"/>
        <v>11.887671232876713</v>
      </c>
      <c r="Q1453" s="18">
        <v>0</v>
      </c>
      <c r="R1453" s="18">
        <f t="shared" si="254"/>
        <v>626.74350000000004</v>
      </c>
      <c r="S1453" s="18">
        <f t="shared" si="253"/>
        <v>3.2986499999999981</v>
      </c>
    </row>
    <row r="1454" spans="1:19" ht="18.75" customHeight="1" x14ac:dyDescent="0.25">
      <c r="A1454" s="14">
        <f t="shared" si="258"/>
        <v>1448</v>
      </c>
      <c r="B1454" s="21" t="s">
        <v>1204</v>
      </c>
      <c r="C1454" s="15" t="s">
        <v>3</v>
      </c>
      <c r="D1454" s="21" t="s">
        <v>1200</v>
      </c>
      <c r="E1454" s="21"/>
      <c r="F1454" s="69" t="s">
        <v>4</v>
      </c>
      <c r="G1454" s="9">
        <v>40071</v>
      </c>
      <c r="H1454" s="22">
        <v>1287.5</v>
      </c>
      <c r="I1454" s="17">
        <v>0</v>
      </c>
      <c r="J1454" s="17">
        <v>0</v>
      </c>
      <c r="K1454" s="17">
        <f t="shared" si="255"/>
        <v>1287.5</v>
      </c>
      <c r="L1454" s="23">
        <f t="shared" si="259"/>
        <v>64.375</v>
      </c>
      <c r="M1454" s="23">
        <v>5</v>
      </c>
      <c r="N1454" s="18">
        <f t="shared" si="256"/>
        <v>11.553424657534247</v>
      </c>
      <c r="O1454" s="23">
        <v>12231.25</v>
      </c>
      <c r="P1454" s="18">
        <f t="shared" si="257"/>
        <v>12.054794520547945</v>
      </c>
      <c r="Q1454" s="18">
        <v>0</v>
      </c>
      <c r="R1454" s="18">
        <f t="shared" si="254"/>
        <v>12231.25</v>
      </c>
      <c r="S1454" s="18">
        <f t="shared" si="253"/>
        <v>64.375</v>
      </c>
    </row>
    <row r="1455" spans="1:19" ht="18.75" customHeight="1" x14ac:dyDescent="0.25">
      <c r="A1455" s="14">
        <f t="shared" si="258"/>
        <v>1449</v>
      </c>
      <c r="B1455" s="21" t="s">
        <v>1296</v>
      </c>
      <c r="C1455" s="15" t="s">
        <v>3</v>
      </c>
      <c r="D1455" s="21" t="s">
        <v>1200</v>
      </c>
      <c r="E1455" s="21"/>
      <c r="F1455" s="69" t="s">
        <v>4</v>
      </c>
      <c r="G1455" s="9">
        <v>40040</v>
      </c>
      <c r="H1455" s="22">
        <v>275</v>
      </c>
      <c r="I1455" s="17">
        <v>0</v>
      </c>
      <c r="J1455" s="17">
        <v>0</v>
      </c>
      <c r="K1455" s="17">
        <f t="shared" si="255"/>
        <v>275</v>
      </c>
      <c r="L1455" s="23">
        <f t="shared" si="259"/>
        <v>13.75</v>
      </c>
      <c r="M1455" s="23">
        <v>5</v>
      </c>
      <c r="N1455" s="18">
        <f t="shared" si="256"/>
        <v>11.638356164383561</v>
      </c>
      <c r="O1455" s="23">
        <v>2612.5</v>
      </c>
      <c r="P1455" s="18">
        <f t="shared" si="257"/>
        <v>12.139726027397261</v>
      </c>
      <c r="Q1455" s="18">
        <v>0</v>
      </c>
      <c r="R1455" s="18">
        <f t="shared" si="254"/>
        <v>2612.5</v>
      </c>
      <c r="S1455" s="18">
        <f t="shared" si="253"/>
        <v>13.75</v>
      </c>
    </row>
    <row r="1456" spans="1:19" ht="18.75" customHeight="1" x14ac:dyDescent="0.25">
      <c r="A1456" s="14">
        <f t="shared" si="258"/>
        <v>1450</v>
      </c>
      <c r="B1456" s="21" t="s">
        <v>1310</v>
      </c>
      <c r="C1456" s="15" t="s">
        <v>3</v>
      </c>
      <c r="D1456" s="21" t="s">
        <v>1200</v>
      </c>
      <c r="E1456" s="21"/>
      <c r="F1456" s="69" t="s">
        <v>4</v>
      </c>
      <c r="G1456" s="9">
        <v>40040</v>
      </c>
      <c r="H1456" s="22">
        <v>44.240999999999985</v>
      </c>
      <c r="I1456" s="17">
        <v>0</v>
      </c>
      <c r="J1456" s="17">
        <v>0</v>
      </c>
      <c r="K1456" s="17">
        <f t="shared" si="255"/>
        <v>44.240999999999985</v>
      </c>
      <c r="L1456" s="23">
        <f t="shared" si="259"/>
        <v>2.2120499999999992</v>
      </c>
      <c r="M1456" s="23">
        <v>5</v>
      </c>
      <c r="N1456" s="18">
        <f t="shared" si="256"/>
        <v>11.638356164383561</v>
      </c>
      <c r="O1456" s="23">
        <v>420.28950000000003</v>
      </c>
      <c r="P1456" s="18">
        <f t="shared" si="257"/>
        <v>12.139726027397261</v>
      </c>
      <c r="Q1456" s="18">
        <v>0</v>
      </c>
      <c r="R1456" s="18">
        <f t="shared" si="254"/>
        <v>420.28950000000003</v>
      </c>
      <c r="S1456" s="18">
        <f t="shared" si="253"/>
        <v>2.2120499999999992</v>
      </c>
    </row>
    <row r="1457" spans="1:19" ht="18.75" customHeight="1" x14ac:dyDescent="0.25">
      <c r="A1457" s="14">
        <f t="shared" si="258"/>
        <v>1451</v>
      </c>
      <c r="B1457" s="21" t="s">
        <v>1313</v>
      </c>
      <c r="C1457" s="15" t="s">
        <v>3</v>
      </c>
      <c r="D1457" s="21" t="s">
        <v>1200</v>
      </c>
      <c r="E1457" s="21"/>
      <c r="F1457" s="69" t="s">
        <v>4</v>
      </c>
      <c r="G1457" s="9">
        <v>40009</v>
      </c>
      <c r="H1457" s="22">
        <v>86.308500000000095</v>
      </c>
      <c r="I1457" s="17">
        <v>0</v>
      </c>
      <c r="J1457" s="17">
        <v>0</v>
      </c>
      <c r="K1457" s="17">
        <f t="shared" si="255"/>
        <v>86.308500000000095</v>
      </c>
      <c r="L1457" s="23">
        <f t="shared" si="259"/>
        <v>4.3154250000000047</v>
      </c>
      <c r="M1457" s="23">
        <v>5</v>
      </c>
      <c r="N1457" s="18">
        <f t="shared" si="256"/>
        <v>11.723287671232876</v>
      </c>
      <c r="O1457" s="23">
        <v>819.93074999999999</v>
      </c>
      <c r="P1457" s="18">
        <f t="shared" si="257"/>
        <v>12.224657534246575</v>
      </c>
      <c r="Q1457" s="18">
        <v>0</v>
      </c>
      <c r="R1457" s="18">
        <f t="shared" si="254"/>
        <v>819.93074999999999</v>
      </c>
      <c r="S1457" s="18">
        <f t="shared" si="253"/>
        <v>4.3154250000000047</v>
      </c>
    </row>
    <row r="1458" spans="1:19" ht="18.75" customHeight="1" x14ac:dyDescent="0.25">
      <c r="A1458" s="14">
        <f t="shared" si="258"/>
        <v>1452</v>
      </c>
      <c r="B1458" s="21" t="s">
        <v>1307</v>
      </c>
      <c r="C1458" s="15" t="s">
        <v>3</v>
      </c>
      <c r="D1458" s="21" t="s">
        <v>1200</v>
      </c>
      <c r="E1458" s="21"/>
      <c r="F1458" s="69" t="s">
        <v>4</v>
      </c>
      <c r="G1458" s="9">
        <v>40009</v>
      </c>
      <c r="H1458" s="22">
        <v>77.658000000000129</v>
      </c>
      <c r="I1458" s="17">
        <v>0</v>
      </c>
      <c r="J1458" s="17">
        <v>0</v>
      </c>
      <c r="K1458" s="17">
        <f t="shared" si="255"/>
        <v>77.658000000000129</v>
      </c>
      <c r="L1458" s="23">
        <f t="shared" si="259"/>
        <v>3.8829000000000065</v>
      </c>
      <c r="M1458" s="23">
        <v>5</v>
      </c>
      <c r="N1458" s="18">
        <f t="shared" si="256"/>
        <v>11.723287671232876</v>
      </c>
      <c r="O1458" s="23">
        <v>737.75099999999998</v>
      </c>
      <c r="P1458" s="18">
        <f t="shared" si="257"/>
        <v>12.224657534246575</v>
      </c>
      <c r="Q1458" s="18">
        <v>0</v>
      </c>
      <c r="R1458" s="18">
        <f t="shared" si="254"/>
        <v>737.75099999999998</v>
      </c>
      <c r="S1458" s="18">
        <f t="shared" si="253"/>
        <v>3.8829000000000065</v>
      </c>
    </row>
    <row r="1459" spans="1:19" ht="18.75" customHeight="1" x14ac:dyDescent="0.25">
      <c r="A1459" s="14">
        <f t="shared" si="258"/>
        <v>1453</v>
      </c>
      <c r="B1459" s="21" t="s">
        <v>1287</v>
      </c>
      <c r="C1459" s="15" t="s">
        <v>3</v>
      </c>
      <c r="D1459" s="21" t="s">
        <v>1200</v>
      </c>
      <c r="E1459" s="21"/>
      <c r="F1459" s="69" t="s">
        <v>4</v>
      </c>
      <c r="G1459" s="9">
        <v>39979</v>
      </c>
      <c r="H1459" s="22">
        <v>55.833000000000084</v>
      </c>
      <c r="I1459" s="17">
        <v>0</v>
      </c>
      <c r="J1459" s="17">
        <v>0</v>
      </c>
      <c r="K1459" s="17">
        <f t="shared" si="255"/>
        <v>55.833000000000084</v>
      </c>
      <c r="L1459" s="23">
        <f t="shared" si="259"/>
        <v>2.7916500000000042</v>
      </c>
      <c r="M1459" s="23">
        <v>5</v>
      </c>
      <c r="N1459" s="18">
        <f t="shared" si="256"/>
        <v>11.805479452054794</v>
      </c>
      <c r="O1459" s="23">
        <v>530.4135</v>
      </c>
      <c r="P1459" s="18">
        <f t="shared" si="257"/>
        <v>12.306849315068494</v>
      </c>
      <c r="Q1459" s="18">
        <v>0</v>
      </c>
      <c r="R1459" s="18">
        <f t="shared" si="254"/>
        <v>530.4135</v>
      </c>
      <c r="S1459" s="18">
        <f t="shared" si="253"/>
        <v>2.7916500000000042</v>
      </c>
    </row>
    <row r="1460" spans="1:19" ht="18.75" customHeight="1" x14ac:dyDescent="0.25">
      <c r="A1460" s="14">
        <f t="shared" si="258"/>
        <v>1454</v>
      </c>
      <c r="B1460" s="21" t="s">
        <v>1314</v>
      </c>
      <c r="C1460" s="15" t="s">
        <v>3</v>
      </c>
      <c r="D1460" s="21" t="s">
        <v>1200</v>
      </c>
      <c r="E1460" s="21"/>
      <c r="F1460" s="69" t="s">
        <v>4</v>
      </c>
      <c r="G1460" s="9">
        <v>39979</v>
      </c>
      <c r="H1460" s="22">
        <v>339.39649999999983</v>
      </c>
      <c r="I1460" s="17">
        <v>0</v>
      </c>
      <c r="J1460" s="17">
        <v>0</v>
      </c>
      <c r="K1460" s="17">
        <f t="shared" si="255"/>
        <v>339.39649999999983</v>
      </c>
      <c r="L1460" s="23">
        <f t="shared" si="259"/>
        <v>16.969824999999993</v>
      </c>
      <c r="M1460" s="23">
        <v>5</v>
      </c>
      <c r="N1460" s="18">
        <f t="shared" si="256"/>
        <v>11.805479452054794</v>
      </c>
      <c r="O1460" s="23">
        <v>3224.2667500000002</v>
      </c>
      <c r="P1460" s="18">
        <f t="shared" si="257"/>
        <v>12.306849315068494</v>
      </c>
      <c r="Q1460" s="18">
        <v>0</v>
      </c>
      <c r="R1460" s="18">
        <f t="shared" si="254"/>
        <v>3224.2667500000002</v>
      </c>
      <c r="S1460" s="18">
        <f t="shared" si="253"/>
        <v>16.969824999999993</v>
      </c>
    </row>
    <row r="1461" spans="1:19" ht="18.75" customHeight="1" x14ac:dyDescent="0.25">
      <c r="A1461" s="14">
        <f t="shared" si="258"/>
        <v>1455</v>
      </c>
      <c r="B1461" s="21" t="s">
        <v>1315</v>
      </c>
      <c r="C1461" s="15" t="s">
        <v>3</v>
      </c>
      <c r="D1461" s="21" t="s">
        <v>1200</v>
      </c>
      <c r="E1461" s="21"/>
      <c r="F1461" s="69" t="s">
        <v>4</v>
      </c>
      <c r="G1461" s="9">
        <v>39979</v>
      </c>
      <c r="H1461" s="22">
        <v>61</v>
      </c>
      <c r="I1461" s="17">
        <v>0</v>
      </c>
      <c r="J1461" s="17">
        <v>0</v>
      </c>
      <c r="K1461" s="17">
        <f t="shared" si="255"/>
        <v>61</v>
      </c>
      <c r="L1461" s="23">
        <f t="shared" si="259"/>
        <v>3.0500000000000003</v>
      </c>
      <c r="M1461" s="23">
        <v>5</v>
      </c>
      <c r="N1461" s="18">
        <f t="shared" si="256"/>
        <v>11.805479452054794</v>
      </c>
      <c r="O1461" s="23">
        <v>579.5</v>
      </c>
      <c r="P1461" s="18">
        <f t="shared" si="257"/>
        <v>12.306849315068494</v>
      </c>
      <c r="Q1461" s="18">
        <v>0</v>
      </c>
      <c r="R1461" s="18">
        <f t="shared" si="254"/>
        <v>579.5</v>
      </c>
      <c r="S1461" s="18">
        <f t="shared" si="253"/>
        <v>3.0500000000000003</v>
      </c>
    </row>
    <row r="1462" spans="1:19" ht="18.75" customHeight="1" x14ac:dyDescent="0.25">
      <c r="A1462" s="14">
        <f t="shared" si="258"/>
        <v>1456</v>
      </c>
      <c r="B1462" s="21" t="s">
        <v>1307</v>
      </c>
      <c r="C1462" s="15" t="s">
        <v>3</v>
      </c>
      <c r="D1462" s="21" t="s">
        <v>1200</v>
      </c>
      <c r="E1462" s="21"/>
      <c r="F1462" s="69" t="s">
        <v>4</v>
      </c>
      <c r="G1462" s="9">
        <v>39948</v>
      </c>
      <c r="H1462" s="22">
        <v>75.556499999999915</v>
      </c>
      <c r="I1462" s="17">
        <v>0</v>
      </c>
      <c r="J1462" s="17">
        <v>0</v>
      </c>
      <c r="K1462" s="17">
        <f t="shared" si="255"/>
        <v>75.556499999999915</v>
      </c>
      <c r="L1462" s="23">
        <f t="shared" si="259"/>
        <v>3.777824999999996</v>
      </c>
      <c r="M1462" s="23">
        <v>5</v>
      </c>
      <c r="N1462" s="18">
        <f t="shared" si="256"/>
        <v>11.890410958904109</v>
      </c>
      <c r="O1462" s="23">
        <v>717.7867500000001</v>
      </c>
      <c r="P1462" s="18">
        <f t="shared" si="257"/>
        <v>12.391780821917807</v>
      </c>
      <c r="Q1462" s="18">
        <v>0</v>
      </c>
      <c r="R1462" s="18">
        <f t="shared" si="254"/>
        <v>717.7867500000001</v>
      </c>
      <c r="S1462" s="18">
        <f t="shared" si="253"/>
        <v>3.777824999999996</v>
      </c>
    </row>
    <row r="1463" spans="1:19" ht="18.75" customHeight="1" x14ac:dyDescent="0.25">
      <c r="A1463" s="14">
        <f t="shared" si="258"/>
        <v>1457</v>
      </c>
      <c r="B1463" s="21" t="s">
        <v>1316</v>
      </c>
      <c r="C1463" s="15" t="s">
        <v>3</v>
      </c>
      <c r="D1463" s="21" t="s">
        <v>1200</v>
      </c>
      <c r="E1463" s="21"/>
      <c r="F1463" s="69" t="s">
        <v>4</v>
      </c>
      <c r="G1463" s="9">
        <v>39948</v>
      </c>
      <c r="H1463" s="22">
        <v>427.88749999999982</v>
      </c>
      <c r="I1463" s="17">
        <v>0</v>
      </c>
      <c r="J1463" s="17">
        <v>0</v>
      </c>
      <c r="K1463" s="17">
        <f t="shared" si="255"/>
        <v>427.88749999999982</v>
      </c>
      <c r="L1463" s="23">
        <f t="shared" si="259"/>
        <v>21.394374999999993</v>
      </c>
      <c r="M1463" s="23">
        <v>5</v>
      </c>
      <c r="N1463" s="18">
        <f t="shared" si="256"/>
        <v>11.890410958904109</v>
      </c>
      <c r="O1463" s="23">
        <v>4064.9312500000001</v>
      </c>
      <c r="P1463" s="18">
        <f t="shared" si="257"/>
        <v>12.391780821917807</v>
      </c>
      <c r="Q1463" s="18">
        <v>0</v>
      </c>
      <c r="R1463" s="18">
        <f t="shared" si="254"/>
        <v>4064.9312500000001</v>
      </c>
      <c r="S1463" s="18">
        <f t="shared" si="253"/>
        <v>21.394374999999993</v>
      </c>
    </row>
    <row r="1464" spans="1:19" ht="18.75" customHeight="1" x14ac:dyDescent="0.25">
      <c r="A1464" s="14">
        <f t="shared" si="258"/>
        <v>1458</v>
      </c>
      <c r="B1464" s="21" t="s">
        <v>1317</v>
      </c>
      <c r="C1464" s="15" t="s">
        <v>3</v>
      </c>
      <c r="D1464" s="21" t="s">
        <v>1200</v>
      </c>
      <c r="E1464" s="21"/>
      <c r="F1464" s="69" t="s">
        <v>4</v>
      </c>
      <c r="G1464" s="9">
        <v>39918</v>
      </c>
      <c r="H1464" s="22">
        <v>502.5</v>
      </c>
      <c r="I1464" s="17">
        <v>0</v>
      </c>
      <c r="J1464" s="17">
        <v>0</v>
      </c>
      <c r="K1464" s="17">
        <f t="shared" si="255"/>
        <v>502.5</v>
      </c>
      <c r="L1464" s="23">
        <f t="shared" si="259"/>
        <v>25.125</v>
      </c>
      <c r="M1464" s="23">
        <v>5</v>
      </c>
      <c r="N1464" s="18">
        <f t="shared" si="256"/>
        <v>11.972602739726028</v>
      </c>
      <c r="O1464" s="23">
        <v>4773.75</v>
      </c>
      <c r="P1464" s="18">
        <f t="shared" si="257"/>
        <v>12.473972602739726</v>
      </c>
      <c r="Q1464" s="18">
        <v>0</v>
      </c>
      <c r="R1464" s="18">
        <f t="shared" si="254"/>
        <v>4773.75</v>
      </c>
      <c r="S1464" s="18">
        <f t="shared" si="253"/>
        <v>25.125</v>
      </c>
    </row>
    <row r="1465" spans="1:19" ht="18.75" customHeight="1" x14ac:dyDescent="0.25">
      <c r="A1465" s="14">
        <f t="shared" si="258"/>
        <v>1459</v>
      </c>
      <c r="B1465" s="21" t="s">
        <v>1318</v>
      </c>
      <c r="C1465" s="15" t="s">
        <v>3</v>
      </c>
      <c r="D1465" s="21" t="s">
        <v>1200</v>
      </c>
      <c r="E1465" s="21"/>
      <c r="F1465" s="69" t="s">
        <v>4</v>
      </c>
      <c r="G1465" s="9">
        <v>39918</v>
      </c>
      <c r="H1465" s="22">
        <v>35.376999999999953</v>
      </c>
      <c r="I1465" s="17">
        <v>0</v>
      </c>
      <c r="J1465" s="17">
        <v>0</v>
      </c>
      <c r="K1465" s="17">
        <f t="shared" si="255"/>
        <v>35.376999999999953</v>
      </c>
      <c r="L1465" s="23">
        <f t="shared" si="259"/>
        <v>1.7688499999999978</v>
      </c>
      <c r="M1465" s="23">
        <v>5</v>
      </c>
      <c r="N1465" s="18">
        <f t="shared" si="256"/>
        <v>11.972602739726028</v>
      </c>
      <c r="O1465" s="23">
        <v>336.08150000000001</v>
      </c>
      <c r="P1465" s="18">
        <f t="shared" si="257"/>
        <v>12.473972602739726</v>
      </c>
      <c r="Q1465" s="18">
        <v>0</v>
      </c>
      <c r="R1465" s="18">
        <f t="shared" si="254"/>
        <v>336.08150000000001</v>
      </c>
      <c r="S1465" s="18">
        <f t="shared" si="253"/>
        <v>1.7688499999999978</v>
      </c>
    </row>
    <row r="1466" spans="1:19" ht="18.75" customHeight="1" x14ac:dyDescent="0.25">
      <c r="A1466" s="14">
        <f t="shared" si="258"/>
        <v>1460</v>
      </c>
      <c r="B1466" s="21" t="s">
        <v>1206</v>
      </c>
      <c r="C1466" s="15" t="s">
        <v>3</v>
      </c>
      <c r="D1466" s="21" t="s">
        <v>1200</v>
      </c>
      <c r="E1466" s="21"/>
      <c r="F1466" s="69" t="s">
        <v>4</v>
      </c>
      <c r="G1466" s="9">
        <v>39918</v>
      </c>
      <c r="H1466" s="22">
        <v>919.99950000000172</v>
      </c>
      <c r="I1466" s="17">
        <v>0</v>
      </c>
      <c r="J1466" s="17">
        <v>0</v>
      </c>
      <c r="K1466" s="17">
        <f t="shared" si="255"/>
        <v>919.99950000000172</v>
      </c>
      <c r="L1466" s="23">
        <f t="shared" si="259"/>
        <v>45.999975000000092</v>
      </c>
      <c r="M1466" s="23">
        <v>3</v>
      </c>
      <c r="N1466" s="18">
        <f t="shared" si="256"/>
        <v>11.972602739726028</v>
      </c>
      <c r="O1466" s="23">
        <v>8739.9952499999999</v>
      </c>
      <c r="P1466" s="18">
        <f t="shared" si="257"/>
        <v>12.473972602739726</v>
      </c>
      <c r="Q1466" s="18">
        <v>0</v>
      </c>
      <c r="R1466" s="18">
        <f t="shared" si="254"/>
        <v>8739.9952499999999</v>
      </c>
      <c r="S1466" s="18">
        <f t="shared" si="253"/>
        <v>45.999975000000092</v>
      </c>
    </row>
    <row r="1467" spans="1:19" ht="18.75" customHeight="1" x14ac:dyDescent="0.25">
      <c r="A1467" s="14">
        <f t="shared" si="258"/>
        <v>1461</v>
      </c>
      <c r="B1467" s="21" t="s">
        <v>1319</v>
      </c>
      <c r="C1467" s="15" t="s">
        <v>3</v>
      </c>
      <c r="D1467" s="21" t="s">
        <v>1200</v>
      </c>
      <c r="E1467" s="21"/>
      <c r="F1467" s="69" t="s">
        <v>4</v>
      </c>
      <c r="G1467" s="9">
        <v>39897</v>
      </c>
      <c r="H1467" s="22">
        <v>911.84999999999854</v>
      </c>
      <c r="I1467" s="17">
        <v>0</v>
      </c>
      <c r="J1467" s="17">
        <v>0</v>
      </c>
      <c r="K1467" s="17">
        <f t="shared" si="255"/>
        <v>911.84999999999854</v>
      </c>
      <c r="L1467" s="23">
        <f t="shared" si="259"/>
        <v>45.59249999999993</v>
      </c>
      <c r="M1467" s="23">
        <v>5</v>
      </c>
      <c r="N1467" s="18">
        <f t="shared" si="256"/>
        <v>12.03013698630137</v>
      </c>
      <c r="O1467" s="23">
        <v>8662.5750000000007</v>
      </c>
      <c r="P1467" s="18">
        <f t="shared" si="257"/>
        <v>12.531506849315068</v>
      </c>
      <c r="Q1467" s="18">
        <v>0</v>
      </c>
      <c r="R1467" s="18">
        <f t="shared" si="254"/>
        <v>8662.5750000000007</v>
      </c>
      <c r="S1467" s="18">
        <f t="shared" si="253"/>
        <v>45.59249999999993</v>
      </c>
    </row>
    <row r="1468" spans="1:19" ht="18.75" customHeight="1" x14ac:dyDescent="0.25">
      <c r="A1468" s="14">
        <f t="shared" si="258"/>
        <v>1462</v>
      </c>
      <c r="B1468" s="21" t="s">
        <v>1287</v>
      </c>
      <c r="C1468" s="15" t="s">
        <v>3</v>
      </c>
      <c r="D1468" s="21" t="s">
        <v>1200</v>
      </c>
      <c r="E1468" s="21"/>
      <c r="F1468" s="69" t="s">
        <v>4</v>
      </c>
      <c r="G1468" s="9">
        <v>39887</v>
      </c>
      <c r="H1468" s="22">
        <v>65.972999999999956</v>
      </c>
      <c r="I1468" s="17">
        <v>0</v>
      </c>
      <c r="J1468" s="17">
        <v>0</v>
      </c>
      <c r="K1468" s="17">
        <f t="shared" si="255"/>
        <v>65.972999999999956</v>
      </c>
      <c r="L1468" s="23">
        <f t="shared" si="259"/>
        <v>3.2986499999999981</v>
      </c>
      <c r="M1468" s="23">
        <v>5</v>
      </c>
      <c r="N1468" s="18">
        <f t="shared" si="256"/>
        <v>12.057534246575342</v>
      </c>
      <c r="O1468" s="23">
        <v>626.74350000000004</v>
      </c>
      <c r="P1468" s="18">
        <f t="shared" si="257"/>
        <v>12.558904109589042</v>
      </c>
      <c r="Q1468" s="18">
        <v>0</v>
      </c>
      <c r="R1468" s="18">
        <f t="shared" si="254"/>
        <v>626.74350000000004</v>
      </c>
      <c r="S1468" s="18">
        <f t="shared" si="253"/>
        <v>3.2986499999999981</v>
      </c>
    </row>
    <row r="1469" spans="1:19" ht="18.75" customHeight="1" x14ac:dyDescent="0.25">
      <c r="A1469" s="14">
        <f t="shared" si="258"/>
        <v>1463</v>
      </c>
      <c r="B1469" s="21" t="s">
        <v>1318</v>
      </c>
      <c r="C1469" s="15" t="s">
        <v>3</v>
      </c>
      <c r="D1469" s="21" t="s">
        <v>1200</v>
      </c>
      <c r="E1469" s="21"/>
      <c r="F1469" s="69" t="s">
        <v>4</v>
      </c>
      <c r="G1469" s="9">
        <v>39887</v>
      </c>
      <c r="H1469" s="22">
        <v>106.13049999999998</v>
      </c>
      <c r="I1469" s="17">
        <v>0</v>
      </c>
      <c r="J1469" s="17">
        <v>0</v>
      </c>
      <c r="K1469" s="17">
        <f t="shared" si="255"/>
        <v>106.13049999999998</v>
      </c>
      <c r="L1469" s="23">
        <f t="shared" si="259"/>
        <v>5.3065249999999997</v>
      </c>
      <c r="M1469" s="23">
        <v>5</v>
      </c>
      <c r="N1469" s="18">
        <f t="shared" si="256"/>
        <v>12.057534246575342</v>
      </c>
      <c r="O1469" s="23">
        <v>1008.2397500000001</v>
      </c>
      <c r="P1469" s="18">
        <f t="shared" si="257"/>
        <v>12.558904109589042</v>
      </c>
      <c r="Q1469" s="18">
        <v>0</v>
      </c>
      <c r="R1469" s="18">
        <f t="shared" si="254"/>
        <v>1008.2397500000001</v>
      </c>
      <c r="S1469" s="18">
        <f t="shared" si="253"/>
        <v>5.3065249999999997</v>
      </c>
    </row>
    <row r="1470" spans="1:19" ht="18.75" customHeight="1" x14ac:dyDescent="0.25">
      <c r="A1470" s="14">
        <f t="shared" si="258"/>
        <v>1464</v>
      </c>
      <c r="B1470" s="21" t="s">
        <v>1320</v>
      </c>
      <c r="C1470" s="15" t="s">
        <v>3</v>
      </c>
      <c r="D1470" s="21" t="s">
        <v>1200</v>
      </c>
      <c r="E1470" s="21"/>
      <c r="F1470" s="69" t="s">
        <v>4</v>
      </c>
      <c r="G1470" s="9">
        <v>39878</v>
      </c>
      <c r="H1470" s="22">
        <v>529.60000000000036</v>
      </c>
      <c r="I1470" s="17">
        <v>0</v>
      </c>
      <c r="J1470" s="17">
        <v>0</v>
      </c>
      <c r="K1470" s="17">
        <f t="shared" si="255"/>
        <v>529.60000000000036</v>
      </c>
      <c r="L1470" s="23">
        <f t="shared" si="259"/>
        <v>26.480000000000018</v>
      </c>
      <c r="M1470" s="23">
        <v>5</v>
      </c>
      <c r="N1470" s="18">
        <f t="shared" si="256"/>
        <v>12.082191780821917</v>
      </c>
      <c r="O1470" s="23">
        <v>5031.2</v>
      </c>
      <c r="P1470" s="18">
        <f t="shared" si="257"/>
        <v>12.583561643835617</v>
      </c>
      <c r="Q1470" s="18">
        <v>0</v>
      </c>
      <c r="R1470" s="18">
        <f t="shared" si="254"/>
        <v>5031.2</v>
      </c>
      <c r="S1470" s="18">
        <f t="shared" si="253"/>
        <v>26.480000000000018</v>
      </c>
    </row>
    <row r="1471" spans="1:19" ht="18.75" customHeight="1" x14ac:dyDescent="0.25">
      <c r="A1471" s="14">
        <f t="shared" si="258"/>
        <v>1465</v>
      </c>
      <c r="B1471" s="21" t="s">
        <v>1321</v>
      </c>
      <c r="C1471" s="15" t="s">
        <v>3</v>
      </c>
      <c r="D1471" s="21" t="s">
        <v>1200</v>
      </c>
      <c r="E1471" s="21"/>
      <c r="F1471" s="69" t="s">
        <v>4</v>
      </c>
      <c r="G1471" s="9">
        <v>39867</v>
      </c>
      <c r="H1471" s="22">
        <v>98.400000000000091</v>
      </c>
      <c r="I1471" s="17">
        <v>0</v>
      </c>
      <c r="J1471" s="17">
        <v>0</v>
      </c>
      <c r="K1471" s="17">
        <f t="shared" si="255"/>
        <v>98.400000000000091</v>
      </c>
      <c r="L1471" s="23">
        <f t="shared" si="259"/>
        <v>4.9200000000000053</v>
      </c>
      <c r="M1471" s="23">
        <v>5</v>
      </c>
      <c r="N1471" s="18">
        <f t="shared" si="256"/>
        <v>12.112328767123287</v>
      </c>
      <c r="O1471" s="23">
        <v>934.8</v>
      </c>
      <c r="P1471" s="18">
        <f t="shared" si="257"/>
        <v>12.613698630136986</v>
      </c>
      <c r="Q1471" s="18">
        <v>0</v>
      </c>
      <c r="R1471" s="18">
        <f t="shared" si="254"/>
        <v>934.8</v>
      </c>
      <c r="S1471" s="18">
        <f t="shared" ref="S1471:S1534" si="260">L1471</f>
        <v>4.9200000000000053</v>
      </c>
    </row>
    <row r="1472" spans="1:19" ht="18.75" customHeight="1" x14ac:dyDescent="0.25">
      <c r="A1472" s="14">
        <f t="shared" si="258"/>
        <v>1466</v>
      </c>
      <c r="B1472" s="21" t="s">
        <v>1322</v>
      </c>
      <c r="C1472" s="15" t="s">
        <v>3</v>
      </c>
      <c r="D1472" s="21" t="s">
        <v>1200</v>
      </c>
      <c r="E1472" s="21"/>
      <c r="F1472" s="69" t="s">
        <v>4</v>
      </c>
      <c r="G1472" s="9">
        <v>39828</v>
      </c>
      <c r="H1472" s="22">
        <v>132.1875</v>
      </c>
      <c r="I1472" s="17">
        <v>0</v>
      </c>
      <c r="J1472" s="17">
        <v>0</v>
      </c>
      <c r="K1472" s="17">
        <f t="shared" si="255"/>
        <v>132.1875</v>
      </c>
      <c r="L1472" s="23">
        <f t="shared" si="259"/>
        <v>6.609375</v>
      </c>
      <c r="M1472" s="23">
        <v>5</v>
      </c>
      <c r="N1472" s="18">
        <f t="shared" si="256"/>
        <v>12.219178082191782</v>
      </c>
      <c r="O1472" s="23">
        <v>1255.78125</v>
      </c>
      <c r="P1472" s="18">
        <f t="shared" si="257"/>
        <v>12.72054794520548</v>
      </c>
      <c r="Q1472" s="18">
        <v>0</v>
      </c>
      <c r="R1472" s="18">
        <f t="shared" si="254"/>
        <v>1255.78125</v>
      </c>
      <c r="S1472" s="18">
        <f t="shared" si="260"/>
        <v>6.609375</v>
      </c>
    </row>
    <row r="1473" spans="1:19" ht="18.75" customHeight="1" x14ac:dyDescent="0.25">
      <c r="A1473" s="14">
        <f t="shared" si="258"/>
        <v>1467</v>
      </c>
      <c r="B1473" s="21" t="s">
        <v>1323</v>
      </c>
      <c r="C1473" s="15" t="s">
        <v>3</v>
      </c>
      <c r="D1473" s="21" t="s">
        <v>1200</v>
      </c>
      <c r="E1473" s="21"/>
      <c r="F1473" s="69" t="s">
        <v>4</v>
      </c>
      <c r="G1473" s="9">
        <v>39797</v>
      </c>
      <c r="H1473" s="22">
        <v>1453.2109999999993</v>
      </c>
      <c r="I1473" s="17">
        <v>0</v>
      </c>
      <c r="J1473" s="17">
        <v>0</v>
      </c>
      <c r="K1473" s="17">
        <f t="shared" si="255"/>
        <v>1453.2109999999993</v>
      </c>
      <c r="L1473" s="23">
        <f t="shared" si="259"/>
        <v>72.660549999999972</v>
      </c>
      <c r="M1473" s="23">
        <v>6</v>
      </c>
      <c r="N1473" s="18">
        <f t="shared" si="256"/>
        <v>12.304109589041095</v>
      </c>
      <c r="O1473" s="23">
        <v>13805.504500000001</v>
      </c>
      <c r="P1473" s="18">
        <f t="shared" si="257"/>
        <v>12.805479452054794</v>
      </c>
      <c r="Q1473" s="18">
        <v>0</v>
      </c>
      <c r="R1473" s="18">
        <f t="shared" si="254"/>
        <v>13805.504500000001</v>
      </c>
      <c r="S1473" s="18">
        <f t="shared" si="260"/>
        <v>72.660549999999972</v>
      </c>
    </row>
    <row r="1474" spans="1:19" ht="18.75" customHeight="1" x14ac:dyDescent="0.25">
      <c r="A1474" s="14">
        <f t="shared" si="258"/>
        <v>1468</v>
      </c>
      <c r="B1474" s="21" t="s">
        <v>1318</v>
      </c>
      <c r="C1474" s="15" t="s">
        <v>3</v>
      </c>
      <c r="D1474" s="21" t="s">
        <v>1200</v>
      </c>
      <c r="E1474" s="21"/>
      <c r="F1474" s="69" t="s">
        <v>4</v>
      </c>
      <c r="G1474" s="9">
        <v>39797</v>
      </c>
      <c r="H1474" s="22">
        <v>70.753500000000031</v>
      </c>
      <c r="I1474" s="17">
        <v>0</v>
      </c>
      <c r="J1474" s="17">
        <v>0</v>
      </c>
      <c r="K1474" s="17">
        <f t="shared" si="255"/>
        <v>70.753500000000031</v>
      </c>
      <c r="L1474" s="23">
        <f t="shared" si="259"/>
        <v>3.5376750000000019</v>
      </c>
      <c r="M1474" s="23">
        <v>5</v>
      </c>
      <c r="N1474" s="18">
        <f t="shared" si="256"/>
        <v>12.304109589041095</v>
      </c>
      <c r="O1474" s="23">
        <v>672.15824999999995</v>
      </c>
      <c r="P1474" s="18">
        <f t="shared" si="257"/>
        <v>12.805479452054794</v>
      </c>
      <c r="Q1474" s="18">
        <v>0</v>
      </c>
      <c r="R1474" s="18">
        <f t="shared" si="254"/>
        <v>672.15824999999995</v>
      </c>
      <c r="S1474" s="18">
        <f t="shared" si="260"/>
        <v>3.5376750000000019</v>
      </c>
    </row>
    <row r="1475" spans="1:19" ht="18.75" customHeight="1" x14ac:dyDescent="0.25">
      <c r="A1475" s="14">
        <f t="shared" si="258"/>
        <v>1469</v>
      </c>
      <c r="B1475" s="21" t="s">
        <v>1324</v>
      </c>
      <c r="C1475" s="15" t="s">
        <v>3</v>
      </c>
      <c r="D1475" s="21" t="s">
        <v>1200</v>
      </c>
      <c r="E1475" s="21"/>
      <c r="F1475" s="69" t="s">
        <v>4</v>
      </c>
      <c r="G1475" s="9">
        <v>39767</v>
      </c>
      <c r="H1475" s="22">
        <v>91.648999999999887</v>
      </c>
      <c r="I1475" s="17">
        <v>0</v>
      </c>
      <c r="J1475" s="17">
        <v>0</v>
      </c>
      <c r="K1475" s="17">
        <f t="shared" si="255"/>
        <v>91.648999999999887</v>
      </c>
      <c r="L1475" s="23">
        <f t="shared" si="259"/>
        <v>4.5824499999999944</v>
      </c>
      <c r="M1475" s="23">
        <v>3</v>
      </c>
      <c r="N1475" s="18">
        <f t="shared" si="256"/>
        <v>12.386301369863014</v>
      </c>
      <c r="O1475" s="23">
        <v>870.66550000000007</v>
      </c>
      <c r="P1475" s="18">
        <f t="shared" si="257"/>
        <v>12.887671232876713</v>
      </c>
      <c r="Q1475" s="18">
        <v>0</v>
      </c>
      <c r="R1475" s="18">
        <f t="shared" si="254"/>
        <v>870.66550000000007</v>
      </c>
      <c r="S1475" s="18">
        <f t="shared" si="260"/>
        <v>4.5824499999999944</v>
      </c>
    </row>
    <row r="1476" spans="1:19" ht="18.75" customHeight="1" x14ac:dyDescent="0.25">
      <c r="A1476" s="14">
        <f t="shared" si="258"/>
        <v>1470</v>
      </c>
      <c r="B1476" s="21" t="s">
        <v>1325</v>
      </c>
      <c r="C1476" s="15" t="s">
        <v>3</v>
      </c>
      <c r="D1476" s="21" t="s">
        <v>1200</v>
      </c>
      <c r="E1476" s="21"/>
      <c r="F1476" s="69" t="s">
        <v>4</v>
      </c>
      <c r="G1476" s="9">
        <v>39767</v>
      </c>
      <c r="H1476" s="22">
        <v>1547.8535000000011</v>
      </c>
      <c r="I1476" s="17">
        <v>0</v>
      </c>
      <c r="J1476" s="17">
        <v>0</v>
      </c>
      <c r="K1476" s="17">
        <f t="shared" si="255"/>
        <v>1547.8535000000011</v>
      </c>
      <c r="L1476" s="23">
        <f t="shared" si="259"/>
        <v>77.392675000000054</v>
      </c>
      <c r="M1476" s="23">
        <v>3</v>
      </c>
      <c r="N1476" s="18">
        <f t="shared" si="256"/>
        <v>12.386301369863014</v>
      </c>
      <c r="O1476" s="23">
        <v>14704.608249999999</v>
      </c>
      <c r="P1476" s="18">
        <f t="shared" si="257"/>
        <v>12.887671232876713</v>
      </c>
      <c r="Q1476" s="18">
        <v>0</v>
      </c>
      <c r="R1476" s="18">
        <f t="shared" ref="R1476:R1539" si="261">Q1476+O1476</f>
        <v>14704.608249999999</v>
      </c>
      <c r="S1476" s="18">
        <f t="shared" si="260"/>
        <v>77.392675000000054</v>
      </c>
    </row>
    <row r="1477" spans="1:19" ht="18.75" customHeight="1" x14ac:dyDescent="0.25">
      <c r="A1477" s="14">
        <f t="shared" si="258"/>
        <v>1471</v>
      </c>
      <c r="B1477" s="21" t="s">
        <v>1282</v>
      </c>
      <c r="C1477" s="15" t="s">
        <v>3</v>
      </c>
      <c r="D1477" s="21" t="s">
        <v>1200</v>
      </c>
      <c r="E1477" s="21"/>
      <c r="F1477" s="69" t="s">
        <v>4</v>
      </c>
      <c r="G1477" s="9">
        <v>39767</v>
      </c>
      <c r="H1477" s="22">
        <v>1690</v>
      </c>
      <c r="I1477" s="17">
        <v>0</v>
      </c>
      <c r="J1477" s="17">
        <v>0</v>
      </c>
      <c r="K1477" s="17">
        <f t="shared" ref="K1477:K1540" si="262">H1477+I1477-J1477</f>
        <v>1690</v>
      </c>
      <c r="L1477" s="23">
        <f t="shared" si="259"/>
        <v>84.5</v>
      </c>
      <c r="M1477" s="23">
        <v>3</v>
      </c>
      <c r="N1477" s="18">
        <f t="shared" ref="N1477:N1540" si="263">IF(($N$2-G1477+1)/365&gt;0,($N$2-G1477+1)/365,0)</f>
        <v>12.386301369863014</v>
      </c>
      <c r="O1477" s="23">
        <v>16055</v>
      </c>
      <c r="P1477" s="18">
        <f t="shared" ref="P1477:P1540" si="264">($P$2-G1477+1)/365</f>
        <v>12.887671232876713</v>
      </c>
      <c r="Q1477" s="18">
        <v>0</v>
      </c>
      <c r="R1477" s="18">
        <f t="shared" si="261"/>
        <v>16055</v>
      </c>
      <c r="S1477" s="18">
        <f t="shared" si="260"/>
        <v>84.5</v>
      </c>
    </row>
    <row r="1478" spans="1:19" ht="18.75" customHeight="1" x14ac:dyDescent="0.25">
      <c r="A1478" s="14">
        <f t="shared" ref="A1478:A1541" si="265">+A1477+1</f>
        <v>1472</v>
      </c>
      <c r="B1478" s="21" t="s">
        <v>1326</v>
      </c>
      <c r="C1478" s="15" t="s">
        <v>3</v>
      </c>
      <c r="D1478" s="21" t="s">
        <v>1200</v>
      </c>
      <c r="E1478" s="21"/>
      <c r="F1478" s="69" t="s">
        <v>4</v>
      </c>
      <c r="G1478" s="9">
        <v>39736</v>
      </c>
      <c r="H1478" s="22">
        <v>5070</v>
      </c>
      <c r="I1478" s="17">
        <v>0</v>
      </c>
      <c r="J1478" s="17">
        <v>0</v>
      </c>
      <c r="K1478" s="17">
        <f t="shared" si="262"/>
        <v>5070</v>
      </c>
      <c r="L1478" s="23">
        <f t="shared" si="259"/>
        <v>253.5</v>
      </c>
      <c r="M1478" s="23">
        <v>3</v>
      </c>
      <c r="N1478" s="18">
        <f t="shared" si="263"/>
        <v>12.471232876712328</v>
      </c>
      <c r="O1478" s="23">
        <v>48165</v>
      </c>
      <c r="P1478" s="18">
        <f t="shared" si="264"/>
        <v>12.972602739726028</v>
      </c>
      <c r="Q1478" s="18">
        <v>0</v>
      </c>
      <c r="R1478" s="18">
        <f t="shared" si="261"/>
        <v>48165</v>
      </c>
      <c r="S1478" s="18">
        <f t="shared" si="260"/>
        <v>253.5</v>
      </c>
    </row>
    <row r="1479" spans="1:19" ht="18.75" customHeight="1" x14ac:dyDescent="0.25">
      <c r="A1479" s="14">
        <f t="shared" si="265"/>
        <v>1473</v>
      </c>
      <c r="B1479" s="21" t="s">
        <v>1327</v>
      </c>
      <c r="C1479" s="15" t="s">
        <v>3</v>
      </c>
      <c r="D1479" s="21" t="s">
        <v>1200</v>
      </c>
      <c r="E1479" s="21"/>
      <c r="F1479" s="69" t="s">
        <v>4</v>
      </c>
      <c r="G1479" s="9">
        <v>39522</v>
      </c>
      <c r="H1479" s="22">
        <v>450</v>
      </c>
      <c r="I1479" s="17">
        <v>0</v>
      </c>
      <c r="J1479" s="17">
        <v>0</v>
      </c>
      <c r="K1479" s="17">
        <f t="shared" si="262"/>
        <v>450</v>
      </c>
      <c r="L1479" s="23">
        <f t="shared" si="259"/>
        <v>22.5</v>
      </c>
      <c r="M1479" s="23">
        <v>3</v>
      </c>
      <c r="N1479" s="18">
        <f t="shared" si="263"/>
        <v>13.057534246575342</v>
      </c>
      <c r="O1479" s="23">
        <v>4275</v>
      </c>
      <c r="P1479" s="18">
        <f t="shared" si="264"/>
        <v>13.558904109589042</v>
      </c>
      <c r="Q1479" s="18">
        <v>0</v>
      </c>
      <c r="R1479" s="18">
        <f t="shared" si="261"/>
        <v>4275</v>
      </c>
      <c r="S1479" s="18">
        <f t="shared" si="260"/>
        <v>22.5</v>
      </c>
    </row>
    <row r="1480" spans="1:19" ht="18.75" customHeight="1" x14ac:dyDescent="0.25">
      <c r="A1480" s="14">
        <f t="shared" si="265"/>
        <v>1474</v>
      </c>
      <c r="B1480" s="21" t="s">
        <v>1296</v>
      </c>
      <c r="C1480" s="15" t="s">
        <v>3</v>
      </c>
      <c r="D1480" s="21" t="s">
        <v>1200</v>
      </c>
      <c r="E1480" s="21"/>
      <c r="F1480" s="69" t="s">
        <v>4</v>
      </c>
      <c r="G1480" s="9">
        <v>39522</v>
      </c>
      <c r="H1480" s="22">
        <v>550</v>
      </c>
      <c r="I1480" s="17">
        <v>0</v>
      </c>
      <c r="J1480" s="17">
        <v>0</v>
      </c>
      <c r="K1480" s="17">
        <f t="shared" si="262"/>
        <v>550</v>
      </c>
      <c r="L1480" s="23">
        <f t="shared" si="259"/>
        <v>27.5</v>
      </c>
      <c r="M1480" s="23">
        <v>5</v>
      </c>
      <c r="N1480" s="18">
        <f t="shared" si="263"/>
        <v>13.057534246575342</v>
      </c>
      <c r="O1480" s="23">
        <v>5225</v>
      </c>
      <c r="P1480" s="18">
        <f t="shared" si="264"/>
        <v>13.558904109589042</v>
      </c>
      <c r="Q1480" s="18">
        <v>0</v>
      </c>
      <c r="R1480" s="18">
        <f t="shared" si="261"/>
        <v>5225</v>
      </c>
      <c r="S1480" s="18">
        <f t="shared" si="260"/>
        <v>27.5</v>
      </c>
    </row>
    <row r="1481" spans="1:19" ht="18.75" customHeight="1" x14ac:dyDescent="0.25">
      <c r="A1481" s="14">
        <f t="shared" si="265"/>
        <v>1475</v>
      </c>
      <c r="B1481" s="21" t="s">
        <v>1328</v>
      </c>
      <c r="C1481" s="15" t="s">
        <v>3</v>
      </c>
      <c r="D1481" s="21" t="s">
        <v>1200</v>
      </c>
      <c r="E1481" s="21"/>
      <c r="F1481" s="69" t="s">
        <v>4</v>
      </c>
      <c r="G1481" s="9">
        <v>39494</v>
      </c>
      <c r="H1481" s="22">
        <v>405</v>
      </c>
      <c r="I1481" s="17">
        <v>0</v>
      </c>
      <c r="J1481" s="17">
        <v>0</v>
      </c>
      <c r="K1481" s="17">
        <f t="shared" si="262"/>
        <v>405</v>
      </c>
      <c r="L1481" s="23">
        <f t="shared" si="259"/>
        <v>20.25</v>
      </c>
      <c r="M1481" s="23">
        <v>5</v>
      </c>
      <c r="N1481" s="18">
        <f t="shared" si="263"/>
        <v>13.134246575342466</v>
      </c>
      <c r="O1481" s="23">
        <v>3847.5</v>
      </c>
      <c r="P1481" s="18">
        <f t="shared" si="264"/>
        <v>13.635616438356164</v>
      </c>
      <c r="Q1481" s="18">
        <v>0</v>
      </c>
      <c r="R1481" s="18">
        <f t="shared" si="261"/>
        <v>3847.5</v>
      </c>
      <c r="S1481" s="18">
        <f t="shared" si="260"/>
        <v>20.25</v>
      </c>
    </row>
    <row r="1482" spans="1:19" ht="18.75" customHeight="1" x14ac:dyDescent="0.25">
      <c r="A1482" s="14">
        <f t="shared" si="265"/>
        <v>1476</v>
      </c>
      <c r="B1482" s="21" t="s">
        <v>1329</v>
      </c>
      <c r="C1482" s="15" t="s">
        <v>3</v>
      </c>
      <c r="D1482" s="21" t="s">
        <v>1200</v>
      </c>
      <c r="E1482" s="21"/>
      <c r="F1482" s="69" t="s">
        <v>4</v>
      </c>
      <c r="G1482" s="9">
        <v>39462</v>
      </c>
      <c r="H1482" s="22">
        <v>1291.5</v>
      </c>
      <c r="I1482" s="17">
        <v>0</v>
      </c>
      <c r="J1482" s="17">
        <v>0</v>
      </c>
      <c r="K1482" s="17">
        <f t="shared" si="262"/>
        <v>1291.5</v>
      </c>
      <c r="L1482" s="23">
        <f t="shared" si="259"/>
        <v>64.575000000000003</v>
      </c>
      <c r="M1482" s="23">
        <v>3</v>
      </c>
      <c r="N1482" s="18">
        <f t="shared" si="263"/>
        <v>13.221917808219178</v>
      </c>
      <c r="O1482" s="23">
        <v>12269.25</v>
      </c>
      <c r="P1482" s="18">
        <f t="shared" si="264"/>
        <v>13.723287671232876</v>
      </c>
      <c r="Q1482" s="18">
        <v>0</v>
      </c>
      <c r="R1482" s="18">
        <f t="shared" si="261"/>
        <v>12269.25</v>
      </c>
      <c r="S1482" s="18">
        <f t="shared" si="260"/>
        <v>64.575000000000003</v>
      </c>
    </row>
    <row r="1483" spans="1:19" ht="18.75" customHeight="1" x14ac:dyDescent="0.25">
      <c r="A1483" s="14">
        <f t="shared" si="265"/>
        <v>1477</v>
      </c>
      <c r="B1483" s="21" t="s">
        <v>1310</v>
      </c>
      <c r="C1483" s="15" t="s">
        <v>3</v>
      </c>
      <c r="D1483" s="21" t="s">
        <v>1200</v>
      </c>
      <c r="E1483" s="21"/>
      <c r="F1483" s="69" t="s">
        <v>4</v>
      </c>
      <c r="G1483" s="9">
        <v>39448</v>
      </c>
      <c r="H1483" s="22">
        <v>700.67000000000007</v>
      </c>
      <c r="I1483" s="17">
        <v>0</v>
      </c>
      <c r="J1483" s="17">
        <v>0</v>
      </c>
      <c r="K1483" s="17">
        <f t="shared" si="262"/>
        <v>700.67000000000007</v>
      </c>
      <c r="L1483" s="23">
        <f t="shared" si="259"/>
        <v>35.033500000000004</v>
      </c>
      <c r="M1483" s="23">
        <v>5</v>
      </c>
      <c r="N1483" s="18">
        <f t="shared" si="263"/>
        <v>13.260273972602739</v>
      </c>
      <c r="O1483" s="23">
        <v>6656.3649999999998</v>
      </c>
      <c r="P1483" s="18">
        <f t="shared" si="264"/>
        <v>13.761643835616438</v>
      </c>
      <c r="Q1483" s="18">
        <v>0</v>
      </c>
      <c r="R1483" s="18">
        <f t="shared" si="261"/>
        <v>6656.3649999999998</v>
      </c>
      <c r="S1483" s="18">
        <f t="shared" si="260"/>
        <v>35.033500000000004</v>
      </c>
    </row>
    <row r="1484" spans="1:19" ht="18.75" customHeight="1" x14ac:dyDescent="0.25">
      <c r="A1484" s="14">
        <f t="shared" si="265"/>
        <v>1478</v>
      </c>
      <c r="B1484" s="21" t="s">
        <v>1322</v>
      </c>
      <c r="C1484" s="15" t="s">
        <v>3</v>
      </c>
      <c r="D1484" s="21" t="s">
        <v>1200</v>
      </c>
      <c r="E1484" s="21"/>
      <c r="F1484" s="69" t="s">
        <v>4</v>
      </c>
      <c r="G1484" s="9">
        <v>39448</v>
      </c>
      <c r="H1484" s="22">
        <v>736.21149999999943</v>
      </c>
      <c r="I1484" s="17">
        <v>0</v>
      </c>
      <c r="J1484" s="17">
        <v>0</v>
      </c>
      <c r="K1484" s="17">
        <f t="shared" si="262"/>
        <v>736.21149999999943</v>
      </c>
      <c r="L1484" s="23">
        <f t="shared" si="259"/>
        <v>36.810574999999972</v>
      </c>
      <c r="M1484" s="23">
        <v>5</v>
      </c>
      <c r="N1484" s="18">
        <f t="shared" si="263"/>
        <v>13.260273972602739</v>
      </c>
      <c r="O1484" s="23">
        <v>6994.0092500000001</v>
      </c>
      <c r="P1484" s="18">
        <f t="shared" si="264"/>
        <v>13.761643835616438</v>
      </c>
      <c r="Q1484" s="18">
        <v>0</v>
      </c>
      <c r="R1484" s="18">
        <f t="shared" si="261"/>
        <v>6994.0092500000001</v>
      </c>
      <c r="S1484" s="18">
        <f t="shared" si="260"/>
        <v>36.810574999999972</v>
      </c>
    </row>
    <row r="1485" spans="1:19" ht="18.75" customHeight="1" x14ac:dyDescent="0.25">
      <c r="A1485" s="14">
        <f t="shared" si="265"/>
        <v>1479</v>
      </c>
      <c r="B1485" s="21" t="s">
        <v>1287</v>
      </c>
      <c r="C1485" s="15" t="s">
        <v>3</v>
      </c>
      <c r="D1485" s="21" t="s">
        <v>1200</v>
      </c>
      <c r="E1485" s="21"/>
      <c r="F1485" s="69" t="s">
        <v>4</v>
      </c>
      <c r="G1485" s="9">
        <v>39448</v>
      </c>
      <c r="H1485" s="22">
        <v>311.74099999999999</v>
      </c>
      <c r="I1485" s="17">
        <v>0</v>
      </c>
      <c r="J1485" s="17">
        <v>0</v>
      </c>
      <c r="K1485" s="17">
        <f t="shared" si="262"/>
        <v>311.74099999999999</v>
      </c>
      <c r="L1485" s="23">
        <f t="shared" si="259"/>
        <v>15.58705</v>
      </c>
      <c r="M1485" s="23">
        <v>5</v>
      </c>
      <c r="N1485" s="18">
        <f t="shared" si="263"/>
        <v>13.260273972602739</v>
      </c>
      <c r="O1485" s="23">
        <v>2961.5394999999999</v>
      </c>
      <c r="P1485" s="18">
        <f t="shared" si="264"/>
        <v>13.761643835616438</v>
      </c>
      <c r="Q1485" s="18">
        <v>0</v>
      </c>
      <c r="R1485" s="18">
        <f t="shared" si="261"/>
        <v>2961.5394999999999</v>
      </c>
      <c r="S1485" s="18">
        <f t="shared" si="260"/>
        <v>15.58705</v>
      </c>
    </row>
    <row r="1486" spans="1:19" ht="18.75" customHeight="1" x14ac:dyDescent="0.25">
      <c r="A1486" s="14">
        <f t="shared" si="265"/>
        <v>1480</v>
      </c>
      <c r="B1486" s="21" t="s">
        <v>1330</v>
      </c>
      <c r="C1486" s="15" t="s">
        <v>3</v>
      </c>
      <c r="D1486" s="21" t="s">
        <v>1200</v>
      </c>
      <c r="E1486" s="21"/>
      <c r="F1486" s="69" t="s">
        <v>4</v>
      </c>
      <c r="G1486" s="9">
        <v>39448</v>
      </c>
      <c r="H1486" s="22">
        <v>745.25</v>
      </c>
      <c r="I1486" s="17">
        <v>0</v>
      </c>
      <c r="J1486" s="17">
        <v>0</v>
      </c>
      <c r="K1486" s="17">
        <f t="shared" si="262"/>
        <v>745.25</v>
      </c>
      <c r="L1486" s="23">
        <f t="shared" si="259"/>
        <v>37.262500000000003</v>
      </c>
      <c r="M1486" s="23">
        <v>5</v>
      </c>
      <c r="N1486" s="18">
        <f t="shared" si="263"/>
        <v>13.260273972602739</v>
      </c>
      <c r="O1486" s="23">
        <v>7079.875</v>
      </c>
      <c r="P1486" s="18">
        <f t="shared" si="264"/>
        <v>13.761643835616438</v>
      </c>
      <c r="Q1486" s="18">
        <v>0</v>
      </c>
      <c r="R1486" s="18">
        <f t="shared" si="261"/>
        <v>7079.875</v>
      </c>
      <c r="S1486" s="18">
        <f t="shared" si="260"/>
        <v>37.262500000000003</v>
      </c>
    </row>
    <row r="1487" spans="1:19" ht="18.75" customHeight="1" x14ac:dyDescent="0.25">
      <c r="A1487" s="14">
        <f t="shared" si="265"/>
        <v>1481</v>
      </c>
      <c r="B1487" s="21" t="s">
        <v>1331</v>
      </c>
      <c r="C1487" s="15" t="s">
        <v>3</v>
      </c>
      <c r="D1487" s="21" t="s">
        <v>1200</v>
      </c>
      <c r="E1487" s="21"/>
      <c r="F1487" s="69" t="s">
        <v>4</v>
      </c>
      <c r="G1487" s="9">
        <v>39431</v>
      </c>
      <c r="H1487" s="22">
        <v>813.75</v>
      </c>
      <c r="I1487" s="17">
        <v>0</v>
      </c>
      <c r="J1487" s="17">
        <v>0</v>
      </c>
      <c r="K1487" s="17">
        <f t="shared" si="262"/>
        <v>813.75</v>
      </c>
      <c r="L1487" s="23">
        <f t="shared" si="259"/>
        <v>40.6875</v>
      </c>
      <c r="M1487" s="23">
        <v>3</v>
      </c>
      <c r="N1487" s="18">
        <f t="shared" si="263"/>
        <v>13.306849315068494</v>
      </c>
      <c r="O1487" s="23">
        <v>7730.625</v>
      </c>
      <c r="P1487" s="18">
        <f t="shared" si="264"/>
        <v>13.808219178082192</v>
      </c>
      <c r="Q1487" s="18">
        <v>0</v>
      </c>
      <c r="R1487" s="18">
        <f t="shared" si="261"/>
        <v>7730.625</v>
      </c>
      <c r="S1487" s="18">
        <f t="shared" si="260"/>
        <v>40.6875</v>
      </c>
    </row>
    <row r="1488" spans="1:19" ht="18.75" customHeight="1" x14ac:dyDescent="0.25">
      <c r="A1488" s="14">
        <f t="shared" si="265"/>
        <v>1482</v>
      </c>
      <c r="B1488" s="21" t="s">
        <v>1329</v>
      </c>
      <c r="C1488" s="15" t="s">
        <v>3</v>
      </c>
      <c r="D1488" s="21" t="s">
        <v>1200</v>
      </c>
      <c r="E1488" s="21"/>
      <c r="F1488" s="69" t="s">
        <v>4</v>
      </c>
      <c r="G1488" s="9">
        <v>39431</v>
      </c>
      <c r="H1488" s="22">
        <v>1291.5</v>
      </c>
      <c r="I1488" s="17">
        <v>0</v>
      </c>
      <c r="J1488" s="17">
        <v>0</v>
      </c>
      <c r="K1488" s="17">
        <f t="shared" si="262"/>
        <v>1291.5</v>
      </c>
      <c r="L1488" s="23">
        <f t="shared" si="259"/>
        <v>64.575000000000003</v>
      </c>
      <c r="M1488" s="23">
        <v>3</v>
      </c>
      <c r="N1488" s="18">
        <f t="shared" si="263"/>
        <v>13.306849315068494</v>
      </c>
      <c r="O1488" s="23">
        <v>12269.25</v>
      </c>
      <c r="P1488" s="18">
        <f t="shared" si="264"/>
        <v>13.808219178082192</v>
      </c>
      <c r="Q1488" s="18">
        <v>0</v>
      </c>
      <c r="R1488" s="18">
        <f t="shared" si="261"/>
        <v>12269.25</v>
      </c>
      <c r="S1488" s="18">
        <f t="shared" si="260"/>
        <v>64.575000000000003</v>
      </c>
    </row>
    <row r="1489" spans="1:19" ht="18.75" customHeight="1" x14ac:dyDescent="0.25">
      <c r="A1489" s="14">
        <f t="shared" si="265"/>
        <v>1483</v>
      </c>
      <c r="B1489" s="21" t="s">
        <v>1209</v>
      </c>
      <c r="C1489" s="15" t="s">
        <v>3</v>
      </c>
      <c r="D1489" s="21" t="s">
        <v>1200</v>
      </c>
      <c r="E1489" s="21"/>
      <c r="F1489" s="69" t="s">
        <v>4</v>
      </c>
      <c r="G1489" s="9">
        <v>39370</v>
      </c>
      <c r="H1489" s="22">
        <v>298.46199999999953</v>
      </c>
      <c r="I1489" s="17">
        <v>0</v>
      </c>
      <c r="J1489" s="17">
        <v>0</v>
      </c>
      <c r="K1489" s="17">
        <f t="shared" si="262"/>
        <v>298.46199999999953</v>
      </c>
      <c r="L1489" s="23">
        <f t="shared" si="259"/>
        <v>14.923099999999977</v>
      </c>
      <c r="M1489" s="23">
        <v>3</v>
      </c>
      <c r="N1489" s="18">
        <f t="shared" si="263"/>
        <v>13.473972602739726</v>
      </c>
      <c r="O1489" s="23">
        <v>2835.3890000000001</v>
      </c>
      <c r="P1489" s="18">
        <f t="shared" si="264"/>
        <v>13.975342465753425</v>
      </c>
      <c r="Q1489" s="18">
        <v>0</v>
      </c>
      <c r="R1489" s="18">
        <f t="shared" si="261"/>
        <v>2835.3890000000001</v>
      </c>
      <c r="S1489" s="18">
        <f t="shared" si="260"/>
        <v>14.923099999999977</v>
      </c>
    </row>
    <row r="1490" spans="1:19" ht="18.75" customHeight="1" x14ac:dyDescent="0.25">
      <c r="A1490" s="14">
        <f t="shared" si="265"/>
        <v>1484</v>
      </c>
      <c r="B1490" s="21" t="s">
        <v>1329</v>
      </c>
      <c r="C1490" s="15" t="s">
        <v>3</v>
      </c>
      <c r="D1490" s="21" t="s">
        <v>1200</v>
      </c>
      <c r="E1490" s="21"/>
      <c r="F1490" s="69" t="s">
        <v>4</v>
      </c>
      <c r="G1490" s="9">
        <v>39370</v>
      </c>
      <c r="H1490" s="22">
        <v>6719.9940000000061</v>
      </c>
      <c r="I1490" s="17">
        <v>0</v>
      </c>
      <c r="J1490" s="17">
        <v>0</v>
      </c>
      <c r="K1490" s="17">
        <f t="shared" si="262"/>
        <v>6719.9940000000061</v>
      </c>
      <c r="L1490" s="23">
        <f t="shared" si="259"/>
        <v>335.9997000000003</v>
      </c>
      <c r="M1490" s="23">
        <v>3</v>
      </c>
      <c r="N1490" s="18">
        <f t="shared" si="263"/>
        <v>13.473972602739726</v>
      </c>
      <c r="O1490" s="23">
        <v>63839.942999999999</v>
      </c>
      <c r="P1490" s="18">
        <f t="shared" si="264"/>
        <v>13.975342465753425</v>
      </c>
      <c r="Q1490" s="18">
        <v>0</v>
      </c>
      <c r="R1490" s="18">
        <f t="shared" si="261"/>
        <v>63839.942999999999</v>
      </c>
      <c r="S1490" s="18">
        <f t="shared" si="260"/>
        <v>335.9997000000003</v>
      </c>
    </row>
    <row r="1491" spans="1:19" ht="18.75" customHeight="1" x14ac:dyDescent="0.25">
      <c r="A1491" s="14">
        <f t="shared" si="265"/>
        <v>1485</v>
      </c>
      <c r="B1491" s="21" t="s">
        <v>1332</v>
      </c>
      <c r="C1491" s="15" t="s">
        <v>3</v>
      </c>
      <c r="D1491" s="21" t="s">
        <v>1200</v>
      </c>
      <c r="E1491" s="21"/>
      <c r="F1491" s="69" t="s">
        <v>4</v>
      </c>
      <c r="G1491" s="9">
        <v>39370</v>
      </c>
      <c r="H1491" s="22">
        <v>7718.7440000000061</v>
      </c>
      <c r="I1491" s="17">
        <v>0</v>
      </c>
      <c r="J1491" s="17">
        <v>0</v>
      </c>
      <c r="K1491" s="17">
        <f t="shared" si="262"/>
        <v>7718.7440000000061</v>
      </c>
      <c r="L1491" s="23">
        <f t="shared" si="259"/>
        <v>385.9372000000003</v>
      </c>
      <c r="M1491" s="23">
        <v>6</v>
      </c>
      <c r="N1491" s="18">
        <f t="shared" si="263"/>
        <v>13.473972602739726</v>
      </c>
      <c r="O1491" s="23">
        <v>73328.067999999999</v>
      </c>
      <c r="P1491" s="18">
        <f t="shared" si="264"/>
        <v>13.975342465753425</v>
      </c>
      <c r="Q1491" s="18">
        <v>0</v>
      </c>
      <c r="R1491" s="18">
        <f t="shared" si="261"/>
        <v>73328.067999999999</v>
      </c>
      <c r="S1491" s="18">
        <f t="shared" si="260"/>
        <v>385.9372000000003</v>
      </c>
    </row>
    <row r="1492" spans="1:19" ht="18.75" customHeight="1" x14ac:dyDescent="0.25">
      <c r="A1492" s="14">
        <f t="shared" si="265"/>
        <v>1486</v>
      </c>
      <c r="B1492" s="21" t="s">
        <v>1209</v>
      </c>
      <c r="C1492" s="15" t="s">
        <v>3</v>
      </c>
      <c r="D1492" s="21" t="s">
        <v>1200</v>
      </c>
      <c r="E1492" s="21"/>
      <c r="F1492" s="69" t="s">
        <v>4</v>
      </c>
      <c r="G1492" s="9">
        <v>39290</v>
      </c>
      <c r="H1492" s="22">
        <v>2475</v>
      </c>
      <c r="I1492" s="17">
        <v>0</v>
      </c>
      <c r="J1492" s="17">
        <v>0</v>
      </c>
      <c r="K1492" s="17">
        <f t="shared" si="262"/>
        <v>2475</v>
      </c>
      <c r="L1492" s="23">
        <f t="shared" si="259"/>
        <v>123.75</v>
      </c>
      <c r="M1492" s="23">
        <v>3</v>
      </c>
      <c r="N1492" s="18">
        <f t="shared" si="263"/>
        <v>13.693150684931506</v>
      </c>
      <c r="O1492" s="23">
        <v>23512.5</v>
      </c>
      <c r="P1492" s="18">
        <f t="shared" si="264"/>
        <v>14.194520547945206</v>
      </c>
      <c r="Q1492" s="18">
        <v>0</v>
      </c>
      <c r="R1492" s="18">
        <f t="shared" si="261"/>
        <v>23512.5</v>
      </c>
      <c r="S1492" s="18">
        <f t="shared" si="260"/>
        <v>123.75</v>
      </c>
    </row>
    <row r="1493" spans="1:19" ht="18.75" customHeight="1" x14ac:dyDescent="0.25">
      <c r="A1493" s="14">
        <f t="shared" si="265"/>
        <v>1487</v>
      </c>
      <c r="B1493" s="21" t="s">
        <v>1209</v>
      </c>
      <c r="C1493" s="15" t="s">
        <v>3</v>
      </c>
      <c r="D1493" s="21" t="s">
        <v>1200</v>
      </c>
      <c r="E1493" s="21"/>
      <c r="F1493" s="69" t="s">
        <v>4</v>
      </c>
      <c r="G1493" s="9">
        <v>39248</v>
      </c>
      <c r="H1493" s="22">
        <v>735</v>
      </c>
      <c r="I1493" s="17">
        <v>0</v>
      </c>
      <c r="J1493" s="17">
        <v>0</v>
      </c>
      <c r="K1493" s="17">
        <f t="shared" si="262"/>
        <v>735</v>
      </c>
      <c r="L1493" s="23">
        <f t="shared" si="259"/>
        <v>36.75</v>
      </c>
      <c r="M1493" s="23">
        <v>3</v>
      </c>
      <c r="N1493" s="18">
        <f t="shared" si="263"/>
        <v>13.808219178082192</v>
      </c>
      <c r="O1493" s="23">
        <v>6982.5</v>
      </c>
      <c r="P1493" s="18">
        <f t="shared" si="264"/>
        <v>14.30958904109589</v>
      </c>
      <c r="Q1493" s="18">
        <v>0</v>
      </c>
      <c r="R1493" s="18">
        <f t="shared" si="261"/>
        <v>6982.5</v>
      </c>
      <c r="S1493" s="18">
        <f t="shared" si="260"/>
        <v>36.75</v>
      </c>
    </row>
    <row r="1494" spans="1:19" ht="18.75" customHeight="1" x14ac:dyDescent="0.25">
      <c r="A1494" s="14">
        <f t="shared" si="265"/>
        <v>1488</v>
      </c>
      <c r="B1494" s="21" t="s">
        <v>1333</v>
      </c>
      <c r="C1494" s="15" t="s">
        <v>3</v>
      </c>
      <c r="D1494" s="21" t="s">
        <v>1200</v>
      </c>
      <c r="E1494" s="21"/>
      <c r="F1494" s="69" t="s">
        <v>4</v>
      </c>
      <c r="G1494" s="9">
        <v>39217</v>
      </c>
      <c r="H1494" s="22">
        <v>3180</v>
      </c>
      <c r="I1494" s="17">
        <v>0</v>
      </c>
      <c r="J1494" s="17">
        <v>0</v>
      </c>
      <c r="K1494" s="17">
        <f t="shared" si="262"/>
        <v>3180</v>
      </c>
      <c r="L1494" s="23">
        <f t="shared" si="259"/>
        <v>159</v>
      </c>
      <c r="M1494" s="23">
        <v>3</v>
      </c>
      <c r="N1494" s="18">
        <f t="shared" si="263"/>
        <v>13.893150684931507</v>
      </c>
      <c r="O1494" s="23">
        <v>30210</v>
      </c>
      <c r="P1494" s="18">
        <f t="shared" si="264"/>
        <v>14.394520547945206</v>
      </c>
      <c r="Q1494" s="18">
        <v>0</v>
      </c>
      <c r="R1494" s="18">
        <f t="shared" si="261"/>
        <v>30210</v>
      </c>
      <c r="S1494" s="18">
        <f t="shared" si="260"/>
        <v>159</v>
      </c>
    </row>
    <row r="1495" spans="1:19" ht="18.75" customHeight="1" x14ac:dyDescent="0.25">
      <c r="A1495" s="14">
        <f t="shared" si="265"/>
        <v>1489</v>
      </c>
      <c r="B1495" s="21" t="s">
        <v>1199</v>
      </c>
      <c r="C1495" s="15" t="s">
        <v>3</v>
      </c>
      <c r="D1495" s="21" t="s">
        <v>1200</v>
      </c>
      <c r="E1495" s="21"/>
      <c r="F1495" s="69" t="s">
        <v>4</v>
      </c>
      <c r="G1495" s="9">
        <v>39217</v>
      </c>
      <c r="H1495" s="22">
        <v>3450</v>
      </c>
      <c r="I1495" s="17">
        <v>0</v>
      </c>
      <c r="J1495" s="17">
        <v>0</v>
      </c>
      <c r="K1495" s="17">
        <f t="shared" si="262"/>
        <v>3450</v>
      </c>
      <c r="L1495" s="23">
        <f t="shared" ref="L1495:L1558" si="266">H1495*0.05</f>
        <v>172.5</v>
      </c>
      <c r="M1495" s="23">
        <v>3</v>
      </c>
      <c r="N1495" s="18">
        <f t="shared" si="263"/>
        <v>13.893150684931507</v>
      </c>
      <c r="O1495" s="23">
        <v>32775</v>
      </c>
      <c r="P1495" s="18">
        <f t="shared" si="264"/>
        <v>14.394520547945206</v>
      </c>
      <c r="Q1495" s="18">
        <v>0</v>
      </c>
      <c r="R1495" s="18">
        <f t="shared" si="261"/>
        <v>32775</v>
      </c>
      <c r="S1495" s="18">
        <f t="shared" si="260"/>
        <v>172.5</v>
      </c>
    </row>
    <row r="1496" spans="1:19" ht="18.75" customHeight="1" x14ac:dyDescent="0.25">
      <c r="A1496" s="14">
        <f t="shared" si="265"/>
        <v>1490</v>
      </c>
      <c r="B1496" s="21" t="s">
        <v>1334</v>
      </c>
      <c r="C1496" s="15" t="s">
        <v>3</v>
      </c>
      <c r="D1496" s="21" t="s">
        <v>1200</v>
      </c>
      <c r="E1496" s="21"/>
      <c r="F1496" s="69" t="s">
        <v>4</v>
      </c>
      <c r="G1496" s="9">
        <v>39187</v>
      </c>
      <c r="H1496" s="22">
        <v>7467</v>
      </c>
      <c r="I1496" s="17">
        <v>0</v>
      </c>
      <c r="J1496" s="17">
        <v>0</v>
      </c>
      <c r="K1496" s="17">
        <f t="shared" si="262"/>
        <v>7467</v>
      </c>
      <c r="L1496" s="23">
        <f t="shared" si="266"/>
        <v>373.35</v>
      </c>
      <c r="M1496" s="23">
        <v>6</v>
      </c>
      <c r="N1496" s="18">
        <f t="shared" si="263"/>
        <v>13.975342465753425</v>
      </c>
      <c r="O1496" s="23">
        <v>70936.5</v>
      </c>
      <c r="P1496" s="18">
        <f t="shared" si="264"/>
        <v>14.476712328767123</v>
      </c>
      <c r="Q1496" s="18">
        <v>0</v>
      </c>
      <c r="R1496" s="18">
        <f t="shared" si="261"/>
        <v>70936.5</v>
      </c>
      <c r="S1496" s="18">
        <f t="shared" si="260"/>
        <v>373.35</v>
      </c>
    </row>
    <row r="1497" spans="1:19" ht="18.75" customHeight="1" x14ac:dyDescent="0.25">
      <c r="A1497" s="14">
        <f t="shared" si="265"/>
        <v>1491</v>
      </c>
      <c r="B1497" s="21" t="s">
        <v>1310</v>
      </c>
      <c r="C1497" s="15" t="s">
        <v>3</v>
      </c>
      <c r="D1497" s="21" t="s">
        <v>1200</v>
      </c>
      <c r="E1497" s="21"/>
      <c r="F1497" s="69" t="s">
        <v>4</v>
      </c>
      <c r="G1497" s="9">
        <v>39083</v>
      </c>
      <c r="H1497" s="22">
        <v>1202.2469999999994</v>
      </c>
      <c r="I1497" s="17">
        <v>0</v>
      </c>
      <c r="J1497" s="17">
        <v>0</v>
      </c>
      <c r="K1497" s="17">
        <f t="shared" si="262"/>
        <v>1202.2469999999994</v>
      </c>
      <c r="L1497" s="23">
        <f t="shared" si="266"/>
        <v>60.112349999999971</v>
      </c>
      <c r="M1497" s="23">
        <v>5</v>
      </c>
      <c r="N1497" s="18">
        <f t="shared" si="263"/>
        <v>14.260273972602739</v>
      </c>
      <c r="O1497" s="23">
        <v>11421.3465</v>
      </c>
      <c r="P1497" s="18">
        <f t="shared" si="264"/>
        <v>14.761643835616438</v>
      </c>
      <c r="Q1497" s="18">
        <v>0</v>
      </c>
      <c r="R1497" s="18">
        <f t="shared" si="261"/>
        <v>11421.3465</v>
      </c>
      <c r="S1497" s="18">
        <f t="shared" si="260"/>
        <v>60.112349999999971</v>
      </c>
    </row>
    <row r="1498" spans="1:19" ht="18.75" customHeight="1" x14ac:dyDescent="0.25">
      <c r="A1498" s="14">
        <f t="shared" si="265"/>
        <v>1492</v>
      </c>
      <c r="B1498" s="21" t="s">
        <v>1322</v>
      </c>
      <c r="C1498" s="15" t="s">
        <v>3</v>
      </c>
      <c r="D1498" s="21" t="s">
        <v>1200</v>
      </c>
      <c r="E1498" s="21"/>
      <c r="F1498" s="69" t="s">
        <v>4</v>
      </c>
      <c r="G1498" s="9">
        <v>39083</v>
      </c>
      <c r="H1498" s="22">
        <v>1644.5465000000004</v>
      </c>
      <c r="I1498" s="17">
        <v>0</v>
      </c>
      <c r="J1498" s="17">
        <v>0</v>
      </c>
      <c r="K1498" s="17">
        <f t="shared" si="262"/>
        <v>1644.5465000000004</v>
      </c>
      <c r="L1498" s="23">
        <f t="shared" si="266"/>
        <v>82.227325000000022</v>
      </c>
      <c r="M1498" s="23">
        <v>5</v>
      </c>
      <c r="N1498" s="18">
        <f t="shared" si="263"/>
        <v>14.260273972602739</v>
      </c>
      <c r="O1498" s="23">
        <v>15623.19175</v>
      </c>
      <c r="P1498" s="18">
        <f t="shared" si="264"/>
        <v>14.761643835616438</v>
      </c>
      <c r="Q1498" s="18">
        <v>0</v>
      </c>
      <c r="R1498" s="18">
        <f t="shared" si="261"/>
        <v>15623.19175</v>
      </c>
      <c r="S1498" s="18">
        <f t="shared" si="260"/>
        <v>82.227325000000022</v>
      </c>
    </row>
    <row r="1499" spans="1:19" ht="18.75" customHeight="1" x14ac:dyDescent="0.25">
      <c r="A1499" s="14">
        <f t="shared" si="265"/>
        <v>1493</v>
      </c>
      <c r="B1499" s="21" t="s">
        <v>1335</v>
      </c>
      <c r="C1499" s="15" t="s">
        <v>3</v>
      </c>
      <c r="D1499" s="21" t="s">
        <v>1200</v>
      </c>
      <c r="E1499" s="21"/>
      <c r="F1499" s="69" t="s">
        <v>4</v>
      </c>
      <c r="G1499" s="9">
        <v>39083</v>
      </c>
      <c r="H1499" s="22">
        <v>94.329999999999927</v>
      </c>
      <c r="I1499" s="17">
        <v>0</v>
      </c>
      <c r="J1499" s="17">
        <v>0</v>
      </c>
      <c r="K1499" s="17">
        <f t="shared" si="262"/>
        <v>94.329999999999927</v>
      </c>
      <c r="L1499" s="23">
        <f t="shared" si="266"/>
        <v>4.7164999999999964</v>
      </c>
      <c r="M1499" s="23">
        <v>5</v>
      </c>
      <c r="N1499" s="18">
        <f t="shared" si="263"/>
        <v>14.260273972602739</v>
      </c>
      <c r="O1499" s="23">
        <v>896.13499999999999</v>
      </c>
      <c r="P1499" s="18">
        <f t="shared" si="264"/>
        <v>14.761643835616438</v>
      </c>
      <c r="Q1499" s="18">
        <v>0</v>
      </c>
      <c r="R1499" s="18">
        <f t="shared" si="261"/>
        <v>896.13499999999999</v>
      </c>
      <c r="S1499" s="18">
        <f t="shared" si="260"/>
        <v>4.7164999999999964</v>
      </c>
    </row>
    <row r="1500" spans="1:19" ht="18.75" customHeight="1" x14ac:dyDescent="0.25">
      <c r="A1500" s="14">
        <f t="shared" si="265"/>
        <v>1494</v>
      </c>
      <c r="B1500" s="21" t="s">
        <v>1336</v>
      </c>
      <c r="C1500" s="15" t="s">
        <v>3</v>
      </c>
      <c r="D1500" s="21" t="s">
        <v>1200</v>
      </c>
      <c r="E1500" s="21"/>
      <c r="F1500" s="69" t="s">
        <v>4</v>
      </c>
      <c r="G1500" s="9">
        <v>39083</v>
      </c>
      <c r="H1500" s="22">
        <v>466.37650000000031</v>
      </c>
      <c r="I1500" s="17">
        <v>0</v>
      </c>
      <c r="J1500" s="17">
        <v>0</v>
      </c>
      <c r="K1500" s="17">
        <f t="shared" si="262"/>
        <v>466.37650000000031</v>
      </c>
      <c r="L1500" s="23">
        <f t="shared" si="266"/>
        <v>23.318825000000018</v>
      </c>
      <c r="M1500" s="23">
        <v>5</v>
      </c>
      <c r="N1500" s="18">
        <f t="shared" si="263"/>
        <v>14.260273972602739</v>
      </c>
      <c r="O1500" s="23">
        <v>4430.5767500000002</v>
      </c>
      <c r="P1500" s="18">
        <f t="shared" si="264"/>
        <v>14.761643835616438</v>
      </c>
      <c r="Q1500" s="18">
        <v>0</v>
      </c>
      <c r="R1500" s="18">
        <f t="shared" si="261"/>
        <v>4430.5767500000002</v>
      </c>
      <c r="S1500" s="18">
        <f t="shared" si="260"/>
        <v>23.318825000000018</v>
      </c>
    </row>
    <row r="1501" spans="1:19" ht="18.75" customHeight="1" x14ac:dyDescent="0.25">
      <c r="A1501" s="14">
        <f t="shared" si="265"/>
        <v>1495</v>
      </c>
      <c r="B1501" s="21" t="s">
        <v>1337</v>
      </c>
      <c r="C1501" s="15" t="s">
        <v>3</v>
      </c>
      <c r="D1501" s="21" t="s">
        <v>1200</v>
      </c>
      <c r="E1501" s="21"/>
      <c r="F1501" s="69" t="s">
        <v>4</v>
      </c>
      <c r="G1501" s="9">
        <v>39083</v>
      </c>
      <c r="H1501" s="22">
        <v>1656.0770000000011</v>
      </c>
      <c r="I1501" s="17">
        <v>0</v>
      </c>
      <c r="J1501" s="17">
        <v>0</v>
      </c>
      <c r="K1501" s="17">
        <f t="shared" si="262"/>
        <v>1656.0770000000011</v>
      </c>
      <c r="L1501" s="23">
        <f t="shared" si="266"/>
        <v>82.803850000000068</v>
      </c>
      <c r="M1501" s="23">
        <v>5</v>
      </c>
      <c r="N1501" s="18">
        <f t="shared" si="263"/>
        <v>14.260273972602739</v>
      </c>
      <c r="O1501" s="23">
        <v>15732.7315</v>
      </c>
      <c r="P1501" s="18">
        <f t="shared" si="264"/>
        <v>14.761643835616438</v>
      </c>
      <c r="Q1501" s="18">
        <v>0</v>
      </c>
      <c r="R1501" s="18">
        <f t="shared" si="261"/>
        <v>15732.7315</v>
      </c>
      <c r="S1501" s="18">
        <f t="shared" si="260"/>
        <v>82.803850000000068</v>
      </c>
    </row>
    <row r="1502" spans="1:19" ht="18.75" customHeight="1" x14ac:dyDescent="0.25">
      <c r="A1502" s="14">
        <f t="shared" si="265"/>
        <v>1496</v>
      </c>
      <c r="B1502" s="21" t="s">
        <v>1338</v>
      </c>
      <c r="C1502" s="15" t="s">
        <v>3</v>
      </c>
      <c r="D1502" s="21" t="s">
        <v>1200</v>
      </c>
      <c r="E1502" s="21"/>
      <c r="F1502" s="69" t="s">
        <v>4</v>
      </c>
      <c r="G1502" s="9">
        <v>39083</v>
      </c>
      <c r="H1502" s="22">
        <v>1824.9789999999994</v>
      </c>
      <c r="I1502" s="17">
        <v>0</v>
      </c>
      <c r="J1502" s="17">
        <v>0</v>
      </c>
      <c r="K1502" s="17">
        <f t="shared" si="262"/>
        <v>1824.9789999999994</v>
      </c>
      <c r="L1502" s="23">
        <f t="shared" si="266"/>
        <v>91.248949999999979</v>
      </c>
      <c r="M1502" s="23">
        <v>5</v>
      </c>
      <c r="N1502" s="18">
        <f t="shared" si="263"/>
        <v>14.260273972602739</v>
      </c>
      <c r="O1502" s="23">
        <v>17337.300500000001</v>
      </c>
      <c r="P1502" s="18">
        <f t="shared" si="264"/>
        <v>14.761643835616438</v>
      </c>
      <c r="Q1502" s="18">
        <v>0</v>
      </c>
      <c r="R1502" s="18">
        <f t="shared" si="261"/>
        <v>17337.300500000001</v>
      </c>
      <c r="S1502" s="18">
        <f t="shared" si="260"/>
        <v>91.248949999999979</v>
      </c>
    </row>
    <row r="1503" spans="1:19" ht="18.75" customHeight="1" x14ac:dyDescent="0.25">
      <c r="A1503" s="14">
        <f t="shared" si="265"/>
        <v>1497</v>
      </c>
      <c r="B1503" s="21" t="s">
        <v>1339</v>
      </c>
      <c r="C1503" s="15" t="s">
        <v>3</v>
      </c>
      <c r="D1503" s="21" t="s">
        <v>1200</v>
      </c>
      <c r="E1503" s="21"/>
      <c r="F1503" s="69" t="s">
        <v>4</v>
      </c>
      <c r="G1503" s="9">
        <v>39083</v>
      </c>
      <c r="H1503" s="22">
        <v>189</v>
      </c>
      <c r="I1503" s="17">
        <v>0</v>
      </c>
      <c r="J1503" s="17">
        <v>0</v>
      </c>
      <c r="K1503" s="17">
        <f t="shared" si="262"/>
        <v>189</v>
      </c>
      <c r="L1503" s="23">
        <f t="shared" si="266"/>
        <v>9.4500000000000011</v>
      </c>
      <c r="M1503" s="23">
        <v>3</v>
      </c>
      <c r="N1503" s="18">
        <f t="shared" si="263"/>
        <v>14.260273972602739</v>
      </c>
      <c r="O1503" s="23">
        <v>1795.5</v>
      </c>
      <c r="P1503" s="18">
        <f t="shared" si="264"/>
        <v>14.761643835616438</v>
      </c>
      <c r="Q1503" s="18">
        <v>0</v>
      </c>
      <c r="R1503" s="18">
        <f t="shared" si="261"/>
        <v>1795.5</v>
      </c>
      <c r="S1503" s="18">
        <f t="shared" si="260"/>
        <v>9.4500000000000011</v>
      </c>
    </row>
    <row r="1504" spans="1:19" ht="18.75" customHeight="1" x14ac:dyDescent="0.25">
      <c r="A1504" s="14">
        <f t="shared" si="265"/>
        <v>1498</v>
      </c>
      <c r="B1504" s="21" t="s">
        <v>1340</v>
      </c>
      <c r="C1504" s="15" t="s">
        <v>3</v>
      </c>
      <c r="D1504" s="21" t="s">
        <v>1200</v>
      </c>
      <c r="E1504" s="21"/>
      <c r="F1504" s="69" t="s">
        <v>4</v>
      </c>
      <c r="G1504" s="9">
        <v>39083</v>
      </c>
      <c r="H1504" s="22">
        <v>315</v>
      </c>
      <c r="I1504" s="17">
        <v>0</v>
      </c>
      <c r="J1504" s="17">
        <v>0</v>
      </c>
      <c r="K1504" s="17">
        <f t="shared" si="262"/>
        <v>315</v>
      </c>
      <c r="L1504" s="23">
        <f t="shared" si="266"/>
        <v>15.75</v>
      </c>
      <c r="M1504" s="23">
        <v>3</v>
      </c>
      <c r="N1504" s="18">
        <f t="shared" si="263"/>
        <v>14.260273972602739</v>
      </c>
      <c r="O1504" s="23">
        <v>2992.5</v>
      </c>
      <c r="P1504" s="18">
        <f t="shared" si="264"/>
        <v>14.761643835616438</v>
      </c>
      <c r="Q1504" s="18">
        <v>0</v>
      </c>
      <c r="R1504" s="18">
        <f t="shared" si="261"/>
        <v>2992.5</v>
      </c>
      <c r="S1504" s="18">
        <f t="shared" si="260"/>
        <v>15.75</v>
      </c>
    </row>
    <row r="1505" spans="1:19" ht="18.75" customHeight="1" x14ac:dyDescent="0.25">
      <c r="A1505" s="14">
        <f t="shared" si="265"/>
        <v>1499</v>
      </c>
      <c r="B1505" s="21" t="s">
        <v>1341</v>
      </c>
      <c r="C1505" s="15" t="s">
        <v>3</v>
      </c>
      <c r="D1505" s="21" t="s">
        <v>1200</v>
      </c>
      <c r="E1505" s="21"/>
      <c r="F1505" s="69" t="s">
        <v>4</v>
      </c>
      <c r="G1505" s="9">
        <v>39066</v>
      </c>
      <c r="H1505" s="22">
        <v>1446.1949999999997</v>
      </c>
      <c r="I1505" s="17">
        <v>0</v>
      </c>
      <c r="J1505" s="17">
        <v>0</v>
      </c>
      <c r="K1505" s="17">
        <f t="shared" si="262"/>
        <v>1446.1949999999997</v>
      </c>
      <c r="L1505" s="23">
        <f t="shared" si="266"/>
        <v>72.309749999999994</v>
      </c>
      <c r="M1505" s="23">
        <v>3</v>
      </c>
      <c r="N1505" s="18">
        <f t="shared" si="263"/>
        <v>14.306849315068494</v>
      </c>
      <c r="O1505" s="23">
        <v>13738.852500000001</v>
      </c>
      <c r="P1505" s="18">
        <f t="shared" si="264"/>
        <v>14.808219178082192</v>
      </c>
      <c r="Q1505" s="18">
        <v>0</v>
      </c>
      <c r="R1505" s="18">
        <f t="shared" si="261"/>
        <v>13738.852500000001</v>
      </c>
      <c r="S1505" s="18">
        <f t="shared" si="260"/>
        <v>72.309749999999994</v>
      </c>
    </row>
    <row r="1506" spans="1:19" ht="18.75" customHeight="1" x14ac:dyDescent="0.25">
      <c r="A1506" s="14">
        <f t="shared" si="265"/>
        <v>1500</v>
      </c>
      <c r="B1506" s="21" t="s">
        <v>1204</v>
      </c>
      <c r="C1506" s="15" t="s">
        <v>3</v>
      </c>
      <c r="D1506" s="21" t="s">
        <v>1200</v>
      </c>
      <c r="E1506" s="21"/>
      <c r="F1506" s="69" t="s">
        <v>4</v>
      </c>
      <c r="G1506" s="9">
        <v>39066</v>
      </c>
      <c r="H1506" s="22">
        <v>4839.6879999999946</v>
      </c>
      <c r="I1506" s="17">
        <v>0</v>
      </c>
      <c r="J1506" s="17">
        <v>0</v>
      </c>
      <c r="K1506" s="17">
        <f t="shared" si="262"/>
        <v>4839.6879999999946</v>
      </c>
      <c r="L1506" s="23">
        <f t="shared" si="266"/>
        <v>241.98439999999974</v>
      </c>
      <c r="M1506" s="23">
        <v>5</v>
      </c>
      <c r="N1506" s="18">
        <f t="shared" si="263"/>
        <v>14.306849315068494</v>
      </c>
      <c r="O1506" s="23">
        <v>45977.036</v>
      </c>
      <c r="P1506" s="18">
        <f t="shared" si="264"/>
        <v>14.808219178082192</v>
      </c>
      <c r="Q1506" s="18">
        <v>0</v>
      </c>
      <c r="R1506" s="18">
        <f t="shared" si="261"/>
        <v>45977.036</v>
      </c>
      <c r="S1506" s="18">
        <f t="shared" si="260"/>
        <v>241.98439999999974</v>
      </c>
    </row>
    <row r="1507" spans="1:19" ht="18.75" customHeight="1" x14ac:dyDescent="0.25">
      <c r="A1507" s="14">
        <f t="shared" si="265"/>
        <v>1501</v>
      </c>
      <c r="B1507" s="21" t="s">
        <v>1204</v>
      </c>
      <c r="C1507" s="15" t="s">
        <v>3</v>
      </c>
      <c r="D1507" s="21" t="s">
        <v>1200</v>
      </c>
      <c r="E1507" s="21"/>
      <c r="F1507" s="69" t="s">
        <v>4</v>
      </c>
      <c r="G1507" s="9">
        <v>39036</v>
      </c>
      <c r="H1507" s="22">
        <v>2416.6140000000014</v>
      </c>
      <c r="I1507" s="17">
        <v>0</v>
      </c>
      <c r="J1507" s="17">
        <v>0</v>
      </c>
      <c r="K1507" s="17">
        <f t="shared" si="262"/>
        <v>2416.6140000000014</v>
      </c>
      <c r="L1507" s="23">
        <f t="shared" si="266"/>
        <v>120.83070000000008</v>
      </c>
      <c r="M1507" s="23">
        <v>5</v>
      </c>
      <c r="N1507" s="18">
        <f t="shared" si="263"/>
        <v>14.389041095890411</v>
      </c>
      <c r="O1507" s="23">
        <v>22957.832999999999</v>
      </c>
      <c r="P1507" s="18">
        <f t="shared" si="264"/>
        <v>14.890410958904109</v>
      </c>
      <c r="Q1507" s="18">
        <v>0</v>
      </c>
      <c r="R1507" s="18">
        <f t="shared" si="261"/>
        <v>22957.832999999999</v>
      </c>
      <c r="S1507" s="18">
        <f t="shared" si="260"/>
        <v>120.83070000000008</v>
      </c>
    </row>
    <row r="1508" spans="1:19" ht="18.75" customHeight="1" x14ac:dyDescent="0.25">
      <c r="A1508" s="14">
        <f t="shared" si="265"/>
        <v>1502</v>
      </c>
      <c r="B1508" s="21" t="s">
        <v>1342</v>
      </c>
      <c r="C1508" s="15" t="s">
        <v>3</v>
      </c>
      <c r="D1508" s="21" t="s">
        <v>1200</v>
      </c>
      <c r="E1508" s="21"/>
      <c r="F1508" s="69" t="s">
        <v>4</v>
      </c>
      <c r="G1508" s="9">
        <v>39005</v>
      </c>
      <c r="H1508" s="22">
        <v>800</v>
      </c>
      <c r="I1508" s="17">
        <v>0</v>
      </c>
      <c r="J1508" s="17">
        <v>0</v>
      </c>
      <c r="K1508" s="17">
        <f t="shared" si="262"/>
        <v>800</v>
      </c>
      <c r="L1508" s="23">
        <f t="shared" si="266"/>
        <v>40</v>
      </c>
      <c r="M1508" s="23">
        <v>3</v>
      </c>
      <c r="N1508" s="18">
        <f t="shared" si="263"/>
        <v>14.473972602739726</v>
      </c>
      <c r="O1508" s="23">
        <v>7600</v>
      </c>
      <c r="P1508" s="18">
        <f t="shared" si="264"/>
        <v>14.975342465753425</v>
      </c>
      <c r="Q1508" s="18">
        <v>0</v>
      </c>
      <c r="R1508" s="18">
        <f t="shared" si="261"/>
        <v>7600</v>
      </c>
      <c r="S1508" s="18">
        <f t="shared" si="260"/>
        <v>40</v>
      </c>
    </row>
    <row r="1509" spans="1:19" ht="18.75" customHeight="1" x14ac:dyDescent="0.25">
      <c r="A1509" s="14">
        <f t="shared" si="265"/>
        <v>1503</v>
      </c>
      <c r="B1509" s="21" t="s">
        <v>1209</v>
      </c>
      <c r="C1509" s="15" t="s">
        <v>3</v>
      </c>
      <c r="D1509" s="21" t="s">
        <v>1200</v>
      </c>
      <c r="E1509" s="21"/>
      <c r="F1509" s="69" t="s">
        <v>4</v>
      </c>
      <c r="G1509" s="9">
        <v>38975</v>
      </c>
      <c r="H1509" s="22">
        <v>812.92200000000048</v>
      </c>
      <c r="I1509" s="17">
        <v>0</v>
      </c>
      <c r="J1509" s="17">
        <v>0</v>
      </c>
      <c r="K1509" s="17">
        <f t="shared" si="262"/>
        <v>812.92200000000048</v>
      </c>
      <c r="L1509" s="23">
        <f t="shared" si="266"/>
        <v>40.646100000000025</v>
      </c>
      <c r="M1509" s="23">
        <v>3</v>
      </c>
      <c r="N1509" s="18">
        <f t="shared" si="263"/>
        <v>14.556164383561644</v>
      </c>
      <c r="O1509" s="23">
        <v>7722.759</v>
      </c>
      <c r="P1509" s="18">
        <f t="shared" si="264"/>
        <v>15.057534246575342</v>
      </c>
      <c r="Q1509" s="18">
        <v>0</v>
      </c>
      <c r="R1509" s="18">
        <f t="shared" si="261"/>
        <v>7722.759</v>
      </c>
      <c r="S1509" s="18">
        <f t="shared" si="260"/>
        <v>40.646100000000025</v>
      </c>
    </row>
    <row r="1510" spans="1:19" ht="18.75" customHeight="1" x14ac:dyDescent="0.25">
      <c r="A1510" s="14">
        <f t="shared" si="265"/>
        <v>1504</v>
      </c>
      <c r="B1510" s="21" t="s">
        <v>1343</v>
      </c>
      <c r="C1510" s="15" t="s">
        <v>3</v>
      </c>
      <c r="D1510" s="21" t="s">
        <v>1200</v>
      </c>
      <c r="E1510" s="21"/>
      <c r="F1510" s="69" t="s">
        <v>4</v>
      </c>
      <c r="G1510" s="9">
        <v>38975</v>
      </c>
      <c r="H1510" s="22">
        <v>1070.8329999999987</v>
      </c>
      <c r="I1510" s="17">
        <v>0</v>
      </c>
      <c r="J1510" s="17">
        <v>0</v>
      </c>
      <c r="K1510" s="17">
        <f t="shared" si="262"/>
        <v>1070.8329999999987</v>
      </c>
      <c r="L1510" s="23">
        <f t="shared" si="266"/>
        <v>53.54164999999994</v>
      </c>
      <c r="M1510" s="23">
        <v>5</v>
      </c>
      <c r="N1510" s="18">
        <f t="shared" si="263"/>
        <v>14.556164383561644</v>
      </c>
      <c r="O1510" s="23">
        <v>10172.913500000001</v>
      </c>
      <c r="P1510" s="18">
        <f t="shared" si="264"/>
        <v>15.057534246575342</v>
      </c>
      <c r="Q1510" s="18">
        <v>0</v>
      </c>
      <c r="R1510" s="18">
        <f t="shared" si="261"/>
        <v>10172.913500000001</v>
      </c>
      <c r="S1510" s="18">
        <f t="shared" si="260"/>
        <v>53.54164999999994</v>
      </c>
    </row>
    <row r="1511" spans="1:19" ht="18.75" customHeight="1" x14ac:dyDescent="0.25">
      <c r="A1511" s="14">
        <f t="shared" si="265"/>
        <v>1505</v>
      </c>
      <c r="B1511" s="21" t="s">
        <v>1343</v>
      </c>
      <c r="C1511" s="15" t="s">
        <v>3</v>
      </c>
      <c r="D1511" s="21" t="s">
        <v>1200</v>
      </c>
      <c r="E1511" s="21"/>
      <c r="F1511" s="69" t="s">
        <v>4</v>
      </c>
      <c r="G1511" s="9">
        <v>38913</v>
      </c>
      <c r="H1511" s="22">
        <v>408.75</v>
      </c>
      <c r="I1511" s="17">
        <v>0</v>
      </c>
      <c r="J1511" s="17">
        <v>0</v>
      </c>
      <c r="K1511" s="17">
        <f t="shared" si="262"/>
        <v>408.75</v>
      </c>
      <c r="L1511" s="23">
        <f t="shared" si="266"/>
        <v>20.4375</v>
      </c>
      <c r="M1511" s="23">
        <v>5</v>
      </c>
      <c r="N1511" s="18">
        <f t="shared" si="263"/>
        <v>14.726027397260275</v>
      </c>
      <c r="O1511" s="23">
        <v>3883.125</v>
      </c>
      <c r="P1511" s="18">
        <f t="shared" si="264"/>
        <v>15.227397260273973</v>
      </c>
      <c r="Q1511" s="18">
        <v>0</v>
      </c>
      <c r="R1511" s="18">
        <f t="shared" si="261"/>
        <v>3883.125</v>
      </c>
      <c r="S1511" s="18">
        <f t="shared" si="260"/>
        <v>20.4375</v>
      </c>
    </row>
    <row r="1512" spans="1:19" ht="18.75" customHeight="1" x14ac:dyDescent="0.25">
      <c r="A1512" s="14">
        <f t="shared" si="265"/>
        <v>1506</v>
      </c>
      <c r="B1512" s="21" t="s">
        <v>1209</v>
      </c>
      <c r="C1512" s="15" t="s">
        <v>3</v>
      </c>
      <c r="D1512" s="21" t="s">
        <v>1200</v>
      </c>
      <c r="E1512" s="21"/>
      <c r="F1512" s="69" t="s">
        <v>4</v>
      </c>
      <c r="G1512" s="9">
        <v>38913</v>
      </c>
      <c r="H1512" s="22">
        <v>585</v>
      </c>
      <c r="I1512" s="17">
        <v>0</v>
      </c>
      <c r="J1512" s="17">
        <v>0</v>
      </c>
      <c r="K1512" s="17">
        <f t="shared" si="262"/>
        <v>585</v>
      </c>
      <c r="L1512" s="23">
        <f t="shared" si="266"/>
        <v>29.25</v>
      </c>
      <c r="M1512" s="23">
        <v>3</v>
      </c>
      <c r="N1512" s="18">
        <f t="shared" si="263"/>
        <v>14.726027397260275</v>
      </c>
      <c r="O1512" s="23">
        <v>5557.5</v>
      </c>
      <c r="P1512" s="18">
        <f t="shared" si="264"/>
        <v>15.227397260273973</v>
      </c>
      <c r="Q1512" s="18">
        <v>0</v>
      </c>
      <c r="R1512" s="18">
        <f t="shared" si="261"/>
        <v>5557.5</v>
      </c>
      <c r="S1512" s="18">
        <f t="shared" si="260"/>
        <v>29.25</v>
      </c>
    </row>
    <row r="1513" spans="1:19" ht="18.75" customHeight="1" x14ac:dyDescent="0.25">
      <c r="A1513" s="14">
        <f t="shared" si="265"/>
        <v>1507</v>
      </c>
      <c r="B1513" s="21" t="s">
        <v>1204</v>
      </c>
      <c r="C1513" s="15" t="s">
        <v>3</v>
      </c>
      <c r="D1513" s="21" t="s">
        <v>1200</v>
      </c>
      <c r="E1513" s="21"/>
      <c r="F1513" s="69" t="s">
        <v>4</v>
      </c>
      <c r="G1513" s="9">
        <v>38913</v>
      </c>
      <c r="H1513" s="22">
        <v>740</v>
      </c>
      <c r="I1513" s="17">
        <v>0</v>
      </c>
      <c r="J1513" s="17">
        <v>0</v>
      </c>
      <c r="K1513" s="17">
        <f t="shared" si="262"/>
        <v>740</v>
      </c>
      <c r="L1513" s="23">
        <f t="shared" si="266"/>
        <v>37</v>
      </c>
      <c r="M1513" s="23">
        <v>5</v>
      </c>
      <c r="N1513" s="18">
        <f t="shared" si="263"/>
        <v>14.726027397260275</v>
      </c>
      <c r="O1513" s="23">
        <v>7030</v>
      </c>
      <c r="P1513" s="18">
        <f t="shared" si="264"/>
        <v>15.227397260273973</v>
      </c>
      <c r="Q1513" s="18">
        <v>0</v>
      </c>
      <c r="R1513" s="18">
        <f t="shared" si="261"/>
        <v>7030</v>
      </c>
      <c r="S1513" s="18">
        <f t="shared" si="260"/>
        <v>37</v>
      </c>
    </row>
    <row r="1514" spans="1:19" ht="18.75" customHeight="1" x14ac:dyDescent="0.25">
      <c r="A1514" s="14">
        <f t="shared" si="265"/>
        <v>1508</v>
      </c>
      <c r="B1514" s="21" t="s">
        <v>1344</v>
      </c>
      <c r="C1514" s="15" t="s">
        <v>3</v>
      </c>
      <c r="D1514" s="21" t="s">
        <v>1200</v>
      </c>
      <c r="E1514" s="21"/>
      <c r="F1514" s="69" t="s">
        <v>4</v>
      </c>
      <c r="G1514" s="9">
        <v>38913</v>
      </c>
      <c r="H1514" s="22">
        <v>742.5</v>
      </c>
      <c r="I1514" s="17">
        <v>0</v>
      </c>
      <c r="J1514" s="17">
        <v>0</v>
      </c>
      <c r="K1514" s="17">
        <f t="shared" si="262"/>
        <v>742.5</v>
      </c>
      <c r="L1514" s="23">
        <f t="shared" si="266"/>
        <v>37.125</v>
      </c>
      <c r="M1514" s="23">
        <v>5</v>
      </c>
      <c r="N1514" s="18">
        <f t="shared" si="263"/>
        <v>14.726027397260275</v>
      </c>
      <c r="O1514" s="23">
        <v>7053.75</v>
      </c>
      <c r="P1514" s="18">
        <f t="shared" si="264"/>
        <v>15.227397260273973</v>
      </c>
      <c r="Q1514" s="18">
        <v>0</v>
      </c>
      <c r="R1514" s="18">
        <f t="shared" si="261"/>
        <v>7053.75</v>
      </c>
      <c r="S1514" s="18">
        <f t="shared" si="260"/>
        <v>37.125</v>
      </c>
    </row>
    <row r="1515" spans="1:19" ht="18.75" customHeight="1" x14ac:dyDescent="0.25">
      <c r="A1515" s="14">
        <f t="shared" si="265"/>
        <v>1509</v>
      </c>
      <c r="B1515" s="21" t="s">
        <v>1341</v>
      </c>
      <c r="C1515" s="15" t="s">
        <v>3</v>
      </c>
      <c r="D1515" s="21" t="s">
        <v>1200</v>
      </c>
      <c r="E1515" s="21"/>
      <c r="F1515" s="69" t="s">
        <v>4</v>
      </c>
      <c r="G1515" s="9">
        <v>38913</v>
      </c>
      <c r="H1515" s="22">
        <v>8088.8054999999877</v>
      </c>
      <c r="I1515" s="17">
        <v>0</v>
      </c>
      <c r="J1515" s="17">
        <v>0</v>
      </c>
      <c r="K1515" s="17">
        <f t="shared" si="262"/>
        <v>8088.8054999999877</v>
      </c>
      <c r="L1515" s="23">
        <f t="shared" si="266"/>
        <v>404.44027499999942</v>
      </c>
      <c r="M1515" s="23">
        <v>3</v>
      </c>
      <c r="N1515" s="18">
        <f t="shared" si="263"/>
        <v>14.726027397260275</v>
      </c>
      <c r="O1515" s="23">
        <v>76843.652249999999</v>
      </c>
      <c r="P1515" s="18">
        <f t="shared" si="264"/>
        <v>15.227397260273973</v>
      </c>
      <c r="Q1515" s="18">
        <v>0</v>
      </c>
      <c r="R1515" s="18">
        <f t="shared" si="261"/>
        <v>76843.652249999999</v>
      </c>
      <c r="S1515" s="18">
        <f t="shared" si="260"/>
        <v>404.44027499999942</v>
      </c>
    </row>
    <row r="1516" spans="1:19" ht="18.75" customHeight="1" x14ac:dyDescent="0.25">
      <c r="A1516" s="14">
        <f t="shared" si="265"/>
        <v>1510</v>
      </c>
      <c r="B1516" s="21" t="s">
        <v>1307</v>
      </c>
      <c r="C1516" s="15" t="s">
        <v>3</v>
      </c>
      <c r="D1516" s="21" t="s">
        <v>1200</v>
      </c>
      <c r="E1516" s="21"/>
      <c r="F1516" s="69" t="s">
        <v>4</v>
      </c>
      <c r="G1516" s="9">
        <v>38898</v>
      </c>
      <c r="H1516" s="22">
        <v>78</v>
      </c>
      <c r="I1516" s="17">
        <v>0</v>
      </c>
      <c r="J1516" s="17">
        <v>0</v>
      </c>
      <c r="K1516" s="17">
        <f t="shared" si="262"/>
        <v>78</v>
      </c>
      <c r="L1516" s="23">
        <f t="shared" si="266"/>
        <v>3.9000000000000004</v>
      </c>
      <c r="M1516" s="23">
        <v>5</v>
      </c>
      <c r="N1516" s="18">
        <f t="shared" si="263"/>
        <v>14.767123287671232</v>
      </c>
      <c r="O1516" s="23">
        <v>741</v>
      </c>
      <c r="P1516" s="18">
        <f t="shared" si="264"/>
        <v>15.268493150684931</v>
      </c>
      <c r="Q1516" s="18">
        <v>0</v>
      </c>
      <c r="R1516" s="18">
        <f t="shared" si="261"/>
        <v>741</v>
      </c>
      <c r="S1516" s="18">
        <f t="shared" si="260"/>
        <v>3.9000000000000004</v>
      </c>
    </row>
    <row r="1517" spans="1:19" ht="18.75" customHeight="1" x14ac:dyDescent="0.25">
      <c r="A1517" s="14">
        <f t="shared" si="265"/>
        <v>1511</v>
      </c>
      <c r="B1517" s="21" t="s">
        <v>1345</v>
      </c>
      <c r="C1517" s="15" t="s">
        <v>3</v>
      </c>
      <c r="D1517" s="21" t="s">
        <v>1200</v>
      </c>
      <c r="E1517" s="21"/>
      <c r="F1517" s="69" t="s">
        <v>4</v>
      </c>
      <c r="G1517" s="9">
        <v>38898</v>
      </c>
      <c r="H1517" s="22">
        <v>339.5</v>
      </c>
      <c r="I1517" s="17">
        <v>0</v>
      </c>
      <c r="J1517" s="17">
        <v>0</v>
      </c>
      <c r="K1517" s="17">
        <f t="shared" si="262"/>
        <v>339.5</v>
      </c>
      <c r="L1517" s="23">
        <f t="shared" si="266"/>
        <v>16.975000000000001</v>
      </c>
      <c r="M1517" s="23">
        <v>5</v>
      </c>
      <c r="N1517" s="18">
        <f t="shared" si="263"/>
        <v>14.767123287671232</v>
      </c>
      <c r="O1517" s="23">
        <v>3225.25</v>
      </c>
      <c r="P1517" s="18">
        <f t="shared" si="264"/>
        <v>15.268493150684931</v>
      </c>
      <c r="Q1517" s="18">
        <v>0</v>
      </c>
      <c r="R1517" s="18">
        <f t="shared" si="261"/>
        <v>3225.25</v>
      </c>
      <c r="S1517" s="18">
        <f t="shared" si="260"/>
        <v>16.975000000000001</v>
      </c>
    </row>
    <row r="1518" spans="1:19" ht="18.75" customHeight="1" x14ac:dyDescent="0.25">
      <c r="A1518" s="14">
        <f t="shared" si="265"/>
        <v>1512</v>
      </c>
      <c r="B1518" s="21" t="s">
        <v>1346</v>
      </c>
      <c r="C1518" s="15" t="s">
        <v>3</v>
      </c>
      <c r="D1518" s="21" t="s">
        <v>1200</v>
      </c>
      <c r="E1518" s="21"/>
      <c r="F1518" s="69" t="s">
        <v>4</v>
      </c>
      <c r="G1518" s="9">
        <v>38807</v>
      </c>
      <c r="H1518" s="22">
        <v>2870.0009999999966</v>
      </c>
      <c r="I1518" s="17">
        <v>0</v>
      </c>
      <c r="J1518" s="17">
        <v>0</v>
      </c>
      <c r="K1518" s="17">
        <f t="shared" si="262"/>
        <v>2870.0009999999966</v>
      </c>
      <c r="L1518" s="23">
        <f t="shared" si="266"/>
        <v>143.50004999999985</v>
      </c>
      <c r="M1518" s="23">
        <v>5</v>
      </c>
      <c r="N1518" s="18">
        <f t="shared" si="263"/>
        <v>15.016438356164384</v>
      </c>
      <c r="O1518" s="23">
        <v>27265.0095</v>
      </c>
      <c r="P1518" s="18">
        <f t="shared" si="264"/>
        <v>15.517808219178082</v>
      </c>
      <c r="Q1518" s="18">
        <v>0</v>
      </c>
      <c r="R1518" s="18">
        <f t="shared" si="261"/>
        <v>27265.0095</v>
      </c>
      <c r="S1518" s="18">
        <f t="shared" si="260"/>
        <v>143.50004999999985</v>
      </c>
    </row>
    <row r="1519" spans="1:19" ht="18.75" customHeight="1" x14ac:dyDescent="0.25">
      <c r="A1519" s="14">
        <f t="shared" si="265"/>
        <v>1513</v>
      </c>
      <c r="B1519" s="21" t="s">
        <v>1347</v>
      </c>
      <c r="C1519" s="15" t="s">
        <v>3</v>
      </c>
      <c r="D1519" s="21" t="s">
        <v>1200</v>
      </c>
      <c r="E1519" s="21"/>
      <c r="F1519" s="69" t="s">
        <v>4</v>
      </c>
      <c r="G1519" s="9">
        <v>38748</v>
      </c>
      <c r="H1519" s="22">
        <v>299.25</v>
      </c>
      <c r="I1519" s="17">
        <v>0</v>
      </c>
      <c r="J1519" s="17">
        <v>0</v>
      </c>
      <c r="K1519" s="17">
        <f t="shared" si="262"/>
        <v>299.25</v>
      </c>
      <c r="L1519" s="23">
        <f t="shared" si="266"/>
        <v>14.9625</v>
      </c>
      <c r="M1519" s="23">
        <v>5</v>
      </c>
      <c r="N1519" s="18">
        <f t="shared" si="263"/>
        <v>15.178082191780822</v>
      </c>
      <c r="O1519" s="23">
        <v>2842.875</v>
      </c>
      <c r="P1519" s="18">
        <f t="shared" si="264"/>
        <v>15.67945205479452</v>
      </c>
      <c r="Q1519" s="18">
        <v>0</v>
      </c>
      <c r="R1519" s="18">
        <f t="shared" si="261"/>
        <v>2842.875</v>
      </c>
      <c r="S1519" s="18">
        <f t="shared" si="260"/>
        <v>14.9625</v>
      </c>
    </row>
    <row r="1520" spans="1:19" ht="18.75" customHeight="1" x14ac:dyDescent="0.25">
      <c r="A1520" s="14">
        <f t="shared" si="265"/>
        <v>1514</v>
      </c>
      <c r="B1520" s="21" t="s">
        <v>1348</v>
      </c>
      <c r="C1520" s="15" t="s">
        <v>3</v>
      </c>
      <c r="D1520" s="21" t="s">
        <v>1200</v>
      </c>
      <c r="E1520" s="21"/>
      <c r="F1520" s="69" t="s">
        <v>4</v>
      </c>
      <c r="G1520" s="9">
        <v>38718</v>
      </c>
      <c r="H1520" s="22">
        <v>738.51549999999952</v>
      </c>
      <c r="I1520" s="17">
        <v>0</v>
      </c>
      <c r="J1520" s="17">
        <v>0</v>
      </c>
      <c r="K1520" s="17">
        <f t="shared" si="262"/>
        <v>738.51549999999952</v>
      </c>
      <c r="L1520" s="23">
        <f t="shared" si="266"/>
        <v>36.92577499999998</v>
      </c>
      <c r="M1520" s="23">
        <v>5</v>
      </c>
      <c r="N1520" s="18">
        <f t="shared" si="263"/>
        <v>15.260273972602739</v>
      </c>
      <c r="O1520" s="23">
        <v>7015.89725</v>
      </c>
      <c r="P1520" s="18">
        <f t="shared" si="264"/>
        <v>15.761643835616438</v>
      </c>
      <c r="Q1520" s="18">
        <v>0</v>
      </c>
      <c r="R1520" s="18">
        <f t="shared" si="261"/>
        <v>7015.89725</v>
      </c>
      <c r="S1520" s="18">
        <f t="shared" si="260"/>
        <v>36.92577499999998</v>
      </c>
    </row>
    <row r="1521" spans="1:19" ht="18.75" customHeight="1" x14ac:dyDescent="0.25">
      <c r="A1521" s="14">
        <f t="shared" si="265"/>
        <v>1515</v>
      </c>
      <c r="B1521" s="21" t="s">
        <v>1349</v>
      </c>
      <c r="C1521" s="15" t="s">
        <v>3</v>
      </c>
      <c r="D1521" s="21" t="s">
        <v>1200</v>
      </c>
      <c r="E1521" s="21"/>
      <c r="F1521" s="69" t="s">
        <v>4</v>
      </c>
      <c r="G1521" s="9">
        <v>38718</v>
      </c>
      <c r="H1521" s="22">
        <v>113.07000000000016</v>
      </c>
      <c r="I1521" s="17">
        <v>0</v>
      </c>
      <c r="J1521" s="17">
        <v>0</v>
      </c>
      <c r="K1521" s="17">
        <f t="shared" si="262"/>
        <v>113.07000000000016</v>
      </c>
      <c r="L1521" s="23">
        <f t="shared" si="266"/>
        <v>5.6535000000000082</v>
      </c>
      <c r="M1521" s="23">
        <v>5</v>
      </c>
      <c r="N1521" s="18">
        <f t="shared" si="263"/>
        <v>15.260273972602739</v>
      </c>
      <c r="O1521" s="23">
        <v>1074.165</v>
      </c>
      <c r="P1521" s="18">
        <f t="shared" si="264"/>
        <v>15.761643835616438</v>
      </c>
      <c r="Q1521" s="18">
        <v>0</v>
      </c>
      <c r="R1521" s="18">
        <f t="shared" si="261"/>
        <v>1074.165</v>
      </c>
      <c r="S1521" s="18">
        <f t="shared" si="260"/>
        <v>5.6535000000000082</v>
      </c>
    </row>
    <row r="1522" spans="1:19" ht="18.75" customHeight="1" x14ac:dyDescent="0.25">
      <c r="A1522" s="14">
        <f t="shared" si="265"/>
        <v>1516</v>
      </c>
      <c r="B1522" s="21" t="s">
        <v>1350</v>
      </c>
      <c r="C1522" s="15" t="s">
        <v>3</v>
      </c>
      <c r="D1522" s="21" t="s">
        <v>1200</v>
      </c>
      <c r="E1522" s="21"/>
      <c r="F1522" s="69" t="s">
        <v>4</v>
      </c>
      <c r="G1522" s="9">
        <v>38718</v>
      </c>
      <c r="H1522" s="22">
        <v>124.5</v>
      </c>
      <c r="I1522" s="17">
        <v>0</v>
      </c>
      <c r="J1522" s="17">
        <v>0</v>
      </c>
      <c r="K1522" s="17">
        <f t="shared" si="262"/>
        <v>124.5</v>
      </c>
      <c r="L1522" s="23">
        <f t="shared" si="266"/>
        <v>6.2250000000000005</v>
      </c>
      <c r="M1522" s="23">
        <v>5</v>
      </c>
      <c r="N1522" s="18">
        <f t="shared" si="263"/>
        <v>15.260273972602739</v>
      </c>
      <c r="O1522" s="23">
        <v>1182.75</v>
      </c>
      <c r="P1522" s="18">
        <f t="shared" si="264"/>
        <v>15.761643835616438</v>
      </c>
      <c r="Q1522" s="18">
        <v>0</v>
      </c>
      <c r="R1522" s="18">
        <f t="shared" si="261"/>
        <v>1182.75</v>
      </c>
      <c r="S1522" s="18">
        <f t="shared" si="260"/>
        <v>6.2250000000000005</v>
      </c>
    </row>
    <row r="1523" spans="1:19" ht="18.75" customHeight="1" x14ac:dyDescent="0.25">
      <c r="A1523" s="14">
        <f t="shared" si="265"/>
        <v>1517</v>
      </c>
      <c r="B1523" s="21" t="s">
        <v>1351</v>
      </c>
      <c r="C1523" s="15" t="s">
        <v>3</v>
      </c>
      <c r="D1523" s="21" t="s">
        <v>1200</v>
      </c>
      <c r="E1523" s="21"/>
      <c r="F1523" s="69" t="s">
        <v>4</v>
      </c>
      <c r="G1523" s="9">
        <v>38718</v>
      </c>
      <c r="H1523" s="22">
        <v>1115.3315000000002</v>
      </c>
      <c r="I1523" s="17">
        <v>0</v>
      </c>
      <c r="J1523" s="17">
        <v>0</v>
      </c>
      <c r="K1523" s="17">
        <f t="shared" si="262"/>
        <v>1115.3315000000002</v>
      </c>
      <c r="L1523" s="23">
        <f t="shared" si="266"/>
        <v>55.766575000000017</v>
      </c>
      <c r="M1523" s="23">
        <v>5</v>
      </c>
      <c r="N1523" s="18">
        <f t="shared" si="263"/>
        <v>15.260273972602739</v>
      </c>
      <c r="O1523" s="23">
        <v>10595.64925</v>
      </c>
      <c r="P1523" s="18">
        <f t="shared" si="264"/>
        <v>15.761643835616438</v>
      </c>
      <c r="Q1523" s="18">
        <v>0</v>
      </c>
      <c r="R1523" s="18">
        <f t="shared" si="261"/>
        <v>10595.64925</v>
      </c>
      <c r="S1523" s="18">
        <f t="shared" si="260"/>
        <v>55.766575000000017</v>
      </c>
    </row>
    <row r="1524" spans="1:19" ht="18.75" customHeight="1" x14ac:dyDescent="0.25">
      <c r="A1524" s="14">
        <f t="shared" si="265"/>
        <v>1518</v>
      </c>
      <c r="B1524" s="21" t="s">
        <v>1352</v>
      </c>
      <c r="C1524" s="15" t="s">
        <v>3</v>
      </c>
      <c r="D1524" s="21" t="s">
        <v>1200</v>
      </c>
      <c r="E1524" s="21"/>
      <c r="F1524" s="69" t="s">
        <v>4</v>
      </c>
      <c r="G1524" s="9">
        <v>38718</v>
      </c>
      <c r="H1524" s="22">
        <v>109.51650000000018</v>
      </c>
      <c r="I1524" s="17">
        <v>0</v>
      </c>
      <c r="J1524" s="17">
        <v>0</v>
      </c>
      <c r="K1524" s="17">
        <f t="shared" si="262"/>
        <v>109.51650000000018</v>
      </c>
      <c r="L1524" s="23">
        <f t="shared" si="266"/>
        <v>5.4758250000000093</v>
      </c>
      <c r="M1524" s="23">
        <v>5</v>
      </c>
      <c r="N1524" s="18">
        <f t="shared" si="263"/>
        <v>15.260273972602739</v>
      </c>
      <c r="O1524" s="23">
        <v>1040.4067499999999</v>
      </c>
      <c r="P1524" s="18">
        <f t="shared" si="264"/>
        <v>15.761643835616438</v>
      </c>
      <c r="Q1524" s="18">
        <v>0</v>
      </c>
      <c r="R1524" s="18">
        <f t="shared" si="261"/>
        <v>1040.4067499999999</v>
      </c>
      <c r="S1524" s="18">
        <f t="shared" si="260"/>
        <v>5.4758250000000093</v>
      </c>
    </row>
    <row r="1525" spans="1:19" ht="18.75" customHeight="1" x14ac:dyDescent="0.25">
      <c r="A1525" s="14">
        <f t="shared" si="265"/>
        <v>1519</v>
      </c>
      <c r="B1525" s="21" t="s">
        <v>1243</v>
      </c>
      <c r="C1525" s="15" t="s">
        <v>3</v>
      </c>
      <c r="D1525" s="21" t="s">
        <v>1200</v>
      </c>
      <c r="E1525" s="21"/>
      <c r="F1525" s="69" t="s">
        <v>4</v>
      </c>
      <c r="G1525" s="9">
        <v>38714</v>
      </c>
      <c r="H1525" s="22">
        <v>2696.6065000000017</v>
      </c>
      <c r="I1525" s="17">
        <v>0</v>
      </c>
      <c r="J1525" s="17">
        <v>0</v>
      </c>
      <c r="K1525" s="17">
        <f t="shared" si="262"/>
        <v>2696.6065000000017</v>
      </c>
      <c r="L1525" s="23">
        <f t="shared" si="266"/>
        <v>134.8303250000001</v>
      </c>
      <c r="M1525" s="23">
        <v>3</v>
      </c>
      <c r="N1525" s="18">
        <f t="shared" si="263"/>
        <v>15.271232876712329</v>
      </c>
      <c r="O1525" s="23">
        <v>25617.761749999998</v>
      </c>
      <c r="P1525" s="18">
        <f t="shared" si="264"/>
        <v>15.772602739726027</v>
      </c>
      <c r="Q1525" s="18">
        <v>0</v>
      </c>
      <c r="R1525" s="18">
        <f t="shared" si="261"/>
        <v>25617.761749999998</v>
      </c>
      <c r="S1525" s="18">
        <f t="shared" si="260"/>
        <v>134.8303250000001</v>
      </c>
    </row>
    <row r="1526" spans="1:19" ht="18.75" customHeight="1" x14ac:dyDescent="0.25">
      <c r="A1526" s="14">
        <f t="shared" si="265"/>
        <v>1520</v>
      </c>
      <c r="B1526" s="21" t="s">
        <v>1243</v>
      </c>
      <c r="C1526" s="15" t="s">
        <v>3</v>
      </c>
      <c r="D1526" s="21" t="s">
        <v>1200</v>
      </c>
      <c r="E1526" s="21"/>
      <c r="F1526" s="69" t="s">
        <v>4</v>
      </c>
      <c r="G1526" s="9">
        <v>38714</v>
      </c>
      <c r="H1526" s="22">
        <v>19928.353000000003</v>
      </c>
      <c r="I1526" s="17">
        <v>0</v>
      </c>
      <c r="J1526" s="17">
        <v>0</v>
      </c>
      <c r="K1526" s="17">
        <f t="shared" si="262"/>
        <v>19928.353000000003</v>
      </c>
      <c r="L1526" s="23">
        <f t="shared" si="266"/>
        <v>996.41765000000021</v>
      </c>
      <c r="M1526" s="23">
        <v>3</v>
      </c>
      <c r="N1526" s="18">
        <f t="shared" si="263"/>
        <v>15.271232876712329</v>
      </c>
      <c r="O1526" s="23">
        <v>189319.3535</v>
      </c>
      <c r="P1526" s="18">
        <f t="shared" si="264"/>
        <v>15.772602739726027</v>
      </c>
      <c r="Q1526" s="18">
        <v>0</v>
      </c>
      <c r="R1526" s="18">
        <f t="shared" si="261"/>
        <v>189319.3535</v>
      </c>
      <c r="S1526" s="18">
        <f t="shared" si="260"/>
        <v>996.41765000000021</v>
      </c>
    </row>
    <row r="1527" spans="1:19" ht="18.75" customHeight="1" x14ac:dyDescent="0.25">
      <c r="A1527" s="14">
        <f t="shared" si="265"/>
        <v>1521</v>
      </c>
      <c r="B1527" s="21" t="s">
        <v>1353</v>
      </c>
      <c r="C1527" s="15" t="s">
        <v>3</v>
      </c>
      <c r="D1527" s="21" t="s">
        <v>1200</v>
      </c>
      <c r="E1527" s="21"/>
      <c r="F1527" s="69" t="s">
        <v>4</v>
      </c>
      <c r="G1527" s="9">
        <v>38709</v>
      </c>
      <c r="H1527" s="22">
        <v>12460.809999999998</v>
      </c>
      <c r="I1527" s="17">
        <v>0</v>
      </c>
      <c r="J1527" s="17">
        <v>0</v>
      </c>
      <c r="K1527" s="17">
        <f t="shared" si="262"/>
        <v>12460.809999999998</v>
      </c>
      <c r="L1527" s="23">
        <f t="shared" si="266"/>
        <v>623.04049999999995</v>
      </c>
      <c r="M1527" s="23">
        <v>5</v>
      </c>
      <c r="N1527" s="18">
        <f t="shared" si="263"/>
        <v>15.284931506849315</v>
      </c>
      <c r="O1527" s="23">
        <v>118377.69500000001</v>
      </c>
      <c r="P1527" s="18">
        <f t="shared" si="264"/>
        <v>15.786301369863013</v>
      </c>
      <c r="Q1527" s="18">
        <v>0</v>
      </c>
      <c r="R1527" s="18">
        <f t="shared" si="261"/>
        <v>118377.69500000001</v>
      </c>
      <c r="S1527" s="18">
        <f t="shared" si="260"/>
        <v>623.04049999999995</v>
      </c>
    </row>
    <row r="1528" spans="1:19" ht="18.75" customHeight="1" x14ac:dyDescent="0.25">
      <c r="A1528" s="14">
        <f t="shared" si="265"/>
        <v>1522</v>
      </c>
      <c r="B1528" s="21" t="s">
        <v>1354</v>
      </c>
      <c r="C1528" s="15" t="s">
        <v>3</v>
      </c>
      <c r="D1528" s="21" t="s">
        <v>1200</v>
      </c>
      <c r="E1528" s="21"/>
      <c r="F1528" s="69" t="s">
        <v>4</v>
      </c>
      <c r="G1528" s="9">
        <v>38686</v>
      </c>
      <c r="H1528" s="22">
        <v>7060.68299999999</v>
      </c>
      <c r="I1528" s="17">
        <v>0</v>
      </c>
      <c r="J1528" s="17">
        <v>0</v>
      </c>
      <c r="K1528" s="17">
        <f t="shared" si="262"/>
        <v>7060.68299999999</v>
      </c>
      <c r="L1528" s="23">
        <f t="shared" si="266"/>
        <v>353.0341499999995</v>
      </c>
      <c r="M1528" s="23">
        <v>5</v>
      </c>
      <c r="N1528" s="18">
        <f t="shared" si="263"/>
        <v>15.347945205479451</v>
      </c>
      <c r="O1528" s="23">
        <v>67076.488500000007</v>
      </c>
      <c r="P1528" s="18">
        <f t="shared" si="264"/>
        <v>15.849315068493151</v>
      </c>
      <c r="Q1528" s="18">
        <v>0</v>
      </c>
      <c r="R1528" s="18">
        <f t="shared" si="261"/>
        <v>67076.488500000007</v>
      </c>
      <c r="S1528" s="18">
        <f t="shared" si="260"/>
        <v>353.0341499999995</v>
      </c>
    </row>
    <row r="1529" spans="1:19" ht="18.75" customHeight="1" x14ac:dyDescent="0.25">
      <c r="A1529" s="14">
        <f t="shared" si="265"/>
        <v>1523</v>
      </c>
      <c r="B1529" s="21" t="s">
        <v>1343</v>
      </c>
      <c r="C1529" s="15" t="s">
        <v>3</v>
      </c>
      <c r="D1529" s="21" t="s">
        <v>1200</v>
      </c>
      <c r="E1529" s="21"/>
      <c r="F1529" s="69" t="s">
        <v>4</v>
      </c>
      <c r="G1529" s="9">
        <v>38668</v>
      </c>
      <c r="H1529" s="22">
        <v>392.5</v>
      </c>
      <c r="I1529" s="17">
        <v>0</v>
      </c>
      <c r="J1529" s="17">
        <v>0</v>
      </c>
      <c r="K1529" s="17">
        <f t="shared" si="262"/>
        <v>392.5</v>
      </c>
      <c r="L1529" s="23">
        <f t="shared" si="266"/>
        <v>19.625</v>
      </c>
      <c r="M1529" s="23">
        <v>5</v>
      </c>
      <c r="N1529" s="18">
        <f t="shared" si="263"/>
        <v>15.397260273972602</v>
      </c>
      <c r="O1529" s="23">
        <v>3728.75</v>
      </c>
      <c r="P1529" s="18">
        <f t="shared" si="264"/>
        <v>15.898630136986302</v>
      </c>
      <c r="Q1529" s="18">
        <v>0</v>
      </c>
      <c r="R1529" s="18">
        <f t="shared" si="261"/>
        <v>3728.75</v>
      </c>
      <c r="S1529" s="18">
        <f t="shared" si="260"/>
        <v>19.625</v>
      </c>
    </row>
    <row r="1530" spans="1:19" ht="18.75" customHeight="1" x14ac:dyDescent="0.25">
      <c r="A1530" s="14">
        <f t="shared" si="265"/>
        <v>1524</v>
      </c>
      <c r="B1530" s="21" t="s">
        <v>1204</v>
      </c>
      <c r="C1530" s="15" t="s">
        <v>3</v>
      </c>
      <c r="D1530" s="21" t="s">
        <v>1200</v>
      </c>
      <c r="E1530" s="21"/>
      <c r="F1530" s="69" t="s">
        <v>4</v>
      </c>
      <c r="G1530" s="9">
        <v>38627</v>
      </c>
      <c r="H1530" s="22">
        <v>773.33350000000064</v>
      </c>
      <c r="I1530" s="17">
        <v>0</v>
      </c>
      <c r="J1530" s="17">
        <v>0</v>
      </c>
      <c r="K1530" s="17">
        <f t="shared" si="262"/>
        <v>773.33350000000064</v>
      </c>
      <c r="L1530" s="23">
        <f t="shared" si="266"/>
        <v>38.666675000000033</v>
      </c>
      <c r="M1530" s="23">
        <v>5</v>
      </c>
      <c r="N1530" s="18">
        <f t="shared" si="263"/>
        <v>15.509589041095891</v>
      </c>
      <c r="O1530" s="23">
        <v>7346.6682499999997</v>
      </c>
      <c r="P1530" s="18">
        <f t="shared" si="264"/>
        <v>16.010958904109589</v>
      </c>
      <c r="Q1530" s="18">
        <v>0</v>
      </c>
      <c r="R1530" s="18">
        <f t="shared" si="261"/>
        <v>7346.6682499999997</v>
      </c>
      <c r="S1530" s="18">
        <f t="shared" si="260"/>
        <v>38.666675000000033</v>
      </c>
    </row>
    <row r="1531" spans="1:19" ht="18.75" customHeight="1" x14ac:dyDescent="0.25">
      <c r="A1531" s="14">
        <f t="shared" si="265"/>
        <v>1525</v>
      </c>
      <c r="B1531" s="21" t="s">
        <v>1204</v>
      </c>
      <c r="C1531" s="15" t="s">
        <v>3</v>
      </c>
      <c r="D1531" s="21" t="s">
        <v>1200</v>
      </c>
      <c r="E1531" s="21"/>
      <c r="F1531" s="69" t="s">
        <v>4</v>
      </c>
      <c r="G1531" s="9">
        <v>38627</v>
      </c>
      <c r="H1531" s="22">
        <v>1546.6670000000013</v>
      </c>
      <c r="I1531" s="17">
        <v>0</v>
      </c>
      <c r="J1531" s="17">
        <v>0</v>
      </c>
      <c r="K1531" s="17">
        <f t="shared" si="262"/>
        <v>1546.6670000000013</v>
      </c>
      <c r="L1531" s="23">
        <f t="shared" si="266"/>
        <v>77.333350000000067</v>
      </c>
      <c r="M1531" s="23">
        <v>5</v>
      </c>
      <c r="N1531" s="18">
        <f t="shared" si="263"/>
        <v>15.509589041095891</v>
      </c>
      <c r="O1531" s="23">
        <v>14693.336499999999</v>
      </c>
      <c r="P1531" s="18">
        <f t="shared" si="264"/>
        <v>16.010958904109589</v>
      </c>
      <c r="Q1531" s="18">
        <v>0</v>
      </c>
      <c r="R1531" s="18">
        <f t="shared" si="261"/>
        <v>14693.336499999999</v>
      </c>
      <c r="S1531" s="18">
        <f t="shared" si="260"/>
        <v>77.333350000000067</v>
      </c>
    </row>
    <row r="1532" spans="1:19" ht="18.75" customHeight="1" x14ac:dyDescent="0.25">
      <c r="A1532" s="14">
        <f t="shared" si="265"/>
        <v>1526</v>
      </c>
      <c r="B1532" s="21" t="s">
        <v>1243</v>
      </c>
      <c r="C1532" s="15" t="s">
        <v>3</v>
      </c>
      <c r="D1532" s="21" t="s">
        <v>1200</v>
      </c>
      <c r="E1532" s="21"/>
      <c r="F1532" s="69" t="s">
        <v>4</v>
      </c>
      <c r="G1532" s="9">
        <v>38618</v>
      </c>
      <c r="H1532" s="22">
        <v>18752.5</v>
      </c>
      <c r="I1532" s="17">
        <v>0</v>
      </c>
      <c r="J1532" s="17">
        <v>0</v>
      </c>
      <c r="K1532" s="17">
        <f t="shared" si="262"/>
        <v>18752.5</v>
      </c>
      <c r="L1532" s="23">
        <f t="shared" si="266"/>
        <v>937.625</v>
      </c>
      <c r="M1532" s="23">
        <v>3</v>
      </c>
      <c r="N1532" s="18">
        <f t="shared" si="263"/>
        <v>15.534246575342467</v>
      </c>
      <c r="O1532" s="23">
        <v>178148.75</v>
      </c>
      <c r="P1532" s="18">
        <f t="shared" si="264"/>
        <v>16.035616438356165</v>
      </c>
      <c r="Q1532" s="18">
        <v>0</v>
      </c>
      <c r="R1532" s="18">
        <f t="shared" si="261"/>
        <v>178148.75</v>
      </c>
      <c r="S1532" s="18">
        <f t="shared" si="260"/>
        <v>937.625</v>
      </c>
    </row>
    <row r="1533" spans="1:19" ht="18.75" customHeight="1" x14ac:dyDescent="0.25">
      <c r="A1533" s="14">
        <f t="shared" si="265"/>
        <v>1527</v>
      </c>
      <c r="B1533" s="21" t="s">
        <v>1355</v>
      </c>
      <c r="C1533" s="15" t="s">
        <v>3</v>
      </c>
      <c r="D1533" s="21" t="s">
        <v>1200</v>
      </c>
      <c r="E1533" s="21"/>
      <c r="F1533" s="69" t="s">
        <v>4</v>
      </c>
      <c r="G1533" s="9">
        <v>38561</v>
      </c>
      <c r="H1533" s="22">
        <v>1907.4000000000015</v>
      </c>
      <c r="I1533" s="17">
        <v>0</v>
      </c>
      <c r="J1533" s="17">
        <v>0</v>
      </c>
      <c r="K1533" s="17">
        <f t="shared" si="262"/>
        <v>1907.4000000000015</v>
      </c>
      <c r="L1533" s="23">
        <f t="shared" si="266"/>
        <v>95.370000000000076</v>
      </c>
      <c r="M1533" s="23">
        <v>3</v>
      </c>
      <c r="N1533" s="18">
        <f t="shared" si="263"/>
        <v>15.69041095890411</v>
      </c>
      <c r="O1533" s="23">
        <v>18120.3</v>
      </c>
      <c r="P1533" s="18">
        <f t="shared" si="264"/>
        <v>16.19178082191781</v>
      </c>
      <c r="Q1533" s="18">
        <v>0</v>
      </c>
      <c r="R1533" s="18">
        <f t="shared" si="261"/>
        <v>18120.3</v>
      </c>
      <c r="S1533" s="18">
        <f t="shared" si="260"/>
        <v>95.370000000000076</v>
      </c>
    </row>
    <row r="1534" spans="1:19" ht="18.75" customHeight="1" x14ac:dyDescent="0.25">
      <c r="A1534" s="14">
        <f t="shared" si="265"/>
        <v>1528</v>
      </c>
      <c r="B1534" s="21" t="s">
        <v>1356</v>
      </c>
      <c r="C1534" s="15" t="s">
        <v>3</v>
      </c>
      <c r="D1534" s="21" t="s">
        <v>1200</v>
      </c>
      <c r="E1534" s="21"/>
      <c r="F1534" s="69" t="s">
        <v>4</v>
      </c>
      <c r="G1534" s="9">
        <v>38533</v>
      </c>
      <c r="H1534" s="22">
        <v>305</v>
      </c>
      <c r="I1534" s="17">
        <v>0</v>
      </c>
      <c r="J1534" s="17">
        <v>0</v>
      </c>
      <c r="K1534" s="17">
        <f t="shared" si="262"/>
        <v>305</v>
      </c>
      <c r="L1534" s="23">
        <f t="shared" si="266"/>
        <v>15.25</v>
      </c>
      <c r="M1534" s="23">
        <v>3</v>
      </c>
      <c r="N1534" s="18">
        <f t="shared" si="263"/>
        <v>15.767123287671232</v>
      </c>
      <c r="O1534" s="23">
        <v>2897.5</v>
      </c>
      <c r="P1534" s="18">
        <f t="shared" si="264"/>
        <v>16.268493150684932</v>
      </c>
      <c r="Q1534" s="18">
        <v>0</v>
      </c>
      <c r="R1534" s="18">
        <f t="shared" si="261"/>
        <v>2897.5</v>
      </c>
      <c r="S1534" s="18">
        <f t="shared" si="260"/>
        <v>15.25</v>
      </c>
    </row>
    <row r="1535" spans="1:19" ht="18.75" customHeight="1" x14ac:dyDescent="0.25">
      <c r="A1535" s="14">
        <f t="shared" si="265"/>
        <v>1529</v>
      </c>
      <c r="B1535" s="21" t="s">
        <v>1356</v>
      </c>
      <c r="C1535" s="15" t="s">
        <v>3</v>
      </c>
      <c r="D1535" s="21" t="s">
        <v>1200</v>
      </c>
      <c r="E1535" s="21"/>
      <c r="F1535" s="69" t="s">
        <v>4</v>
      </c>
      <c r="G1535" s="9">
        <v>38518</v>
      </c>
      <c r="H1535" s="22">
        <v>2500</v>
      </c>
      <c r="I1535" s="17">
        <v>0</v>
      </c>
      <c r="J1535" s="17">
        <v>0</v>
      </c>
      <c r="K1535" s="17">
        <f t="shared" si="262"/>
        <v>2500</v>
      </c>
      <c r="L1535" s="23">
        <f t="shared" si="266"/>
        <v>125</v>
      </c>
      <c r="M1535" s="23">
        <v>3</v>
      </c>
      <c r="N1535" s="18">
        <f t="shared" si="263"/>
        <v>15.808219178082192</v>
      </c>
      <c r="O1535" s="23">
        <v>23750</v>
      </c>
      <c r="P1535" s="18">
        <f t="shared" si="264"/>
        <v>16.30958904109589</v>
      </c>
      <c r="Q1535" s="18">
        <v>0</v>
      </c>
      <c r="R1535" s="18">
        <f t="shared" si="261"/>
        <v>23750</v>
      </c>
      <c r="S1535" s="18">
        <f t="shared" ref="S1535:S1598" si="267">L1535</f>
        <v>125</v>
      </c>
    </row>
    <row r="1536" spans="1:19" ht="18.75" customHeight="1" x14ac:dyDescent="0.25">
      <c r="A1536" s="14">
        <f t="shared" si="265"/>
        <v>1530</v>
      </c>
      <c r="B1536" s="21" t="s">
        <v>1357</v>
      </c>
      <c r="C1536" s="15" t="s">
        <v>3</v>
      </c>
      <c r="D1536" s="21" t="s">
        <v>1200</v>
      </c>
      <c r="E1536" s="21"/>
      <c r="F1536" s="69" t="s">
        <v>4</v>
      </c>
      <c r="G1536" s="9">
        <v>38508</v>
      </c>
      <c r="H1536" s="22">
        <v>875</v>
      </c>
      <c r="I1536" s="17">
        <v>0</v>
      </c>
      <c r="J1536" s="17">
        <v>0</v>
      </c>
      <c r="K1536" s="17">
        <f t="shared" si="262"/>
        <v>875</v>
      </c>
      <c r="L1536" s="23">
        <f t="shared" si="266"/>
        <v>43.75</v>
      </c>
      <c r="M1536" s="23">
        <v>5</v>
      </c>
      <c r="N1536" s="18">
        <f t="shared" si="263"/>
        <v>15.835616438356164</v>
      </c>
      <c r="O1536" s="23">
        <v>8312.5</v>
      </c>
      <c r="P1536" s="18">
        <f t="shared" si="264"/>
        <v>16.336986301369862</v>
      </c>
      <c r="Q1536" s="18">
        <v>0</v>
      </c>
      <c r="R1536" s="18">
        <f t="shared" si="261"/>
        <v>8312.5</v>
      </c>
      <c r="S1536" s="18">
        <f t="shared" si="267"/>
        <v>43.75</v>
      </c>
    </row>
    <row r="1537" spans="1:19" ht="18.75" customHeight="1" x14ac:dyDescent="0.25">
      <c r="A1537" s="14">
        <f t="shared" si="265"/>
        <v>1531</v>
      </c>
      <c r="B1537" s="21" t="s">
        <v>1355</v>
      </c>
      <c r="C1537" s="15" t="s">
        <v>3</v>
      </c>
      <c r="D1537" s="21" t="s">
        <v>1200</v>
      </c>
      <c r="E1537" s="21"/>
      <c r="F1537" s="69" t="s">
        <v>4</v>
      </c>
      <c r="G1537" s="9">
        <v>38467</v>
      </c>
      <c r="H1537" s="22">
        <v>4065.3999999999942</v>
      </c>
      <c r="I1537" s="17">
        <v>0</v>
      </c>
      <c r="J1537" s="17">
        <v>0</v>
      </c>
      <c r="K1537" s="17">
        <f t="shared" si="262"/>
        <v>4065.3999999999942</v>
      </c>
      <c r="L1537" s="23">
        <f t="shared" si="266"/>
        <v>203.26999999999973</v>
      </c>
      <c r="M1537" s="23">
        <v>3</v>
      </c>
      <c r="N1537" s="18">
        <f t="shared" si="263"/>
        <v>15.947945205479453</v>
      </c>
      <c r="O1537" s="23">
        <v>38621.300000000003</v>
      </c>
      <c r="P1537" s="18">
        <f t="shared" si="264"/>
        <v>16.449315068493149</v>
      </c>
      <c r="Q1537" s="18">
        <v>0</v>
      </c>
      <c r="R1537" s="18">
        <f t="shared" si="261"/>
        <v>38621.300000000003</v>
      </c>
      <c r="S1537" s="18">
        <f t="shared" si="267"/>
        <v>203.26999999999973</v>
      </c>
    </row>
    <row r="1538" spans="1:19" ht="18.75" customHeight="1" x14ac:dyDescent="0.25">
      <c r="A1538" s="14">
        <f t="shared" si="265"/>
        <v>1532</v>
      </c>
      <c r="B1538" s="21" t="s">
        <v>1358</v>
      </c>
      <c r="C1538" s="15" t="s">
        <v>3</v>
      </c>
      <c r="D1538" s="21" t="s">
        <v>1200</v>
      </c>
      <c r="E1538" s="21"/>
      <c r="F1538" s="69" t="s">
        <v>4</v>
      </c>
      <c r="G1538" s="9">
        <v>38457</v>
      </c>
      <c r="H1538" s="22">
        <v>596.5</v>
      </c>
      <c r="I1538" s="17">
        <v>0</v>
      </c>
      <c r="J1538" s="17">
        <v>0</v>
      </c>
      <c r="K1538" s="17">
        <f t="shared" si="262"/>
        <v>596.5</v>
      </c>
      <c r="L1538" s="23">
        <f t="shared" si="266"/>
        <v>29.825000000000003</v>
      </c>
      <c r="M1538" s="23">
        <v>5</v>
      </c>
      <c r="N1538" s="18">
        <f t="shared" si="263"/>
        <v>15.975342465753425</v>
      </c>
      <c r="O1538" s="23">
        <v>5666.75</v>
      </c>
      <c r="P1538" s="18">
        <f t="shared" si="264"/>
        <v>16.476712328767125</v>
      </c>
      <c r="Q1538" s="18">
        <v>0</v>
      </c>
      <c r="R1538" s="18">
        <f t="shared" si="261"/>
        <v>5666.75</v>
      </c>
      <c r="S1538" s="18">
        <f t="shared" si="267"/>
        <v>29.825000000000003</v>
      </c>
    </row>
    <row r="1539" spans="1:19" ht="18.75" customHeight="1" x14ac:dyDescent="0.25">
      <c r="A1539" s="14">
        <f t="shared" si="265"/>
        <v>1533</v>
      </c>
      <c r="B1539" s="21" t="s">
        <v>1359</v>
      </c>
      <c r="C1539" s="15" t="s">
        <v>3</v>
      </c>
      <c r="D1539" s="21" t="s">
        <v>1200</v>
      </c>
      <c r="E1539" s="21"/>
      <c r="F1539" s="69" t="s">
        <v>4</v>
      </c>
      <c r="G1539" s="9">
        <v>38453</v>
      </c>
      <c r="H1539" s="22">
        <v>79.200000000000045</v>
      </c>
      <c r="I1539" s="17">
        <v>0</v>
      </c>
      <c r="J1539" s="17">
        <v>0</v>
      </c>
      <c r="K1539" s="17">
        <f t="shared" si="262"/>
        <v>79.200000000000045</v>
      </c>
      <c r="L1539" s="23">
        <f t="shared" si="266"/>
        <v>3.9600000000000026</v>
      </c>
      <c r="M1539" s="23">
        <v>10</v>
      </c>
      <c r="N1539" s="18">
        <f t="shared" si="263"/>
        <v>15.986301369863014</v>
      </c>
      <c r="O1539" s="23">
        <v>752.4</v>
      </c>
      <c r="P1539" s="18">
        <f t="shared" si="264"/>
        <v>16.487671232876714</v>
      </c>
      <c r="Q1539" s="18">
        <v>0</v>
      </c>
      <c r="R1539" s="18">
        <f t="shared" si="261"/>
        <v>752.4</v>
      </c>
      <c r="S1539" s="18">
        <f t="shared" si="267"/>
        <v>3.9600000000000026</v>
      </c>
    </row>
    <row r="1540" spans="1:19" ht="18.75" customHeight="1" x14ac:dyDescent="0.25">
      <c r="A1540" s="14">
        <f t="shared" si="265"/>
        <v>1534</v>
      </c>
      <c r="B1540" s="21" t="s">
        <v>1360</v>
      </c>
      <c r="C1540" s="15" t="s">
        <v>3</v>
      </c>
      <c r="D1540" s="21" t="s">
        <v>1200</v>
      </c>
      <c r="E1540" s="21"/>
      <c r="F1540" s="69" t="s">
        <v>4</v>
      </c>
      <c r="G1540" s="9">
        <v>38444</v>
      </c>
      <c r="H1540" s="22">
        <v>6876</v>
      </c>
      <c r="I1540" s="17">
        <v>0</v>
      </c>
      <c r="J1540" s="17">
        <v>0</v>
      </c>
      <c r="K1540" s="17">
        <f t="shared" si="262"/>
        <v>6876</v>
      </c>
      <c r="L1540" s="23">
        <f t="shared" si="266"/>
        <v>343.8</v>
      </c>
      <c r="M1540" s="23">
        <v>3</v>
      </c>
      <c r="N1540" s="18">
        <f t="shared" si="263"/>
        <v>16.010958904109589</v>
      </c>
      <c r="O1540" s="23">
        <v>65322</v>
      </c>
      <c r="P1540" s="18">
        <f t="shared" si="264"/>
        <v>16.512328767123286</v>
      </c>
      <c r="Q1540" s="18">
        <v>0</v>
      </c>
      <c r="R1540" s="18">
        <f t="shared" ref="R1540:R1603" si="268">Q1540+O1540</f>
        <v>65322</v>
      </c>
      <c r="S1540" s="18">
        <f t="shared" si="267"/>
        <v>343.8</v>
      </c>
    </row>
    <row r="1541" spans="1:19" ht="18.75" customHeight="1" x14ac:dyDescent="0.25">
      <c r="A1541" s="14">
        <f t="shared" si="265"/>
        <v>1535</v>
      </c>
      <c r="B1541" s="21" t="s">
        <v>1209</v>
      </c>
      <c r="C1541" s="15" t="s">
        <v>3</v>
      </c>
      <c r="D1541" s="21" t="s">
        <v>1200</v>
      </c>
      <c r="E1541" s="21"/>
      <c r="F1541" s="69" t="s">
        <v>4</v>
      </c>
      <c r="G1541" s="9">
        <v>38442</v>
      </c>
      <c r="H1541" s="22">
        <v>319.47199999999975</v>
      </c>
      <c r="I1541" s="17">
        <v>0</v>
      </c>
      <c r="J1541" s="17">
        <v>0</v>
      </c>
      <c r="K1541" s="17">
        <f t="shared" ref="K1541:K1604" si="269">H1541+I1541-J1541</f>
        <v>319.47199999999975</v>
      </c>
      <c r="L1541" s="23">
        <f t="shared" si="266"/>
        <v>15.973599999999989</v>
      </c>
      <c r="M1541" s="23">
        <v>3</v>
      </c>
      <c r="N1541" s="18">
        <f t="shared" ref="N1541:N1604" si="270">IF(($N$2-G1541+1)/365&gt;0,($N$2-G1541+1)/365,0)</f>
        <v>16.016438356164382</v>
      </c>
      <c r="O1541" s="23">
        <v>3034.9839999999999</v>
      </c>
      <c r="P1541" s="18">
        <f t="shared" ref="P1541:P1604" si="271">($P$2-G1541+1)/365</f>
        <v>16.517808219178082</v>
      </c>
      <c r="Q1541" s="18">
        <v>0</v>
      </c>
      <c r="R1541" s="18">
        <f t="shared" si="268"/>
        <v>3034.9839999999999</v>
      </c>
      <c r="S1541" s="18">
        <f t="shared" si="267"/>
        <v>15.973599999999989</v>
      </c>
    </row>
    <row r="1542" spans="1:19" ht="18.75" customHeight="1" x14ac:dyDescent="0.25">
      <c r="A1542" s="14">
        <f t="shared" ref="A1542:A1605" si="272">+A1541+1</f>
        <v>1536</v>
      </c>
      <c r="B1542" s="21" t="s">
        <v>1361</v>
      </c>
      <c r="C1542" s="15" t="s">
        <v>3</v>
      </c>
      <c r="D1542" s="21" t="s">
        <v>1200</v>
      </c>
      <c r="E1542" s="21"/>
      <c r="F1542" s="69" t="s">
        <v>4</v>
      </c>
      <c r="G1542" s="9">
        <v>38439</v>
      </c>
      <c r="H1542" s="22">
        <v>8166.5</v>
      </c>
      <c r="I1542" s="17">
        <v>0</v>
      </c>
      <c r="J1542" s="17">
        <v>0</v>
      </c>
      <c r="K1542" s="17">
        <f t="shared" si="269"/>
        <v>8166.5</v>
      </c>
      <c r="L1542" s="23">
        <f t="shared" si="266"/>
        <v>408.32500000000005</v>
      </c>
      <c r="M1542" s="23">
        <v>3</v>
      </c>
      <c r="N1542" s="18">
        <f t="shared" si="270"/>
        <v>16.024657534246575</v>
      </c>
      <c r="O1542" s="23">
        <v>77581.75</v>
      </c>
      <c r="P1542" s="18">
        <f t="shared" si="271"/>
        <v>16.526027397260275</v>
      </c>
      <c r="Q1542" s="18">
        <v>0</v>
      </c>
      <c r="R1542" s="18">
        <f t="shared" si="268"/>
        <v>77581.75</v>
      </c>
      <c r="S1542" s="18">
        <f t="shared" si="267"/>
        <v>408.32500000000005</v>
      </c>
    </row>
    <row r="1543" spans="1:19" ht="18.75" customHeight="1" x14ac:dyDescent="0.25">
      <c r="A1543" s="14">
        <f t="shared" si="272"/>
        <v>1537</v>
      </c>
      <c r="B1543" s="21" t="s">
        <v>1330</v>
      </c>
      <c r="C1543" s="15" t="s">
        <v>3</v>
      </c>
      <c r="D1543" s="21" t="s">
        <v>1200</v>
      </c>
      <c r="E1543" s="21"/>
      <c r="F1543" s="69" t="s">
        <v>4</v>
      </c>
      <c r="G1543" s="9">
        <v>38383</v>
      </c>
      <c r="H1543" s="22">
        <v>329.5</v>
      </c>
      <c r="I1543" s="17">
        <v>0</v>
      </c>
      <c r="J1543" s="17">
        <v>0</v>
      </c>
      <c r="K1543" s="17">
        <f t="shared" si="269"/>
        <v>329.5</v>
      </c>
      <c r="L1543" s="23">
        <f t="shared" si="266"/>
        <v>16.475000000000001</v>
      </c>
      <c r="M1543" s="23">
        <v>5</v>
      </c>
      <c r="N1543" s="18">
        <f t="shared" si="270"/>
        <v>16.17808219178082</v>
      </c>
      <c r="O1543" s="23">
        <v>3130.25</v>
      </c>
      <c r="P1543" s="18">
        <f t="shared" si="271"/>
        <v>16.67945205479452</v>
      </c>
      <c r="Q1543" s="18">
        <v>0</v>
      </c>
      <c r="R1543" s="18">
        <f t="shared" si="268"/>
        <v>3130.25</v>
      </c>
      <c r="S1543" s="18">
        <f t="shared" si="267"/>
        <v>16.475000000000001</v>
      </c>
    </row>
    <row r="1544" spans="1:19" ht="18.75" customHeight="1" x14ac:dyDescent="0.25">
      <c r="A1544" s="14">
        <f t="shared" si="272"/>
        <v>1538</v>
      </c>
      <c r="B1544" s="21" t="s">
        <v>1362</v>
      </c>
      <c r="C1544" s="15" t="s">
        <v>3</v>
      </c>
      <c r="D1544" s="21" t="s">
        <v>1200</v>
      </c>
      <c r="E1544" s="21"/>
      <c r="F1544" s="69" t="s">
        <v>4</v>
      </c>
      <c r="G1544" s="9">
        <v>38383</v>
      </c>
      <c r="H1544" s="22">
        <v>280</v>
      </c>
      <c r="I1544" s="17">
        <v>0</v>
      </c>
      <c r="J1544" s="17">
        <v>0</v>
      </c>
      <c r="K1544" s="17">
        <f t="shared" si="269"/>
        <v>280</v>
      </c>
      <c r="L1544" s="23">
        <f t="shared" si="266"/>
        <v>14</v>
      </c>
      <c r="M1544" s="23">
        <v>5</v>
      </c>
      <c r="N1544" s="18">
        <f t="shared" si="270"/>
        <v>16.17808219178082</v>
      </c>
      <c r="O1544" s="23">
        <v>2660</v>
      </c>
      <c r="P1544" s="18">
        <f t="shared" si="271"/>
        <v>16.67945205479452</v>
      </c>
      <c r="Q1544" s="18">
        <v>0</v>
      </c>
      <c r="R1544" s="18">
        <f t="shared" si="268"/>
        <v>2660</v>
      </c>
      <c r="S1544" s="18">
        <f t="shared" si="267"/>
        <v>14</v>
      </c>
    </row>
    <row r="1545" spans="1:19" ht="18.75" customHeight="1" x14ac:dyDescent="0.25">
      <c r="A1545" s="14">
        <f t="shared" si="272"/>
        <v>1539</v>
      </c>
      <c r="B1545" s="21" t="s">
        <v>1363</v>
      </c>
      <c r="C1545" s="15" t="s">
        <v>3</v>
      </c>
      <c r="D1545" s="21" t="s">
        <v>1200</v>
      </c>
      <c r="E1545" s="21"/>
      <c r="F1545" s="69" t="s">
        <v>4</v>
      </c>
      <c r="G1545" s="9">
        <v>38353</v>
      </c>
      <c r="H1545" s="22">
        <v>689.36050000000068</v>
      </c>
      <c r="I1545" s="17">
        <v>0</v>
      </c>
      <c r="J1545" s="17">
        <v>0</v>
      </c>
      <c r="K1545" s="17">
        <f t="shared" si="269"/>
        <v>689.36050000000068</v>
      </c>
      <c r="L1545" s="23">
        <f t="shared" si="266"/>
        <v>34.468025000000033</v>
      </c>
      <c r="M1545" s="23">
        <v>5</v>
      </c>
      <c r="N1545" s="18">
        <f t="shared" si="270"/>
        <v>16.260273972602739</v>
      </c>
      <c r="O1545" s="23">
        <v>6548.9247499999992</v>
      </c>
      <c r="P1545" s="18">
        <f t="shared" si="271"/>
        <v>16.761643835616439</v>
      </c>
      <c r="Q1545" s="18">
        <v>0</v>
      </c>
      <c r="R1545" s="18">
        <f t="shared" si="268"/>
        <v>6548.9247499999992</v>
      </c>
      <c r="S1545" s="18">
        <f t="shared" si="267"/>
        <v>34.468025000000033</v>
      </c>
    </row>
    <row r="1546" spans="1:19" ht="18.75" customHeight="1" x14ac:dyDescent="0.25">
      <c r="A1546" s="14">
        <f t="shared" si="272"/>
        <v>1540</v>
      </c>
      <c r="B1546" s="21" t="s">
        <v>1364</v>
      </c>
      <c r="C1546" s="15" t="s">
        <v>3</v>
      </c>
      <c r="D1546" s="21" t="s">
        <v>1200</v>
      </c>
      <c r="E1546" s="21"/>
      <c r="F1546" s="69" t="s">
        <v>4</v>
      </c>
      <c r="G1546" s="9">
        <v>38353</v>
      </c>
      <c r="H1546" s="22">
        <v>321.26850000000013</v>
      </c>
      <c r="I1546" s="17">
        <v>0</v>
      </c>
      <c r="J1546" s="17">
        <v>0</v>
      </c>
      <c r="K1546" s="17">
        <f t="shared" si="269"/>
        <v>321.26850000000013</v>
      </c>
      <c r="L1546" s="23">
        <f t="shared" si="266"/>
        <v>16.063425000000006</v>
      </c>
      <c r="M1546" s="23">
        <v>5</v>
      </c>
      <c r="N1546" s="18">
        <f t="shared" si="270"/>
        <v>16.260273972602739</v>
      </c>
      <c r="O1546" s="23">
        <v>3052.0507499999999</v>
      </c>
      <c r="P1546" s="18">
        <f t="shared" si="271"/>
        <v>16.761643835616439</v>
      </c>
      <c r="Q1546" s="18">
        <v>0</v>
      </c>
      <c r="R1546" s="18">
        <f t="shared" si="268"/>
        <v>3052.0507499999999</v>
      </c>
      <c r="S1546" s="18">
        <f t="shared" si="267"/>
        <v>16.063425000000006</v>
      </c>
    </row>
    <row r="1547" spans="1:19" ht="18.75" customHeight="1" x14ac:dyDescent="0.25">
      <c r="A1547" s="14">
        <f t="shared" si="272"/>
        <v>1541</v>
      </c>
      <c r="B1547" s="21" t="s">
        <v>1365</v>
      </c>
      <c r="C1547" s="15" t="s">
        <v>3</v>
      </c>
      <c r="D1547" s="21" t="s">
        <v>1200</v>
      </c>
      <c r="E1547" s="21"/>
      <c r="F1547" s="69" t="s">
        <v>4</v>
      </c>
      <c r="G1547" s="9">
        <v>38353</v>
      </c>
      <c r="H1547" s="22">
        <v>213.48000000000002</v>
      </c>
      <c r="I1547" s="17">
        <v>0</v>
      </c>
      <c r="J1547" s="17">
        <v>0</v>
      </c>
      <c r="K1547" s="17">
        <f t="shared" si="269"/>
        <v>213.48000000000002</v>
      </c>
      <c r="L1547" s="23">
        <f t="shared" si="266"/>
        <v>10.674000000000001</v>
      </c>
      <c r="M1547" s="23">
        <v>5</v>
      </c>
      <c r="N1547" s="18">
        <f t="shared" si="270"/>
        <v>16.260273972602739</v>
      </c>
      <c r="O1547" s="23">
        <v>2028.0600000000002</v>
      </c>
      <c r="P1547" s="18">
        <f t="shared" si="271"/>
        <v>16.761643835616439</v>
      </c>
      <c r="Q1547" s="18">
        <v>0</v>
      </c>
      <c r="R1547" s="18">
        <f t="shared" si="268"/>
        <v>2028.0600000000002</v>
      </c>
      <c r="S1547" s="18">
        <f t="shared" si="267"/>
        <v>10.674000000000001</v>
      </c>
    </row>
    <row r="1548" spans="1:19" ht="18.75" customHeight="1" x14ac:dyDescent="0.25">
      <c r="A1548" s="14">
        <f t="shared" si="272"/>
        <v>1542</v>
      </c>
      <c r="B1548" s="21" t="s">
        <v>1366</v>
      </c>
      <c r="C1548" s="15" t="s">
        <v>3</v>
      </c>
      <c r="D1548" s="21" t="s">
        <v>1200</v>
      </c>
      <c r="E1548" s="21"/>
      <c r="F1548" s="69" t="s">
        <v>4</v>
      </c>
      <c r="G1548" s="9">
        <v>38353</v>
      </c>
      <c r="H1548" s="22">
        <v>853.56949999999961</v>
      </c>
      <c r="I1548" s="17">
        <v>0</v>
      </c>
      <c r="J1548" s="17">
        <v>0</v>
      </c>
      <c r="K1548" s="17">
        <f t="shared" si="269"/>
        <v>853.56949999999961</v>
      </c>
      <c r="L1548" s="23">
        <f t="shared" si="266"/>
        <v>42.678474999999985</v>
      </c>
      <c r="M1548" s="23">
        <v>5</v>
      </c>
      <c r="N1548" s="18">
        <f t="shared" si="270"/>
        <v>16.260273972602739</v>
      </c>
      <c r="O1548" s="23">
        <v>8108.9102499999999</v>
      </c>
      <c r="P1548" s="18">
        <f t="shared" si="271"/>
        <v>16.761643835616439</v>
      </c>
      <c r="Q1548" s="18">
        <v>0</v>
      </c>
      <c r="R1548" s="18">
        <f t="shared" si="268"/>
        <v>8108.9102499999999</v>
      </c>
      <c r="S1548" s="18">
        <f t="shared" si="267"/>
        <v>42.678474999999985</v>
      </c>
    </row>
    <row r="1549" spans="1:19" ht="18.75" customHeight="1" x14ac:dyDescent="0.25">
      <c r="A1549" s="14">
        <f t="shared" si="272"/>
        <v>1543</v>
      </c>
      <c r="B1549" s="21" t="s">
        <v>1367</v>
      </c>
      <c r="C1549" s="15" t="s">
        <v>3</v>
      </c>
      <c r="D1549" s="21" t="s">
        <v>1200</v>
      </c>
      <c r="E1549" s="21"/>
      <c r="F1549" s="69" t="s">
        <v>4</v>
      </c>
      <c r="G1549" s="9">
        <v>38353</v>
      </c>
      <c r="H1549" s="22">
        <v>1080.2160000000003</v>
      </c>
      <c r="I1549" s="17">
        <v>0</v>
      </c>
      <c r="J1549" s="17">
        <v>0</v>
      </c>
      <c r="K1549" s="17">
        <f t="shared" si="269"/>
        <v>1080.2160000000003</v>
      </c>
      <c r="L1549" s="23">
        <f t="shared" si="266"/>
        <v>54.010800000000017</v>
      </c>
      <c r="M1549" s="23">
        <v>5</v>
      </c>
      <c r="N1549" s="18">
        <f t="shared" si="270"/>
        <v>16.260273972602739</v>
      </c>
      <c r="O1549" s="23">
        <v>10262.052</v>
      </c>
      <c r="P1549" s="18">
        <f t="shared" si="271"/>
        <v>16.761643835616439</v>
      </c>
      <c r="Q1549" s="18">
        <v>0</v>
      </c>
      <c r="R1549" s="18">
        <f t="shared" si="268"/>
        <v>10262.052</v>
      </c>
      <c r="S1549" s="18">
        <f t="shared" si="267"/>
        <v>54.010800000000017</v>
      </c>
    </row>
    <row r="1550" spans="1:19" ht="18.75" customHeight="1" x14ac:dyDescent="0.25">
      <c r="A1550" s="14">
        <f t="shared" si="272"/>
        <v>1544</v>
      </c>
      <c r="B1550" s="21" t="s">
        <v>1368</v>
      </c>
      <c r="C1550" s="15" t="s">
        <v>3</v>
      </c>
      <c r="D1550" s="21" t="s">
        <v>1200</v>
      </c>
      <c r="E1550" s="21"/>
      <c r="F1550" s="69" t="s">
        <v>4</v>
      </c>
      <c r="G1550" s="9">
        <v>38353</v>
      </c>
      <c r="H1550" s="22">
        <v>996</v>
      </c>
      <c r="I1550" s="17">
        <v>0</v>
      </c>
      <c r="J1550" s="17">
        <v>0</v>
      </c>
      <c r="K1550" s="17">
        <f t="shared" si="269"/>
        <v>996</v>
      </c>
      <c r="L1550" s="23">
        <f t="shared" si="266"/>
        <v>49.800000000000004</v>
      </c>
      <c r="M1550" s="23">
        <v>5</v>
      </c>
      <c r="N1550" s="18">
        <f t="shared" si="270"/>
        <v>16.260273972602739</v>
      </c>
      <c r="O1550" s="23">
        <v>9462</v>
      </c>
      <c r="P1550" s="18">
        <f t="shared" si="271"/>
        <v>16.761643835616439</v>
      </c>
      <c r="Q1550" s="18">
        <v>0</v>
      </c>
      <c r="R1550" s="18">
        <f t="shared" si="268"/>
        <v>9462</v>
      </c>
      <c r="S1550" s="18">
        <f t="shared" si="267"/>
        <v>49.800000000000004</v>
      </c>
    </row>
    <row r="1551" spans="1:19" ht="18.75" customHeight="1" x14ac:dyDescent="0.25">
      <c r="A1551" s="14">
        <f t="shared" si="272"/>
        <v>1545</v>
      </c>
      <c r="B1551" s="21" t="s">
        <v>1359</v>
      </c>
      <c r="C1551" s="15" t="s">
        <v>3</v>
      </c>
      <c r="D1551" s="21" t="s">
        <v>1200</v>
      </c>
      <c r="E1551" s="21"/>
      <c r="F1551" s="69" t="s">
        <v>4</v>
      </c>
      <c r="G1551" s="9">
        <v>38352</v>
      </c>
      <c r="H1551" s="22">
        <v>57.400000000000091</v>
      </c>
      <c r="I1551" s="17">
        <v>0</v>
      </c>
      <c r="J1551" s="17">
        <v>0</v>
      </c>
      <c r="K1551" s="17">
        <f t="shared" si="269"/>
        <v>57.400000000000091</v>
      </c>
      <c r="L1551" s="23">
        <f t="shared" si="266"/>
        <v>2.8700000000000045</v>
      </c>
      <c r="M1551" s="23">
        <v>10</v>
      </c>
      <c r="N1551" s="18">
        <f t="shared" si="270"/>
        <v>16.263013698630136</v>
      </c>
      <c r="O1551" s="23">
        <v>545.29999999999995</v>
      </c>
      <c r="P1551" s="18">
        <f t="shared" si="271"/>
        <v>16.764383561643836</v>
      </c>
      <c r="Q1551" s="18">
        <v>0</v>
      </c>
      <c r="R1551" s="18">
        <f t="shared" si="268"/>
        <v>545.29999999999995</v>
      </c>
      <c r="S1551" s="18">
        <f t="shared" si="267"/>
        <v>2.8700000000000045</v>
      </c>
    </row>
    <row r="1552" spans="1:19" ht="18.75" customHeight="1" x14ac:dyDescent="0.25">
      <c r="A1552" s="14">
        <f t="shared" si="272"/>
        <v>1546</v>
      </c>
      <c r="B1552" s="21" t="s">
        <v>1369</v>
      </c>
      <c r="C1552" s="15" t="s">
        <v>3</v>
      </c>
      <c r="D1552" s="21" t="s">
        <v>1200</v>
      </c>
      <c r="E1552" s="21"/>
      <c r="F1552" s="69" t="s">
        <v>4</v>
      </c>
      <c r="G1552" s="9">
        <v>38352</v>
      </c>
      <c r="H1552" s="22">
        <v>14.949999999999989</v>
      </c>
      <c r="I1552" s="17">
        <v>0</v>
      </c>
      <c r="J1552" s="17">
        <v>0</v>
      </c>
      <c r="K1552" s="17">
        <f t="shared" si="269"/>
        <v>14.949999999999989</v>
      </c>
      <c r="L1552" s="23">
        <f t="shared" si="266"/>
        <v>0.7474999999999995</v>
      </c>
      <c r="M1552" s="23">
        <v>10</v>
      </c>
      <c r="N1552" s="18">
        <f t="shared" si="270"/>
        <v>16.263013698630136</v>
      </c>
      <c r="O1552" s="23">
        <v>142.02500000000001</v>
      </c>
      <c r="P1552" s="18">
        <f t="shared" si="271"/>
        <v>16.764383561643836</v>
      </c>
      <c r="Q1552" s="18">
        <v>0</v>
      </c>
      <c r="R1552" s="18">
        <f t="shared" si="268"/>
        <v>142.02500000000001</v>
      </c>
      <c r="S1552" s="18">
        <f t="shared" si="267"/>
        <v>0.7474999999999995</v>
      </c>
    </row>
    <row r="1553" spans="1:19" ht="18.75" customHeight="1" x14ac:dyDescent="0.25">
      <c r="A1553" s="14">
        <f t="shared" si="272"/>
        <v>1547</v>
      </c>
      <c r="B1553" s="21" t="s">
        <v>1358</v>
      </c>
      <c r="C1553" s="15" t="s">
        <v>3</v>
      </c>
      <c r="D1553" s="21" t="s">
        <v>1200</v>
      </c>
      <c r="E1553" s="21"/>
      <c r="F1553" s="69" t="s">
        <v>4</v>
      </c>
      <c r="G1553" s="9">
        <v>38352</v>
      </c>
      <c r="H1553" s="22">
        <v>43</v>
      </c>
      <c r="I1553" s="17">
        <v>0</v>
      </c>
      <c r="J1553" s="17">
        <v>0</v>
      </c>
      <c r="K1553" s="17">
        <f t="shared" si="269"/>
        <v>43</v>
      </c>
      <c r="L1553" s="23">
        <f t="shared" si="266"/>
        <v>2.15</v>
      </c>
      <c r="M1553" s="23">
        <v>5</v>
      </c>
      <c r="N1553" s="18">
        <f t="shared" si="270"/>
        <v>16.263013698630136</v>
      </c>
      <c r="O1553" s="23">
        <v>408.5</v>
      </c>
      <c r="P1553" s="18">
        <f t="shared" si="271"/>
        <v>16.764383561643836</v>
      </c>
      <c r="Q1553" s="18">
        <v>0</v>
      </c>
      <c r="R1553" s="18">
        <f t="shared" si="268"/>
        <v>408.5</v>
      </c>
      <c r="S1553" s="18">
        <f t="shared" si="267"/>
        <v>2.15</v>
      </c>
    </row>
    <row r="1554" spans="1:19" ht="18.75" customHeight="1" x14ac:dyDescent="0.25">
      <c r="A1554" s="14">
        <f t="shared" si="272"/>
        <v>1548</v>
      </c>
      <c r="B1554" s="21" t="s">
        <v>1370</v>
      </c>
      <c r="C1554" s="15" t="s">
        <v>3</v>
      </c>
      <c r="D1554" s="21" t="s">
        <v>1200</v>
      </c>
      <c r="E1554" s="21"/>
      <c r="F1554" s="69" t="s">
        <v>4</v>
      </c>
      <c r="G1554" s="9">
        <v>38321</v>
      </c>
      <c r="H1554" s="22">
        <v>7910</v>
      </c>
      <c r="I1554" s="17">
        <v>0</v>
      </c>
      <c r="J1554" s="17">
        <v>0</v>
      </c>
      <c r="K1554" s="17">
        <f t="shared" si="269"/>
        <v>7910</v>
      </c>
      <c r="L1554" s="23">
        <f t="shared" si="266"/>
        <v>395.5</v>
      </c>
      <c r="M1554" s="23">
        <v>3</v>
      </c>
      <c r="N1554" s="18">
        <f t="shared" si="270"/>
        <v>16.347945205479451</v>
      </c>
      <c r="O1554" s="23">
        <v>75145</v>
      </c>
      <c r="P1554" s="18">
        <f t="shared" si="271"/>
        <v>16.849315068493151</v>
      </c>
      <c r="Q1554" s="18">
        <v>0</v>
      </c>
      <c r="R1554" s="18">
        <f t="shared" si="268"/>
        <v>75145</v>
      </c>
      <c r="S1554" s="18">
        <f t="shared" si="267"/>
        <v>395.5</v>
      </c>
    </row>
    <row r="1555" spans="1:19" ht="18.75" customHeight="1" x14ac:dyDescent="0.25">
      <c r="A1555" s="14">
        <f t="shared" si="272"/>
        <v>1549</v>
      </c>
      <c r="B1555" s="21" t="s">
        <v>1371</v>
      </c>
      <c r="C1555" s="15" t="s">
        <v>3</v>
      </c>
      <c r="D1555" s="21" t="s">
        <v>1200</v>
      </c>
      <c r="E1555" s="21"/>
      <c r="F1555" s="69" t="s">
        <v>4</v>
      </c>
      <c r="G1555" s="9">
        <v>38297</v>
      </c>
      <c r="H1555" s="22">
        <v>2110.9694999999992</v>
      </c>
      <c r="I1555" s="17">
        <v>0</v>
      </c>
      <c r="J1555" s="17">
        <v>0</v>
      </c>
      <c r="K1555" s="17">
        <f t="shared" si="269"/>
        <v>2110.9694999999992</v>
      </c>
      <c r="L1555" s="23">
        <f t="shared" si="266"/>
        <v>105.54847499999997</v>
      </c>
      <c r="M1555" s="23">
        <v>5</v>
      </c>
      <c r="N1555" s="18">
        <f t="shared" si="270"/>
        <v>16.413698630136988</v>
      </c>
      <c r="O1555" s="23">
        <v>20054.21025</v>
      </c>
      <c r="P1555" s="18">
        <f t="shared" si="271"/>
        <v>16.915068493150685</v>
      </c>
      <c r="Q1555" s="18">
        <v>0</v>
      </c>
      <c r="R1555" s="18">
        <f t="shared" si="268"/>
        <v>20054.21025</v>
      </c>
      <c r="S1555" s="18">
        <f t="shared" si="267"/>
        <v>105.54847499999997</v>
      </c>
    </row>
    <row r="1556" spans="1:19" ht="18.75" customHeight="1" x14ac:dyDescent="0.25">
      <c r="A1556" s="14">
        <f t="shared" si="272"/>
        <v>1550</v>
      </c>
      <c r="B1556" s="21" t="s">
        <v>1360</v>
      </c>
      <c r="C1556" s="15" t="s">
        <v>3</v>
      </c>
      <c r="D1556" s="21" t="s">
        <v>1200</v>
      </c>
      <c r="E1556" s="21"/>
      <c r="F1556" s="69" t="s">
        <v>4</v>
      </c>
      <c r="G1556" s="9">
        <v>38288</v>
      </c>
      <c r="H1556" s="22">
        <v>6600</v>
      </c>
      <c r="I1556" s="17">
        <v>0</v>
      </c>
      <c r="J1556" s="17">
        <v>0</v>
      </c>
      <c r="K1556" s="17">
        <f t="shared" si="269"/>
        <v>6600</v>
      </c>
      <c r="L1556" s="23">
        <f t="shared" si="266"/>
        <v>330</v>
      </c>
      <c r="M1556" s="23">
        <v>3</v>
      </c>
      <c r="N1556" s="18">
        <f t="shared" si="270"/>
        <v>16.438356164383563</v>
      </c>
      <c r="O1556" s="23">
        <v>62700</v>
      </c>
      <c r="P1556" s="18">
        <f t="shared" si="271"/>
        <v>16.93972602739726</v>
      </c>
      <c r="Q1556" s="18">
        <v>0</v>
      </c>
      <c r="R1556" s="18">
        <f t="shared" si="268"/>
        <v>62700</v>
      </c>
      <c r="S1556" s="18">
        <f t="shared" si="267"/>
        <v>330</v>
      </c>
    </row>
    <row r="1557" spans="1:19" ht="18.75" customHeight="1" x14ac:dyDescent="0.25">
      <c r="A1557" s="14">
        <f t="shared" si="272"/>
        <v>1551</v>
      </c>
      <c r="B1557" s="21" t="s">
        <v>1372</v>
      </c>
      <c r="C1557" s="15" t="s">
        <v>3</v>
      </c>
      <c r="D1557" s="21" t="s">
        <v>1200</v>
      </c>
      <c r="E1557" s="21"/>
      <c r="F1557" s="69" t="s">
        <v>4</v>
      </c>
      <c r="G1557" s="9">
        <v>38280</v>
      </c>
      <c r="H1557" s="22">
        <v>7250</v>
      </c>
      <c r="I1557" s="17">
        <v>0</v>
      </c>
      <c r="J1557" s="17">
        <v>0</v>
      </c>
      <c r="K1557" s="17">
        <f t="shared" si="269"/>
        <v>7250</v>
      </c>
      <c r="L1557" s="23">
        <f t="shared" si="266"/>
        <v>362.5</v>
      </c>
      <c r="M1557" s="23">
        <v>3</v>
      </c>
      <c r="N1557" s="18">
        <f t="shared" si="270"/>
        <v>16.460273972602739</v>
      </c>
      <c r="O1557" s="23">
        <v>68875</v>
      </c>
      <c r="P1557" s="18">
        <f t="shared" si="271"/>
        <v>16.961643835616439</v>
      </c>
      <c r="Q1557" s="18">
        <v>0</v>
      </c>
      <c r="R1557" s="18">
        <f t="shared" si="268"/>
        <v>68875</v>
      </c>
      <c r="S1557" s="18">
        <f t="shared" si="267"/>
        <v>362.5</v>
      </c>
    </row>
    <row r="1558" spans="1:19" ht="18.75" customHeight="1" x14ac:dyDescent="0.25">
      <c r="A1558" s="14">
        <f t="shared" si="272"/>
        <v>1552</v>
      </c>
      <c r="B1558" s="21" t="s">
        <v>1373</v>
      </c>
      <c r="C1558" s="15" t="s">
        <v>3</v>
      </c>
      <c r="D1558" s="21" t="s">
        <v>1200</v>
      </c>
      <c r="E1558" s="21"/>
      <c r="F1558" s="69" t="s">
        <v>4</v>
      </c>
      <c r="G1558" s="9">
        <v>38267</v>
      </c>
      <c r="H1558" s="22">
        <v>1926.3969999999972</v>
      </c>
      <c r="I1558" s="17">
        <v>0</v>
      </c>
      <c r="J1558" s="17">
        <v>0</v>
      </c>
      <c r="K1558" s="17">
        <f t="shared" si="269"/>
        <v>1926.3969999999972</v>
      </c>
      <c r="L1558" s="23">
        <f t="shared" si="266"/>
        <v>96.31984999999986</v>
      </c>
      <c r="M1558" s="23">
        <v>3</v>
      </c>
      <c r="N1558" s="18">
        <f t="shared" si="270"/>
        <v>16.495890410958904</v>
      </c>
      <c r="O1558" s="23">
        <v>18300.771500000003</v>
      </c>
      <c r="P1558" s="18">
        <f t="shared" si="271"/>
        <v>16.997260273972604</v>
      </c>
      <c r="Q1558" s="18">
        <v>0</v>
      </c>
      <c r="R1558" s="18">
        <f t="shared" si="268"/>
        <v>18300.771500000003</v>
      </c>
      <c r="S1558" s="18">
        <f t="shared" si="267"/>
        <v>96.31984999999986</v>
      </c>
    </row>
    <row r="1559" spans="1:19" ht="18.75" customHeight="1" x14ac:dyDescent="0.25">
      <c r="A1559" s="14">
        <f t="shared" si="272"/>
        <v>1553</v>
      </c>
      <c r="B1559" s="21" t="s">
        <v>1374</v>
      </c>
      <c r="C1559" s="15" t="s">
        <v>3</v>
      </c>
      <c r="D1559" s="21" t="s">
        <v>1200</v>
      </c>
      <c r="E1559" s="21"/>
      <c r="F1559" s="69" t="s">
        <v>4</v>
      </c>
      <c r="G1559" s="9">
        <v>38260</v>
      </c>
      <c r="H1559" s="22">
        <v>267.30000000000018</v>
      </c>
      <c r="I1559" s="17">
        <v>0</v>
      </c>
      <c r="J1559" s="17">
        <v>0</v>
      </c>
      <c r="K1559" s="17">
        <f t="shared" si="269"/>
        <v>267.30000000000018</v>
      </c>
      <c r="L1559" s="23">
        <f t="shared" ref="L1559:L1622" si="273">H1559*0.05</f>
        <v>13.365000000000009</v>
      </c>
      <c r="M1559" s="23">
        <v>5</v>
      </c>
      <c r="N1559" s="18">
        <f t="shared" si="270"/>
        <v>16.515068493150686</v>
      </c>
      <c r="O1559" s="23">
        <v>2539.35</v>
      </c>
      <c r="P1559" s="18">
        <f t="shared" si="271"/>
        <v>17.016438356164382</v>
      </c>
      <c r="Q1559" s="18">
        <v>0</v>
      </c>
      <c r="R1559" s="18">
        <f t="shared" si="268"/>
        <v>2539.35</v>
      </c>
      <c r="S1559" s="18">
        <f t="shared" si="267"/>
        <v>13.365000000000009</v>
      </c>
    </row>
    <row r="1560" spans="1:19" ht="18.75" customHeight="1" x14ac:dyDescent="0.25">
      <c r="A1560" s="14">
        <f t="shared" si="272"/>
        <v>1554</v>
      </c>
      <c r="B1560" s="21" t="s">
        <v>1375</v>
      </c>
      <c r="C1560" s="15" t="s">
        <v>3</v>
      </c>
      <c r="D1560" s="21" t="s">
        <v>1200</v>
      </c>
      <c r="E1560" s="21"/>
      <c r="F1560" s="69" t="s">
        <v>4</v>
      </c>
      <c r="G1560" s="9">
        <v>38201</v>
      </c>
      <c r="H1560" s="22">
        <v>7585</v>
      </c>
      <c r="I1560" s="17">
        <v>0</v>
      </c>
      <c r="J1560" s="17">
        <v>0</v>
      </c>
      <c r="K1560" s="17">
        <f t="shared" si="269"/>
        <v>7585</v>
      </c>
      <c r="L1560" s="23">
        <f t="shared" si="273"/>
        <v>379.25</v>
      </c>
      <c r="M1560" s="23">
        <v>6</v>
      </c>
      <c r="N1560" s="18">
        <f t="shared" si="270"/>
        <v>16.676712328767124</v>
      </c>
      <c r="O1560" s="23">
        <v>72057.5</v>
      </c>
      <c r="P1560" s="18">
        <f t="shared" si="271"/>
        <v>17.17808219178082</v>
      </c>
      <c r="Q1560" s="18">
        <v>0</v>
      </c>
      <c r="R1560" s="18">
        <f t="shared" si="268"/>
        <v>72057.5</v>
      </c>
      <c r="S1560" s="18">
        <f t="shared" si="267"/>
        <v>379.25</v>
      </c>
    </row>
    <row r="1561" spans="1:19" ht="18.75" customHeight="1" x14ac:dyDescent="0.25">
      <c r="A1561" s="14">
        <f t="shared" si="272"/>
        <v>1555</v>
      </c>
      <c r="B1561" s="21" t="s">
        <v>1360</v>
      </c>
      <c r="C1561" s="15" t="s">
        <v>3</v>
      </c>
      <c r="D1561" s="21" t="s">
        <v>1200</v>
      </c>
      <c r="E1561" s="21"/>
      <c r="F1561" s="69" t="s">
        <v>4</v>
      </c>
      <c r="G1561" s="9">
        <v>38188</v>
      </c>
      <c r="H1561" s="22">
        <v>6652</v>
      </c>
      <c r="I1561" s="17">
        <v>0</v>
      </c>
      <c r="J1561" s="17">
        <v>0</v>
      </c>
      <c r="K1561" s="17">
        <f t="shared" si="269"/>
        <v>6652</v>
      </c>
      <c r="L1561" s="23">
        <f t="shared" si="273"/>
        <v>332.6</v>
      </c>
      <c r="M1561" s="23">
        <v>3</v>
      </c>
      <c r="N1561" s="18">
        <f t="shared" si="270"/>
        <v>16.712328767123289</v>
      </c>
      <c r="O1561" s="23">
        <v>63194</v>
      </c>
      <c r="P1561" s="18">
        <f t="shared" si="271"/>
        <v>17.213698630136985</v>
      </c>
      <c r="Q1561" s="18">
        <v>0</v>
      </c>
      <c r="R1561" s="18">
        <f t="shared" si="268"/>
        <v>63194</v>
      </c>
      <c r="S1561" s="18">
        <f t="shared" si="267"/>
        <v>332.6</v>
      </c>
    </row>
    <row r="1562" spans="1:19" ht="18.75" customHeight="1" x14ac:dyDescent="0.25">
      <c r="A1562" s="14">
        <f t="shared" si="272"/>
        <v>1556</v>
      </c>
      <c r="B1562" s="21" t="s">
        <v>1376</v>
      </c>
      <c r="C1562" s="15" t="s">
        <v>3</v>
      </c>
      <c r="D1562" s="21" t="s">
        <v>1200</v>
      </c>
      <c r="E1562" s="21"/>
      <c r="F1562" s="69" t="s">
        <v>4</v>
      </c>
      <c r="G1562" s="9">
        <v>38129</v>
      </c>
      <c r="H1562" s="22">
        <v>440</v>
      </c>
      <c r="I1562" s="17">
        <v>0</v>
      </c>
      <c r="J1562" s="17">
        <v>0</v>
      </c>
      <c r="K1562" s="17">
        <f t="shared" si="269"/>
        <v>440</v>
      </c>
      <c r="L1562" s="23">
        <f t="shared" si="273"/>
        <v>22</v>
      </c>
      <c r="M1562" s="23">
        <v>5</v>
      </c>
      <c r="N1562" s="18">
        <f t="shared" si="270"/>
        <v>16.873972602739727</v>
      </c>
      <c r="O1562" s="23">
        <v>4180</v>
      </c>
      <c r="P1562" s="18">
        <f t="shared" si="271"/>
        <v>17.375342465753423</v>
      </c>
      <c r="Q1562" s="18">
        <v>0</v>
      </c>
      <c r="R1562" s="18">
        <f t="shared" si="268"/>
        <v>4180</v>
      </c>
      <c r="S1562" s="18">
        <f t="shared" si="267"/>
        <v>22</v>
      </c>
    </row>
    <row r="1563" spans="1:19" ht="18.75" customHeight="1" x14ac:dyDescent="0.25">
      <c r="A1563" s="14">
        <f t="shared" si="272"/>
        <v>1557</v>
      </c>
      <c r="B1563" s="21" t="s">
        <v>1377</v>
      </c>
      <c r="C1563" s="15" t="s">
        <v>3</v>
      </c>
      <c r="D1563" s="21" t="s">
        <v>1200</v>
      </c>
      <c r="E1563" s="21"/>
      <c r="F1563" s="69" t="s">
        <v>4</v>
      </c>
      <c r="G1563" s="9">
        <v>38129</v>
      </c>
      <c r="H1563" s="22">
        <v>620</v>
      </c>
      <c r="I1563" s="17">
        <v>0</v>
      </c>
      <c r="J1563" s="17">
        <v>0</v>
      </c>
      <c r="K1563" s="17">
        <f t="shared" si="269"/>
        <v>620</v>
      </c>
      <c r="L1563" s="23">
        <f t="shared" si="273"/>
        <v>31</v>
      </c>
      <c r="M1563" s="23">
        <v>5</v>
      </c>
      <c r="N1563" s="18">
        <f t="shared" si="270"/>
        <v>16.873972602739727</v>
      </c>
      <c r="O1563" s="23">
        <v>5890</v>
      </c>
      <c r="P1563" s="18">
        <f t="shared" si="271"/>
        <v>17.375342465753423</v>
      </c>
      <c r="Q1563" s="18">
        <v>0</v>
      </c>
      <c r="R1563" s="18">
        <f t="shared" si="268"/>
        <v>5890</v>
      </c>
      <c r="S1563" s="18">
        <f t="shared" si="267"/>
        <v>31</v>
      </c>
    </row>
    <row r="1564" spans="1:19" ht="18.75" customHeight="1" x14ac:dyDescent="0.25">
      <c r="A1564" s="14">
        <f t="shared" si="272"/>
        <v>1558</v>
      </c>
      <c r="B1564" s="21" t="s">
        <v>1378</v>
      </c>
      <c r="C1564" s="15" t="s">
        <v>3</v>
      </c>
      <c r="D1564" s="21" t="s">
        <v>1200</v>
      </c>
      <c r="E1564" s="21"/>
      <c r="F1564" s="69" t="s">
        <v>4</v>
      </c>
      <c r="G1564" s="9">
        <v>38107</v>
      </c>
      <c r="H1564" s="22">
        <v>120.59999999999991</v>
      </c>
      <c r="I1564" s="17">
        <v>0</v>
      </c>
      <c r="J1564" s="17">
        <v>0</v>
      </c>
      <c r="K1564" s="17">
        <f t="shared" si="269"/>
        <v>120.59999999999991</v>
      </c>
      <c r="L1564" s="23">
        <f t="shared" si="273"/>
        <v>6.0299999999999958</v>
      </c>
      <c r="M1564" s="23">
        <v>5</v>
      </c>
      <c r="N1564" s="18">
        <f t="shared" si="270"/>
        <v>16.934246575342467</v>
      </c>
      <c r="O1564" s="23">
        <v>1145.7</v>
      </c>
      <c r="P1564" s="18">
        <f t="shared" si="271"/>
        <v>17.435616438356163</v>
      </c>
      <c r="Q1564" s="18">
        <v>0</v>
      </c>
      <c r="R1564" s="18">
        <f t="shared" si="268"/>
        <v>1145.7</v>
      </c>
      <c r="S1564" s="18">
        <f t="shared" si="267"/>
        <v>6.0299999999999958</v>
      </c>
    </row>
    <row r="1565" spans="1:19" ht="18.75" customHeight="1" x14ac:dyDescent="0.25">
      <c r="A1565" s="14">
        <f t="shared" si="272"/>
        <v>1559</v>
      </c>
      <c r="B1565" s="21" t="s">
        <v>1209</v>
      </c>
      <c r="C1565" s="15" t="s">
        <v>3</v>
      </c>
      <c r="D1565" s="21" t="s">
        <v>1200</v>
      </c>
      <c r="E1565" s="21"/>
      <c r="F1565" s="69" t="s">
        <v>4</v>
      </c>
      <c r="G1565" s="9">
        <v>38107</v>
      </c>
      <c r="H1565" s="22">
        <v>2444</v>
      </c>
      <c r="I1565" s="17">
        <v>0</v>
      </c>
      <c r="J1565" s="17">
        <v>0</v>
      </c>
      <c r="K1565" s="17">
        <f t="shared" si="269"/>
        <v>2444</v>
      </c>
      <c r="L1565" s="23">
        <f t="shared" si="273"/>
        <v>122.2</v>
      </c>
      <c r="M1565" s="23">
        <v>3</v>
      </c>
      <c r="N1565" s="18">
        <f t="shared" si="270"/>
        <v>16.934246575342467</v>
      </c>
      <c r="O1565" s="23">
        <v>23218</v>
      </c>
      <c r="P1565" s="18">
        <f t="shared" si="271"/>
        <v>17.435616438356163</v>
      </c>
      <c r="Q1565" s="18">
        <v>0</v>
      </c>
      <c r="R1565" s="18">
        <f t="shared" si="268"/>
        <v>23218</v>
      </c>
      <c r="S1565" s="18">
        <f t="shared" si="267"/>
        <v>122.2</v>
      </c>
    </row>
    <row r="1566" spans="1:19" ht="18.75" customHeight="1" x14ac:dyDescent="0.25">
      <c r="A1566" s="14">
        <f t="shared" si="272"/>
        <v>1560</v>
      </c>
      <c r="B1566" s="21" t="s">
        <v>1379</v>
      </c>
      <c r="C1566" s="15" t="s">
        <v>3</v>
      </c>
      <c r="D1566" s="21" t="s">
        <v>1200</v>
      </c>
      <c r="E1566" s="21"/>
      <c r="F1566" s="69" t="s">
        <v>4</v>
      </c>
      <c r="G1566" s="9">
        <v>38104</v>
      </c>
      <c r="H1566" s="22">
        <v>666.85000000000036</v>
      </c>
      <c r="I1566" s="17">
        <v>0</v>
      </c>
      <c r="J1566" s="17">
        <v>0</v>
      </c>
      <c r="K1566" s="17">
        <f t="shared" si="269"/>
        <v>666.85000000000036</v>
      </c>
      <c r="L1566" s="23">
        <f t="shared" si="273"/>
        <v>33.342500000000022</v>
      </c>
      <c r="M1566" s="23">
        <v>5</v>
      </c>
      <c r="N1566" s="18">
        <f t="shared" si="270"/>
        <v>16.942465753424656</v>
      </c>
      <c r="O1566" s="23">
        <v>6335.0749999999998</v>
      </c>
      <c r="P1566" s="18">
        <f t="shared" si="271"/>
        <v>17.443835616438356</v>
      </c>
      <c r="Q1566" s="18">
        <v>0</v>
      </c>
      <c r="R1566" s="18">
        <f t="shared" si="268"/>
        <v>6335.0749999999998</v>
      </c>
      <c r="S1566" s="18">
        <f t="shared" si="267"/>
        <v>33.342500000000022</v>
      </c>
    </row>
    <row r="1567" spans="1:19" ht="18.75" customHeight="1" x14ac:dyDescent="0.25">
      <c r="A1567" s="14">
        <f t="shared" si="272"/>
        <v>1561</v>
      </c>
      <c r="B1567" s="21" t="s">
        <v>1380</v>
      </c>
      <c r="C1567" s="15" t="s">
        <v>3</v>
      </c>
      <c r="D1567" s="21" t="s">
        <v>1200</v>
      </c>
      <c r="E1567" s="21"/>
      <c r="F1567" s="69" t="s">
        <v>4</v>
      </c>
      <c r="G1567" s="9">
        <v>38077</v>
      </c>
      <c r="H1567" s="22">
        <v>598</v>
      </c>
      <c r="I1567" s="17">
        <v>0</v>
      </c>
      <c r="J1567" s="17">
        <v>0</v>
      </c>
      <c r="K1567" s="17">
        <f t="shared" si="269"/>
        <v>598</v>
      </c>
      <c r="L1567" s="23">
        <f t="shared" si="273"/>
        <v>29.900000000000002</v>
      </c>
      <c r="M1567" s="23">
        <v>3</v>
      </c>
      <c r="N1567" s="18">
        <f t="shared" si="270"/>
        <v>17.016438356164382</v>
      </c>
      <c r="O1567" s="23">
        <v>5681</v>
      </c>
      <c r="P1567" s="18">
        <f t="shared" si="271"/>
        <v>17.517808219178082</v>
      </c>
      <c r="Q1567" s="18">
        <v>0</v>
      </c>
      <c r="R1567" s="18">
        <f t="shared" si="268"/>
        <v>5681</v>
      </c>
      <c r="S1567" s="18">
        <f t="shared" si="267"/>
        <v>29.900000000000002</v>
      </c>
    </row>
    <row r="1568" spans="1:19" ht="18.75" customHeight="1" x14ac:dyDescent="0.25">
      <c r="A1568" s="14">
        <f t="shared" si="272"/>
        <v>1562</v>
      </c>
      <c r="B1568" s="21" t="s">
        <v>1381</v>
      </c>
      <c r="C1568" s="15" t="s">
        <v>3</v>
      </c>
      <c r="D1568" s="21" t="s">
        <v>1200</v>
      </c>
      <c r="E1568" s="21"/>
      <c r="F1568" s="69" t="s">
        <v>4</v>
      </c>
      <c r="G1568" s="9">
        <v>38018</v>
      </c>
      <c r="H1568" s="22">
        <v>231.75</v>
      </c>
      <c r="I1568" s="17">
        <v>0</v>
      </c>
      <c r="J1568" s="17">
        <v>0</v>
      </c>
      <c r="K1568" s="17">
        <f t="shared" si="269"/>
        <v>231.75</v>
      </c>
      <c r="L1568" s="23">
        <f t="shared" si="273"/>
        <v>11.5875</v>
      </c>
      <c r="M1568" s="23">
        <v>5</v>
      </c>
      <c r="N1568" s="18">
        <f t="shared" si="270"/>
        <v>17.17808219178082</v>
      </c>
      <c r="O1568" s="23">
        <v>2201.625</v>
      </c>
      <c r="P1568" s="18">
        <f t="shared" si="271"/>
        <v>17.67945205479452</v>
      </c>
      <c r="Q1568" s="18">
        <v>0</v>
      </c>
      <c r="R1568" s="18">
        <f t="shared" si="268"/>
        <v>2201.625</v>
      </c>
      <c r="S1568" s="18">
        <f t="shared" si="267"/>
        <v>11.5875</v>
      </c>
    </row>
    <row r="1569" spans="1:19" ht="18.75" customHeight="1" x14ac:dyDescent="0.25">
      <c r="A1569" s="14">
        <f t="shared" si="272"/>
        <v>1563</v>
      </c>
      <c r="B1569" s="21" t="s">
        <v>1382</v>
      </c>
      <c r="C1569" s="15" t="s">
        <v>3</v>
      </c>
      <c r="D1569" s="21" t="s">
        <v>1200</v>
      </c>
      <c r="E1569" s="21"/>
      <c r="F1569" s="69" t="s">
        <v>4</v>
      </c>
      <c r="G1569" s="9">
        <v>37987</v>
      </c>
      <c r="H1569" s="22">
        <v>544.03850000000057</v>
      </c>
      <c r="I1569" s="17">
        <v>0</v>
      </c>
      <c r="J1569" s="17">
        <v>0</v>
      </c>
      <c r="K1569" s="17">
        <f t="shared" si="269"/>
        <v>544.03850000000057</v>
      </c>
      <c r="L1569" s="23">
        <f t="shared" si="273"/>
        <v>27.201925000000031</v>
      </c>
      <c r="M1569" s="23">
        <v>5</v>
      </c>
      <c r="N1569" s="18">
        <f t="shared" si="270"/>
        <v>17.263013698630136</v>
      </c>
      <c r="O1569" s="23">
        <v>5168.3657499999999</v>
      </c>
      <c r="P1569" s="18">
        <f t="shared" si="271"/>
        <v>17.764383561643836</v>
      </c>
      <c r="Q1569" s="18">
        <v>0</v>
      </c>
      <c r="R1569" s="18">
        <f t="shared" si="268"/>
        <v>5168.3657499999999</v>
      </c>
      <c r="S1569" s="18">
        <f t="shared" si="267"/>
        <v>27.201925000000031</v>
      </c>
    </row>
    <row r="1570" spans="1:19" ht="18.75" customHeight="1" x14ac:dyDescent="0.25">
      <c r="A1570" s="14">
        <f t="shared" si="272"/>
        <v>1564</v>
      </c>
      <c r="B1570" s="21" t="s">
        <v>1383</v>
      </c>
      <c r="C1570" s="15" t="s">
        <v>3</v>
      </c>
      <c r="D1570" s="21" t="s">
        <v>1200</v>
      </c>
      <c r="E1570" s="21"/>
      <c r="F1570" s="69" t="s">
        <v>4</v>
      </c>
      <c r="G1570" s="9">
        <v>37987</v>
      </c>
      <c r="H1570" s="22">
        <v>360.01199999999972</v>
      </c>
      <c r="I1570" s="17">
        <v>0</v>
      </c>
      <c r="J1570" s="17">
        <v>0</v>
      </c>
      <c r="K1570" s="17">
        <f t="shared" si="269"/>
        <v>360.01199999999972</v>
      </c>
      <c r="L1570" s="23">
        <f t="shared" si="273"/>
        <v>18.000599999999988</v>
      </c>
      <c r="M1570" s="23">
        <v>5</v>
      </c>
      <c r="N1570" s="18">
        <f t="shared" si="270"/>
        <v>17.263013698630136</v>
      </c>
      <c r="O1570" s="23">
        <v>3420.114</v>
      </c>
      <c r="P1570" s="18">
        <f t="shared" si="271"/>
        <v>17.764383561643836</v>
      </c>
      <c r="Q1570" s="18">
        <v>0</v>
      </c>
      <c r="R1570" s="18">
        <f t="shared" si="268"/>
        <v>3420.114</v>
      </c>
      <c r="S1570" s="18">
        <f t="shared" si="267"/>
        <v>18.000599999999988</v>
      </c>
    </row>
    <row r="1571" spans="1:19" ht="18.75" customHeight="1" x14ac:dyDescent="0.25">
      <c r="A1571" s="14">
        <f t="shared" si="272"/>
        <v>1565</v>
      </c>
      <c r="B1571" s="21" t="s">
        <v>1384</v>
      </c>
      <c r="C1571" s="15" t="s">
        <v>3</v>
      </c>
      <c r="D1571" s="21" t="s">
        <v>1200</v>
      </c>
      <c r="E1571" s="21"/>
      <c r="F1571" s="69" t="s">
        <v>4</v>
      </c>
      <c r="G1571" s="9">
        <v>37987</v>
      </c>
      <c r="H1571" s="22">
        <v>34.5</v>
      </c>
      <c r="I1571" s="17">
        <v>0</v>
      </c>
      <c r="J1571" s="17">
        <v>0</v>
      </c>
      <c r="K1571" s="17">
        <f t="shared" si="269"/>
        <v>34.5</v>
      </c>
      <c r="L1571" s="23">
        <f t="shared" si="273"/>
        <v>1.7250000000000001</v>
      </c>
      <c r="M1571" s="23">
        <v>5</v>
      </c>
      <c r="N1571" s="18">
        <f t="shared" si="270"/>
        <v>17.263013698630136</v>
      </c>
      <c r="O1571" s="23">
        <v>327.75</v>
      </c>
      <c r="P1571" s="18">
        <f t="shared" si="271"/>
        <v>17.764383561643836</v>
      </c>
      <c r="Q1571" s="18">
        <v>0</v>
      </c>
      <c r="R1571" s="18">
        <f t="shared" si="268"/>
        <v>327.75</v>
      </c>
      <c r="S1571" s="18">
        <f t="shared" si="267"/>
        <v>1.7250000000000001</v>
      </c>
    </row>
    <row r="1572" spans="1:19" ht="18.75" customHeight="1" x14ac:dyDescent="0.25">
      <c r="A1572" s="14">
        <f t="shared" si="272"/>
        <v>1566</v>
      </c>
      <c r="B1572" s="21" t="s">
        <v>1385</v>
      </c>
      <c r="C1572" s="15" t="s">
        <v>3</v>
      </c>
      <c r="D1572" s="21" t="s">
        <v>1200</v>
      </c>
      <c r="E1572" s="21"/>
      <c r="F1572" s="69" t="s">
        <v>4</v>
      </c>
      <c r="G1572" s="9">
        <v>37987</v>
      </c>
      <c r="H1572" s="22">
        <v>134</v>
      </c>
      <c r="I1572" s="17">
        <v>0</v>
      </c>
      <c r="J1572" s="17">
        <v>0</v>
      </c>
      <c r="K1572" s="17">
        <f t="shared" si="269"/>
        <v>134</v>
      </c>
      <c r="L1572" s="23">
        <f t="shared" si="273"/>
        <v>6.7</v>
      </c>
      <c r="M1572" s="23">
        <v>5</v>
      </c>
      <c r="N1572" s="18">
        <f t="shared" si="270"/>
        <v>17.263013698630136</v>
      </c>
      <c r="O1572" s="23">
        <v>1273</v>
      </c>
      <c r="P1572" s="18">
        <f t="shared" si="271"/>
        <v>17.764383561643836</v>
      </c>
      <c r="Q1572" s="18">
        <v>0</v>
      </c>
      <c r="R1572" s="18">
        <f t="shared" si="268"/>
        <v>1273</v>
      </c>
      <c r="S1572" s="18">
        <f t="shared" si="267"/>
        <v>6.7</v>
      </c>
    </row>
    <row r="1573" spans="1:19" ht="18.75" customHeight="1" x14ac:dyDescent="0.25">
      <c r="A1573" s="14">
        <f t="shared" si="272"/>
        <v>1567</v>
      </c>
      <c r="B1573" s="21" t="s">
        <v>1386</v>
      </c>
      <c r="C1573" s="15" t="s">
        <v>3</v>
      </c>
      <c r="D1573" s="21" t="s">
        <v>1200</v>
      </c>
      <c r="E1573" s="21"/>
      <c r="F1573" s="69" t="s">
        <v>4</v>
      </c>
      <c r="G1573" s="9">
        <v>37987</v>
      </c>
      <c r="H1573" s="22">
        <v>198</v>
      </c>
      <c r="I1573" s="17">
        <v>0</v>
      </c>
      <c r="J1573" s="17">
        <v>0</v>
      </c>
      <c r="K1573" s="17">
        <f t="shared" si="269"/>
        <v>198</v>
      </c>
      <c r="L1573" s="23">
        <f t="shared" si="273"/>
        <v>9.9</v>
      </c>
      <c r="M1573" s="23">
        <v>5</v>
      </c>
      <c r="N1573" s="18">
        <f t="shared" si="270"/>
        <v>17.263013698630136</v>
      </c>
      <c r="O1573" s="23">
        <v>1881</v>
      </c>
      <c r="P1573" s="18">
        <f t="shared" si="271"/>
        <v>17.764383561643836</v>
      </c>
      <c r="Q1573" s="18">
        <v>0</v>
      </c>
      <c r="R1573" s="18">
        <f t="shared" si="268"/>
        <v>1881</v>
      </c>
      <c r="S1573" s="18">
        <f t="shared" si="267"/>
        <v>9.9</v>
      </c>
    </row>
    <row r="1574" spans="1:19" ht="18.75" customHeight="1" x14ac:dyDescent="0.25">
      <c r="A1574" s="14">
        <f t="shared" si="272"/>
        <v>1568</v>
      </c>
      <c r="B1574" s="21" t="s">
        <v>1387</v>
      </c>
      <c r="C1574" s="15" t="s">
        <v>3</v>
      </c>
      <c r="D1574" s="21" t="s">
        <v>1200</v>
      </c>
      <c r="E1574" s="21"/>
      <c r="F1574" s="69" t="s">
        <v>4</v>
      </c>
      <c r="G1574" s="9">
        <v>37987</v>
      </c>
      <c r="H1574" s="22">
        <v>82.25</v>
      </c>
      <c r="I1574" s="17">
        <v>0</v>
      </c>
      <c r="J1574" s="17">
        <v>0</v>
      </c>
      <c r="K1574" s="17">
        <f t="shared" si="269"/>
        <v>82.25</v>
      </c>
      <c r="L1574" s="23">
        <f t="shared" si="273"/>
        <v>4.1124999999999998</v>
      </c>
      <c r="M1574" s="23">
        <v>5</v>
      </c>
      <c r="N1574" s="18">
        <f t="shared" si="270"/>
        <v>17.263013698630136</v>
      </c>
      <c r="O1574" s="23">
        <v>781.375</v>
      </c>
      <c r="P1574" s="18">
        <f t="shared" si="271"/>
        <v>17.764383561643836</v>
      </c>
      <c r="Q1574" s="18">
        <v>0</v>
      </c>
      <c r="R1574" s="18">
        <f t="shared" si="268"/>
        <v>781.375</v>
      </c>
      <c r="S1574" s="18">
        <f t="shared" si="267"/>
        <v>4.1124999999999998</v>
      </c>
    </row>
    <row r="1575" spans="1:19" ht="18.75" customHeight="1" x14ac:dyDescent="0.25">
      <c r="A1575" s="14">
        <f t="shared" si="272"/>
        <v>1569</v>
      </c>
      <c r="B1575" s="21" t="s">
        <v>1388</v>
      </c>
      <c r="C1575" s="15" t="s">
        <v>3</v>
      </c>
      <c r="D1575" s="21" t="s">
        <v>1200</v>
      </c>
      <c r="E1575" s="21"/>
      <c r="F1575" s="69" t="s">
        <v>4</v>
      </c>
      <c r="G1575" s="9">
        <v>37986</v>
      </c>
      <c r="H1575" s="22">
        <v>6425</v>
      </c>
      <c r="I1575" s="17">
        <v>0</v>
      </c>
      <c r="J1575" s="17">
        <v>0</v>
      </c>
      <c r="K1575" s="17">
        <f t="shared" si="269"/>
        <v>6425</v>
      </c>
      <c r="L1575" s="23">
        <f t="shared" si="273"/>
        <v>321.25</v>
      </c>
      <c r="M1575" s="23">
        <v>3</v>
      </c>
      <c r="N1575" s="18">
        <f t="shared" si="270"/>
        <v>17.265753424657536</v>
      </c>
      <c r="O1575" s="23">
        <v>61037.5</v>
      </c>
      <c r="P1575" s="18">
        <f t="shared" si="271"/>
        <v>17.767123287671232</v>
      </c>
      <c r="Q1575" s="18">
        <v>0</v>
      </c>
      <c r="R1575" s="18">
        <f t="shared" si="268"/>
        <v>61037.5</v>
      </c>
      <c r="S1575" s="18">
        <f t="shared" si="267"/>
        <v>321.25</v>
      </c>
    </row>
    <row r="1576" spans="1:19" ht="18.75" customHeight="1" x14ac:dyDescent="0.25">
      <c r="A1576" s="14">
        <f t="shared" si="272"/>
        <v>1570</v>
      </c>
      <c r="B1576" s="21" t="s">
        <v>1389</v>
      </c>
      <c r="C1576" s="15" t="s">
        <v>3</v>
      </c>
      <c r="D1576" s="21" t="s">
        <v>1200</v>
      </c>
      <c r="E1576" s="21"/>
      <c r="F1576" s="69" t="s">
        <v>4</v>
      </c>
      <c r="G1576" s="9">
        <v>37985</v>
      </c>
      <c r="H1576" s="22">
        <v>500</v>
      </c>
      <c r="I1576" s="17">
        <v>0</v>
      </c>
      <c r="J1576" s="17">
        <v>0</v>
      </c>
      <c r="K1576" s="17">
        <f t="shared" si="269"/>
        <v>500</v>
      </c>
      <c r="L1576" s="23">
        <f t="shared" si="273"/>
        <v>25</v>
      </c>
      <c r="M1576" s="23">
        <v>3</v>
      </c>
      <c r="N1576" s="18">
        <f t="shared" si="270"/>
        <v>17.268493150684932</v>
      </c>
      <c r="O1576" s="23">
        <v>4750</v>
      </c>
      <c r="P1576" s="18">
        <f t="shared" si="271"/>
        <v>17.769863013698629</v>
      </c>
      <c r="Q1576" s="18">
        <v>0</v>
      </c>
      <c r="R1576" s="18">
        <f t="shared" si="268"/>
        <v>4750</v>
      </c>
      <c r="S1576" s="18">
        <f t="shared" si="267"/>
        <v>25</v>
      </c>
    </row>
    <row r="1577" spans="1:19" ht="18.75" customHeight="1" x14ac:dyDescent="0.25">
      <c r="A1577" s="14">
        <f t="shared" si="272"/>
        <v>1571</v>
      </c>
      <c r="B1577" s="21" t="s">
        <v>1390</v>
      </c>
      <c r="C1577" s="15" t="s">
        <v>3</v>
      </c>
      <c r="D1577" s="21" t="s">
        <v>1200</v>
      </c>
      <c r="E1577" s="21"/>
      <c r="F1577" s="69" t="s">
        <v>4</v>
      </c>
      <c r="G1577" s="9">
        <v>37956</v>
      </c>
      <c r="H1577" s="22">
        <v>49.299999999999955</v>
      </c>
      <c r="I1577" s="17">
        <v>0</v>
      </c>
      <c r="J1577" s="17">
        <v>0</v>
      </c>
      <c r="K1577" s="17">
        <f t="shared" si="269"/>
        <v>49.299999999999955</v>
      </c>
      <c r="L1577" s="23">
        <f t="shared" si="273"/>
        <v>2.4649999999999981</v>
      </c>
      <c r="M1577" s="23">
        <v>10</v>
      </c>
      <c r="N1577" s="18">
        <f t="shared" si="270"/>
        <v>17.347945205479451</v>
      </c>
      <c r="O1577" s="23">
        <v>468.35</v>
      </c>
      <c r="P1577" s="18">
        <f t="shared" si="271"/>
        <v>17.849315068493151</v>
      </c>
      <c r="Q1577" s="18">
        <v>0</v>
      </c>
      <c r="R1577" s="18">
        <f t="shared" si="268"/>
        <v>468.35</v>
      </c>
      <c r="S1577" s="18">
        <f t="shared" si="267"/>
        <v>2.4649999999999981</v>
      </c>
    </row>
    <row r="1578" spans="1:19" ht="18.75" customHeight="1" x14ac:dyDescent="0.25">
      <c r="A1578" s="14">
        <f t="shared" si="272"/>
        <v>1572</v>
      </c>
      <c r="B1578" s="21" t="s">
        <v>1391</v>
      </c>
      <c r="C1578" s="15" t="s">
        <v>3</v>
      </c>
      <c r="D1578" s="21" t="s">
        <v>1200</v>
      </c>
      <c r="E1578" s="21"/>
      <c r="F1578" s="69" t="s">
        <v>4</v>
      </c>
      <c r="G1578" s="9">
        <v>37955</v>
      </c>
      <c r="H1578" s="22">
        <v>4680</v>
      </c>
      <c r="I1578" s="17">
        <v>0</v>
      </c>
      <c r="J1578" s="17">
        <v>0</v>
      </c>
      <c r="K1578" s="17">
        <f t="shared" si="269"/>
        <v>4680</v>
      </c>
      <c r="L1578" s="23">
        <f t="shared" si="273"/>
        <v>234</v>
      </c>
      <c r="M1578" s="23">
        <v>3</v>
      </c>
      <c r="N1578" s="18">
        <f t="shared" si="270"/>
        <v>17.350684931506848</v>
      </c>
      <c r="O1578" s="23">
        <v>44460</v>
      </c>
      <c r="P1578" s="18">
        <f t="shared" si="271"/>
        <v>17.852054794520548</v>
      </c>
      <c r="Q1578" s="18">
        <v>0</v>
      </c>
      <c r="R1578" s="18">
        <f t="shared" si="268"/>
        <v>44460</v>
      </c>
      <c r="S1578" s="18">
        <f t="shared" si="267"/>
        <v>234</v>
      </c>
    </row>
    <row r="1579" spans="1:19" ht="18.75" customHeight="1" x14ac:dyDescent="0.25">
      <c r="A1579" s="14">
        <f t="shared" si="272"/>
        <v>1573</v>
      </c>
      <c r="B1579" s="21" t="s">
        <v>1392</v>
      </c>
      <c r="C1579" s="15" t="s">
        <v>3</v>
      </c>
      <c r="D1579" s="21" t="s">
        <v>1200</v>
      </c>
      <c r="E1579" s="21"/>
      <c r="F1579" s="69" t="s">
        <v>4</v>
      </c>
      <c r="G1579" s="9">
        <v>37863</v>
      </c>
      <c r="H1579" s="22">
        <v>4900</v>
      </c>
      <c r="I1579" s="17">
        <v>0</v>
      </c>
      <c r="J1579" s="17">
        <v>0</v>
      </c>
      <c r="K1579" s="17">
        <f t="shared" si="269"/>
        <v>4900</v>
      </c>
      <c r="L1579" s="23">
        <f t="shared" si="273"/>
        <v>245</v>
      </c>
      <c r="M1579" s="23">
        <v>3</v>
      </c>
      <c r="N1579" s="18">
        <f t="shared" si="270"/>
        <v>17.602739726027398</v>
      </c>
      <c r="O1579" s="23">
        <v>46550</v>
      </c>
      <c r="P1579" s="18">
        <f t="shared" si="271"/>
        <v>18.104109589041094</v>
      </c>
      <c r="Q1579" s="18">
        <v>0</v>
      </c>
      <c r="R1579" s="18">
        <f t="shared" si="268"/>
        <v>46550</v>
      </c>
      <c r="S1579" s="18">
        <f t="shared" si="267"/>
        <v>245</v>
      </c>
    </row>
    <row r="1580" spans="1:19" ht="18.75" customHeight="1" x14ac:dyDescent="0.25">
      <c r="A1580" s="14">
        <f t="shared" si="272"/>
        <v>1574</v>
      </c>
      <c r="B1580" s="21" t="s">
        <v>1357</v>
      </c>
      <c r="C1580" s="15" t="s">
        <v>3</v>
      </c>
      <c r="D1580" s="21" t="s">
        <v>1200</v>
      </c>
      <c r="E1580" s="21"/>
      <c r="F1580" s="69" t="s">
        <v>4</v>
      </c>
      <c r="G1580" s="9">
        <v>37773</v>
      </c>
      <c r="H1580" s="22">
        <v>929</v>
      </c>
      <c r="I1580" s="17">
        <v>0</v>
      </c>
      <c r="J1580" s="17">
        <v>0</v>
      </c>
      <c r="K1580" s="17">
        <f t="shared" si="269"/>
        <v>929</v>
      </c>
      <c r="L1580" s="23">
        <f t="shared" si="273"/>
        <v>46.45</v>
      </c>
      <c r="M1580" s="23">
        <v>5</v>
      </c>
      <c r="N1580" s="18">
        <f t="shared" si="270"/>
        <v>17.849315068493151</v>
      </c>
      <c r="O1580" s="23">
        <v>8825.5</v>
      </c>
      <c r="P1580" s="18">
        <f t="shared" si="271"/>
        <v>18.350684931506848</v>
      </c>
      <c r="Q1580" s="18">
        <v>0</v>
      </c>
      <c r="R1580" s="18">
        <f t="shared" si="268"/>
        <v>8825.5</v>
      </c>
      <c r="S1580" s="18">
        <f t="shared" si="267"/>
        <v>46.45</v>
      </c>
    </row>
    <row r="1581" spans="1:19" ht="18.75" customHeight="1" x14ac:dyDescent="0.25">
      <c r="A1581" s="14">
        <f t="shared" si="272"/>
        <v>1575</v>
      </c>
      <c r="B1581" s="21" t="s">
        <v>1393</v>
      </c>
      <c r="C1581" s="15" t="s">
        <v>3</v>
      </c>
      <c r="D1581" s="21" t="s">
        <v>1200</v>
      </c>
      <c r="E1581" s="21"/>
      <c r="F1581" s="69" t="s">
        <v>4</v>
      </c>
      <c r="G1581" s="9">
        <v>37753</v>
      </c>
      <c r="H1581" s="22">
        <v>685</v>
      </c>
      <c r="I1581" s="17">
        <v>0</v>
      </c>
      <c r="J1581" s="17">
        <v>0</v>
      </c>
      <c r="K1581" s="17">
        <f t="shared" si="269"/>
        <v>685</v>
      </c>
      <c r="L1581" s="23">
        <f t="shared" si="273"/>
        <v>34.25</v>
      </c>
      <c r="M1581" s="23">
        <v>5</v>
      </c>
      <c r="N1581" s="18">
        <f t="shared" si="270"/>
        <v>17.904109589041095</v>
      </c>
      <c r="O1581" s="23">
        <v>6507.5</v>
      </c>
      <c r="P1581" s="18">
        <f t="shared" si="271"/>
        <v>18.405479452054795</v>
      </c>
      <c r="Q1581" s="18">
        <v>0</v>
      </c>
      <c r="R1581" s="18">
        <f t="shared" si="268"/>
        <v>6507.5</v>
      </c>
      <c r="S1581" s="18">
        <f t="shared" si="267"/>
        <v>34.25</v>
      </c>
    </row>
    <row r="1582" spans="1:19" ht="18.75" customHeight="1" x14ac:dyDescent="0.25">
      <c r="A1582" s="14">
        <f t="shared" si="272"/>
        <v>1576</v>
      </c>
      <c r="B1582" s="21" t="s">
        <v>1394</v>
      </c>
      <c r="C1582" s="15" t="s">
        <v>3</v>
      </c>
      <c r="D1582" s="21" t="s">
        <v>1200</v>
      </c>
      <c r="E1582" s="21"/>
      <c r="F1582" s="69" t="s">
        <v>4</v>
      </c>
      <c r="G1582" s="9">
        <v>37737</v>
      </c>
      <c r="H1582" s="22">
        <v>1449.5</v>
      </c>
      <c r="I1582" s="17">
        <v>0</v>
      </c>
      <c r="J1582" s="17">
        <v>0</v>
      </c>
      <c r="K1582" s="17">
        <f t="shared" si="269"/>
        <v>1449.5</v>
      </c>
      <c r="L1582" s="23">
        <f t="shared" si="273"/>
        <v>72.475000000000009</v>
      </c>
      <c r="M1582" s="23">
        <v>5</v>
      </c>
      <c r="N1582" s="18">
        <f t="shared" si="270"/>
        <v>17.947945205479453</v>
      </c>
      <c r="O1582" s="23">
        <v>13770.25</v>
      </c>
      <c r="P1582" s="18">
        <f t="shared" si="271"/>
        <v>18.449315068493149</v>
      </c>
      <c r="Q1582" s="18">
        <v>0</v>
      </c>
      <c r="R1582" s="18">
        <f t="shared" si="268"/>
        <v>13770.25</v>
      </c>
      <c r="S1582" s="18">
        <f t="shared" si="267"/>
        <v>72.475000000000009</v>
      </c>
    </row>
    <row r="1583" spans="1:19" ht="18.75" customHeight="1" x14ac:dyDescent="0.25">
      <c r="A1583" s="14">
        <f t="shared" si="272"/>
        <v>1577</v>
      </c>
      <c r="B1583" s="21" t="s">
        <v>1346</v>
      </c>
      <c r="C1583" s="15" t="s">
        <v>3</v>
      </c>
      <c r="D1583" s="21" t="s">
        <v>1200</v>
      </c>
      <c r="E1583" s="21"/>
      <c r="F1583" s="69" t="s">
        <v>4</v>
      </c>
      <c r="G1583" s="9">
        <v>37734</v>
      </c>
      <c r="H1583" s="22">
        <v>1862.4499999999971</v>
      </c>
      <c r="I1583" s="17">
        <v>0</v>
      </c>
      <c r="J1583" s="17">
        <v>0</v>
      </c>
      <c r="K1583" s="17">
        <f t="shared" si="269"/>
        <v>1862.4499999999971</v>
      </c>
      <c r="L1583" s="23">
        <f t="shared" si="273"/>
        <v>93.12249999999986</v>
      </c>
      <c r="M1583" s="23">
        <v>5</v>
      </c>
      <c r="N1583" s="18">
        <f t="shared" si="270"/>
        <v>17.956164383561642</v>
      </c>
      <c r="O1583" s="23">
        <v>17693.275000000001</v>
      </c>
      <c r="P1583" s="18">
        <f t="shared" si="271"/>
        <v>18.457534246575342</v>
      </c>
      <c r="Q1583" s="18">
        <v>0</v>
      </c>
      <c r="R1583" s="18">
        <f t="shared" si="268"/>
        <v>17693.275000000001</v>
      </c>
      <c r="S1583" s="18">
        <f t="shared" si="267"/>
        <v>93.12249999999986</v>
      </c>
    </row>
    <row r="1584" spans="1:19" ht="18.75" customHeight="1" x14ac:dyDescent="0.25">
      <c r="A1584" s="14">
        <f t="shared" si="272"/>
        <v>1578</v>
      </c>
      <c r="B1584" s="21" t="s">
        <v>1357</v>
      </c>
      <c r="C1584" s="15" t="s">
        <v>3</v>
      </c>
      <c r="D1584" s="21" t="s">
        <v>1200</v>
      </c>
      <c r="E1584" s="21"/>
      <c r="F1584" s="69" t="s">
        <v>4</v>
      </c>
      <c r="G1584" s="9">
        <v>37718</v>
      </c>
      <c r="H1584" s="22">
        <v>1285</v>
      </c>
      <c r="I1584" s="17">
        <v>0</v>
      </c>
      <c r="J1584" s="17">
        <v>0</v>
      </c>
      <c r="K1584" s="17">
        <f t="shared" si="269"/>
        <v>1285</v>
      </c>
      <c r="L1584" s="23">
        <f t="shared" si="273"/>
        <v>64.25</v>
      </c>
      <c r="M1584" s="23">
        <v>5</v>
      </c>
      <c r="N1584" s="18">
        <f t="shared" si="270"/>
        <v>18</v>
      </c>
      <c r="O1584" s="23">
        <v>12207.5</v>
      </c>
      <c r="P1584" s="18">
        <f t="shared" si="271"/>
        <v>18.5013698630137</v>
      </c>
      <c r="Q1584" s="18">
        <v>0</v>
      </c>
      <c r="R1584" s="18">
        <f t="shared" si="268"/>
        <v>12207.5</v>
      </c>
      <c r="S1584" s="18">
        <f t="shared" si="267"/>
        <v>64.25</v>
      </c>
    </row>
    <row r="1585" spans="1:19" ht="18.75" customHeight="1" x14ac:dyDescent="0.25">
      <c r="A1585" s="14">
        <f t="shared" si="272"/>
        <v>1579</v>
      </c>
      <c r="B1585" s="21" t="s">
        <v>1395</v>
      </c>
      <c r="C1585" s="15" t="s">
        <v>3</v>
      </c>
      <c r="D1585" s="21" t="s">
        <v>1200</v>
      </c>
      <c r="E1585" s="21"/>
      <c r="F1585" s="69" t="s">
        <v>4</v>
      </c>
      <c r="G1585" s="9">
        <v>37622</v>
      </c>
      <c r="H1585" s="22">
        <v>46.25</v>
      </c>
      <c r="I1585" s="17">
        <v>0</v>
      </c>
      <c r="J1585" s="17">
        <v>0</v>
      </c>
      <c r="K1585" s="17">
        <f t="shared" si="269"/>
        <v>46.25</v>
      </c>
      <c r="L1585" s="23">
        <f t="shared" si="273"/>
        <v>2.3125</v>
      </c>
      <c r="M1585" s="23">
        <v>5</v>
      </c>
      <c r="N1585" s="18">
        <f t="shared" si="270"/>
        <v>18.263013698630136</v>
      </c>
      <c r="O1585" s="23">
        <v>439.375</v>
      </c>
      <c r="P1585" s="18">
        <f t="shared" si="271"/>
        <v>18.764383561643836</v>
      </c>
      <c r="Q1585" s="18">
        <v>0</v>
      </c>
      <c r="R1585" s="18">
        <f t="shared" si="268"/>
        <v>439.375</v>
      </c>
      <c r="S1585" s="18">
        <f t="shared" si="267"/>
        <v>2.3125</v>
      </c>
    </row>
    <row r="1586" spans="1:19" ht="18.75" customHeight="1" x14ac:dyDescent="0.25">
      <c r="A1586" s="14">
        <f t="shared" si="272"/>
        <v>1580</v>
      </c>
      <c r="B1586" s="21" t="s">
        <v>1396</v>
      </c>
      <c r="C1586" s="15" t="s">
        <v>3</v>
      </c>
      <c r="D1586" s="21" t="s">
        <v>1200</v>
      </c>
      <c r="E1586" s="21"/>
      <c r="F1586" s="69" t="s">
        <v>4</v>
      </c>
      <c r="G1586" s="9">
        <v>37622</v>
      </c>
      <c r="H1586" s="22">
        <v>664.10000000000036</v>
      </c>
      <c r="I1586" s="17">
        <v>0</v>
      </c>
      <c r="J1586" s="17">
        <v>0</v>
      </c>
      <c r="K1586" s="17">
        <f t="shared" si="269"/>
        <v>664.10000000000036</v>
      </c>
      <c r="L1586" s="23">
        <f t="shared" si="273"/>
        <v>33.20500000000002</v>
      </c>
      <c r="M1586" s="23">
        <v>5</v>
      </c>
      <c r="N1586" s="18">
        <f t="shared" si="270"/>
        <v>18.263013698630136</v>
      </c>
      <c r="O1586" s="23">
        <v>6308.95</v>
      </c>
      <c r="P1586" s="18">
        <f t="shared" si="271"/>
        <v>18.764383561643836</v>
      </c>
      <c r="Q1586" s="18">
        <v>0</v>
      </c>
      <c r="R1586" s="18">
        <f t="shared" si="268"/>
        <v>6308.95</v>
      </c>
      <c r="S1586" s="18">
        <f t="shared" si="267"/>
        <v>33.20500000000002</v>
      </c>
    </row>
    <row r="1587" spans="1:19" ht="18.75" customHeight="1" x14ac:dyDescent="0.25">
      <c r="A1587" s="14">
        <f t="shared" si="272"/>
        <v>1581</v>
      </c>
      <c r="B1587" s="21" t="s">
        <v>1397</v>
      </c>
      <c r="C1587" s="15" t="s">
        <v>3</v>
      </c>
      <c r="D1587" s="21" t="s">
        <v>1200</v>
      </c>
      <c r="E1587" s="21"/>
      <c r="F1587" s="69" t="s">
        <v>4</v>
      </c>
      <c r="G1587" s="9">
        <v>37622</v>
      </c>
      <c r="H1587" s="22">
        <v>174.5</v>
      </c>
      <c r="I1587" s="17">
        <v>0</v>
      </c>
      <c r="J1587" s="17">
        <v>0</v>
      </c>
      <c r="K1587" s="17">
        <f t="shared" si="269"/>
        <v>174.5</v>
      </c>
      <c r="L1587" s="23">
        <f t="shared" si="273"/>
        <v>8.7249999999999996</v>
      </c>
      <c r="M1587" s="23">
        <v>5</v>
      </c>
      <c r="N1587" s="18">
        <f t="shared" si="270"/>
        <v>18.263013698630136</v>
      </c>
      <c r="O1587" s="23">
        <v>1657.75</v>
      </c>
      <c r="P1587" s="18">
        <f t="shared" si="271"/>
        <v>18.764383561643836</v>
      </c>
      <c r="Q1587" s="18">
        <v>0</v>
      </c>
      <c r="R1587" s="18">
        <f t="shared" si="268"/>
        <v>1657.75</v>
      </c>
      <c r="S1587" s="18">
        <f t="shared" si="267"/>
        <v>8.7249999999999996</v>
      </c>
    </row>
    <row r="1588" spans="1:19" ht="18.75" customHeight="1" x14ac:dyDescent="0.25">
      <c r="A1588" s="14">
        <f t="shared" si="272"/>
        <v>1582</v>
      </c>
      <c r="B1588" s="21" t="s">
        <v>1398</v>
      </c>
      <c r="C1588" s="15" t="s">
        <v>3</v>
      </c>
      <c r="D1588" s="21" t="s">
        <v>1200</v>
      </c>
      <c r="E1588" s="21"/>
      <c r="F1588" s="69" t="s">
        <v>4</v>
      </c>
      <c r="G1588" s="9">
        <v>37622</v>
      </c>
      <c r="H1588" s="22">
        <v>1067.8499999999985</v>
      </c>
      <c r="I1588" s="17">
        <v>0</v>
      </c>
      <c r="J1588" s="17">
        <v>0</v>
      </c>
      <c r="K1588" s="17">
        <f t="shared" si="269"/>
        <v>1067.8499999999985</v>
      </c>
      <c r="L1588" s="23">
        <f t="shared" si="273"/>
        <v>53.392499999999927</v>
      </c>
      <c r="M1588" s="23">
        <v>5</v>
      </c>
      <c r="N1588" s="18">
        <f t="shared" si="270"/>
        <v>18.263013698630136</v>
      </c>
      <c r="O1588" s="23">
        <v>10144.575000000001</v>
      </c>
      <c r="P1588" s="18">
        <f t="shared" si="271"/>
        <v>18.764383561643836</v>
      </c>
      <c r="Q1588" s="18">
        <v>0</v>
      </c>
      <c r="R1588" s="18">
        <f t="shared" si="268"/>
        <v>10144.575000000001</v>
      </c>
      <c r="S1588" s="18">
        <f t="shared" si="267"/>
        <v>53.392499999999927</v>
      </c>
    </row>
    <row r="1589" spans="1:19" ht="18.75" customHeight="1" x14ac:dyDescent="0.25">
      <c r="A1589" s="14">
        <f t="shared" si="272"/>
        <v>1583</v>
      </c>
      <c r="B1589" s="21" t="s">
        <v>1399</v>
      </c>
      <c r="C1589" s="15" t="s">
        <v>3</v>
      </c>
      <c r="D1589" s="21" t="s">
        <v>1200</v>
      </c>
      <c r="E1589" s="21"/>
      <c r="F1589" s="69" t="s">
        <v>4</v>
      </c>
      <c r="G1589" s="9">
        <v>37622</v>
      </c>
      <c r="H1589" s="22">
        <v>343.64999999999964</v>
      </c>
      <c r="I1589" s="17">
        <v>0</v>
      </c>
      <c r="J1589" s="17">
        <v>0</v>
      </c>
      <c r="K1589" s="17">
        <f t="shared" si="269"/>
        <v>343.64999999999964</v>
      </c>
      <c r="L1589" s="23">
        <f t="shared" si="273"/>
        <v>17.182499999999983</v>
      </c>
      <c r="M1589" s="23">
        <v>5</v>
      </c>
      <c r="N1589" s="18">
        <f t="shared" si="270"/>
        <v>18.263013698630136</v>
      </c>
      <c r="O1589" s="23">
        <v>3264.6750000000002</v>
      </c>
      <c r="P1589" s="18">
        <f t="shared" si="271"/>
        <v>18.764383561643836</v>
      </c>
      <c r="Q1589" s="18">
        <v>0</v>
      </c>
      <c r="R1589" s="18">
        <f t="shared" si="268"/>
        <v>3264.6750000000002</v>
      </c>
      <c r="S1589" s="18">
        <f t="shared" si="267"/>
        <v>17.182499999999983</v>
      </c>
    </row>
    <row r="1590" spans="1:19" ht="18.75" customHeight="1" x14ac:dyDescent="0.25">
      <c r="A1590" s="14">
        <f t="shared" si="272"/>
        <v>1584</v>
      </c>
      <c r="B1590" s="21" t="s">
        <v>1400</v>
      </c>
      <c r="C1590" s="15" t="s">
        <v>3</v>
      </c>
      <c r="D1590" s="21" t="s">
        <v>1200</v>
      </c>
      <c r="E1590" s="21"/>
      <c r="F1590" s="69" t="s">
        <v>4</v>
      </c>
      <c r="G1590" s="9">
        <v>37622</v>
      </c>
      <c r="H1590" s="22">
        <v>694.75</v>
      </c>
      <c r="I1590" s="17">
        <v>0</v>
      </c>
      <c r="J1590" s="17">
        <v>0</v>
      </c>
      <c r="K1590" s="17">
        <f t="shared" si="269"/>
        <v>694.75</v>
      </c>
      <c r="L1590" s="23">
        <f t="shared" si="273"/>
        <v>34.737500000000004</v>
      </c>
      <c r="M1590" s="23">
        <v>5</v>
      </c>
      <c r="N1590" s="18">
        <f t="shared" si="270"/>
        <v>18.263013698630136</v>
      </c>
      <c r="O1590" s="23">
        <v>6600.125</v>
      </c>
      <c r="P1590" s="18">
        <f t="shared" si="271"/>
        <v>18.764383561643836</v>
      </c>
      <c r="Q1590" s="18">
        <v>0</v>
      </c>
      <c r="R1590" s="18">
        <f t="shared" si="268"/>
        <v>6600.125</v>
      </c>
      <c r="S1590" s="18">
        <f t="shared" si="267"/>
        <v>34.737500000000004</v>
      </c>
    </row>
    <row r="1591" spans="1:19" ht="18.75" customHeight="1" x14ac:dyDescent="0.25">
      <c r="A1591" s="14">
        <f t="shared" si="272"/>
        <v>1585</v>
      </c>
      <c r="B1591" s="21" t="s">
        <v>1401</v>
      </c>
      <c r="C1591" s="15" t="s">
        <v>3</v>
      </c>
      <c r="D1591" s="21" t="s">
        <v>1200</v>
      </c>
      <c r="E1591" s="21"/>
      <c r="F1591" s="69" t="s">
        <v>4</v>
      </c>
      <c r="G1591" s="9">
        <v>37622</v>
      </c>
      <c r="H1591" s="22">
        <v>351.35000000000036</v>
      </c>
      <c r="I1591" s="17">
        <v>0</v>
      </c>
      <c r="J1591" s="17">
        <v>0</v>
      </c>
      <c r="K1591" s="17">
        <f t="shared" si="269"/>
        <v>351.35000000000036</v>
      </c>
      <c r="L1591" s="23">
        <f t="shared" si="273"/>
        <v>17.56750000000002</v>
      </c>
      <c r="M1591" s="23">
        <v>5</v>
      </c>
      <c r="N1591" s="18">
        <f t="shared" si="270"/>
        <v>18.263013698630136</v>
      </c>
      <c r="O1591" s="23">
        <v>3337.8249999999998</v>
      </c>
      <c r="P1591" s="18">
        <f t="shared" si="271"/>
        <v>18.764383561643836</v>
      </c>
      <c r="Q1591" s="18">
        <v>0</v>
      </c>
      <c r="R1591" s="18">
        <f t="shared" si="268"/>
        <v>3337.8249999999998</v>
      </c>
      <c r="S1591" s="18">
        <f t="shared" si="267"/>
        <v>17.56750000000002</v>
      </c>
    </row>
    <row r="1592" spans="1:19" ht="18.75" customHeight="1" x14ac:dyDescent="0.25">
      <c r="A1592" s="14">
        <f t="shared" si="272"/>
        <v>1586</v>
      </c>
      <c r="B1592" s="21" t="s">
        <v>1366</v>
      </c>
      <c r="C1592" s="15" t="s">
        <v>3</v>
      </c>
      <c r="D1592" s="21" t="s">
        <v>1200</v>
      </c>
      <c r="E1592" s="21"/>
      <c r="F1592" s="69" t="s">
        <v>4</v>
      </c>
      <c r="G1592" s="9">
        <v>37622</v>
      </c>
      <c r="H1592" s="22">
        <v>945.90000000000146</v>
      </c>
      <c r="I1592" s="17">
        <v>0</v>
      </c>
      <c r="J1592" s="17">
        <v>0</v>
      </c>
      <c r="K1592" s="17">
        <f t="shared" si="269"/>
        <v>945.90000000000146</v>
      </c>
      <c r="L1592" s="23">
        <f t="shared" si="273"/>
        <v>47.295000000000073</v>
      </c>
      <c r="M1592" s="23">
        <v>5</v>
      </c>
      <c r="N1592" s="18">
        <f t="shared" si="270"/>
        <v>18.263013698630136</v>
      </c>
      <c r="O1592" s="23">
        <v>8986.0499999999993</v>
      </c>
      <c r="P1592" s="18">
        <f t="shared" si="271"/>
        <v>18.764383561643836</v>
      </c>
      <c r="Q1592" s="18">
        <v>0</v>
      </c>
      <c r="R1592" s="18">
        <f t="shared" si="268"/>
        <v>8986.0499999999993</v>
      </c>
      <c r="S1592" s="18">
        <f t="shared" si="267"/>
        <v>47.295000000000073</v>
      </c>
    </row>
    <row r="1593" spans="1:19" ht="18.75" customHeight="1" x14ac:dyDescent="0.25">
      <c r="A1593" s="14">
        <f t="shared" si="272"/>
        <v>1587</v>
      </c>
      <c r="B1593" s="21" t="s">
        <v>1402</v>
      </c>
      <c r="C1593" s="15" t="s">
        <v>3</v>
      </c>
      <c r="D1593" s="21" t="s">
        <v>1200</v>
      </c>
      <c r="E1593" s="21"/>
      <c r="F1593" s="69" t="s">
        <v>4</v>
      </c>
      <c r="G1593" s="9">
        <v>37605</v>
      </c>
      <c r="H1593" s="22">
        <v>787.5</v>
      </c>
      <c r="I1593" s="17">
        <v>0</v>
      </c>
      <c r="J1593" s="17">
        <v>0</v>
      </c>
      <c r="K1593" s="17">
        <f t="shared" si="269"/>
        <v>787.5</v>
      </c>
      <c r="L1593" s="23">
        <f t="shared" si="273"/>
        <v>39.375</v>
      </c>
      <c r="M1593" s="23">
        <v>3</v>
      </c>
      <c r="N1593" s="18">
        <f t="shared" si="270"/>
        <v>18.30958904109589</v>
      </c>
      <c r="O1593" s="23">
        <v>7481.25</v>
      </c>
      <c r="P1593" s="18">
        <f t="shared" si="271"/>
        <v>18.81095890410959</v>
      </c>
      <c r="Q1593" s="18">
        <v>0</v>
      </c>
      <c r="R1593" s="18">
        <f t="shared" si="268"/>
        <v>7481.25</v>
      </c>
      <c r="S1593" s="18">
        <f t="shared" si="267"/>
        <v>39.375</v>
      </c>
    </row>
    <row r="1594" spans="1:19" ht="18.75" customHeight="1" x14ac:dyDescent="0.25">
      <c r="A1594" s="14">
        <f t="shared" si="272"/>
        <v>1588</v>
      </c>
      <c r="B1594" s="21" t="s">
        <v>1403</v>
      </c>
      <c r="C1594" s="15" t="s">
        <v>3</v>
      </c>
      <c r="D1594" s="21" t="s">
        <v>1200</v>
      </c>
      <c r="E1594" s="21"/>
      <c r="F1594" s="69" t="s">
        <v>4</v>
      </c>
      <c r="G1594" s="9">
        <v>37589</v>
      </c>
      <c r="H1594" s="22">
        <v>8814.87049999999</v>
      </c>
      <c r="I1594" s="17">
        <v>0</v>
      </c>
      <c r="J1594" s="17">
        <v>0</v>
      </c>
      <c r="K1594" s="17">
        <f t="shared" si="269"/>
        <v>8814.87049999999</v>
      </c>
      <c r="L1594" s="23">
        <f t="shared" si="273"/>
        <v>440.74352499999952</v>
      </c>
      <c r="M1594" s="23">
        <v>3</v>
      </c>
      <c r="N1594" s="18">
        <f t="shared" si="270"/>
        <v>18.353424657534248</v>
      </c>
      <c r="O1594" s="23">
        <v>83741.269750000007</v>
      </c>
      <c r="P1594" s="18">
        <f t="shared" si="271"/>
        <v>18.854794520547944</v>
      </c>
      <c r="Q1594" s="18">
        <v>0</v>
      </c>
      <c r="R1594" s="18">
        <f t="shared" si="268"/>
        <v>83741.269750000007</v>
      </c>
      <c r="S1594" s="18">
        <f t="shared" si="267"/>
        <v>440.74352499999952</v>
      </c>
    </row>
    <row r="1595" spans="1:19" ht="18.75" customHeight="1" x14ac:dyDescent="0.25">
      <c r="A1595" s="14">
        <f t="shared" si="272"/>
        <v>1589</v>
      </c>
      <c r="B1595" s="21" t="s">
        <v>1404</v>
      </c>
      <c r="C1595" s="15" t="s">
        <v>3</v>
      </c>
      <c r="D1595" s="21" t="s">
        <v>1200</v>
      </c>
      <c r="E1595" s="21"/>
      <c r="F1595" s="69" t="s">
        <v>4</v>
      </c>
      <c r="G1595" s="9">
        <v>37582</v>
      </c>
      <c r="H1595" s="22">
        <v>730.75</v>
      </c>
      <c r="I1595" s="17">
        <v>0</v>
      </c>
      <c r="J1595" s="17">
        <v>0</v>
      </c>
      <c r="K1595" s="17">
        <f t="shared" si="269"/>
        <v>730.75</v>
      </c>
      <c r="L1595" s="23">
        <f t="shared" si="273"/>
        <v>36.537500000000001</v>
      </c>
      <c r="M1595" s="23">
        <v>3</v>
      </c>
      <c r="N1595" s="18">
        <f t="shared" si="270"/>
        <v>18.372602739726027</v>
      </c>
      <c r="O1595" s="23">
        <v>6942.125</v>
      </c>
      <c r="P1595" s="18">
        <f t="shared" si="271"/>
        <v>18.873972602739727</v>
      </c>
      <c r="Q1595" s="18">
        <v>0</v>
      </c>
      <c r="R1595" s="18">
        <f t="shared" si="268"/>
        <v>6942.125</v>
      </c>
      <c r="S1595" s="18">
        <f t="shared" si="267"/>
        <v>36.537500000000001</v>
      </c>
    </row>
    <row r="1596" spans="1:19" ht="18.75" customHeight="1" x14ac:dyDescent="0.25">
      <c r="A1596" s="14">
        <f t="shared" si="272"/>
        <v>1590</v>
      </c>
      <c r="B1596" s="21" t="s">
        <v>1405</v>
      </c>
      <c r="C1596" s="15" t="s">
        <v>3</v>
      </c>
      <c r="D1596" s="21" t="s">
        <v>1200</v>
      </c>
      <c r="E1596" s="21"/>
      <c r="F1596" s="69" t="s">
        <v>4</v>
      </c>
      <c r="G1596" s="9">
        <v>37582</v>
      </c>
      <c r="H1596" s="22">
        <v>1775</v>
      </c>
      <c r="I1596" s="17">
        <v>0</v>
      </c>
      <c r="J1596" s="17">
        <v>0</v>
      </c>
      <c r="K1596" s="17">
        <f t="shared" si="269"/>
        <v>1775</v>
      </c>
      <c r="L1596" s="23">
        <f t="shared" si="273"/>
        <v>88.75</v>
      </c>
      <c r="M1596" s="23">
        <v>3</v>
      </c>
      <c r="N1596" s="18">
        <f t="shared" si="270"/>
        <v>18.372602739726027</v>
      </c>
      <c r="O1596" s="23">
        <v>16862.5</v>
      </c>
      <c r="P1596" s="18">
        <f t="shared" si="271"/>
        <v>18.873972602739727</v>
      </c>
      <c r="Q1596" s="18">
        <v>0</v>
      </c>
      <c r="R1596" s="18">
        <f t="shared" si="268"/>
        <v>16862.5</v>
      </c>
      <c r="S1596" s="18">
        <f t="shared" si="267"/>
        <v>88.75</v>
      </c>
    </row>
    <row r="1597" spans="1:19" ht="18.75" customHeight="1" x14ac:dyDescent="0.25">
      <c r="A1597" s="14">
        <f t="shared" si="272"/>
        <v>1591</v>
      </c>
      <c r="B1597" s="21" t="s">
        <v>1406</v>
      </c>
      <c r="C1597" s="15" t="s">
        <v>3</v>
      </c>
      <c r="D1597" s="21" t="s">
        <v>1200</v>
      </c>
      <c r="E1597" s="21"/>
      <c r="F1597" s="69" t="s">
        <v>4</v>
      </c>
      <c r="G1597" s="9">
        <v>37574</v>
      </c>
      <c r="H1597" s="22">
        <v>324.5</v>
      </c>
      <c r="I1597" s="17">
        <v>0</v>
      </c>
      <c r="J1597" s="17">
        <v>0</v>
      </c>
      <c r="K1597" s="17">
        <f t="shared" si="269"/>
        <v>324.5</v>
      </c>
      <c r="L1597" s="23">
        <f t="shared" si="273"/>
        <v>16.225000000000001</v>
      </c>
      <c r="M1597" s="23">
        <v>5</v>
      </c>
      <c r="N1597" s="18">
        <f t="shared" si="270"/>
        <v>18.394520547945206</v>
      </c>
      <c r="O1597" s="23">
        <v>3082.75</v>
      </c>
      <c r="P1597" s="18">
        <f t="shared" si="271"/>
        <v>18.895890410958906</v>
      </c>
      <c r="Q1597" s="18">
        <v>0</v>
      </c>
      <c r="R1597" s="18">
        <f t="shared" si="268"/>
        <v>3082.75</v>
      </c>
      <c r="S1597" s="18">
        <f t="shared" si="267"/>
        <v>16.225000000000001</v>
      </c>
    </row>
    <row r="1598" spans="1:19" ht="18.75" customHeight="1" x14ac:dyDescent="0.25">
      <c r="A1598" s="14">
        <f t="shared" si="272"/>
        <v>1592</v>
      </c>
      <c r="B1598" s="21" t="s">
        <v>1407</v>
      </c>
      <c r="C1598" s="15" t="s">
        <v>3</v>
      </c>
      <c r="D1598" s="21" t="s">
        <v>1200</v>
      </c>
      <c r="E1598" s="21"/>
      <c r="F1598" s="69" t="s">
        <v>4</v>
      </c>
      <c r="G1598" s="9">
        <v>37437</v>
      </c>
      <c r="H1598" s="22">
        <v>345</v>
      </c>
      <c r="I1598" s="17">
        <v>0</v>
      </c>
      <c r="J1598" s="17">
        <v>0</v>
      </c>
      <c r="K1598" s="17">
        <f t="shared" si="269"/>
        <v>345</v>
      </c>
      <c r="L1598" s="23">
        <f t="shared" si="273"/>
        <v>17.25</v>
      </c>
      <c r="M1598" s="23">
        <v>5</v>
      </c>
      <c r="N1598" s="18">
        <f t="shared" si="270"/>
        <v>18.769863013698629</v>
      </c>
      <c r="O1598" s="23">
        <v>3277.5</v>
      </c>
      <c r="P1598" s="18">
        <f t="shared" si="271"/>
        <v>19.271232876712329</v>
      </c>
      <c r="Q1598" s="18">
        <v>0</v>
      </c>
      <c r="R1598" s="18">
        <f t="shared" si="268"/>
        <v>3277.5</v>
      </c>
      <c r="S1598" s="18">
        <f t="shared" si="267"/>
        <v>17.25</v>
      </c>
    </row>
    <row r="1599" spans="1:19" ht="18.75" customHeight="1" x14ac:dyDescent="0.25">
      <c r="A1599" s="14">
        <f t="shared" si="272"/>
        <v>1593</v>
      </c>
      <c r="B1599" s="21" t="s">
        <v>1357</v>
      </c>
      <c r="C1599" s="15" t="s">
        <v>3</v>
      </c>
      <c r="D1599" s="21" t="s">
        <v>1200</v>
      </c>
      <c r="E1599" s="21"/>
      <c r="F1599" s="69" t="s">
        <v>4</v>
      </c>
      <c r="G1599" s="9">
        <v>37437</v>
      </c>
      <c r="H1599" s="22">
        <v>900</v>
      </c>
      <c r="I1599" s="17">
        <v>0</v>
      </c>
      <c r="J1599" s="17">
        <v>0</v>
      </c>
      <c r="K1599" s="17">
        <f t="shared" si="269"/>
        <v>900</v>
      </c>
      <c r="L1599" s="23">
        <f t="shared" si="273"/>
        <v>45</v>
      </c>
      <c r="M1599" s="23">
        <v>5</v>
      </c>
      <c r="N1599" s="18">
        <f t="shared" si="270"/>
        <v>18.769863013698629</v>
      </c>
      <c r="O1599" s="23">
        <v>8550</v>
      </c>
      <c r="P1599" s="18">
        <f t="shared" si="271"/>
        <v>19.271232876712329</v>
      </c>
      <c r="Q1599" s="18">
        <v>0</v>
      </c>
      <c r="R1599" s="18">
        <f t="shared" si="268"/>
        <v>8550</v>
      </c>
      <c r="S1599" s="18">
        <f t="shared" ref="S1599:S1616" si="274">L1599</f>
        <v>45</v>
      </c>
    </row>
    <row r="1600" spans="1:19" ht="18.75" customHeight="1" x14ac:dyDescent="0.25">
      <c r="A1600" s="14">
        <f t="shared" si="272"/>
        <v>1594</v>
      </c>
      <c r="B1600" s="21" t="s">
        <v>1346</v>
      </c>
      <c r="C1600" s="15" t="s">
        <v>3</v>
      </c>
      <c r="D1600" s="21" t="s">
        <v>1200</v>
      </c>
      <c r="E1600" s="21"/>
      <c r="F1600" s="69" t="s">
        <v>4</v>
      </c>
      <c r="G1600" s="9">
        <v>37407</v>
      </c>
      <c r="H1600" s="22">
        <v>1800</v>
      </c>
      <c r="I1600" s="17">
        <v>0</v>
      </c>
      <c r="J1600" s="17">
        <v>0</v>
      </c>
      <c r="K1600" s="17">
        <f t="shared" si="269"/>
        <v>1800</v>
      </c>
      <c r="L1600" s="23">
        <f t="shared" si="273"/>
        <v>90</v>
      </c>
      <c r="M1600" s="23">
        <v>5</v>
      </c>
      <c r="N1600" s="18">
        <f t="shared" si="270"/>
        <v>18.852054794520548</v>
      </c>
      <c r="O1600" s="23">
        <v>17100</v>
      </c>
      <c r="P1600" s="18">
        <f t="shared" si="271"/>
        <v>19.353424657534248</v>
      </c>
      <c r="Q1600" s="18">
        <v>0</v>
      </c>
      <c r="R1600" s="18">
        <f t="shared" si="268"/>
        <v>17100</v>
      </c>
      <c r="S1600" s="18">
        <f t="shared" si="274"/>
        <v>90</v>
      </c>
    </row>
    <row r="1601" spans="1:19" ht="18.75" customHeight="1" x14ac:dyDescent="0.25">
      <c r="A1601" s="14">
        <f t="shared" si="272"/>
        <v>1595</v>
      </c>
      <c r="B1601" s="21" t="s">
        <v>1408</v>
      </c>
      <c r="C1601" s="15" t="s">
        <v>3</v>
      </c>
      <c r="D1601" s="21" t="s">
        <v>1200</v>
      </c>
      <c r="E1601" s="21"/>
      <c r="F1601" s="69" t="s">
        <v>4</v>
      </c>
      <c r="G1601" s="9">
        <v>37407</v>
      </c>
      <c r="H1601" s="22">
        <v>6717.5</v>
      </c>
      <c r="I1601" s="17">
        <v>0</v>
      </c>
      <c r="J1601" s="17">
        <v>0</v>
      </c>
      <c r="K1601" s="17">
        <f t="shared" si="269"/>
        <v>6717.5</v>
      </c>
      <c r="L1601" s="23">
        <f t="shared" si="273"/>
        <v>335.875</v>
      </c>
      <c r="M1601" s="23">
        <v>5</v>
      </c>
      <c r="N1601" s="18">
        <f t="shared" si="270"/>
        <v>18.852054794520548</v>
      </c>
      <c r="O1601" s="23">
        <v>63816.25</v>
      </c>
      <c r="P1601" s="18">
        <f t="shared" si="271"/>
        <v>19.353424657534248</v>
      </c>
      <c r="Q1601" s="18">
        <v>0</v>
      </c>
      <c r="R1601" s="18">
        <f t="shared" si="268"/>
        <v>63816.25</v>
      </c>
      <c r="S1601" s="18">
        <f t="shared" si="274"/>
        <v>335.875</v>
      </c>
    </row>
    <row r="1602" spans="1:19" ht="18.75" customHeight="1" x14ac:dyDescent="0.25">
      <c r="A1602" s="14">
        <f t="shared" si="272"/>
        <v>1596</v>
      </c>
      <c r="B1602" s="21" t="s">
        <v>1409</v>
      </c>
      <c r="C1602" s="15" t="s">
        <v>3</v>
      </c>
      <c r="D1602" s="21" t="s">
        <v>1200</v>
      </c>
      <c r="E1602" s="21"/>
      <c r="F1602" s="69" t="s">
        <v>4</v>
      </c>
      <c r="G1602" s="9">
        <v>37257</v>
      </c>
      <c r="H1602" s="22">
        <v>939.65000000000146</v>
      </c>
      <c r="I1602" s="17">
        <v>0</v>
      </c>
      <c r="J1602" s="17">
        <v>0</v>
      </c>
      <c r="K1602" s="17">
        <f t="shared" si="269"/>
        <v>939.65000000000146</v>
      </c>
      <c r="L1602" s="23">
        <f t="shared" si="273"/>
        <v>46.982500000000073</v>
      </c>
      <c r="M1602" s="23">
        <v>5</v>
      </c>
      <c r="N1602" s="18">
        <f t="shared" si="270"/>
        <v>19.263013698630136</v>
      </c>
      <c r="O1602" s="23">
        <v>8926.6749999999993</v>
      </c>
      <c r="P1602" s="18">
        <f t="shared" si="271"/>
        <v>19.764383561643836</v>
      </c>
      <c r="Q1602" s="18">
        <v>0</v>
      </c>
      <c r="R1602" s="18">
        <f t="shared" si="268"/>
        <v>8926.6749999999993</v>
      </c>
      <c r="S1602" s="18">
        <f t="shared" si="274"/>
        <v>46.982500000000073</v>
      </c>
    </row>
    <row r="1603" spans="1:19" ht="18.75" customHeight="1" x14ac:dyDescent="0.25">
      <c r="A1603" s="14">
        <f t="shared" si="272"/>
        <v>1597</v>
      </c>
      <c r="B1603" s="21" t="s">
        <v>1410</v>
      </c>
      <c r="C1603" s="15" t="s">
        <v>3</v>
      </c>
      <c r="D1603" s="21" t="s">
        <v>1200</v>
      </c>
      <c r="E1603" s="21"/>
      <c r="F1603" s="69" t="s">
        <v>4</v>
      </c>
      <c r="G1603" s="9">
        <v>37257</v>
      </c>
      <c r="H1603" s="22">
        <v>358.39999999999964</v>
      </c>
      <c r="I1603" s="17">
        <v>0</v>
      </c>
      <c r="J1603" s="17">
        <v>0</v>
      </c>
      <c r="K1603" s="17">
        <f t="shared" si="269"/>
        <v>358.39999999999964</v>
      </c>
      <c r="L1603" s="23">
        <f t="shared" si="273"/>
        <v>17.919999999999984</v>
      </c>
      <c r="M1603" s="23">
        <v>5</v>
      </c>
      <c r="N1603" s="18">
        <f t="shared" si="270"/>
        <v>19.263013698630136</v>
      </c>
      <c r="O1603" s="23">
        <v>3404.8</v>
      </c>
      <c r="P1603" s="18">
        <f t="shared" si="271"/>
        <v>19.764383561643836</v>
      </c>
      <c r="Q1603" s="18">
        <v>0</v>
      </c>
      <c r="R1603" s="18">
        <f t="shared" si="268"/>
        <v>3404.8</v>
      </c>
      <c r="S1603" s="18">
        <f t="shared" si="274"/>
        <v>17.919999999999984</v>
      </c>
    </row>
    <row r="1604" spans="1:19" ht="18.75" customHeight="1" x14ac:dyDescent="0.25">
      <c r="A1604" s="14">
        <f t="shared" si="272"/>
        <v>1598</v>
      </c>
      <c r="B1604" s="21" t="s">
        <v>1411</v>
      </c>
      <c r="C1604" s="15" t="s">
        <v>3</v>
      </c>
      <c r="D1604" s="21" t="s">
        <v>1200</v>
      </c>
      <c r="E1604" s="21"/>
      <c r="F1604" s="69" t="s">
        <v>4</v>
      </c>
      <c r="G1604" s="9">
        <v>37257</v>
      </c>
      <c r="H1604" s="22">
        <v>30</v>
      </c>
      <c r="I1604" s="17">
        <v>0</v>
      </c>
      <c r="J1604" s="17">
        <v>0</v>
      </c>
      <c r="K1604" s="17">
        <f t="shared" si="269"/>
        <v>30</v>
      </c>
      <c r="L1604" s="23">
        <f t="shared" si="273"/>
        <v>1.5</v>
      </c>
      <c r="M1604" s="23">
        <v>5</v>
      </c>
      <c r="N1604" s="18">
        <f t="shared" si="270"/>
        <v>19.263013698630136</v>
      </c>
      <c r="O1604" s="23">
        <v>285</v>
      </c>
      <c r="P1604" s="18">
        <f t="shared" si="271"/>
        <v>19.764383561643836</v>
      </c>
      <c r="Q1604" s="18">
        <v>0</v>
      </c>
      <c r="R1604" s="18">
        <f t="shared" ref="R1604:R1667" si="275">Q1604+O1604</f>
        <v>285</v>
      </c>
      <c r="S1604" s="18">
        <f t="shared" si="274"/>
        <v>1.5</v>
      </c>
    </row>
    <row r="1605" spans="1:19" ht="18.75" customHeight="1" x14ac:dyDescent="0.25">
      <c r="A1605" s="14">
        <f t="shared" si="272"/>
        <v>1599</v>
      </c>
      <c r="B1605" s="21" t="s">
        <v>1412</v>
      </c>
      <c r="C1605" s="15" t="s">
        <v>3</v>
      </c>
      <c r="D1605" s="21" t="s">
        <v>1200</v>
      </c>
      <c r="E1605" s="21"/>
      <c r="F1605" s="69" t="s">
        <v>4</v>
      </c>
      <c r="G1605" s="9">
        <v>37257</v>
      </c>
      <c r="H1605" s="22">
        <v>54.25</v>
      </c>
      <c r="I1605" s="17">
        <v>0</v>
      </c>
      <c r="J1605" s="17">
        <v>0</v>
      </c>
      <c r="K1605" s="17">
        <f t="shared" ref="K1605:K1668" si="276">H1605+I1605-J1605</f>
        <v>54.25</v>
      </c>
      <c r="L1605" s="23">
        <f t="shared" si="273"/>
        <v>2.7125000000000004</v>
      </c>
      <c r="M1605" s="23">
        <v>5</v>
      </c>
      <c r="N1605" s="18">
        <f t="shared" ref="N1605:N1668" si="277">IF(($N$2-G1605+1)/365&gt;0,($N$2-G1605+1)/365,0)</f>
        <v>19.263013698630136</v>
      </c>
      <c r="O1605" s="23">
        <v>515.375</v>
      </c>
      <c r="P1605" s="18">
        <f t="shared" ref="P1605:P1668" si="278">($P$2-G1605+1)/365</f>
        <v>19.764383561643836</v>
      </c>
      <c r="Q1605" s="18">
        <v>0</v>
      </c>
      <c r="R1605" s="18">
        <f t="shared" si="275"/>
        <v>515.375</v>
      </c>
      <c r="S1605" s="18">
        <f t="shared" si="274"/>
        <v>2.7125000000000004</v>
      </c>
    </row>
    <row r="1606" spans="1:19" ht="18.75" customHeight="1" x14ac:dyDescent="0.25">
      <c r="A1606" s="14">
        <f t="shared" ref="A1606:A1669" si="279">+A1605+1</f>
        <v>1600</v>
      </c>
      <c r="B1606" s="21" t="s">
        <v>1413</v>
      </c>
      <c r="C1606" s="15" t="s">
        <v>3</v>
      </c>
      <c r="D1606" s="21" t="s">
        <v>1200</v>
      </c>
      <c r="E1606" s="21"/>
      <c r="F1606" s="69" t="s">
        <v>4</v>
      </c>
      <c r="G1606" s="9">
        <v>37257</v>
      </c>
      <c r="H1606" s="22">
        <v>40.200000000000045</v>
      </c>
      <c r="I1606" s="17">
        <v>0</v>
      </c>
      <c r="J1606" s="17">
        <v>0</v>
      </c>
      <c r="K1606" s="17">
        <f t="shared" si="276"/>
        <v>40.200000000000045</v>
      </c>
      <c r="L1606" s="23">
        <f t="shared" si="273"/>
        <v>2.0100000000000025</v>
      </c>
      <c r="M1606" s="23">
        <v>5</v>
      </c>
      <c r="N1606" s="18">
        <f t="shared" si="277"/>
        <v>19.263013698630136</v>
      </c>
      <c r="O1606" s="23">
        <v>381.9</v>
      </c>
      <c r="P1606" s="18">
        <f t="shared" si="278"/>
        <v>19.764383561643836</v>
      </c>
      <c r="Q1606" s="18">
        <v>0</v>
      </c>
      <c r="R1606" s="18">
        <f t="shared" si="275"/>
        <v>381.9</v>
      </c>
      <c r="S1606" s="18">
        <f t="shared" si="274"/>
        <v>2.0100000000000025</v>
      </c>
    </row>
    <row r="1607" spans="1:19" ht="18.75" customHeight="1" x14ac:dyDescent="0.25">
      <c r="A1607" s="14">
        <f t="shared" si="279"/>
        <v>1601</v>
      </c>
      <c r="B1607" s="21" t="s">
        <v>1414</v>
      </c>
      <c r="C1607" s="15" t="s">
        <v>3</v>
      </c>
      <c r="D1607" s="21" t="s">
        <v>1200</v>
      </c>
      <c r="E1607" s="21"/>
      <c r="F1607" s="69" t="s">
        <v>4</v>
      </c>
      <c r="G1607" s="9">
        <v>37257</v>
      </c>
      <c r="H1607" s="22">
        <v>157.5</v>
      </c>
      <c r="I1607" s="17">
        <v>0</v>
      </c>
      <c r="J1607" s="17">
        <v>0</v>
      </c>
      <c r="K1607" s="17">
        <f t="shared" si="276"/>
        <v>157.5</v>
      </c>
      <c r="L1607" s="23">
        <f t="shared" si="273"/>
        <v>7.875</v>
      </c>
      <c r="M1607" s="23">
        <v>5</v>
      </c>
      <c r="N1607" s="18">
        <f t="shared" si="277"/>
        <v>19.263013698630136</v>
      </c>
      <c r="O1607" s="23">
        <v>1496.25</v>
      </c>
      <c r="P1607" s="18">
        <f t="shared" si="278"/>
        <v>19.764383561643836</v>
      </c>
      <c r="Q1607" s="18">
        <v>0</v>
      </c>
      <c r="R1607" s="18">
        <f t="shared" si="275"/>
        <v>1496.25</v>
      </c>
      <c r="S1607" s="18">
        <f t="shared" si="274"/>
        <v>7.875</v>
      </c>
    </row>
    <row r="1608" spans="1:19" ht="18.75" customHeight="1" x14ac:dyDescent="0.25">
      <c r="A1608" s="14">
        <f t="shared" si="279"/>
        <v>1602</v>
      </c>
      <c r="B1608" s="21" t="s">
        <v>1415</v>
      </c>
      <c r="C1608" s="15" t="s">
        <v>3</v>
      </c>
      <c r="D1608" s="21" t="s">
        <v>1200</v>
      </c>
      <c r="E1608" s="21"/>
      <c r="F1608" s="69" t="s">
        <v>4</v>
      </c>
      <c r="G1608" s="9">
        <v>37257</v>
      </c>
      <c r="H1608" s="22">
        <v>990</v>
      </c>
      <c r="I1608" s="17">
        <v>0</v>
      </c>
      <c r="J1608" s="17">
        <v>0</v>
      </c>
      <c r="K1608" s="17">
        <f t="shared" si="276"/>
        <v>990</v>
      </c>
      <c r="L1608" s="23">
        <f t="shared" si="273"/>
        <v>49.5</v>
      </c>
      <c r="M1608" s="23">
        <v>5</v>
      </c>
      <c r="N1608" s="18">
        <f t="shared" si="277"/>
        <v>19.263013698630136</v>
      </c>
      <c r="O1608" s="23">
        <v>9405</v>
      </c>
      <c r="P1608" s="18">
        <f t="shared" si="278"/>
        <v>19.764383561643836</v>
      </c>
      <c r="Q1608" s="18">
        <v>0</v>
      </c>
      <c r="R1608" s="18">
        <f t="shared" si="275"/>
        <v>9405</v>
      </c>
      <c r="S1608" s="18">
        <f t="shared" si="274"/>
        <v>49.5</v>
      </c>
    </row>
    <row r="1609" spans="1:19" ht="18.75" customHeight="1" x14ac:dyDescent="0.25">
      <c r="A1609" s="14">
        <f t="shared" si="279"/>
        <v>1603</v>
      </c>
      <c r="B1609" s="21" t="s">
        <v>1209</v>
      </c>
      <c r="C1609" s="15" t="s">
        <v>3</v>
      </c>
      <c r="D1609" s="21" t="s">
        <v>1200</v>
      </c>
      <c r="E1609" s="21"/>
      <c r="F1609" s="69" t="s">
        <v>4</v>
      </c>
      <c r="G1609" s="9">
        <v>37210</v>
      </c>
      <c r="H1609" s="22">
        <v>1116.25</v>
      </c>
      <c r="I1609" s="17">
        <v>0</v>
      </c>
      <c r="J1609" s="17">
        <v>0</v>
      </c>
      <c r="K1609" s="17">
        <f t="shared" si="276"/>
        <v>1116.25</v>
      </c>
      <c r="L1609" s="23">
        <f t="shared" si="273"/>
        <v>55.8125</v>
      </c>
      <c r="M1609" s="23">
        <v>3</v>
      </c>
      <c r="N1609" s="18">
        <f t="shared" si="277"/>
        <v>19.391780821917809</v>
      </c>
      <c r="O1609" s="23">
        <v>10604.375</v>
      </c>
      <c r="P1609" s="18">
        <f t="shared" si="278"/>
        <v>19.893150684931506</v>
      </c>
      <c r="Q1609" s="18">
        <v>0</v>
      </c>
      <c r="R1609" s="18">
        <f t="shared" si="275"/>
        <v>10604.375</v>
      </c>
      <c r="S1609" s="18">
        <f t="shared" si="274"/>
        <v>55.8125</v>
      </c>
    </row>
    <row r="1610" spans="1:19" ht="18.75" customHeight="1" x14ac:dyDescent="0.25">
      <c r="A1610" s="14">
        <f t="shared" si="279"/>
        <v>1604</v>
      </c>
      <c r="B1610" s="21" t="s">
        <v>1243</v>
      </c>
      <c r="C1610" s="15" t="s">
        <v>3</v>
      </c>
      <c r="D1610" s="21" t="s">
        <v>1200</v>
      </c>
      <c r="E1610" s="21"/>
      <c r="F1610" s="69" t="s">
        <v>4</v>
      </c>
      <c r="G1610" s="9">
        <v>37210</v>
      </c>
      <c r="H1610" s="22">
        <v>12495</v>
      </c>
      <c r="I1610" s="17">
        <v>0</v>
      </c>
      <c r="J1610" s="17">
        <v>0</v>
      </c>
      <c r="K1610" s="17">
        <f t="shared" si="276"/>
        <v>12495</v>
      </c>
      <c r="L1610" s="23">
        <f t="shared" si="273"/>
        <v>624.75</v>
      </c>
      <c r="M1610" s="23">
        <v>3</v>
      </c>
      <c r="N1610" s="18">
        <f t="shared" si="277"/>
        <v>19.391780821917809</v>
      </c>
      <c r="O1610" s="23">
        <v>118702.5</v>
      </c>
      <c r="P1610" s="18">
        <f t="shared" si="278"/>
        <v>19.893150684931506</v>
      </c>
      <c r="Q1610" s="18">
        <v>0</v>
      </c>
      <c r="R1610" s="18">
        <f t="shared" si="275"/>
        <v>118702.5</v>
      </c>
      <c r="S1610" s="18">
        <f t="shared" si="274"/>
        <v>624.75</v>
      </c>
    </row>
    <row r="1611" spans="1:19" ht="18.75" customHeight="1" x14ac:dyDescent="0.25">
      <c r="A1611" s="14">
        <f t="shared" si="279"/>
        <v>1605</v>
      </c>
      <c r="B1611" s="21" t="s">
        <v>1416</v>
      </c>
      <c r="C1611" s="15" t="s">
        <v>3</v>
      </c>
      <c r="D1611" s="21" t="s">
        <v>1200</v>
      </c>
      <c r="E1611" s="21"/>
      <c r="F1611" s="69" t="s">
        <v>4</v>
      </c>
      <c r="G1611" s="9">
        <v>37016</v>
      </c>
      <c r="H1611" s="22">
        <v>520</v>
      </c>
      <c r="I1611" s="17">
        <v>0</v>
      </c>
      <c r="J1611" s="17">
        <v>0</v>
      </c>
      <c r="K1611" s="17">
        <f t="shared" si="276"/>
        <v>520</v>
      </c>
      <c r="L1611" s="23">
        <f t="shared" si="273"/>
        <v>26</v>
      </c>
      <c r="M1611" s="23">
        <v>5</v>
      </c>
      <c r="N1611" s="18">
        <f t="shared" si="277"/>
        <v>19.923287671232877</v>
      </c>
      <c r="O1611" s="23">
        <v>4940</v>
      </c>
      <c r="P1611" s="18">
        <f t="shared" si="278"/>
        <v>20.424657534246574</v>
      </c>
      <c r="Q1611" s="18">
        <v>0</v>
      </c>
      <c r="R1611" s="18">
        <f t="shared" si="275"/>
        <v>4940</v>
      </c>
      <c r="S1611" s="18">
        <f t="shared" si="274"/>
        <v>26</v>
      </c>
    </row>
    <row r="1612" spans="1:19" ht="18.75" customHeight="1" x14ac:dyDescent="0.25">
      <c r="A1612" s="14">
        <f t="shared" si="279"/>
        <v>1606</v>
      </c>
      <c r="B1612" s="21" t="s">
        <v>1417</v>
      </c>
      <c r="C1612" s="15" t="s">
        <v>3</v>
      </c>
      <c r="D1612" s="21" t="s">
        <v>1200</v>
      </c>
      <c r="E1612" s="21"/>
      <c r="F1612" s="69" t="s">
        <v>4</v>
      </c>
      <c r="G1612" s="9">
        <v>36991</v>
      </c>
      <c r="H1612" s="22">
        <v>2389.25</v>
      </c>
      <c r="I1612" s="17">
        <v>0</v>
      </c>
      <c r="J1612" s="17">
        <v>0</v>
      </c>
      <c r="K1612" s="17">
        <f t="shared" si="276"/>
        <v>2389.25</v>
      </c>
      <c r="L1612" s="23">
        <f t="shared" si="273"/>
        <v>119.46250000000001</v>
      </c>
      <c r="M1612" s="23">
        <v>5</v>
      </c>
      <c r="N1612" s="18">
        <f t="shared" si="277"/>
        <v>19.991780821917807</v>
      </c>
      <c r="O1612" s="23">
        <v>22697.875</v>
      </c>
      <c r="P1612" s="18">
        <f t="shared" si="278"/>
        <v>20.493150684931507</v>
      </c>
      <c r="Q1612" s="18">
        <v>0</v>
      </c>
      <c r="R1612" s="18">
        <f t="shared" si="275"/>
        <v>22697.875</v>
      </c>
      <c r="S1612" s="18">
        <f t="shared" si="274"/>
        <v>119.46250000000001</v>
      </c>
    </row>
    <row r="1613" spans="1:19" ht="18.75" customHeight="1" x14ac:dyDescent="0.25">
      <c r="A1613" s="14">
        <f t="shared" si="279"/>
        <v>1607</v>
      </c>
      <c r="B1613" s="21" t="s">
        <v>1418</v>
      </c>
      <c r="C1613" s="15" t="s">
        <v>3</v>
      </c>
      <c r="D1613" s="21" t="s">
        <v>1200</v>
      </c>
      <c r="E1613" s="21"/>
      <c r="F1613" s="69" t="s">
        <v>4</v>
      </c>
      <c r="G1613" s="9">
        <v>36981</v>
      </c>
      <c r="H1613" s="22">
        <v>17</v>
      </c>
      <c r="I1613" s="17">
        <v>0</v>
      </c>
      <c r="J1613" s="17">
        <v>0</v>
      </c>
      <c r="K1613" s="17">
        <f t="shared" si="276"/>
        <v>17</v>
      </c>
      <c r="L1613" s="23">
        <f t="shared" si="273"/>
        <v>0.85000000000000009</v>
      </c>
      <c r="M1613" s="23">
        <v>5</v>
      </c>
      <c r="N1613" s="18">
        <f t="shared" si="277"/>
        <v>20.019178082191782</v>
      </c>
      <c r="O1613" s="23">
        <v>161.5</v>
      </c>
      <c r="P1613" s="18">
        <f t="shared" si="278"/>
        <v>20.520547945205479</v>
      </c>
      <c r="Q1613" s="18">
        <v>0</v>
      </c>
      <c r="R1613" s="18">
        <f t="shared" si="275"/>
        <v>161.5</v>
      </c>
      <c r="S1613" s="18">
        <f t="shared" si="274"/>
        <v>0.85000000000000009</v>
      </c>
    </row>
    <row r="1614" spans="1:19" ht="18.75" customHeight="1" x14ac:dyDescent="0.25">
      <c r="A1614" s="14">
        <f t="shared" si="279"/>
        <v>1608</v>
      </c>
      <c r="B1614" s="21" t="s">
        <v>1419</v>
      </c>
      <c r="C1614" s="15" t="s">
        <v>3</v>
      </c>
      <c r="D1614" s="21" t="s">
        <v>1200</v>
      </c>
      <c r="E1614" s="21"/>
      <c r="F1614" s="69" t="s">
        <v>4</v>
      </c>
      <c r="G1614" s="9">
        <v>36892</v>
      </c>
      <c r="H1614" s="22">
        <v>374.75</v>
      </c>
      <c r="I1614" s="17">
        <v>0</v>
      </c>
      <c r="J1614" s="17">
        <v>0</v>
      </c>
      <c r="K1614" s="17">
        <f t="shared" si="276"/>
        <v>374.75</v>
      </c>
      <c r="L1614" s="23">
        <f t="shared" si="273"/>
        <v>18.737500000000001</v>
      </c>
      <c r="M1614" s="23">
        <v>5</v>
      </c>
      <c r="N1614" s="18">
        <f t="shared" si="277"/>
        <v>20.263013698630136</v>
      </c>
      <c r="O1614" s="23">
        <v>3560.125</v>
      </c>
      <c r="P1614" s="18">
        <f t="shared" si="278"/>
        <v>20.764383561643836</v>
      </c>
      <c r="Q1614" s="18">
        <v>0</v>
      </c>
      <c r="R1614" s="18">
        <f t="shared" si="275"/>
        <v>3560.125</v>
      </c>
      <c r="S1614" s="18">
        <f t="shared" si="274"/>
        <v>18.737500000000001</v>
      </c>
    </row>
    <row r="1615" spans="1:19" ht="18.75" customHeight="1" x14ac:dyDescent="0.25">
      <c r="A1615" s="14">
        <f t="shared" si="279"/>
        <v>1609</v>
      </c>
      <c r="B1615" s="21" t="s">
        <v>1420</v>
      </c>
      <c r="C1615" s="15" t="s">
        <v>3</v>
      </c>
      <c r="D1615" s="21" t="s">
        <v>1200</v>
      </c>
      <c r="E1615" s="21"/>
      <c r="F1615" s="69" t="s">
        <v>4</v>
      </c>
      <c r="G1615" s="9">
        <v>36892</v>
      </c>
      <c r="H1615" s="22">
        <v>215</v>
      </c>
      <c r="I1615" s="17">
        <v>0</v>
      </c>
      <c r="J1615" s="17">
        <v>0</v>
      </c>
      <c r="K1615" s="17">
        <f t="shared" si="276"/>
        <v>215</v>
      </c>
      <c r="L1615" s="23">
        <f t="shared" si="273"/>
        <v>10.75</v>
      </c>
      <c r="M1615" s="23">
        <v>5</v>
      </c>
      <c r="N1615" s="18">
        <f t="shared" si="277"/>
        <v>20.263013698630136</v>
      </c>
      <c r="O1615" s="23">
        <v>2042.5</v>
      </c>
      <c r="P1615" s="18">
        <f t="shared" si="278"/>
        <v>20.764383561643836</v>
      </c>
      <c r="Q1615" s="18">
        <v>0</v>
      </c>
      <c r="R1615" s="18">
        <f t="shared" si="275"/>
        <v>2042.5</v>
      </c>
      <c r="S1615" s="18">
        <f t="shared" si="274"/>
        <v>10.75</v>
      </c>
    </row>
    <row r="1616" spans="1:19" ht="18.75" customHeight="1" x14ac:dyDescent="0.25">
      <c r="A1616" s="14">
        <f t="shared" si="279"/>
        <v>1610</v>
      </c>
      <c r="B1616" s="21" t="s">
        <v>1376</v>
      </c>
      <c r="C1616" s="15" t="s">
        <v>3</v>
      </c>
      <c r="D1616" s="21" t="s">
        <v>1200</v>
      </c>
      <c r="E1616" s="21"/>
      <c r="F1616" s="69" t="s">
        <v>4</v>
      </c>
      <c r="G1616" s="9">
        <v>36892</v>
      </c>
      <c r="H1616" s="22">
        <v>401.19999999999982</v>
      </c>
      <c r="I1616" s="17">
        <v>0</v>
      </c>
      <c r="J1616" s="17">
        <v>0</v>
      </c>
      <c r="K1616" s="17">
        <f t="shared" si="276"/>
        <v>401.19999999999982</v>
      </c>
      <c r="L1616" s="23">
        <f t="shared" si="273"/>
        <v>20.059999999999992</v>
      </c>
      <c r="M1616" s="23">
        <v>5</v>
      </c>
      <c r="N1616" s="18">
        <f t="shared" si="277"/>
        <v>20.263013698630136</v>
      </c>
      <c r="O1616" s="23">
        <v>3811.4</v>
      </c>
      <c r="P1616" s="18">
        <f t="shared" si="278"/>
        <v>20.764383561643836</v>
      </c>
      <c r="Q1616" s="18">
        <v>0</v>
      </c>
      <c r="R1616" s="18">
        <f t="shared" si="275"/>
        <v>3811.4</v>
      </c>
      <c r="S1616" s="18">
        <f t="shared" si="274"/>
        <v>20.059999999999992</v>
      </c>
    </row>
    <row r="1617" spans="1:19" ht="18.75" customHeight="1" x14ac:dyDescent="0.25">
      <c r="A1617" s="14">
        <f t="shared" si="279"/>
        <v>1611</v>
      </c>
      <c r="B1617" s="21" t="s">
        <v>1421</v>
      </c>
      <c r="C1617" s="15" t="s">
        <v>3</v>
      </c>
      <c r="D1617" s="21" t="s">
        <v>1200</v>
      </c>
      <c r="E1617" s="21"/>
      <c r="F1617" s="69" t="s">
        <v>4</v>
      </c>
      <c r="G1617" s="9">
        <v>36870</v>
      </c>
      <c r="H1617" s="22">
        <v>115640.09999999998</v>
      </c>
      <c r="I1617" s="17">
        <v>0</v>
      </c>
      <c r="J1617" s="17">
        <v>0</v>
      </c>
      <c r="K1617" s="17">
        <f t="shared" si="276"/>
        <v>115640.09999999998</v>
      </c>
      <c r="L1617" s="23">
        <f t="shared" si="273"/>
        <v>5782.0049999999992</v>
      </c>
      <c r="M1617" s="23">
        <v>5</v>
      </c>
      <c r="N1617" s="18">
        <f t="shared" si="277"/>
        <v>20.323287671232876</v>
      </c>
      <c r="O1617" s="23">
        <v>108075.35</v>
      </c>
      <c r="P1617" s="18">
        <f t="shared" si="278"/>
        <v>20.824657534246576</v>
      </c>
      <c r="Q1617" s="18">
        <v>0</v>
      </c>
      <c r="R1617" s="18">
        <f t="shared" si="275"/>
        <v>108075.35</v>
      </c>
      <c r="S1617" s="18">
        <f t="shared" ref="S1617" si="280">K1617-R1617</f>
        <v>7564.7499999999709</v>
      </c>
    </row>
    <row r="1618" spans="1:19" ht="18.75" customHeight="1" x14ac:dyDescent="0.25">
      <c r="A1618" s="14">
        <f t="shared" si="279"/>
        <v>1612</v>
      </c>
      <c r="B1618" s="21" t="s">
        <v>1416</v>
      </c>
      <c r="C1618" s="15" t="s">
        <v>3</v>
      </c>
      <c r="D1618" s="21" t="s">
        <v>1200</v>
      </c>
      <c r="E1618" s="21"/>
      <c r="F1618" s="69" t="s">
        <v>4</v>
      </c>
      <c r="G1618" s="9">
        <v>36697</v>
      </c>
      <c r="H1618" s="22">
        <v>720</v>
      </c>
      <c r="I1618" s="17">
        <v>0</v>
      </c>
      <c r="J1618" s="17">
        <v>0</v>
      </c>
      <c r="K1618" s="17">
        <f t="shared" si="276"/>
        <v>720</v>
      </c>
      <c r="L1618" s="23">
        <f t="shared" si="273"/>
        <v>36</v>
      </c>
      <c r="M1618" s="23">
        <v>5</v>
      </c>
      <c r="N1618" s="18">
        <f t="shared" si="277"/>
        <v>20.797260273972604</v>
      </c>
      <c r="O1618" s="23">
        <v>6840</v>
      </c>
      <c r="P1618" s="18">
        <f t="shared" si="278"/>
        <v>21.298630136986301</v>
      </c>
      <c r="Q1618" s="18">
        <v>0</v>
      </c>
      <c r="R1618" s="18">
        <f t="shared" si="275"/>
        <v>6840</v>
      </c>
      <c r="S1618" s="18">
        <f t="shared" ref="S1618:S1681" si="281">L1618</f>
        <v>36</v>
      </c>
    </row>
    <row r="1619" spans="1:19" ht="18.75" customHeight="1" x14ac:dyDescent="0.25">
      <c r="A1619" s="14">
        <f t="shared" si="279"/>
        <v>1613</v>
      </c>
      <c r="B1619" s="21" t="s">
        <v>1357</v>
      </c>
      <c r="C1619" s="15" t="s">
        <v>3</v>
      </c>
      <c r="D1619" s="21" t="s">
        <v>1200</v>
      </c>
      <c r="E1619" s="21"/>
      <c r="F1619" s="69" t="s">
        <v>4</v>
      </c>
      <c r="G1619" s="9">
        <v>36697</v>
      </c>
      <c r="H1619" s="22">
        <v>1225</v>
      </c>
      <c r="I1619" s="17">
        <v>0</v>
      </c>
      <c r="J1619" s="17">
        <v>0</v>
      </c>
      <c r="K1619" s="17">
        <f t="shared" si="276"/>
        <v>1225</v>
      </c>
      <c r="L1619" s="23">
        <f t="shared" si="273"/>
        <v>61.25</v>
      </c>
      <c r="M1619" s="23">
        <v>5</v>
      </c>
      <c r="N1619" s="18">
        <f t="shared" si="277"/>
        <v>20.797260273972604</v>
      </c>
      <c r="O1619" s="23">
        <v>11637.5</v>
      </c>
      <c r="P1619" s="18">
        <f t="shared" si="278"/>
        <v>21.298630136986301</v>
      </c>
      <c r="Q1619" s="18">
        <v>0</v>
      </c>
      <c r="R1619" s="18">
        <f t="shared" si="275"/>
        <v>11637.5</v>
      </c>
      <c r="S1619" s="18">
        <f t="shared" si="281"/>
        <v>61.25</v>
      </c>
    </row>
    <row r="1620" spans="1:19" ht="18.75" customHeight="1" x14ac:dyDescent="0.25">
      <c r="A1620" s="14">
        <f t="shared" si="279"/>
        <v>1614</v>
      </c>
      <c r="B1620" s="21" t="s">
        <v>1422</v>
      </c>
      <c r="C1620" s="15" t="s">
        <v>3</v>
      </c>
      <c r="D1620" s="21" t="s">
        <v>1200</v>
      </c>
      <c r="E1620" s="21"/>
      <c r="F1620" s="69" t="s">
        <v>4</v>
      </c>
      <c r="G1620" s="9">
        <v>36616</v>
      </c>
      <c r="H1620" s="22">
        <v>10.599999999999994</v>
      </c>
      <c r="I1620" s="17">
        <v>0</v>
      </c>
      <c r="J1620" s="17">
        <v>0</v>
      </c>
      <c r="K1620" s="17">
        <f t="shared" si="276"/>
        <v>10.599999999999994</v>
      </c>
      <c r="L1620" s="23">
        <f t="shared" si="273"/>
        <v>0.52999999999999969</v>
      </c>
      <c r="M1620" s="23">
        <v>5</v>
      </c>
      <c r="N1620" s="18">
        <f t="shared" si="277"/>
        <v>21.019178082191782</v>
      </c>
      <c r="O1620" s="23">
        <v>100.7</v>
      </c>
      <c r="P1620" s="18">
        <f t="shared" si="278"/>
        <v>21.520547945205479</v>
      </c>
      <c r="Q1620" s="18">
        <v>0</v>
      </c>
      <c r="R1620" s="18">
        <f t="shared" si="275"/>
        <v>100.7</v>
      </c>
      <c r="S1620" s="18">
        <f t="shared" si="281"/>
        <v>0.52999999999999969</v>
      </c>
    </row>
    <row r="1621" spans="1:19" ht="18.75" customHeight="1" x14ac:dyDescent="0.25">
      <c r="A1621" s="14">
        <f t="shared" si="279"/>
        <v>1615</v>
      </c>
      <c r="B1621" s="21" t="s">
        <v>1423</v>
      </c>
      <c r="C1621" s="15" t="s">
        <v>3</v>
      </c>
      <c r="D1621" s="21" t="s">
        <v>1200</v>
      </c>
      <c r="E1621" s="21"/>
      <c r="F1621" s="69" t="s">
        <v>4</v>
      </c>
      <c r="G1621" s="9">
        <v>36616</v>
      </c>
      <c r="H1621" s="22">
        <v>143.94999999999982</v>
      </c>
      <c r="I1621" s="17">
        <v>0</v>
      </c>
      <c r="J1621" s="17">
        <v>0</v>
      </c>
      <c r="K1621" s="17">
        <f t="shared" si="276"/>
        <v>143.94999999999982</v>
      </c>
      <c r="L1621" s="23">
        <f t="shared" si="273"/>
        <v>7.1974999999999909</v>
      </c>
      <c r="M1621" s="23">
        <v>5</v>
      </c>
      <c r="N1621" s="18">
        <f t="shared" si="277"/>
        <v>21.019178082191782</v>
      </c>
      <c r="O1621" s="23">
        <v>1367.5250000000001</v>
      </c>
      <c r="P1621" s="18">
        <f t="shared" si="278"/>
        <v>21.520547945205479</v>
      </c>
      <c r="Q1621" s="18">
        <v>0</v>
      </c>
      <c r="R1621" s="18">
        <f t="shared" si="275"/>
        <v>1367.5250000000001</v>
      </c>
      <c r="S1621" s="18">
        <f t="shared" si="281"/>
        <v>7.1974999999999909</v>
      </c>
    </row>
    <row r="1622" spans="1:19" ht="18.75" customHeight="1" x14ac:dyDescent="0.25">
      <c r="A1622" s="14">
        <f t="shared" si="279"/>
        <v>1616</v>
      </c>
      <c r="B1622" s="21" t="s">
        <v>1424</v>
      </c>
      <c r="C1622" s="15" t="s">
        <v>3</v>
      </c>
      <c r="D1622" s="21" t="s">
        <v>1200</v>
      </c>
      <c r="E1622" s="21"/>
      <c r="F1622" s="69" t="s">
        <v>4</v>
      </c>
      <c r="G1622" s="9">
        <v>36571</v>
      </c>
      <c r="H1622" s="22">
        <v>6406.25</v>
      </c>
      <c r="I1622" s="17">
        <v>0</v>
      </c>
      <c r="J1622" s="17">
        <v>0</v>
      </c>
      <c r="K1622" s="17">
        <f t="shared" si="276"/>
        <v>6406.25</v>
      </c>
      <c r="L1622" s="23">
        <f t="shared" si="273"/>
        <v>320.3125</v>
      </c>
      <c r="M1622" s="23">
        <v>5</v>
      </c>
      <c r="N1622" s="18">
        <f t="shared" si="277"/>
        <v>21.142465753424659</v>
      </c>
      <c r="O1622" s="23">
        <v>60859.375</v>
      </c>
      <c r="P1622" s="18">
        <f t="shared" si="278"/>
        <v>21.643835616438356</v>
      </c>
      <c r="Q1622" s="18">
        <v>0</v>
      </c>
      <c r="R1622" s="18">
        <f t="shared" si="275"/>
        <v>60859.375</v>
      </c>
      <c r="S1622" s="18">
        <f t="shared" si="281"/>
        <v>320.3125</v>
      </c>
    </row>
    <row r="1623" spans="1:19" ht="18.75" customHeight="1" x14ac:dyDescent="0.25">
      <c r="A1623" s="14">
        <f t="shared" si="279"/>
        <v>1617</v>
      </c>
      <c r="B1623" s="21" t="s">
        <v>1425</v>
      </c>
      <c r="C1623" s="15" t="s">
        <v>3</v>
      </c>
      <c r="D1623" s="21" t="s">
        <v>1200</v>
      </c>
      <c r="E1623" s="21"/>
      <c r="F1623" s="69" t="s">
        <v>4</v>
      </c>
      <c r="G1623" s="9">
        <v>36526</v>
      </c>
      <c r="H1623" s="22">
        <v>1593.3499999999985</v>
      </c>
      <c r="I1623" s="17">
        <v>0</v>
      </c>
      <c r="J1623" s="17">
        <v>0</v>
      </c>
      <c r="K1623" s="17">
        <f t="shared" si="276"/>
        <v>1593.3499999999985</v>
      </c>
      <c r="L1623" s="23">
        <f t="shared" ref="L1623:L1686" si="282">H1623*0.05</f>
        <v>79.667499999999933</v>
      </c>
      <c r="M1623" s="23">
        <v>5</v>
      </c>
      <c r="N1623" s="18">
        <f t="shared" si="277"/>
        <v>21.265753424657536</v>
      </c>
      <c r="O1623" s="23">
        <v>15136.825000000001</v>
      </c>
      <c r="P1623" s="18">
        <f t="shared" si="278"/>
        <v>21.767123287671232</v>
      </c>
      <c r="Q1623" s="18">
        <v>0</v>
      </c>
      <c r="R1623" s="18">
        <f t="shared" si="275"/>
        <v>15136.825000000001</v>
      </c>
      <c r="S1623" s="18">
        <f t="shared" si="281"/>
        <v>79.667499999999933</v>
      </c>
    </row>
    <row r="1624" spans="1:19" ht="18.75" customHeight="1" x14ac:dyDescent="0.25">
      <c r="A1624" s="14">
        <f t="shared" si="279"/>
        <v>1618</v>
      </c>
      <c r="B1624" s="21" t="s">
        <v>1426</v>
      </c>
      <c r="C1624" s="15" t="s">
        <v>3</v>
      </c>
      <c r="D1624" s="21" t="s">
        <v>1200</v>
      </c>
      <c r="E1624" s="21"/>
      <c r="F1624" s="69" t="s">
        <v>4</v>
      </c>
      <c r="G1624" s="9">
        <v>36526</v>
      </c>
      <c r="H1624" s="22">
        <v>161.5</v>
      </c>
      <c r="I1624" s="17">
        <v>0</v>
      </c>
      <c r="J1624" s="17">
        <v>0</v>
      </c>
      <c r="K1624" s="17">
        <f t="shared" si="276"/>
        <v>161.5</v>
      </c>
      <c r="L1624" s="23">
        <f t="shared" si="282"/>
        <v>8.0750000000000011</v>
      </c>
      <c r="M1624" s="23">
        <v>5</v>
      </c>
      <c r="N1624" s="18">
        <f t="shared" si="277"/>
        <v>21.265753424657536</v>
      </c>
      <c r="O1624" s="23">
        <v>1534.25</v>
      </c>
      <c r="P1624" s="18">
        <f t="shared" si="278"/>
        <v>21.767123287671232</v>
      </c>
      <c r="Q1624" s="18">
        <v>0</v>
      </c>
      <c r="R1624" s="18">
        <f t="shared" si="275"/>
        <v>1534.25</v>
      </c>
      <c r="S1624" s="18">
        <f t="shared" si="281"/>
        <v>8.0750000000000011</v>
      </c>
    </row>
    <row r="1625" spans="1:19" ht="18.75" customHeight="1" x14ac:dyDescent="0.25">
      <c r="A1625" s="14">
        <f t="shared" si="279"/>
        <v>1619</v>
      </c>
      <c r="B1625" s="21" t="s">
        <v>1427</v>
      </c>
      <c r="C1625" s="15" t="s">
        <v>3</v>
      </c>
      <c r="D1625" s="21" t="s">
        <v>1200</v>
      </c>
      <c r="E1625" s="21"/>
      <c r="F1625" s="69" t="s">
        <v>4</v>
      </c>
      <c r="G1625" s="9">
        <v>36526</v>
      </c>
      <c r="H1625" s="22">
        <v>755.25</v>
      </c>
      <c r="I1625" s="17">
        <v>0</v>
      </c>
      <c r="J1625" s="17">
        <v>0</v>
      </c>
      <c r="K1625" s="17">
        <f t="shared" si="276"/>
        <v>755.25</v>
      </c>
      <c r="L1625" s="23">
        <f t="shared" si="282"/>
        <v>37.762500000000003</v>
      </c>
      <c r="M1625" s="23">
        <v>5</v>
      </c>
      <c r="N1625" s="18">
        <f t="shared" si="277"/>
        <v>21.265753424657536</v>
      </c>
      <c r="O1625" s="23">
        <v>7174.875</v>
      </c>
      <c r="P1625" s="18">
        <f t="shared" si="278"/>
        <v>21.767123287671232</v>
      </c>
      <c r="Q1625" s="18">
        <v>0</v>
      </c>
      <c r="R1625" s="18">
        <f t="shared" si="275"/>
        <v>7174.875</v>
      </c>
      <c r="S1625" s="18">
        <f t="shared" si="281"/>
        <v>37.762500000000003</v>
      </c>
    </row>
    <row r="1626" spans="1:19" ht="18.75" customHeight="1" x14ac:dyDescent="0.25">
      <c r="A1626" s="14">
        <f t="shared" si="279"/>
        <v>1620</v>
      </c>
      <c r="B1626" s="21" t="s">
        <v>1428</v>
      </c>
      <c r="C1626" s="15" t="s">
        <v>3</v>
      </c>
      <c r="D1626" s="21" t="s">
        <v>1200</v>
      </c>
      <c r="E1626" s="21"/>
      <c r="F1626" s="69" t="s">
        <v>4</v>
      </c>
      <c r="G1626" s="9">
        <v>36526</v>
      </c>
      <c r="H1626" s="22">
        <v>117.75</v>
      </c>
      <c r="I1626" s="17">
        <v>0</v>
      </c>
      <c r="J1626" s="17">
        <v>0</v>
      </c>
      <c r="K1626" s="17">
        <f t="shared" si="276"/>
        <v>117.75</v>
      </c>
      <c r="L1626" s="23">
        <f t="shared" si="282"/>
        <v>5.8875000000000002</v>
      </c>
      <c r="M1626" s="23">
        <v>5</v>
      </c>
      <c r="N1626" s="18">
        <f t="shared" si="277"/>
        <v>21.265753424657536</v>
      </c>
      <c r="O1626" s="23">
        <v>1118.625</v>
      </c>
      <c r="P1626" s="18">
        <f t="shared" si="278"/>
        <v>21.767123287671232</v>
      </c>
      <c r="Q1626" s="18">
        <v>0</v>
      </c>
      <c r="R1626" s="18">
        <f t="shared" si="275"/>
        <v>1118.625</v>
      </c>
      <c r="S1626" s="18">
        <f t="shared" si="281"/>
        <v>5.8875000000000002</v>
      </c>
    </row>
    <row r="1627" spans="1:19" ht="18.75" customHeight="1" x14ac:dyDescent="0.25">
      <c r="A1627" s="14">
        <f t="shared" si="279"/>
        <v>1621</v>
      </c>
      <c r="B1627" s="21" t="s">
        <v>1429</v>
      </c>
      <c r="C1627" s="15" t="s">
        <v>3</v>
      </c>
      <c r="D1627" s="21" t="s">
        <v>1200</v>
      </c>
      <c r="E1627" s="21"/>
      <c r="F1627" s="69" t="s">
        <v>4</v>
      </c>
      <c r="G1627" s="9">
        <v>36526</v>
      </c>
      <c r="H1627" s="22">
        <v>1448.7000000000007</v>
      </c>
      <c r="I1627" s="17">
        <v>0</v>
      </c>
      <c r="J1627" s="17">
        <v>0</v>
      </c>
      <c r="K1627" s="17">
        <f t="shared" si="276"/>
        <v>1448.7000000000007</v>
      </c>
      <c r="L1627" s="23">
        <f t="shared" si="282"/>
        <v>72.435000000000045</v>
      </c>
      <c r="M1627" s="23">
        <v>5</v>
      </c>
      <c r="N1627" s="18">
        <f t="shared" si="277"/>
        <v>21.265753424657536</v>
      </c>
      <c r="O1627" s="23">
        <v>13762.65</v>
      </c>
      <c r="P1627" s="18">
        <f t="shared" si="278"/>
        <v>21.767123287671232</v>
      </c>
      <c r="Q1627" s="18">
        <v>0</v>
      </c>
      <c r="R1627" s="18">
        <f t="shared" si="275"/>
        <v>13762.65</v>
      </c>
      <c r="S1627" s="18">
        <f t="shared" si="281"/>
        <v>72.435000000000045</v>
      </c>
    </row>
    <row r="1628" spans="1:19" ht="18.75" customHeight="1" x14ac:dyDescent="0.25">
      <c r="A1628" s="14">
        <f t="shared" si="279"/>
        <v>1622</v>
      </c>
      <c r="B1628" s="21" t="s">
        <v>1430</v>
      </c>
      <c r="C1628" s="15" t="s">
        <v>3</v>
      </c>
      <c r="D1628" s="21" t="s">
        <v>1200</v>
      </c>
      <c r="E1628" s="21"/>
      <c r="F1628" s="69" t="s">
        <v>4</v>
      </c>
      <c r="G1628" s="9">
        <v>36526</v>
      </c>
      <c r="H1628" s="22">
        <v>221</v>
      </c>
      <c r="I1628" s="17">
        <v>0</v>
      </c>
      <c r="J1628" s="17">
        <v>0</v>
      </c>
      <c r="K1628" s="17">
        <f t="shared" si="276"/>
        <v>221</v>
      </c>
      <c r="L1628" s="23">
        <f t="shared" si="282"/>
        <v>11.05</v>
      </c>
      <c r="M1628" s="23">
        <v>5</v>
      </c>
      <c r="N1628" s="18">
        <f t="shared" si="277"/>
        <v>21.265753424657536</v>
      </c>
      <c r="O1628" s="23">
        <v>2099.5</v>
      </c>
      <c r="P1628" s="18">
        <f t="shared" si="278"/>
        <v>21.767123287671232</v>
      </c>
      <c r="Q1628" s="18">
        <v>0</v>
      </c>
      <c r="R1628" s="18">
        <f t="shared" si="275"/>
        <v>2099.5</v>
      </c>
      <c r="S1628" s="18">
        <f t="shared" si="281"/>
        <v>11.05</v>
      </c>
    </row>
    <row r="1629" spans="1:19" ht="18.75" customHeight="1" x14ac:dyDescent="0.25">
      <c r="A1629" s="14">
        <f t="shared" si="279"/>
        <v>1623</v>
      </c>
      <c r="B1629" s="21" t="s">
        <v>1431</v>
      </c>
      <c r="C1629" s="15" t="s">
        <v>3</v>
      </c>
      <c r="D1629" s="21" t="s">
        <v>1200</v>
      </c>
      <c r="E1629" s="21"/>
      <c r="F1629" s="69" t="s">
        <v>4</v>
      </c>
      <c r="G1629" s="9">
        <v>36526</v>
      </c>
      <c r="H1629" s="22">
        <v>128</v>
      </c>
      <c r="I1629" s="17">
        <v>0</v>
      </c>
      <c r="J1629" s="17">
        <v>0</v>
      </c>
      <c r="K1629" s="17">
        <f t="shared" si="276"/>
        <v>128</v>
      </c>
      <c r="L1629" s="23">
        <f t="shared" si="282"/>
        <v>6.4</v>
      </c>
      <c r="M1629" s="23">
        <v>5</v>
      </c>
      <c r="N1629" s="18">
        <f t="shared" si="277"/>
        <v>21.265753424657536</v>
      </c>
      <c r="O1629" s="23">
        <v>1216</v>
      </c>
      <c r="P1629" s="18">
        <f t="shared" si="278"/>
        <v>21.767123287671232</v>
      </c>
      <c r="Q1629" s="18">
        <v>0</v>
      </c>
      <c r="R1629" s="18">
        <f t="shared" si="275"/>
        <v>1216</v>
      </c>
      <c r="S1629" s="18">
        <f t="shared" si="281"/>
        <v>6.4</v>
      </c>
    </row>
    <row r="1630" spans="1:19" ht="18.75" customHeight="1" x14ac:dyDescent="0.25">
      <c r="A1630" s="14">
        <f t="shared" si="279"/>
        <v>1624</v>
      </c>
      <c r="B1630" s="21" t="s">
        <v>1432</v>
      </c>
      <c r="C1630" s="15" t="s">
        <v>3</v>
      </c>
      <c r="D1630" s="21" t="s">
        <v>1200</v>
      </c>
      <c r="E1630" s="21"/>
      <c r="F1630" s="69" t="s">
        <v>4</v>
      </c>
      <c r="G1630" s="9">
        <v>36526</v>
      </c>
      <c r="H1630" s="22">
        <v>211.25</v>
      </c>
      <c r="I1630" s="17">
        <v>0</v>
      </c>
      <c r="J1630" s="17">
        <v>0</v>
      </c>
      <c r="K1630" s="17">
        <f t="shared" si="276"/>
        <v>211.25</v>
      </c>
      <c r="L1630" s="23">
        <f t="shared" si="282"/>
        <v>10.5625</v>
      </c>
      <c r="M1630" s="23">
        <v>5</v>
      </c>
      <c r="N1630" s="18">
        <f t="shared" si="277"/>
        <v>21.265753424657536</v>
      </c>
      <c r="O1630" s="23">
        <v>2006.875</v>
      </c>
      <c r="P1630" s="18">
        <f t="shared" si="278"/>
        <v>21.767123287671232</v>
      </c>
      <c r="Q1630" s="18">
        <v>0</v>
      </c>
      <c r="R1630" s="18">
        <f t="shared" si="275"/>
        <v>2006.875</v>
      </c>
      <c r="S1630" s="18">
        <f t="shared" si="281"/>
        <v>10.5625</v>
      </c>
    </row>
    <row r="1631" spans="1:19" ht="18.75" customHeight="1" x14ac:dyDescent="0.25">
      <c r="A1631" s="14">
        <f t="shared" si="279"/>
        <v>1625</v>
      </c>
      <c r="B1631" s="21" t="s">
        <v>1433</v>
      </c>
      <c r="C1631" s="15" t="s">
        <v>3</v>
      </c>
      <c r="D1631" s="21" t="s">
        <v>1200</v>
      </c>
      <c r="E1631" s="21"/>
      <c r="F1631" s="69" t="s">
        <v>4</v>
      </c>
      <c r="G1631" s="9">
        <v>36526</v>
      </c>
      <c r="H1631" s="22">
        <v>3152.4000000000015</v>
      </c>
      <c r="I1631" s="17">
        <v>0</v>
      </c>
      <c r="J1631" s="17">
        <v>0</v>
      </c>
      <c r="K1631" s="17">
        <f t="shared" si="276"/>
        <v>3152.4000000000015</v>
      </c>
      <c r="L1631" s="23">
        <f t="shared" si="282"/>
        <v>157.62000000000009</v>
      </c>
      <c r="M1631" s="23">
        <v>5</v>
      </c>
      <c r="N1631" s="18">
        <f t="shared" si="277"/>
        <v>21.265753424657536</v>
      </c>
      <c r="O1631" s="23">
        <v>29947.8</v>
      </c>
      <c r="P1631" s="18">
        <f t="shared" si="278"/>
        <v>21.767123287671232</v>
      </c>
      <c r="Q1631" s="18">
        <v>0</v>
      </c>
      <c r="R1631" s="18">
        <f t="shared" si="275"/>
        <v>29947.8</v>
      </c>
      <c r="S1631" s="18">
        <f t="shared" si="281"/>
        <v>157.62000000000009</v>
      </c>
    </row>
    <row r="1632" spans="1:19" ht="18.75" customHeight="1" x14ac:dyDescent="0.25">
      <c r="A1632" s="14">
        <f t="shared" si="279"/>
        <v>1626</v>
      </c>
      <c r="B1632" s="21" t="s">
        <v>1434</v>
      </c>
      <c r="C1632" s="15" t="s">
        <v>3</v>
      </c>
      <c r="D1632" s="21" t="s">
        <v>1200</v>
      </c>
      <c r="E1632" s="21"/>
      <c r="F1632" s="69" t="s">
        <v>4</v>
      </c>
      <c r="G1632" s="9">
        <v>36525</v>
      </c>
      <c r="H1632" s="22">
        <v>271.5</v>
      </c>
      <c r="I1632" s="17">
        <v>0</v>
      </c>
      <c r="J1632" s="17">
        <v>0</v>
      </c>
      <c r="K1632" s="17">
        <f t="shared" si="276"/>
        <v>271.5</v>
      </c>
      <c r="L1632" s="23">
        <f t="shared" si="282"/>
        <v>13.575000000000001</v>
      </c>
      <c r="M1632" s="23">
        <v>5</v>
      </c>
      <c r="N1632" s="18">
        <f t="shared" si="277"/>
        <v>21.268493150684932</v>
      </c>
      <c r="O1632" s="23">
        <v>2579.25</v>
      </c>
      <c r="P1632" s="18">
        <f t="shared" si="278"/>
        <v>21.769863013698629</v>
      </c>
      <c r="Q1632" s="18">
        <v>0</v>
      </c>
      <c r="R1632" s="18">
        <f t="shared" si="275"/>
        <v>2579.25</v>
      </c>
      <c r="S1632" s="18">
        <f t="shared" si="281"/>
        <v>13.575000000000001</v>
      </c>
    </row>
    <row r="1633" spans="1:19" ht="18.75" customHeight="1" x14ac:dyDescent="0.25">
      <c r="A1633" s="14">
        <f t="shared" si="279"/>
        <v>1627</v>
      </c>
      <c r="B1633" s="21" t="s">
        <v>1435</v>
      </c>
      <c r="C1633" s="15" t="s">
        <v>3</v>
      </c>
      <c r="D1633" s="21" t="s">
        <v>1200</v>
      </c>
      <c r="E1633" s="21"/>
      <c r="F1633" s="69" t="s">
        <v>4</v>
      </c>
      <c r="G1633" s="9">
        <v>36525</v>
      </c>
      <c r="H1633" s="22">
        <v>284.5</v>
      </c>
      <c r="I1633" s="17">
        <v>0</v>
      </c>
      <c r="J1633" s="17">
        <v>0</v>
      </c>
      <c r="K1633" s="17">
        <f t="shared" si="276"/>
        <v>284.5</v>
      </c>
      <c r="L1633" s="23">
        <f t="shared" si="282"/>
        <v>14.225000000000001</v>
      </c>
      <c r="M1633" s="23">
        <v>5</v>
      </c>
      <c r="N1633" s="18">
        <f t="shared" si="277"/>
        <v>21.268493150684932</v>
      </c>
      <c r="O1633" s="23">
        <v>2702.75</v>
      </c>
      <c r="P1633" s="18">
        <f t="shared" si="278"/>
        <v>21.769863013698629</v>
      </c>
      <c r="Q1633" s="18">
        <v>0</v>
      </c>
      <c r="R1633" s="18">
        <f t="shared" si="275"/>
        <v>2702.75</v>
      </c>
      <c r="S1633" s="18">
        <f t="shared" si="281"/>
        <v>14.225000000000001</v>
      </c>
    </row>
    <row r="1634" spans="1:19" ht="18.75" customHeight="1" x14ac:dyDescent="0.25">
      <c r="A1634" s="14">
        <f t="shared" si="279"/>
        <v>1628</v>
      </c>
      <c r="B1634" s="21" t="s">
        <v>1421</v>
      </c>
      <c r="C1634" s="15" t="s">
        <v>3</v>
      </c>
      <c r="D1634" s="21" t="s">
        <v>1200</v>
      </c>
      <c r="E1634" s="21"/>
      <c r="F1634" s="69" t="s">
        <v>4</v>
      </c>
      <c r="G1634" s="9">
        <v>36525</v>
      </c>
      <c r="H1634" s="22">
        <v>16271.299999999988</v>
      </c>
      <c r="I1634" s="17">
        <v>0</v>
      </c>
      <c r="J1634" s="17">
        <v>0</v>
      </c>
      <c r="K1634" s="17">
        <f t="shared" si="276"/>
        <v>16271.299999999988</v>
      </c>
      <c r="L1634" s="23">
        <f t="shared" si="282"/>
        <v>813.56499999999949</v>
      </c>
      <c r="M1634" s="23">
        <v>5</v>
      </c>
      <c r="N1634" s="18">
        <f t="shared" si="277"/>
        <v>21.268493150684932</v>
      </c>
      <c r="O1634" s="23">
        <v>154577.35</v>
      </c>
      <c r="P1634" s="18">
        <f t="shared" si="278"/>
        <v>21.769863013698629</v>
      </c>
      <c r="Q1634" s="18">
        <v>0</v>
      </c>
      <c r="R1634" s="18">
        <f t="shared" si="275"/>
        <v>154577.35</v>
      </c>
      <c r="S1634" s="18">
        <f t="shared" si="281"/>
        <v>813.56499999999949</v>
      </c>
    </row>
    <row r="1635" spans="1:19" ht="18.75" customHeight="1" x14ac:dyDescent="0.25">
      <c r="A1635" s="14">
        <f t="shared" si="279"/>
        <v>1629</v>
      </c>
      <c r="B1635" s="21" t="s">
        <v>1436</v>
      </c>
      <c r="C1635" s="15" t="s">
        <v>3</v>
      </c>
      <c r="D1635" s="21" t="s">
        <v>1200</v>
      </c>
      <c r="E1635" s="21"/>
      <c r="F1635" s="69" t="s">
        <v>4</v>
      </c>
      <c r="G1635" s="9">
        <v>36403</v>
      </c>
      <c r="H1635" s="22">
        <v>2483.5</v>
      </c>
      <c r="I1635" s="17">
        <v>0</v>
      </c>
      <c r="J1635" s="17">
        <v>0</v>
      </c>
      <c r="K1635" s="17">
        <f t="shared" si="276"/>
        <v>2483.5</v>
      </c>
      <c r="L1635" s="23">
        <f t="shared" si="282"/>
        <v>124.17500000000001</v>
      </c>
      <c r="M1635" s="23">
        <v>5</v>
      </c>
      <c r="N1635" s="18">
        <f t="shared" si="277"/>
        <v>21.602739726027398</v>
      </c>
      <c r="O1635" s="23">
        <v>23593.25</v>
      </c>
      <c r="P1635" s="18">
        <f t="shared" si="278"/>
        <v>22.104109589041094</v>
      </c>
      <c r="Q1635" s="18">
        <v>0</v>
      </c>
      <c r="R1635" s="18">
        <f t="shared" si="275"/>
        <v>23593.25</v>
      </c>
      <c r="S1635" s="18">
        <f t="shared" si="281"/>
        <v>124.17500000000001</v>
      </c>
    </row>
    <row r="1636" spans="1:19" ht="18.75" customHeight="1" x14ac:dyDescent="0.25">
      <c r="A1636" s="14">
        <f t="shared" si="279"/>
        <v>1630</v>
      </c>
      <c r="B1636" s="21" t="s">
        <v>1437</v>
      </c>
      <c r="C1636" s="15" t="s">
        <v>3</v>
      </c>
      <c r="D1636" s="21" t="s">
        <v>1200</v>
      </c>
      <c r="E1636" s="21"/>
      <c r="F1636" s="69" t="s">
        <v>4</v>
      </c>
      <c r="G1636" s="9">
        <v>36341</v>
      </c>
      <c r="H1636" s="22">
        <v>429.5</v>
      </c>
      <c r="I1636" s="17">
        <v>0</v>
      </c>
      <c r="J1636" s="17">
        <v>0</v>
      </c>
      <c r="K1636" s="17">
        <f t="shared" si="276"/>
        <v>429.5</v>
      </c>
      <c r="L1636" s="23">
        <f t="shared" si="282"/>
        <v>21.475000000000001</v>
      </c>
      <c r="M1636" s="23">
        <v>5</v>
      </c>
      <c r="N1636" s="18">
        <f t="shared" si="277"/>
        <v>21.772602739726029</v>
      </c>
      <c r="O1636" s="23">
        <v>4080.25</v>
      </c>
      <c r="P1636" s="18">
        <f t="shared" si="278"/>
        <v>22.273972602739725</v>
      </c>
      <c r="Q1636" s="18">
        <v>0</v>
      </c>
      <c r="R1636" s="18">
        <f t="shared" si="275"/>
        <v>4080.25</v>
      </c>
      <c r="S1636" s="18">
        <f t="shared" si="281"/>
        <v>21.475000000000001</v>
      </c>
    </row>
    <row r="1637" spans="1:19" ht="18.75" customHeight="1" x14ac:dyDescent="0.25">
      <c r="A1637" s="14">
        <f t="shared" si="279"/>
        <v>1631</v>
      </c>
      <c r="B1637" s="21" t="s">
        <v>1438</v>
      </c>
      <c r="C1637" s="15" t="s">
        <v>3</v>
      </c>
      <c r="D1637" s="21" t="s">
        <v>1200</v>
      </c>
      <c r="E1637" s="21"/>
      <c r="F1637" s="69" t="s">
        <v>4</v>
      </c>
      <c r="G1637" s="9">
        <v>36161</v>
      </c>
      <c r="H1637" s="22">
        <v>3567.8500000000058</v>
      </c>
      <c r="I1637" s="17">
        <v>0</v>
      </c>
      <c r="J1637" s="17">
        <v>0</v>
      </c>
      <c r="K1637" s="17">
        <f t="shared" si="276"/>
        <v>3567.8500000000058</v>
      </c>
      <c r="L1637" s="23">
        <f t="shared" si="282"/>
        <v>178.3925000000003</v>
      </c>
      <c r="M1637" s="23">
        <v>5</v>
      </c>
      <c r="N1637" s="18">
        <f t="shared" si="277"/>
        <v>22.265753424657536</v>
      </c>
      <c r="O1637" s="23">
        <v>33894.574999999997</v>
      </c>
      <c r="P1637" s="18">
        <f t="shared" si="278"/>
        <v>22.767123287671232</v>
      </c>
      <c r="Q1637" s="18">
        <v>0</v>
      </c>
      <c r="R1637" s="18">
        <f t="shared" si="275"/>
        <v>33894.574999999997</v>
      </c>
      <c r="S1637" s="18">
        <f t="shared" si="281"/>
        <v>178.3925000000003</v>
      </c>
    </row>
    <row r="1638" spans="1:19" ht="18.75" customHeight="1" x14ac:dyDescent="0.25">
      <c r="A1638" s="14">
        <f t="shared" si="279"/>
        <v>1632</v>
      </c>
      <c r="B1638" s="21" t="s">
        <v>1439</v>
      </c>
      <c r="C1638" s="15" t="s">
        <v>3</v>
      </c>
      <c r="D1638" s="21" t="s">
        <v>1200</v>
      </c>
      <c r="E1638" s="21"/>
      <c r="F1638" s="69" t="s">
        <v>4</v>
      </c>
      <c r="G1638" s="9">
        <v>36161</v>
      </c>
      <c r="H1638" s="22">
        <v>392.19999999999982</v>
      </c>
      <c r="I1638" s="17">
        <v>0</v>
      </c>
      <c r="J1638" s="17">
        <v>0</v>
      </c>
      <c r="K1638" s="17">
        <f t="shared" si="276"/>
        <v>392.19999999999982</v>
      </c>
      <c r="L1638" s="23">
        <f t="shared" si="282"/>
        <v>19.609999999999992</v>
      </c>
      <c r="M1638" s="23">
        <v>5</v>
      </c>
      <c r="N1638" s="18">
        <f t="shared" si="277"/>
        <v>22.265753424657536</v>
      </c>
      <c r="O1638" s="23">
        <v>3725.9</v>
      </c>
      <c r="P1638" s="18">
        <f t="shared" si="278"/>
        <v>22.767123287671232</v>
      </c>
      <c r="Q1638" s="18">
        <v>0</v>
      </c>
      <c r="R1638" s="18">
        <f t="shared" si="275"/>
        <v>3725.9</v>
      </c>
      <c r="S1638" s="18">
        <f t="shared" si="281"/>
        <v>19.609999999999992</v>
      </c>
    </row>
    <row r="1639" spans="1:19" ht="18.75" customHeight="1" x14ac:dyDescent="0.25">
      <c r="A1639" s="14">
        <f t="shared" si="279"/>
        <v>1633</v>
      </c>
      <c r="B1639" s="21" t="s">
        <v>1440</v>
      </c>
      <c r="C1639" s="15" t="s">
        <v>3</v>
      </c>
      <c r="D1639" s="21" t="s">
        <v>1200</v>
      </c>
      <c r="E1639" s="21"/>
      <c r="F1639" s="69" t="s">
        <v>4</v>
      </c>
      <c r="G1639" s="9">
        <v>36161</v>
      </c>
      <c r="H1639" s="22">
        <v>541.04999999999927</v>
      </c>
      <c r="I1639" s="17">
        <v>0</v>
      </c>
      <c r="J1639" s="17">
        <v>0</v>
      </c>
      <c r="K1639" s="17">
        <f t="shared" si="276"/>
        <v>541.04999999999927</v>
      </c>
      <c r="L1639" s="23">
        <f t="shared" si="282"/>
        <v>27.052499999999966</v>
      </c>
      <c r="M1639" s="23">
        <v>10</v>
      </c>
      <c r="N1639" s="18">
        <f t="shared" si="277"/>
        <v>22.265753424657536</v>
      </c>
      <c r="O1639" s="23">
        <v>5139.9750000000004</v>
      </c>
      <c r="P1639" s="18">
        <f t="shared" si="278"/>
        <v>22.767123287671232</v>
      </c>
      <c r="Q1639" s="18">
        <v>0</v>
      </c>
      <c r="R1639" s="18">
        <f t="shared" si="275"/>
        <v>5139.9750000000004</v>
      </c>
      <c r="S1639" s="18">
        <f t="shared" si="281"/>
        <v>27.052499999999966</v>
      </c>
    </row>
    <row r="1640" spans="1:19" ht="18.75" customHeight="1" x14ac:dyDescent="0.25">
      <c r="A1640" s="14">
        <f t="shared" si="279"/>
        <v>1634</v>
      </c>
      <c r="B1640" s="21" t="s">
        <v>1440</v>
      </c>
      <c r="C1640" s="15" t="s">
        <v>3</v>
      </c>
      <c r="D1640" s="21" t="s">
        <v>1200</v>
      </c>
      <c r="E1640" s="21"/>
      <c r="F1640" s="69" t="s">
        <v>4</v>
      </c>
      <c r="G1640" s="9">
        <v>36161</v>
      </c>
      <c r="H1640" s="22">
        <v>52</v>
      </c>
      <c r="I1640" s="17">
        <v>0</v>
      </c>
      <c r="J1640" s="17">
        <v>0</v>
      </c>
      <c r="K1640" s="17">
        <f t="shared" si="276"/>
        <v>52</v>
      </c>
      <c r="L1640" s="23">
        <f t="shared" si="282"/>
        <v>2.6</v>
      </c>
      <c r="M1640" s="23">
        <v>10</v>
      </c>
      <c r="N1640" s="18">
        <f t="shared" si="277"/>
        <v>22.265753424657536</v>
      </c>
      <c r="O1640" s="23">
        <v>494</v>
      </c>
      <c r="P1640" s="18">
        <f t="shared" si="278"/>
        <v>22.767123287671232</v>
      </c>
      <c r="Q1640" s="18">
        <v>0</v>
      </c>
      <c r="R1640" s="18">
        <f t="shared" si="275"/>
        <v>494</v>
      </c>
      <c r="S1640" s="18">
        <f t="shared" si="281"/>
        <v>2.6</v>
      </c>
    </row>
    <row r="1641" spans="1:19" ht="18.75" customHeight="1" x14ac:dyDescent="0.25">
      <c r="A1641" s="14">
        <f t="shared" si="279"/>
        <v>1635</v>
      </c>
      <c r="B1641" s="21" t="s">
        <v>1441</v>
      </c>
      <c r="C1641" s="15" t="s">
        <v>3</v>
      </c>
      <c r="D1641" s="21" t="s">
        <v>1200</v>
      </c>
      <c r="E1641" s="21"/>
      <c r="F1641" s="69" t="s">
        <v>4</v>
      </c>
      <c r="G1641" s="9">
        <v>36053</v>
      </c>
      <c r="H1641" s="22">
        <v>433.75</v>
      </c>
      <c r="I1641" s="17">
        <v>0</v>
      </c>
      <c r="J1641" s="17">
        <v>0</v>
      </c>
      <c r="K1641" s="17">
        <f t="shared" si="276"/>
        <v>433.75</v>
      </c>
      <c r="L1641" s="23">
        <f t="shared" si="282"/>
        <v>21.6875</v>
      </c>
      <c r="M1641" s="23">
        <v>5</v>
      </c>
      <c r="N1641" s="18">
        <f t="shared" si="277"/>
        <v>22.561643835616437</v>
      </c>
      <c r="O1641" s="23">
        <v>4120.625</v>
      </c>
      <c r="P1641" s="18">
        <f t="shared" si="278"/>
        <v>23.063013698630137</v>
      </c>
      <c r="Q1641" s="18">
        <v>0</v>
      </c>
      <c r="R1641" s="18">
        <f t="shared" si="275"/>
        <v>4120.625</v>
      </c>
      <c r="S1641" s="18">
        <f t="shared" si="281"/>
        <v>21.6875</v>
      </c>
    </row>
    <row r="1642" spans="1:19" ht="18.75" customHeight="1" x14ac:dyDescent="0.25">
      <c r="A1642" s="14">
        <f t="shared" si="279"/>
        <v>1636</v>
      </c>
      <c r="B1642" s="21" t="s">
        <v>1357</v>
      </c>
      <c r="C1642" s="15" t="s">
        <v>3</v>
      </c>
      <c r="D1642" s="21" t="s">
        <v>1200</v>
      </c>
      <c r="E1642" s="21"/>
      <c r="F1642" s="69" t="s">
        <v>4</v>
      </c>
      <c r="G1642" s="9">
        <v>36043</v>
      </c>
      <c r="H1642" s="22">
        <v>1728.5999999999985</v>
      </c>
      <c r="I1642" s="17">
        <v>0</v>
      </c>
      <c r="J1642" s="17">
        <v>0</v>
      </c>
      <c r="K1642" s="17">
        <f t="shared" si="276"/>
        <v>1728.5999999999985</v>
      </c>
      <c r="L1642" s="23">
        <f t="shared" si="282"/>
        <v>86.429999999999936</v>
      </c>
      <c r="M1642" s="23">
        <v>5</v>
      </c>
      <c r="N1642" s="18">
        <f t="shared" si="277"/>
        <v>22.589041095890412</v>
      </c>
      <c r="O1642" s="23">
        <v>16421.7</v>
      </c>
      <c r="P1642" s="18">
        <f t="shared" si="278"/>
        <v>23.090410958904108</v>
      </c>
      <c r="Q1642" s="18">
        <v>0</v>
      </c>
      <c r="R1642" s="18">
        <f t="shared" si="275"/>
        <v>16421.7</v>
      </c>
      <c r="S1642" s="18">
        <f t="shared" si="281"/>
        <v>86.429999999999936</v>
      </c>
    </row>
    <row r="1643" spans="1:19" ht="18.75" customHeight="1" x14ac:dyDescent="0.25">
      <c r="A1643" s="14">
        <f t="shared" si="279"/>
        <v>1637</v>
      </c>
      <c r="B1643" s="21" t="s">
        <v>1442</v>
      </c>
      <c r="C1643" s="15" t="s">
        <v>3</v>
      </c>
      <c r="D1643" s="21" t="s">
        <v>1200</v>
      </c>
      <c r="E1643" s="21"/>
      <c r="F1643" s="69" t="s">
        <v>4</v>
      </c>
      <c r="G1643" s="9">
        <v>36040</v>
      </c>
      <c r="H1643" s="22">
        <v>1473.75</v>
      </c>
      <c r="I1643" s="17">
        <v>0</v>
      </c>
      <c r="J1643" s="17">
        <v>0</v>
      </c>
      <c r="K1643" s="17">
        <f t="shared" si="276"/>
        <v>1473.75</v>
      </c>
      <c r="L1643" s="23">
        <f t="shared" si="282"/>
        <v>73.6875</v>
      </c>
      <c r="M1643" s="23">
        <v>5</v>
      </c>
      <c r="N1643" s="18">
        <f t="shared" si="277"/>
        <v>22.597260273972601</v>
      </c>
      <c r="O1643" s="23">
        <v>14000.625</v>
      </c>
      <c r="P1643" s="18">
        <f t="shared" si="278"/>
        <v>23.098630136986301</v>
      </c>
      <c r="Q1643" s="18">
        <v>0</v>
      </c>
      <c r="R1643" s="18">
        <f t="shared" si="275"/>
        <v>14000.625</v>
      </c>
      <c r="S1643" s="18">
        <f t="shared" si="281"/>
        <v>73.6875</v>
      </c>
    </row>
    <row r="1644" spans="1:19" ht="18.75" customHeight="1" x14ac:dyDescent="0.25">
      <c r="A1644" s="14">
        <f t="shared" si="279"/>
        <v>1638</v>
      </c>
      <c r="B1644" s="21" t="s">
        <v>1443</v>
      </c>
      <c r="C1644" s="15" t="s">
        <v>3</v>
      </c>
      <c r="D1644" s="21" t="s">
        <v>1200</v>
      </c>
      <c r="E1644" s="21"/>
      <c r="F1644" s="69" t="s">
        <v>4</v>
      </c>
      <c r="G1644" s="9">
        <v>35939</v>
      </c>
      <c r="H1644" s="22">
        <v>5428.5</v>
      </c>
      <c r="I1644" s="17">
        <v>0</v>
      </c>
      <c r="J1644" s="17">
        <v>0</v>
      </c>
      <c r="K1644" s="17">
        <f t="shared" si="276"/>
        <v>5428.5</v>
      </c>
      <c r="L1644" s="23">
        <f t="shared" si="282"/>
        <v>271.42500000000001</v>
      </c>
      <c r="M1644" s="23">
        <v>5</v>
      </c>
      <c r="N1644" s="18">
        <f t="shared" si="277"/>
        <v>22.873972602739727</v>
      </c>
      <c r="O1644" s="23">
        <v>51570.75</v>
      </c>
      <c r="P1644" s="18">
        <f t="shared" si="278"/>
        <v>23.375342465753423</v>
      </c>
      <c r="Q1644" s="18">
        <v>0</v>
      </c>
      <c r="R1644" s="18">
        <f t="shared" si="275"/>
        <v>51570.75</v>
      </c>
      <c r="S1644" s="18">
        <f t="shared" si="281"/>
        <v>271.42500000000001</v>
      </c>
    </row>
    <row r="1645" spans="1:19" ht="18.75" customHeight="1" x14ac:dyDescent="0.25">
      <c r="A1645" s="14">
        <f t="shared" si="279"/>
        <v>1639</v>
      </c>
      <c r="B1645" s="21" t="s">
        <v>1444</v>
      </c>
      <c r="C1645" s="15" t="s">
        <v>3</v>
      </c>
      <c r="D1645" s="21" t="s">
        <v>1200</v>
      </c>
      <c r="E1645" s="21"/>
      <c r="F1645" s="69" t="s">
        <v>4</v>
      </c>
      <c r="G1645" s="9">
        <v>35930</v>
      </c>
      <c r="H1645" s="22">
        <v>2210.25</v>
      </c>
      <c r="I1645" s="17">
        <v>0</v>
      </c>
      <c r="J1645" s="17">
        <v>0</v>
      </c>
      <c r="K1645" s="17">
        <f t="shared" si="276"/>
        <v>2210.25</v>
      </c>
      <c r="L1645" s="23">
        <f t="shared" si="282"/>
        <v>110.5125</v>
      </c>
      <c r="M1645" s="23">
        <v>5</v>
      </c>
      <c r="N1645" s="18">
        <f t="shared" si="277"/>
        <v>22.898630136986302</v>
      </c>
      <c r="O1645" s="23">
        <v>20997.375</v>
      </c>
      <c r="P1645" s="18">
        <f t="shared" si="278"/>
        <v>23.4</v>
      </c>
      <c r="Q1645" s="18">
        <v>0</v>
      </c>
      <c r="R1645" s="18">
        <f t="shared" si="275"/>
        <v>20997.375</v>
      </c>
      <c r="S1645" s="18">
        <f t="shared" si="281"/>
        <v>110.5125</v>
      </c>
    </row>
    <row r="1646" spans="1:19" ht="18.75" customHeight="1" x14ac:dyDescent="0.25">
      <c r="A1646" s="14">
        <f t="shared" si="279"/>
        <v>1640</v>
      </c>
      <c r="B1646" s="21" t="s">
        <v>1445</v>
      </c>
      <c r="C1646" s="15" t="s">
        <v>3</v>
      </c>
      <c r="D1646" s="21" t="s">
        <v>1200</v>
      </c>
      <c r="E1646" s="21"/>
      <c r="F1646" s="69" t="s">
        <v>4</v>
      </c>
      <c r="G1646" s="9">
        <v>35885</v>
      </c>
      <c r="H1646" s="22">
        <v>581.5</v>
      </c>
      <c r="I1646" s="17">
        <v>0</v>
      </c>
      <c r="J1646" s="17">
        <v>0</v>
      </c>
      <c r="K1646" s="17">
        <f t="shared" si="276"/>
        <v>581.5</v>
      </c>
      <c r="L1646" s="23">
        <f t="shared" si="282"/>
        <v>29.075000000000003</v>
      </c>
      <c r="M1646" s="23">
        <v>5</v>
      </c>
      <c r="N1646" s="18">
        <f t="shared" si="277"/>
        <v>23.021917808219179</v>
      </c>
      <c r="O1646" s="23">
        <v>5524.25</v>
      </c>
      <c r="P1646" s="18">
        <f t="shared" si="278"/>
        <v>23.523287671232875</v>
      </c>
      <c r="Q1646" s="18">
        <v>0</v>
      </c>
      <c r="R1646" s="18">
        <f t="shared" si="275"/>
        <v>5524.25</v>
      </c>
      <c r="S1646" s="18">
        <f t="shared" si="281"/>
        <v>29.075000000000003</v>
      </c>
    </row>
    <row r="1647" spans="1:19" ht="18.75" customHeight="1" x14ac:dyDescent="0.25">
      <c r="A1647" s="14">
        <f t="shared" si="279"/>
        <v>1641</v>
      </c>
      <c r="B1647" s="21" t="s">
        <v>1346</v>
      </c>
      <c r="C1647" s="15" t="s">
        <v>3</v>
      </c>
      <c r="D1647" s="21" t="s">
        <v>1200</v>
      </c>
      <c r="E1647" s="21"/>
      <c r="F1647" s="69" t="s">
        <v>4</v>
      </c>
      <c r="G1647" s="9">
        <v>35885</v>
      </c>
      <c r="H1647" s="22">
        <v>2545</v>
      </c>
      <c r="I1647" s="17">
        <v>0</v>
      </c>
      <c r="J1647" s="17">
        <v>0</v>
      </c>
      <c r="K1647" s="17">
        <f t="shared" si="276"/>
        <v>2545</v>
      </c>
      <c r="L1647" s="23">
        <f t="shared" si="282"/>
        <v>127.25</v>
      </c>
      <c r="M1647" s="23">
        <v>5</v>
      </c>
      <c r="N1647" s="18">
        <f t="shared" si="277"/>
        <v>23.021917808219179</v>
      </c>
      <c r="O1647" s="23">
        <v>24177.5</v>
      </c>
      <c r="P1647" s="18">
        <f t="shared" si="278"/>
        <v>23.523287671232875</v>
      </c>
      <c r="Q1647" s="18">
        <v>0</v>
      </c>
      <c r="R1647" s="18">
        <f t="shared" si="275"/>
        <v>24177.5</v>
      </c>
      <c r="S1647" s="18">
        <f t="shared" si="281"/>
        <v>127.25</v>
      </c>
    </row>
    <row r="1648" spans="1:19" ht="18.75" customHeight="1" x14ac:dyDescent="0.25">
      <c r="A1648" s="14">
        <f t="shared" si="279"/>
        <v>1642</v>
      </c>
      <c r="B1648" s="21" t="s">
        <v>1446</v>
      </c>
      <c r="C1648" s="15" t="s">
        <v>3</v>
      </c>
      <c r="D1648" s="21" t="s">
        <v>1200</v>
      </c>
      <c r="E1648" s="21"/>
      <c r="F1648" s="69" t="s">
        <v>4</v>
      </c>
      <c r="G1648" s="9">
        <v>35796</v>
      </c>
      <c r="H1648" s="22">
        <v>1591.0999999999985</v>
      </c>
      <c r="I1648" s="17">
        <v>0</v>
      </c>
      <c r="J1648" s="17">
        <v>0</v>
      </c>
      <c r="K1648" s="17">
        <f t="shared" si="276"/>
        <v>1591.0999999999985</v>
      </c>
      <c r="L1648" s="23">
        <f t="shared" si="282"/>
        <v>79.554999999999936</v>
      </c>
      <c r="M1648" s="23">
        <v>5</v>
      </c>
      <c r="N1648" s="18">
        <f t="shared" si="277"/>
        <v>23.265753424657536</v>
      </c>
      <c r="O1648" s="23">
        <v>15115.45</v>
      </c>
      <c r="P1648" s="18">
        <f t="shared" si="278"/>
        <v>23.767123287671232</v>
      </c>
      <c r="Q1648" s="18">
        <v>0</v>
      </c>
      <c r="R1648" s="18">
        <f t="shared" si="275"/>
        <v>15115.45</v>
      </c>
      <c r="S1648" s="18">
        <f t="shared" si="281"/>
        <v>79.554999999999936</v>
      </c>
    </row>
    <row r="1649" spans="1:19" ht="18.75" customHeight="1" x14ac:dyDescent="0.25">
      <c r="A1649" s="14">
        <f t="shared" si="279"/>
        <v>1643</v>
      </c>
      <c r="B1649" s="21" t="s">
        <v>1447</v>
      </c>
      <c r="C1649" s="15" t="s">
        <v>3</v>
      </c>
      <c r="D1649" s="21" t="s">
        <v>1200</v>
      </c>
      <c r="E1649" s="21"/>
      <c r="F1649" s="69" t="s">
        <v>4</v>
      </c>
      <c r="G1649" s="9">
        <v>35796</v>
      </c>
      <c r="H1649" s="22">
        <v>385.75</v>
      </c>
      <c r="I1649" s="17">
        <v>0</v>
      </c>
      <c r="J1649" s="17">
        <v>0</v>
      </c>
      <c r="K1649" s="17">
        <f t="shared" si="276"/>
        <v>385.75</v>
      </c>
      <c r="L1649" s="23">
        <f t="shared" si="282"/>
        <v>19.287500000000001</v>
      </c>
      <c r="M1649" s="23">
        <v>5</v>
      </c>
      <c r="N1649" s="18">
        <f t="shared" si="277"/>
        <v>23.265753424657536</v>
      </c>
      <c r="O1649" s="23">
        <v>3664.625</v>
      </c>
      <c r="P1649" s="18">
        <f t="shared" si="278"/>
        <v>23.767123287671232</v>
      </c>
      <c r="Q1649" s="18">
        <v>0</v>
      </c>
      <c r="R1649" s="18">
        <f t="shared" si="275"/>
        <v>3664.625</v>
      </c>
      <c r="S1649" s="18">
        <f t="shared" si="281"/>
        <v>19.287500000000001</v>
      </c>
    </row>
    <row r="1650" spans="1:19" ht="18.75" customHeight="1" x14ac:dyDescent="0.25">
      <c r="A1650" s="14">
        <f t="shared" si="279"/>
        <v>1644</v>
      </c>
      <c r="B1650" s="21" t="s">
        <v>1448</v>
      </c>
      <c r="C1650" s="15" t="s">
        <v>3</v>
      </c>
      <c r="D1650" s="21" t="s">
        <v>1200</v>
      </c>
      <c r="E1650" s="21"/>
      <c r="F1650" s="69" t="s">
        <v>4</v>
      </c>
      <c r="G1650" s="9">
        <v>35796</v>
      </c>
      <c r="H1650" s="22">
        <v>334.44999999999982</v>
      </c>
      <c r="I1650" s="17">
        <v>0</v>
      </c>
      <c r="J1650" s="17">
        <v>0</v>
      </c>
      <c r="K1650" s="17">
        <f t="shared" si="276"/>
        <v>334.44999999999982</v>
      </c>
      <c r="L1650" s="23">
        <f t="shared" si="282"/>
        <v>16.722499999999993</v>
      </c>
      <c r="M1650" s="23">
        <v>5</v>
      </c>
      <c r="N1650" s="18">
        <f t="shared" si="277"/>
        <v>23.265753424657536</v>
      </c>
      <c r="O1650" s="23">
        <v>3177.2750000000001</v>
      </c>
      <c r="P1650" s="18">
        <f t="shared" si="278"/>
        <v>23.767123287671232</v>
      </c>
      <c r="Q1650" s="18">
        <v>0</v>
      </c>
      <c r="R1650" s="18">
        <f t="shared" si="275"/>
        <v>3177.2750000000001</v>
      </c>
      <c r="S1650" s="18">
        <f t="shared" si="281"/>
        <v>16.722499999999993</v>
      </c>
    </row>
    <row r="1651" spans="1:19" ht="18.75" customHeight="1" x14ac:dyDescent="0.25">
      <c r="A1651" s="14">
        <f t="shared" si="279"/>
        <v>1645</v>
      </c>
      <c r="B1651" s="21" t="s">
        <v>1449</v>
      </c>
      <c r="C1651" s="15" t="s">
        <v>3</v>
      </c>
      <c r="D1651" s="21" t="s">
        <v>1200</v>
      </c>
      <c r="E1651" s="21"/>
      <c r="F1651" s="69" t="s">
        <v>4</v>
      </c>
      <c r="G1651" s="9">
        <v>35796</v>
      </c>
      <c r="H1651" s="22">
        <v>675.5</v>
      </c>
      <c r="I1651" s="17">
        <v>0</v>
      </c>
      <c r="J1651" s="17">
        <v>0</v>
      </c>
      <c r="K1651" s="17">
        <f t="shared" si="276"/>
        <v>675.5</v>
      </c>
      <c r="L1651" s="23">
        <f t="shared" si="282"/>
        <v>33.774999999999999</v>
      </c>
      <c r="M1651" s="23">
        <v>5</v>
      </c>
      <c r="N1651" s="18">
        <f t="shared" si="277"/>
        <v>23.265753424657536</v>
      </c>
      <c r="O1651" s="23">
        <v>6417.25</v>
      </c>
      <c r="P1651" s="18">
        <f t="shared" si="278"/>
        <v>23.767123287671232</v>
      </c>
      <c r="Q1651" s="18">
        <v>0</v>
      </c>
      <c r="R1651" s="18">
        <f t="shared" si="275"/>
        <v>6417.25</v>
      </c>
      <c r="S1651" s="18">
        <f t="shared" si="281"/>
        <v>33.774999999999999</v>
      </c>
    </row>
    <row r="1652" spans="1:19" ht="18.75" customHeight="1" x14ac:dyDescent="0.25">
      <c r="A1652" s="14">
        <f t="shared" si="279"/>
        <v>1646</v>
      </c>
      <c r="B1652" s="21" t="s">
        <v>1450</v>
      </c>
      <c r="C1652" s="15" t="s">
        <v>3</v>
      </c>
      <c r="D1652" s="21" t="s">
        <v>1200</v>
      </c>
      <c r="E1652" s="21"/>
      <c r="F1652" s="69" t="s">
        <v>4</v>
      </c>
      <c r="G1652" s="9">
        <v>35796</v>
      </c>
      <c r="H1652" s="22">
        <v>224</v>
      </c>
      <c r="I1652" s="17">
        <v>0</v>
      </c>
      <c r="J1652" s="17">
        <v>0</v>
      </c>
      <c r="K1652" s="17">
        <f t="shared" si="276"/>
        <v>224</v>
      </c>
      <c r="L1652" s="23">
        <f t="shared" si="282"/>
        <v>11.200000000000001</v>
      </c>
      <c r="M1652" s="23">
        <v>5</v>
      </c>
      <c r="N1652" s="18">
        <f t="shared" si="277"/>
        <v>23.265753424657536</v>
      </c>
      <c r="O1652" s="23">
        <v>2128</v>
      </c>
      <c r="P1652" s="18">
        <f t="shared" si="278"/>
        <v>23.767123287671232</v>
      </c>
      <c r="Q1652" s="18">
        <v>0</v>
      </c>
      <c r="R1652" s="18">
        <f t="shared" si="275"/>
        <v>2128</v>
      </c>
      <c r="S1652" s="18">
        <f t="shared" si="281"/>
        <v>11.200000000000001</v>
      </c>
    </row>
    <row r="1653" spans="1:19" ht="18.75" customHeight="1" x14ac:dyDescent="0.25">
      <c r="A1653" s="14">
        <f t="shared" si="279"/>
        <v>1647</v>
      </c>
      <c r="B1653" s="21" t="s">
        <v>1451</v>
      </c>
      <c r="C1653" s="15" t="s">
        <v>3</v>
      </c>
      <c r="D1653" s="21" t="s">
        <v>1200</v>
      </c>
      <c r="E1653" s="21"/>
      <c r="F1653" s="69" t="s">
        <v>4</v>
      </c>
      <c r="G1653" s="9">
        <v>35796</v>
      </c>
      <c r="H1653" s="22">
        <v>698.39999999999964</v>
      </c>
      <c r="I1653" s="17">
        <v>0</v>
      </c>
      <c r="J1653" s="17">
        <v>0</v>
      </c>
      <c r="K1653" s="17">
        <f t="shared" si="276"/>
        <v>698.39999999999964</v>
      </c>
      <c r="L1653" s="23">
        <f t="shared" si="282"/>
        <v>34.91999999999998</v>
      </c>
      <c r="M1653" s="23">
        <v>5</v>
      </c>
      <c r="N1653" s="18">
        <f t="shared" si="277"/>
        <v>23.265753424657536</v>
      </c>
      <c r="O1653" s="23">
        <v>6634.8</v>
      </c>
      <c r="P1653" s="18">
        <f t="shared" si="278"/>
        <v>23.767123287671232</v>
      </c>
      <c r="Q1653" s="18">
        <v>0</v>
      </c>
      <c r="R1653" s="18">
        <f t="shared" si="275"/>
        <v>6634.8</v>
      </c>
      <c r="S1653" s="18">
        <f t="shared" si="281"/>
        <v>34.91999999999998</v>
      </c>
    </row>
    <row r="1654" spans="1:19" ht="18.75" customHeight="1" x14ac:dyDescent="0.25">
      <c r="A1654" s="14">
        <f t="shared" si="279"/>
        <v>1648</v>
      </c>
      <c r="B1654" s="21" t="s">
        <v>1452</v>
      </c>
      <c r="C1654" s="15" t="s">
        <v>3</v>
      </c>
      <c r="D1654" s="21" t="s">
        <v>1200</v>
      </c>
      <c r="E1654" s="21"/>
      <c r="F1654" s="69" t="s">
        <v>4</v>
      </c>
      <c r="G1654" s="9">
        <v>35796</v>
      </c>
      <c r="H1654" s="22">
        <v>92.200000000000045</v>
      </c>
      <c r="I1654" s="17">
        <v>0</v>
      </c>
      <c r="J1654" s="17">
        <v>0</v>
      </c>
      <c r="K1654" s="17">
        <f t="shared" si="276"/>
        <v>92.200000000000045</v>
      </c>
      <c r="L1654" s="23">
        <f t="shared" si="282"/>
        <v>4.6100000000000021</v>
      </c>
      <c r="M1654" s="23">
        <v>5</v>
      </c>
      <c r="N1654" s="18">
        <f t="shared" si="277"/>
        <v>23.265753424657536</v>
      </c>
      <c r="O1654" s="23">
        <v>875.9</v>
      </c>
      <c r="P1654" s="18">
        <f t="shared" si="278"/>
        <v>23.767123287671232</v>
      </c>
      <c r="Q1654" s="18">
        <v>0</v>
      </c>
      <c r="R1654" s="18">
        <f t="shared" si="275"/>
        <v>875.9</v>
      </c>
      <c r="S1654" s="18">
        <f t="shared" si="281"/>
        <v>4.6100000000000021</v>
      </c>
    </row>
    <row r="1655" spans="1:19" ht="18.75" customHeight="1" x14ac:dyDescent="0.25">
      <c r="A1655" s="14">
        <f t="shared" si="279"/>
        <v>1649</v>
      </c>
      <c r="B1655" s="21" t="s">
        <v>1445</v>
      </c>
      <c r="C1655" s="15" t="s">
        <v>3</v>
      </c>
      <c r="D1655" s="21" t="s">
        <v>1200</v>
      </c>
      <c r="E1655" s="21"/>
      <c r="F1655" s="69" t="s">
        <v>4</v>
      </c>
      <c r="G1655" s="9">
        <v>35796</v>
      </c>
      <c r="H1655" s="22">
        <v>188.75</v>
      </c>
      <c r="I1655" s="17">
        <v>0</v>
      </c>
      <c r="J1655" s="17">
        <v>0</v>
      </c>
      <c r="K1655" s="17">
        <f t="shared" si="276"/>
        <v>188.75</v>
      </c>
      <c r="L1655" s="23">
        <f t="shared" si="282"/>
        <v>9.4375</v>
      </c>
      <c r="M1655" s="23">
        <v>5</v>
      </c>
      <c r="N1655" s="18">
        <f t="shared" si="277"/>
        <v>23.265753424657536</v>
      </c>
      <c r="O1655" s="23">
        <v>1793.125</v>
      </c>
      <c r="P1655" s="18">
        <f t="shared" si="278"/>
        <v>23.767123287671232</v>
      </c>
      <c r="Q1655" s="18">
        <v>0</v>
      </c>
      <c r="R1655" s="18">
        <f t="shared" si="275"/>
        <v>1793.125</v>
      </c>
      <c r="S1655" s="18">
        <f t="shared" si="281"/>
        <v>9.4375</v>
      </c>
    </row>
    <row r="1656" spans="1:19" ht="18.75" customHeight="1" x14ac:dyDescent="0.25">
      <c r="A1656" s="14">
        <f t="shared" si="279"/>
        <v>1650</v>
      </c>
      <c r="B1656" s="21" t="s">
        <v>1453</v>
      </c>
      <c r="C1656" s="15" t="s">
        <v>3</v>
      </c>
      <c r="D1656" s="21" t="s">
        <v>1200</v>
      </c>
      <c r="E1656" s="21"/>
      <c r="F1656" s="69" t="s">
        <v>4</v>
      </c>
      <c r="G1656" s="9">
        <v>35796</v>
      </c>
      <c r="H1656" s="22">
        <v>190</v>
      </c>
      <c r="I1656" s="17">
        <v>0</v>
      </c>
      <c r="J1656" s="17">
        <v>0</v>
      </c>
      <c r="K1656" s="17">
        <f t="shared" si="276"/>
        <v>190</v>
      </c>
      <c r="L1656" s="23">
        <f t="shared" si="282"/>
        <v>9.5</v>
      </c>
      <c r="M1656" s="23">
        <v>5</v>
      </c>
      <c r="N1656" s="18">
        <f t="shared" si="277"/>
        <v>23.265753424657536</v>
      </c>
      <c r="O1656" s="23">
        <v>1805</v>
      </c>
      <c r="P1656" s="18">
        <f t="shared" si="278"/>
        <v>23.767123287671232</v>
      </c>
      <c r="Q1656" s="18">
        <v>0</v>
      </c>
      <c r="R1656" s="18">
        <f t="shared" si="275"/>
        <v>1805</v>
      </c>
      <c r="S1656" s="18">
        <f t="shared" si="281"/>
        <v>9.5</v>
      </c>
    </row>
    <row r="1657" spans="1:19" ht="18.75" customHeight="1" x14ac:dyDescent="0.25">
      <c r="A1657" s="14">
        <f t="shared" si="279"/>
        <v>1651</v>
      </c>
      <c r="B1657" s="21" t="s">
        <v>1416</v>
      </c>
      <c r="C1657" s="15" t="s">
        <v>3</v>
      </c>
      <c r="D1657" s="21" t="s">
        <v>1200</v>
      </c>
      <c r="E1657" s="21"/>
      <c r="F1657" s="69" t="s">
        <v>4</v>
      </c>
      <c r="G1657" s="9">
        <v>35764</v>
      </c>
      <c r="H1657" s="22">
        <v>711.75</v>
      </c>
      <c r="I1657" s="17">
        <v>0</v>
      </c>
      <c r="J1657" s="17">
        <v>0</v>
      </c>
      <c r="K1657" s="17">
        <f t="shared" si="276"/>
        <v>711.75</v>
      </c>
      <c r="L1657" s="23">
        <f t="shared" si="282"/>
        <v>35.587499999999999</v>
      </c>
      <c r="M1657" s="23">
        <v>5</v>
      </c>
      <c r="N1657" s="18">
        <f t="shared" si="277"/>
        <v>23.353424657534248</v>
      </c>
      <c r="O1657" s="23">
        <v>6761.625</v>
      </c>
      <c r="P1657" s="18">
        <f t="shared" si="278"/>
        <v>23.854794520547944</v>
      </c>
      <c r="Q1657" s="18">
        <v>0</v>
      </c>
      <c r="R1657" s="18">
        <f t="shared" si="275"/>
        <v>6761.625</v>
      </c>
      <c r="S1657" s="18">
        <f t="shared" si="281"/>
        <v>35.587499999999999</v>
      </c>
    </row>
    <row r="1658" spans="1:19" ht="18.75" customHeight="1" x14ac:dyDescent="0.25">
      <c r="A1658" s="14">
        <f t="shared" si="279"/>
        <v>1652</v>
      </c>
      <c r="B1658" s="21" t="s">
        <v>1454</v>
      </c>
      <c r="C1658" s="15" t="s">
        <v>3</v>
      </c>
      <c r="D1658" s="21" t="s">
        <v>1200</v>
      </c>
      <c r="E1658" s="21"/>
      <c r="F1658" s="69" t="s">
        <v>4</v>
      </c>
      <c r="G1658" s="9">
        <v>35431</v>
      </c>
      <c r="H1658" s="22">
        <v>518.64999999999964</v>
      </c>
      <c r="I1658" s="17">
        <v>0</v>
      </c>
      <c r="J1658" s="17">
        <v>0</v>
      </c>
      <c r="K1658" s="17">
        <f t="shared" si="276"/>
        <v>518.64999999999964</v>
      </c>
      <c r="L1658" s="23">
        <f t="shared" si="282"/>
        <v>25.932499999999983</v>
      </c>
      <c r="M1658" s="23">
        <v>5</v>
      </c>
      <c r="N1658" s="18">
        <f t="shared" si="277"/>
        <v>24.265753424657536</v>
      </c>
      <c r="O1658" s="23">
        <v>4927.1750000000002</v>
      </c>
      <c r="P1658" s="18">
        <f t="shared" si="278"/>
        <v>24.767123287671232</v>
      </c>
      <c r="Q1658" s="18">
        <v>0</v>
      </c>
      <c r="R1658" s="18">
        <f t="shared" si="275"/>
        <v>4927.1750000000002</v>
      </c>
      <c r="S1658" s="18">
        <f t="shared" si="281"/>
        <v>25.932499999999983</v>
      </c>
    </row>
    <row r="1659" spans="1:19" ht="18.75" customHeight="1" x14ac:dyDescent="0.25">
      <c r="A1659" s="14">
        <f t="shared" si="279"/>
        <v>1653</v>
      </c>
      <c r="B1659" s="21" t="s">
        <v>1455</v>
      </c>
      <c r="C1659" s="15" t="s">
        <v>3</v>
      </c>
      <c r="D1659" s="21" t="s">
        <v>1200</v>
      </c>
      <c r="E1659" s="21"/>
      <c r="F1659" s="69" t="s">
        <v>4</v>
      </c>
      <c r="G1659" s="9">
        <v>35431</v>
      </c>
      <c r="H1659" s="22">
        <v>189</v>
      </c>
      <c r="I1659" s="17">
        <v>0</v>
      </c>
      <c r="J1659" s="17">
        <v>0</v>
      </c>
      <c r="K1659" s="17">
        <f t="shared" si="276"/>
        <v>189</v>
      </c>
      <c r="L1659" s="23">
        <f t="shared" si="282"/>
        <v>9.4500000000000011</v>
      </c>
      <c r="M1659" s="23">
        <v>5</v>
      </c>
      <c r="N1659" s="18">
        <f t="shared" si="277"/>
        <v>24.265753424657536</v>
      </c>
      <c r="O1659" s="23">
        <v>1795.5</v>
      </c>
      <c r="P1659" s="18">
        <f t="shared" si="278"/>
        <v>24.767123287671232</v>
      </c>
      <c r="Q1659" s="18">
        <v>0</v>
      </c>
      <c r="R1659" s="18">
        <f t="shared" si="275"/>
        <v>1795.5</v>
      </c>
      <c r="S1659" s="18">
        <f t="shared" si="281"/>
        <v>9.4500000000000011</v>
      </c>
    </row>
    <row r="1660" spans="1:19" ht="18.75" customHeight="1" x14ac:dyDescent="0.25">
      <c r="A1660" s="14">
        <f t="shared" si="279"/>
        <v>1654</v>
      </c>
      <c r="B1660" s="21" t="s">
        <v>1456</v>
      </c>
      <c r="C1660" s="15" t="s">
        <v>3</v>
      </c>
      <c r="D1660" s="21" t="s">
        <v>1200</v>
      </c>
      <c r="E1660" s="21"/>
      <c r="F1660" s="69" t="s">
        <v>4</v>
      </c>
      <c r="G1660" s="9">
        <v>35431</v>
      </c>
      <c r="H1660" s="22">
        <v>2090.9499999999971</v>
      </c>
      <c r="I1660" s="17">
        <v>0</v>
      </c>
      <c r="J1660" s="17">
        <v>0</v>
      </c>
      <c r="K1660" s="17">
        <f t="shared" si="276"/>
        <v>2090.9499999999971</v>
      </c>
      <c r="L1660" s="23">
        <f t="shared" si="282"/>
        <v>104.54749999999986</v>
      </c>
      <c r="M1660" s="23">
        <v>5</v>
      </c>
      <c r="N1660" s="18">
        <f t="shared" si="277"/>
        <v>24.265753424657536</v>
      </c>
      <c r="O1660" s="23">
        <v>19864.025000000001</v>
      </c>
      <c r="P1660" s="18">
        <f t="shared" si="278"/>
        <v>24.767123287671232</v>
      </c>
      <c r="Q1660" s="18">
        <v>0</v>
      </c>
      <c r="R1660" s="18">
        <f t="shared" si="275"/>
        <v>19864.025000000001</v>
      </c>
      <c r="S1660" s="18">
        <f t="shared" si="281"/>
        <v>104.54749999999986</v>
      </c>
    </row>
    <row r="1661" spans="1:19" ht="18.75" customHeight="1" x14ac:dyDescent="0.25">
      <c r="A1661" s="14">
        <f t="shared" si="279"/>
        <v>1655</v>
      </c>
      <c r="B1661" s="21" t="s">
        <v>1457</v>
      </c>
      <c r="C1661" s="15" t="s">
        <v>3</v>
      </c>
      <c r="D1661" s="21" t="s">
        <v>1200</v>
      </c>
      <c r="E1661" s="21"/>
      <c r="F1661" s="69" t="s">
        <v>4</v>
      </c>
      <c r="G1661" s="9">
        <v>35431</v>
      </c>
      <c r="H1661" s="22">
        <v>253.69999999999982</v>
      </c>
      <c r="I1661" s="17">
        <v>0</v>
      </c>
      <c r="J1661" s="17">
        <v>0</v>
      </c>
      <c r="K1661" s="17">
        <f t="shared" si="276"/>
        <v>253.69999999999982</v>
      </c>
      <c r="L1661" s="23">
        <f t="shared" si="282"/>
        <v>12.684999999999992</v>
      </c>
      <c r="M1661" s="23">
        <v>5</v>
      </c>
      <c r="N1661" s="18">
        <f t="shared" si="277"/>
        <v>24.265753424657536</v>
      </c>
      <c r="O1661" s="23">
        <v>2410.15</v>
      </c>
      <c r="P1661" s="18">
        <f t="shared" si="278"/>
        <v>24.767123287671232</v>
      </c>
      <c r="Q1661" s="18">
        <v>0</v>
      </c>
      <c r="R1661" s="18">
        <f t="shared" si="275"/>
        <v>2410.15</v>
      </c>
      <c r="S1661" s="18">
        <f t="shared" si="281"/>
        <v>12.684999999999992</v>
      </c>
    </row>
    <row r="1662" spans="1:19" ht="18.75" customHeight="1" x14ac:dyDescent="0.25">
      <c r="A1662" s="14">
        <f t="shared" si="279"/>
        <v>1656</v>
      </c>
      <c r="B1662" s="21" t="s">
        <v>1458</v>
      </c>
      <c r="C1662" s="15" t="s">
        <v>3</v>
      </c>
      <c r="D1662" s="21" t="s">
        <v>1200</v>
      </c>
      <c r="E1662" s="21"/>
      <c r="F1662" s="69" t="s">
        <v>4</v>
      </c>
      <c r="G1662" s="9">
        <v>35431</v>
      </c>
      <c r="H1662" s="22">
        <v>1284.2999999999993</v>
      </c>
      <c r="I1662" s="17">
        <v>0</v>
      </c>
      <c r="J1662" s="17">
        <v>0</v>
      </c>
      <c r="K1662" s="17">
        <f t="shared" si="276"/>
        <v>1284.2999999999993</v>
      </c>
      <c r="L1662" s="23">
        <f t="shared" si="282"/>
        <v>64.214999999999961</v>
      </c>
      <c r="M1662" s="23">
        <v>5</v>
      </c>
      <c r="N1662" s="18">
        <f t="shared" si="277"/>
        <v>24.265753424657536</v>
      </c>
      <c r="O1662" s="23">
        <v>12200.85</v>
      </c>
      <c r="P1662" s="18">
        <f t="shared" si="278"/>
        <v>24.767123287671232</v>
      </c>
      <c r="Q1662" s="18">
        <v>0</v>
      </c>
      <c r="R1662" s="18">
        <f t="shared" si="275"/>
        <v>12200.85</v>
      </c>
      <c r="S1662" s="18">
        <f t="shared" si="281"/>
        <v>64.214999999999961</v>
      </c>
    </row>
    <row r="1663" spans="1:19" ht="18.75" customHeight="1" x14ac:dyDescent="0.25">
      <c r="A1663" s="14">
        <f t="shared" si="279"/>
        <v>1657</v>
      </c>
      <c r="B1663" s="21" t="s">
        <v>1459</v>
      </c>
      <c r="C1663" s="15" t="s">
        <v>3</v>
      </c>
      <c r="D1663" s="21" t="s">
        <v>1200</v>
      </c>
      <c r="E1663" s="21"/>
      <c r="F1663" s="69" t="s">
        <v>4</v>
      </c>
      <c r="G1663" s="9">
        <v>35353</v>
      </c>
      <c r="H1663" s="22">
        <v>264.5</v>
      </c>
      <c r="I1663" s="17">
        <v>0</v>
      </c>
      <c r="J1663" s="17">
        <v>0</v>
      </c>
      <c r="K1663" s="17">
        <f t="shared" si="276"/>
        <v>264.5</v>
      </c>
      <c r="L1663" s="23">
        <f t="shared" si="282"/>
        <v>13.225000000000001</v>
      </c>
      <c r="M1663" s="23">
        <v>5</v>
      </c>
      <c r="N1663" s="18">
        <f t="shared" si="277"/>
        <v>24.479452054794521</v>
      </c>
      <c r="O1663" s="23">
        <v>2512.75</v>
      </c>
      <c r="P1663" s="18">
        <f t="shared" si="278"/>
        <v>24.980821917808218</v>
      </c>
      <c r="Q1663" s="18">
        <v>0</v>
      </c>
      <c r="R1663" s="18">
        <f t="shared" si="275"/>
        <v>2512.75</v>
      </c>
      <c r="S1663" s="18">
        <f t="shared" si="281"/>
        <v>13.225000000000001</v>
      </c>
    </row>
    <row r="1664" spans="1:19" ht="18.75" customHeight="1" x14ac:dyDescent="0.25">
      <c r="A1664" s="14">
        <f t="shared" si="279"/>
        <v>1658</v>
      </c>
      <c r="B1664" s="21" t="s">
        <v>1460</v>
      </c>
      <c r="C1664" s="15" t="s">
        <v>3</v>
      </c>
      <c r="D1664" s="21" t="s">
        <v>1200</v>
      </c>
      <c r="E1664" s="21"/>
      <c r="F1664" s="69" t="s">
        <v>4</v>
      </c>
      <c r="G1664" s="9">
        <v>35246</v>
      </c>
      <c r="H1664" s="22">
        <v>2491.25</v>
      </c>
      <c r="I1664" s="17">
        <v>0</v>
      </c>
      <c r="J1664" s="17">
        <v>0</v>
      </c>
      <c r="K1664" s="17">
        <f t="shared" si="276"/>
        <v>2491.25</v>
      </c>
      <c r="L1664" s="23">
        <f t="shared" si="282"/>
        <v>124.5625</v>
      </c>
      <c r="M1664" s="23">
        <v>5</v>
      </c>
      <c r="N1664" s="18">
        <f t="shared" si="277"/>
        <v>24.772602739726029</v>
      </c>
      <c r="O1664" s="23">
        <v>23666.875</v>
      </c>
      <c r="P1664" s="18">
        <f t="shared" si="278"/>
        <v>25.273972602739725</v>
      </c>
      <c r="Q1664" s="18">
        <v>0</v>
      </c>
      <c r="R1664" s="18">
        <f t="shared" si="275"/>
        <v>23666.875</v>
      </c>
      <c r="S1664" s="18">
        <f t="shared" si="281"/>
        <v>124.5625</v>
      </c>
    </row>
    <row r="1665" spans="1:19" ht="18.75" customHeight="1" x14ac:dyDescent="0.25">
      <c r="A1665" s="14">
        <f t="shared" si="279"/>
        <v>1659</v>
      </c>
      <c r="B1665" s="21" t="s">
        <v>1357</v>
      </c>
      <c r="C1665" s="15" t="s">
        <v>3</v>
      </c>
      <c r="D1665" s="21" t="s">
        <v>1200</v>
      </c>
      <c r="E1665" s="21"/>
      <c r="F1665" s="69" t="s">
        <v>4</v>
      </c>
      <c r="G1665" s="9">
        <v>35245</v>
      </c>
      <c r="H1665" s="22">
        <v>1320.8499999999985</v>
      </c>
      <c r="I1665" s="17">
        <v>0</v>
      </c>
      <c r="J1665" s="17">
        <v>0</v>
      </c>
      <c r="K1665" s="17">
        <f t="shared" si="276"/>
        <v>1320.8499999999985</v>
      </c>
      <c r="L1665" s="23">
        <f t="shared" si="282"/>
        <v>66.042499999999933</v>
      </c>
      <c r="M1665" s="23">
        <v>5</v>
      </c>
      <c r="N1665" s="18">
        <f t="shared" si="277"/>
        <v>24.775342465753425</v>
      </c>
      <c r="O1665" s="23">
        <v>12548.075000000001</v>
      </c>
      <c r="P1665" s="18">
        <f t="shared" si="278"/>
        <v>25.276712328767122</v>
      </c>
      <c r="Q1665" s="18">
        <v>0</v>
      </c>
      <c r="R1665" s="18">
        <f t="shared" si="275"/>
        <v>12548.075000000001</v>
      </c>
      <c r="S1665" s="18">
        <f t="shared" si="281"/>
        <v>66.042499999999933</v>
      </c>
    </row>
    <row r="1666" spans="1:19" ht="18.75" customHeight="1" x14ac:dyDescent="0.25">
      <c r="A1666" s="14">
        <f t="shared" si="279"/>
        <v>1660</v>
      </c>
      <c r="B1666" s="21" t="s">
        <v>1461</v>
      </c>
      <c r="C1666" s="15" t="s">
        <v>3</v>
      </c>
      <c r="D1666" s="21" t="s">
        <v>1200</v>
      </c>
      <c r="E1666" s="21"/>
      <c r="F1666" s="69" t="s">
        <v>4</v>
      </c>
      <c r="G1666" s="9">
        <v>35186</v>
      </c>
      <c r="H1666" s="22">
        <v>465</v>
      </c>
      <c r="I1666" s="17">
        <v>0</v>
      </c>
      <c r="J1666" s="17">
        <v>0</v>
      </c>
      <c r="K1666" s="17">
        <f t="shared" si="276"/>
        <v>465</v>
      </c>
      <c r="L1666" s="23">
        <f t="shared" si="282"/>
        <v>23.25</v>
      </c>
      <c r="M1666" s="23">
        <v>5</v>
      </c>
      <c r="N1666" s="18">
        <f t="shared" si="277"/>
        <v>24.936986301369863</v>
      </c>
      <c r="O1666" s="23">
        <v>4417.5</v>
      </c>
      <c r="P1666" s="18">
        <f t="shared" si="278"/>
        <v>25.438356164383563</v>
      </c>
      <c r="Q1666" s="18">
        <v>0</v>
      </c>
      <c r="R1666" s="18">
        <f t="shared" si="275"/>
        <v>4417.5</v>
      </c>
      <c r="S1666" s="18">
        <f t="shared" si="281"/>
        <v>23.25</v>
      </c>
    </row>
    <row r="1667" spans="1:19" ht="18.75" customHeight="1" x14ac:dyDescent="0.25">
      <c r="A1667" s="14">
        <f t="shared" si="279"/>
        <v>1661</v>
      </c>
      <c r="B1667" s="21" t="s">
        <v>1462</v>
      </c>
      <c r="C1667" s="15" t="s">
        <v>3</v>
      </c>
      <c r="D1667" s="21" t="s">
        <v>1200</v>
      </c>
      <c r="E1667" s="21"/>
      <c r="F1667" s="69" t="s">
        <v>4</v>
      </c>
      <c r="G1667" s="9">
        <v>35155</v>
      </c>
      <c r="H1667" s="22">
        <v>1750.25</v>
      </c>
      <c r="I1667" s="17">
        <v>0</v>
      </c>
      <c r="J1667" s="17">
        <v>0</v>
      </c>
      <c r="K1667" s="17">
        <f t="shared" si="276"/>
        <v>1750.25</v>
      </c>
      <c r="L1667" s="23">
        <f t="shared" si="282"/>
        <v>87.512500000000003</v>
      </c>
      <c r="M1667" s="23">
        <v>5</v>
      </c>
      <c r="N1667" s="18">
        <f t="shared" si="277"/>
        <v>25.021917808219179</v>
      </c>
      <c r="O1667" s="23">
        <v>16627.375</v>
      </c>
      <c r="P1667" s="18">
        <f t="shared" si="278"/>
        <v>25.523287671232875</v>
      </c>
      <c r="Q1667" s="18">
        <v>0</v>
      </c>
      <c r="R1667" s="18">
        <f t="shared" si="275"/>
        <v>16627.375</v>
      </c>
      <c r="S1667" s="18">
        <f t="shared" si="281"/>
        <v>87.512500000000003</v>
      </c>
    </row>
    <row r="1668" spans="1:19" ht="18.75" customHeight="1" x14ac:dyDescent="0.25">
      <c r="A1668" s="14">
        <f t="shared" si="279"/>
        <v>1662</v>
      </c>
      <c r="B1668" s="21" t="s">
        <v>1463</v>
      </c>
      <c r="C1668" s="15" t="s">
        <v>3</v>
      </c>
      <c r="D1668" s="21" t="s">
        <v>1200</v>
      </c>
      <c r="E1668" s="21"/>
      <c r="F1668" s="69" t="s">
        <v>4</v>
      </c>
      <c r="G1668" s="9">
        <v>35065</v>
      </c>
      <c r="H1668" s="22">
        <v>1507.5</v>
      </c>
      <c r="I1668" s="17">
        <v>0</v>
      </c>
      <c r="J1668" s="17">
        <v>0</v>
      </c>
      <c r="K1668" s="17">
        <f t="shared" si="276"/>
        <v>1507.5</v>
      </c>
      <c r="L1668" s="23">
        <f t="shared" si="282"/>
        <v>75.375</v>
      </c>
      <c r="M1668" s="23">
        <v>5</v>
      </c>
      <c r="N1668" s="18">
        <f t="shared" si="277"/>
        <v>25.268493150684932</v>
      </c>
      <c r="O1668" s="23">
        <v>14321.25</v>
      </c>
      <c r="P1668" s="18">
        <f t="shared" si="278"/>
        <v>25.769863013698629</v>
      </c>
      <c r="Q1668" s="18">
        <v>0</v>
      </c>
      <c r="R1668" s="18">
        <f t="shared" ref="R1668:R1731" si="283">Q1668+O1668</f>
        <v>14321.25</v>
      </c>
      <c r="S1668" s="18">
        <f t="shared" si="281"/>
        <v>75.375</v>
      </c>
    </row>
    <row r="1669" spans="1:19" ht="18.75" customHeight="1" x14ac:dyDescent="0.25">
      <c r="A1669" s="14">
        <f t="shared" si="279"/>
        <v>1663</v>
      </c>
      <c r="B1669" s="21" t="s">
        <v>1464</v>
      </c>
      <c r="C1669" s="15" t="s">
        <v>3</v>
      </c>
      <c r="D1669" s="21" t="s">
        <v>1200</v>
      </c>
      <c r="E1669" s="21"/>
      <c r="F1669" s="69" t="s">
        <v>4</v>
      </c>
      <c r="G1669" s="9">
        <v>35065</v>
      </c>
      <c r="H1669" s="22">
        <v>178.15000000000009</v>
      </c>
      <c r="I1669" s="17">
        <v>0</v>
      </c>
      <c r="J1669" s="17">
        <v>0</v>
      </c>
      <c r="K1669" s="17">
        <f t="shared" ref="K1669:K1732" si="284">H1669+I1669-J1669</f>
        <v>178.15000000000009</v>
      </c>
      <c r="L1669" s="23">
        <f t="shared" si="282"/>
        <v>8.9075000000000042</v>
      </c>
      <c r="M1669" s="23">
        <v>5</v>
      </c>
      <c r="N1669" s="18">
        <f t="shared" ref="N1669:N1732" si="285">IF(($N$2-G1669+1)/365&gt;0,($N$2-G1669+1)/365,0)</f>
        <v>25.268493150684932</v>
      </c>
      <c r="O1669" s="23">
        <v>1692.425</v>
      </c>
      <c r="P1669" s="18">
        <f t="shared" ref="P1669:P1732" si="286">($P$2-G1669+1)/365</f>
        <v>25.769863013698629</v>
      </c>
      <c r="Q1669" s="18">
        <v>0</v>
      </c>
      <c r="R1669" s="18">
        <f t="shared" si="283"/>
        <v>1692.425</v>
      </c>
      <c r="S1669" s="18">
        <f t="shared" si="281"/>
        <v>8.9075000000000042</v>
      </c>
    </row>
    <row r="1670" spans="1:19" ht="18.75" customHeight="1" x14ac:dyDescent="0.25">
      <c r="A1670" s="14">
        <f t="shared" ref="A1670:A1733" si="287">+A1669+1</f>
        <v>1664</v>
      </c>
      <c r="B1670" s="21" t="s">
        <v>1465</v>
      </c>
      <c r="C1670" s="15" t="s">
        <v>3</v>
      </c>
      <c r="D1670" s="21" t="s">
        <v>1200</v>
      </c>
      <c r="E1670" s="21"/>
      <c r="F1670" s="69" t="s">
        <v>4</v>
      </c>
      <c r="G1670" s="9">
        <v>35065</v>
      </c>
      <c r="H1670" s="22">
        <v>67.5</v>
      </c>
      <c r="I1670" s="17">
        <v>0</v>
      </c>
      <c r="J1670" s="17">
        <v>0</v>
      </c>
      <c r="K1670" s="17">
        <f t="shared" si="284"/>
        <v>67.5</v>
      </c>
      <c r="L1670" s="23">
        <f t="shared" si="282"/>
        <v>3.375</v>
      </c>
      <c r="M1670" s="23">
        <v>5</v>
      </c>
      <c r="N1670" s="18">
        <f t="shared" si="285"/>
        <v>25.268493150684932</v>
      </c>
      <c r="O1670" s="23">
        <v>641.25</v>
      </c>
      <c r="P1670" s="18">
        <f t="shared" si="286"/>
        <v>25.769863013698629</v>
      </c>
      <c r="Q1670" s="18">
        <v>0</v>
      </c>
      <c r="R1670" s="18">
        <f t="shared" si="283"/>
        <v>641.25</v>
      </c>
      <c r="S1670" s="18">
        <f t="shared" si="281"/>
        <v>3.375</v>
      </c>
    </row>
    <row r="1671" spans="1:19" ht="18.75" customHeight="1" x14ac:dyDescent="0.25">
      <c r="A1671" s="14">
        <f t="shared" si="287"/>
        <v>1665</v>
      </c>
      <c r="B1671" s="21" t="s">
        <v>1466</v>
      </c>
      <c r="C1671" s="15" t="s">
        <v>3</v>
      </c>
      <c r="D1671" s="21" t="s">
        <v>1200</v>
      </c>
      <c r="E1671" s="21"/>
      <c r="F1671" s="69" t="s">
        <v>4</v>
      </c>
      <c r="G1671" s="9">
        <v>35065</v>
      </c>
      <c r="H1671" s="22">
        <v>887.54999999999927</v>
      </c>
      <c r="I1671" s="17">
        <v>0</v>
      </c>
      <c r="J1671" s="17">
        <v>0</v>
      </c>
      <c r="K1671" s="17">
        <f t="shared" si="284"/>
        <v>887.54999999999927</v>
      </c>
      <c r="L1671" s="23">
        <f t="shared" si="282"/>
        <v>44.377499999999969</v>
      </c>
      <c r="M1671" s="23">
        <v>5</v>
      </c>
      <c r="N1671" s="18">
        <f t="shared" si="285"/>
        <v>25.268493150684932</v>
      </c>
      <c r="O1671" s="23">
        <v>8431.7250000000004</v>
      </c>
      <c r="P1671" s="18">
        <f t="shared" si="286"/>
        <v>25.769863013698629</v>
      </c>
      <c r="Q1671" s="18">
        <v>0</v>
      </c>
      <c r="R1671" s="18">
        <f t="shared" si="283"/>
        <v>8431.7250000000004</v>
      </c>
      <c r="S1671" s="18">
        <f t="shared" si="281"/>
        <v>44.377499999999969</v>
      </c>
    </row>
    <row r="1672" spans="1:19" ht="18.75" customHeight="1" x14ac:dyDescent="0.25">
      <c r="A1672" s="14">
        <f t="shared" si="287"/>
        <v>1666</v>
      </c>
      <c r="B1672" s="21" t="s">
        <v>1467</v>
      </c>
      <c r="C1672" s="15" t="s">
        <v>3</v>
      </c>
      <c r="D1672" s="21" t="s">
        <v>1200</v>
      </c>
      <c r="E1672" s="21"/>
      <c r="F1672" s="69" t="s">
        <v>4</v>
      </c>
      <c r="G1672" s="9">
        <v>35065</v>
      </c>
      <c r="H1672" s="22">
        <v>77.5</v>
      </c>
      <c r="I1672" s="17">
        <v>0</v>
      </c>
      <c r="J1672" s="17">
        <v>0</v>
      </c>
      <c r="K1672" s="17">
        <f t="shared" si="284"/>
        <v>77.5</v>
      </c>
      <c r="L1672" s="23">
        <f t="shared" si="282"/>
        <v>3.875</v>
      </c>
      <c r="M1672" s="23">
        <v>5</v>
      </c>
      <c r="N1672" s="18">
        <f t="shared" si="285"/>
        <v>25.268493150684932</v>
      </c>
      <c r="O1672" s="23">
        <v>736.25</v>
      </c>
      <c r="P1672" s="18">
        <f t="shared" si="286"/>
        <v>25.769863013698629</v>
      </c>
      <c r="Q1672" s="18">
        <v>0</v>
      </c>
      <c r="R1672" s="18">
        <f t="shared" si="283"/>
        <v>736.25</v>
      </c>
      <c r="S1672" s="18">
        <f t="shared" si="281"/>
        <v>3.875</v>
      </c>
    </row>
    <row r="1673" spans="1:19" ht="18.75" customHeight="1" x14ac:dyDescent="0.25">
      <c r="A1673" s="14">
        <f t="shared" si="287"/>
        <v>1667</v>
      </c>
      <c r="B1673" s="21" t="s">
        <v>1468</v>
      </c>
      <c r="C1673" s="15" t="s">
        <v>3</v>
      </c>
      <c r="D1673" s="21" t="s">
        <v>1200</v>
      </c>
      <c r="E1673" s="21"/>
      <c r="F1673" s="69" t="s">
        <v>4</v>
      </c>
      <c r="G1673" s="9">
        <v>35065</v>
      </c>
      <c r="H1673" s="22">
        <v>343.05000000000018</v>
      </c>
      <c r="I1673" s="17">
        <v>0</v>
      </c>
      <c r="J1673" s="17">
        <v>0</v>
      </c>
      <c r="K1673" s="17">
        <f t="shared" si="284"/>
        <v>343.05000000000018</v>
      </c>
      <c r="L1673" s="23">
        <f t="shared" si="282"/>
        <v>17.152500000000011</v>
      </c>
      <c r="M1673" s="23">
        <v>5</v>
      </c>
      <c r="N1673" s="18">
        <f t="shared" si="285"/>
        <v>25.268493150684932</v>
      </c>
      <c r="O1673" s="23">
        <v>3258.9749999999999</v>
      </c>
      <c r="P1673" s="18">
        <f t="shared" si="286"/>
        <v>25.769863013698629</v>
      </c>
      <c r="Q1673" s="18">
        <v>0</v>
      </c>
      <c r="R1673" s="18">
        <f t="shared" si="283"/>
        <v>3258.9749999999999</v>
      </c>
      <c r="S1673" s="18">
        <f t="shared" si="281"/>
        <v>17.152500000000011</v>
      </c>
    </row>
    <row r="1674" spans="1:19" ht="18.75" customHeight="1" x14ac:dyDescent="0.25">
      <c r="A1674" s="14">
        <f t="shared" si="287"/>
        <v>1668</v>
      </c>
      <c r="B1674" s="21" t="s">
        <v>1469</v>
      </c>
      <c r="C1674" s="15" t="s">
        <v>3</v>
      </c>
      <c r="D1674" s="21" t="s">
        <v>1200</v>
      </c>
      <c r="E1674" s="21"/>
      <c r="F1674" s="69" t="s">
        <v>4</v>
      </c>
      <c r="G1674" s="9">
        <v>35065</v>
      </c>
      <c r="H1674" s="22">
        <v>79</v>
      </c>
      <c r="I1674" s="17">
        <v>0</v>
      </c>
      <c r="J1674" s="17">
        <v>0</v>
      </c>
      <c r="K1674" s="17">
        <f t="shared" si="284"/>
        <v>79</v>
      </c>
      <c r="L1674" s="23">
        <f t="shared" si="282"/>
        <v>3.95</v>
      </c>
      <c r="M1674" s="23">
        <v>5</v>
      </c>
      <c r="N1674" s="18">
        <f t="shared" si="285"/>
        <v>25.268493150684932</v>
      </c>
      <c r="O1674" s="23">
        <v>750.5</v>
      </c>
      <c r="P1674" s="18">
        <f t="shared" si="286"/>
        <v>25.769863013698629</v>
      </c>
      <c r="Q1674" s="18">
        <v>0</v>
      </c>
      <c r="R1674" s="18">
        <f t="shared" si="283"/>
        <v>750.5</v>
      </c>
      <c r="S1674" s="18">
        <f t="shared" si="281"/>
        <v>3.95</v>
      </c>
    </row>
    <row r="1675" spans="1:19" ht="18.75" customHeight="1" x14ac:dyDescent="0.25">
      <c r="A1675" s="14">
        <f t="shared" si="287"/>
        <v>1669</v>
      </c>
      <c r="B1675" s="21" t="s">
        <v>1470</v>
      </c>
      <c r="C1675" s="15" t="s">
        <v>3</v>
      </c>
      <c r="D1675" s="21" t="s">
        <v>1200</v>
      </c>
      <c r="E1675" s="21"/>
      <c r="F1675" s="69" t="s">
        <v>4</v>
      </c>
      <c r="G1675" s="9">
        <v>35065</v>
      </c>
      <c r="H1675" s="22">
        <v>209.90000000000009</v>
      </c>
      <c r="I1675" s="17">
        <v>0</v>
      </c>
      <c r="J1675" s="17">
        <v>0</v>
      </c>
      <c r="K1675" s="17">
        <f t="shared" si="284"/>
        <v>209.90000000000009</v>
      </c>
      <c r="L1675" s="23">
        <f t="shared" si="282"/>
        <v>10.495000000000005</v>
      </c>
      <c r="M1675" s="23">
        <v>5</v>
      </c>
      <c r="N1675" s="18">
        <f t="shared" si="285"/>
        <v>25.268493150684932</v>
      </c>
      <c r="O1675" s="23">
        <v>1994.05</v>
      </c>
      <c r="P1675" s="18">
        <f t="shared" si="286"/>
        <v>25.769863013698629</v>
      </c>
      <c r="Q1675" s="18">
        <v>0</v>
      </c>
      <c r="R1675" s="18">
        <f t="shared" si="283"/>
        <v>1994.05</v>
      </c>
      <c r="S1675" s="18">
        <f t="shared" si="281"/>
        <v>10.495000000000005</v>
      </c>
    </row>
    <row r="1676" spans="1:19" ht="18.75" customHeight="1" x14ac:dyDescent="0.25">
      <c r="A1676" s="14">
        <f t="shared" si="287"/>
        <v>1670</v>
      </c>
      <c r="B1676" s="21" t="s">
        <v>1471</v>
      </c>
      <c r="C1676" s="15" t="s">
        <v>3</v>
      </c>
      <c r="D1676" s="21" t="s">
        <v>1200</v>
      </c>
      <c r="E1676" s="21"/>
      <c r="F1676" s="69" t="s">
        <v>4</v>
      </c>
      <c r="G1676" s="9">
        <v>35065</v>
      </c>
      <c r="H1676" s="22">
        <v>11.400000000000006</v>
      </c>
      <c r="I1676" s="17">
        <v>0</v>
      </c>
      <c r="J1676" s="17">
        <v>0</v>
      </c>
      <c r="K1676" s="17">
        <f t="shared" si="284"/>
        <v>11.400000000000006</v>
      </c>
      <c r="L1676" s="23">
        <f t="shared" si="282"/>
        <v>0.57000000000000028</v>
      </c>
      <c r="M1676" s="23">
        <v>5</v>
      </c>
      <c r="N1676" s="18">
        <f t="shared" si="285"/>
        <v>25.268493150684932</v>
      </c>
      <c r="O1676" s="23">
        <v>108.3</v>
      </c>
      <c r="P1676" s="18">
        <f t="shared" si="286"/>
        <v>25.769863013698629</v>
      </c>
      <c r="Q1676" s="18">
        <v>0</v>
      </c>
      <c r="R1676" s="18">
        <f t="shared" si="283"/>
        <v>108.3</v>
      </c>
      <c r="S1676" s="18">
        <f t="shared" si="281"/>
        <v>0.57000000000000028</v>
      </c>
    </row>
    <row r="1677" spans="1:19" ht="18.75" customHeight="1" x14ac:dyDescent="0.25">
      <c r="A1677" s="14">
        <f t="shared" si="287"/>
        <v>1671</v>
      </c>
      <c r="B1677" s="21" t="s">
        <v>1472</v>
      </c>
      <c r="C1677" s="15" t="s">
        <v>3</v>
      </c>
      <c r="D1677" s="21" t="s">
        <v>1200</v>
      </c>
      <c r="E1677" s="21"/>
      <c r="F1677" s="69" t="s">
        <v>4</v>
      </c>
      <c r="G1677" s="9">
        <v>35065</v>
      </c>
      <c r="H1677" s="22">
        <v>51.25</v>
      </c>
      <c r="I1677" s="17">
        <v>0</v>
      </c>
      <c r="J1677" s="17">
        <v>0</v>
      </c>
      <c r="K1677" s="17">
        <f t="shared" si="284"/>
        <v>51.25</v>
      </c>
      <c r="L1677" s="23">
        <f t="shared" si="282"/>
        <v>2.5625</v>
      </c>
      <c r="M1677" s="23">
        <v>5</v>
      </c>
      <c r="N1677" s="18">
        <f t="shared" si="285"/>
        <v>25.268493150684932</v>
      </c>
      <c r="O1677" s="23">
        <v>486.875</v>
      </c>
      <c r="P1677" s="18">
        <f t="shared" si="286"/>
        <v>25.769863013698629</v>
      </c>
      <c r="Q1677" s="18">
        <v>0</v>
      </c>
      <c r="R1677" s="18">
        <f t="shared" si="283"/>
        <v>486.875</v>
      </c>
      <c r="S1677" s="18">
        <f t="shared" si="281"/>
        <v>2.5625</v>
      </c>
    </row>
    <row r="1678" spans="1:19" ht="18.75" customHeight="1" x14ac:dyDescent="0.25">
      <c r="A1678" s="14">
        <f t="shared" si="287"/>
        <v>1672</v>
      </c>
      <c r="B1678" s="21" t="s">
        <v>1473</v>
      </c>
      <c r="C1678" s="15" t="s">
        <v>3</v>
      </c>
      <c r="D1678" s="21" t="s">
        <v>1200</v>
      </c>
      <c r="E1678" s="21"/>
      <c r="F1678" s="69" t="s">
        <v>4</v>
      </c>
      <c r="G1678" s="9">
        <v>35065</v>
      </c>
      <c r="H1678" s="22">
        <v>55.900000000000091</v>
      </c>
      <c r="I1678" s="17">
        <v>0</v>
      </c>
      <c r="J1678" s="17">
        <v>0</v>
      </c>
      <c r="K1678" s="17">
        <f t="shared" si="284"/>
        <v>55.900000000000091</v>
      </c>
      <c r="L1678" s="23">
        <f t="shared" si="282"/>
        <v>2.7950000000000048</v>
      </c>
      <c r="M1678" s="23">
        <v>5</v>
      </c>
      <c r="N1678" s="18">
        <f t="shared" si="285"/>
        <v>25.268493150684932</v>
      </c>
      <c r="O1678" s="23">
        <v>531.04999999999995</v>
      </c>
      <c r="P1678" s="18">
        <f t="shared" si="286"/>
        <v>25.769863013698629</v>
      </c>
      <c r="Q1678" s="18">
        <v>0</v>
      </c>
      <c r="R1678" s="18">
        <f t="shared" si="283"/>
        <v>531.04999999999995</v>
      </c>
      <c r="S1678" s="18">
        <f t="shared" si="281"/>
        <v>2.7950000000000048</v>
      </c>
    </row>
    <row r="1679" spans="1:19" ht="18.75" customHeight="1" x14ac:dyDescent="0.25">
      <c r="A1679" s="14">
        <f t="shared" si="287"/>
        <v>1673</v>
      </c>
      <c r="B1679" s="21" t="s">
        <v>1474</v>
      </c>
      <c r="C1679" s="15" t="s">
        <v>3</v>
      </c>
      <c r="D1679" s="21" t="s">
        <v>1200</v>
      </c>
      <c r="E1679" s="21"/>
      <c r="F1679" s="69" t="s">
        <v>4</v>
      </c>
      <c r="G1679" s="9">
        <v>35065</v>
      </c>
      <c r="H1679" s="22">
        <v>300</v>
      </c>
      <c r="I1679" s="17">
        <v>0</v>
      </c>
      <c r="J1679" s="17">
        <v>0</v>
      </c>
      <c r="K1679" s="17">
        <f t="shared" si="284"/>
        <v>300</v>
      </c>
      <c r="L1679" s="23">
        <f t="shared" si="282"/>
        <v>15</v>
      </c>
      <c r="M1679" s="23">
        <v>5</v>
      </c>
      <c r="N1679" s="18">
        <f t="shared" si="285"/>
        <v>25.268493150684932</v>
      </c>
      <c r="O1679" s="23">
        <v>2850</v>
      </c>
      <c r="P1679" s="18">
        <f t="shared" si="286"/>
        <v>25.769863013698629</v>
      </c>
      <c r="Q1679" s="18">
        <v>0</v>
      </c>
      <c r="R1679" s="18">
        <f t="shared" si="283"/>
        <v>2850</v>
      </c>
      <c r="S1679" s="18">
        <f t="shared" si="281"/>
        <v>15</v>
      </c>
    </row>
    <row r="1680" spans="1:19" ht="18.75" customHeight="1" x14ac:dyDescent="0.25">
      <c r="A1680" s="14">
        <f t="shared" si="287"/>
        <v>1674</v>
      </c>
      <c r="B1680" s="21" t="s">
        <v>1475</v>
      </c>
      <c r="C1680" s="15" t="s">
        <v>3</v>
      </c>
      <c r="D1680" s="21" t="s">
        <v>1200</v>
      </c>
      <c r="E1680" s="21"/>
      <c r="F1680" s="69" t="s">
        <v>4</v>
      </c>
      <c r="G1680" s="9">
        <v>35065</v>
      </c>
      <c r="H1680" s="22">
        <v>37.5</v>
      </c>
      <c r="I1680" s="17">
        <v>0</v>
      </c>
      <c r="J1680" s="17">
        <v>0</v>
      </c>
      <c r="K1680" s="17">
        <f t="shared" si="284"/>
        <v>37.5</v>
      </c>
      <c r="L1680" s="23">
        <f t="shared" si="282"/>
        <v>1.875</v>
      </c>
      <c r="M1680" s="23">
        <v>5</v>
      </c>
      <c r="N1680" s="18">
        <f t="shared" si="285"/>
        <v>25.268493150684932</v>
      </c>
      <c r="O1680" s="23">
        <v>356.25</v>
      </c>
      <c r="P1680" s="18">
        <f t="shared" si="286"/>
        <v>25.769863013698629</v>
      </c>
      <c r="Q1680" s="18">
        <v>0</v>
      </c>
      <c r="R1680" s="18">
        <f t="shared" si="283"/>
        <v>356.25</v>
      </c>
      <c r="S1680" s="18">
        <f t="shared" si="281"/>
        <v>1.875</v>
      </c>
    </row>
    <row r="1681" spans="1:19" ht="18.75" customHeight="1" x14ac:dyDescent="0.25">
      <c r="A1681" s="14">
        <f t="shared" si="287"/>
        <v>1675</v>
      </c>
      <c r="B1681" s="21" t="s">
        <v>1476</v>
      </c>
      <c r="C1681" s="15" t="s">
        <v>3</v>
      </c>
      <c r="D1681" s="21" t="s">
        <v>1200</v>
      </c>
      <c r="E1681" s="21"/>
      <c r="F1681" s="69" t="s">
        <v>4</v>
      </c>
      <c r="G1681" s="9">
        <v>35065</v>
      </c>
      <c r="H1681" s="22">
        <v>60</v>
      </c>
      <c r="I1681" s="17">
        <v>0</v>
      </c>
      <c r="J1681" s="17">
        <v>0</v>
      </c>
      <c r="K1681" s="17">
        <f t="shared" si="284"/>
        <v>60</v>
      </c>
      <c r="L1681" s="23">
        <f t="shared" si="282"/>
        <v>3</v>
      </c>
      <c r="M1681" s="23">
        <v>5</v>
      </c>
      <c r="N1681" s="18">
        <f t="shared" si="285"/>
        <v>25.268493150684932</v>
      </c>
      <c r="O1681" s="23">
        <v>570</v>
      </c>
      <c r="P1681" s="18">
        <f t="shared" si="286"/>
        <v>25.769863013698629</v>
      </c>
      <c r="Q1681" s="18">
        <v>0</v>
      </c>
      <c r="R1681" s="18">
        <f t="shared" si="283"/>
        <v>570</v>
      </c>
      <c r="S1681" s="18">
        <f t="shared" si="281"/>
        <v>3</v>
      </c>
    </row>
    <row r="1682" spans="1:19" ht="18.75" customHeight="1" x14ac:dyDescent="0.25">
      <c r="A1682" s="14">
        <f t="shared" si="287"/>
        <v>1676</v>
      </c>
      <c r="B1682" s="21" t="s">
        <v>1477</v>
      </c>
      <c r="C1682" s="15" t="s">
        <v>3</v>
      </c>
      <c r="D1682" s="21" t="s">
        <v>1200</v>
      </c>
      <c r="E1682" s="21"/>
      <c r="F1682" s="69" t="s">
        <v>4</v>
      </c>
      <c r="G1682" s="9">
        <v>35065</v>
      </c>
      <c r="H1682" s="22">
        <v>67.5</v>
      </c>
      <c r="I1682" s="17">
        <v>0</v>
      </c>
      <c r="J1682" s="17">
        <v>0</v>
      </c>
      <c r="K1682" s="17">
        <f t="shared" si="284"/>
        <v>67.5</v>
      </c>
      <c r="L1682" s="23">
        <f t="shared" si="282"/>
        <v>3.375</v>
      </c>
      <c r="M1682" s="23">
        <v>5</v>
      </c>
      <c r="N1682" s="18">
        <f t="shared" si="285"/>
        <v>25.268493150684932</v>
      </c>
      <c r="O1682" s="23">
        <v>641.25</v>
      </c>
      <c r="P1682" s="18">
        <f t="shared" si="286"/>
        <v>25.769863013698629</v>
      </c>
      <c r="Q1682" s="18">
        <v>0</v>
      </c>
      <c r="R1682" s="18">
        <f t="shared" si="283"/>
        <v>641.25</v>
      </c>
      <c r="S1682" s="18">
        <f t="shared" ref="S1682:S1745" si="288">L1682</f>
        <v>3.375</v>
      </c>
    </row>
    <row r="1683" spans="1:19" ht="18.75" customHeight="1" x14ac:dyDescent="0.25">
      <c r="A1683" s="14">
        <f t="shared" si="287"/>
        <v>1677</v>
      </c>
      <c r="B1683" s="21" t="s">
        <v>1458</v>
      </c>
      <c r="C1683" s="15" t="s">
        <v>3</v>
      </c>
      <c r="D1683" s="21" t="s">
        <v>1200</v>
      </c>
      <c r="E1683" s="21"/>
      <c r="F1683" s="69" t="s">
        <v>4</v>
      </c>
      <c r="G1683" s="9">
        <v>35065</v>
      </c>
      <c r="H1683" s="22">
        <v>1234.5</v>
      </c>
      <c r="I1683" s="17">
        <v>0</v>
      </c>
      <c r="J1683" s="17">
        <v>0</v>
      </c>
      <c r="K1683" s="17">
        <f t="shared" si="284"/>
        <v>1234.5</v>
      </c>
      <c r="L1683" s="23">
        <f t="shared" si="282"/>
        <v>61.725000000000001</v>
      </c>
      <c r="M1683" s="23">
        <v>5</v>
      </c>
      <c r="N1683" s="18">
        <f t="shared" si="285"/>
        <v>25.268493150684932</v>
      </c>
      <c r="O1683" s="23">
        <v>11727.75</v>
      </c>
      <c r="P1683" s="18">
        <f t="shared" si="286"/>
        <v>25.769863013698629</v>
      </c>
      <c r="Q1683" s="18">
        <v>0</v>
      </c>
      <c r="R1683" s="18">
        <f t="shared" si="283"/>
        <v>11727.75</v>
      </c>
      <c r="S1683" s="18">
        <f t="shared" si="288"/>
        <v>61.725000000000001</v>
      </c>
    </row>
    <row r="1684" spans="1:19" ht="18.75" customHeight="1" x14ac:dyDescent="0.25">
      <c r="A1684" s="14">
        <f t="shared" si="287"/>
        <v>1678</v>
      </c>
      <c r="B1684" s="21" t="s">
        <v>1478</v>
      </c>
      <c r="C1684" s="15" t="s">
        <v>3</v>
      </c>
      <c r="D1684" s="21" t="s">
        <v>1200</v>
      </c>
      <c r="E1684" s="21"/>
      <c r="F1684" s="69" t="s">
        <v>4</v>
      </c>
      <c r="G1684" s="9">
        <v>34991</v>
      </c>
      <c r="H1684" s="22">
        <v>270</v>
      </c>
      <c r="I1684" s="17">
        <v>0</v>
      </c>
      <c r="J1684" s="17">
        <v>0</v>
      </c>
      <c r="K1684" s="17">
        <f t="shared" si="284"/>
        <v>270</v>
      </c>
      <c r="L1684" s="23">
        <f t="shared" si="282"/>
        <v>13.5</v>
      </c>
      <c r="M1684" s="23">
        <v>5</v>
      </c>
      <c r="N1684" s="18">
        <f t="shared" si="285"/>
        <v>25.471232876712328</v>
      </c>
      <c r="O1684" s="23">
        <v>2565</v>
      </c>
      <c r="P1684" s="18">
        <f t="shared" si="286"/>
        <v>25.972602739726028</v>
      </c>
      <c r="Q1684" s="18">
        <v>0</v>
      </c>
      <c r="R1684" s="18">
        <f t="shared" si="283"/>
        <v>2565</v>
      </c>
      <c r="S1684" s="18">
        <f t="shared" si="288"/>
        <v>13.5</v>
      </c>
    </row>
    <row r="1685" spans="1:19" ht="18.75" customHeight="1" x14ac:dyDescent="0.25">
      <c r="A1685" s="14">
        <f t="shared" si="287"/>
        <v>1679</v>
      </c>
      <c r="B1685" s="21" t="s">
        <v>1479</v>
      </c>
      <c r="C1685" s="15" t="s">
        <v>3</v>
      </c>
      <c r="D1685" s="21" t="s">
        <v>1200</v>
      </c>
      <c r="E1685" s="21"/>
      <c r="F1685" s="69" t="s">
        <v>4</v>
      </c>
      <c r="G1685" s="9">
        <v>34958</v>
      </c>
      <c r="H1685" s="22">
        <v>658.75</v>
      </c>
      <c r="I1685" s="17">
        <v>0</v>
      </c>
      <c r="J1685" s="17">
        <v>0</v>
      </c>
      <c r="K1685" s="17">
        <f t="shared" si="284"/>
        <v>658.75</v>
      </c>
      <c r="L1685" s="23">
        <f t="shared" si="282"/>
        <v>32.9375</v>
      </c>
      <c r="M1685" s="23">
        <v>5</v>
      </c>
      <c r="N1685" s="18">
        <f t="shared" si="285"/>
        <v>25.561643835616437</v>
      </c>
      <c r="O1685" s="23">
        <v>6258.125</v>
      </c>
      <c r="P1685" s="18">
        <f t="shared" si="286"/>
        <v>26.063013698630137</v>
      </c>
      <c r="Q1685" s="18">
        <v>0</v>
      </c>
      <c r="R1685" s="18">
        <f t="shared" si="283"/>
        <v>6258.125</v>
      </c>
      <c r="S1685" s="18">
        <f t="shared" si="288"/>
        <v>32.9375</v>
      </c>
    </row>
    <row r="1686" spans="1:19" ht="18.75" customHeight="1" x14ac:dyDescent="0.25">
      <c r="A1686" s="14">
        <f t="shared" si="287"/>
        <v>1680</v>
      </c>
      <c r="B1686" s="21" t="s">
        <v>1480</v>
      </c>
      <c r="C1686" s="15" t="s">
        <v>3</v>
      </c>
      <c r="D1686" s="21" t="s">
        <v>1200</v>
      </c>
      <c r="E1686" s="21"/>
      <c r="F1686" s="69" t="s">
        <v>4</v>
      </c>
      <c r="G1686" s="9">
        <v>34865</v>
      </c>
      <c r="H1686" s="22">
        <v>825</v>
      </c>
      <c r="I1686" s="17">
        <v>0</v>
      </c>
      <c r="J1686" s="17">
        <v>0</v>
      </c>
      <c r="K1686" s="17">
        <f t="shared" si="284"/>
        <v>825</v>
      </c>
      <c r="L1686" s="23">
        <f t="shared" si="282"/>
        <v>41.25</v>
      </c>
      <c r="M1686" s="23">
        <v>5</v>
      </c>
      <c r="N1686" s="18">
        <f t="shared" si="285"/>
        <v>25.816438356164383</v>
      </c>
      <c r="O1686" s="23">
        <v>7837.5</v>
      </c>
      <c r="P1686" s="18">
        <f t="shared" si="286"/>
        <v>26.317808219178083</v>
      </c>
      <c r="Q1686" s="18">
        <v>0</v>
      </c>
      <c r="R1686" s="18">
        <f t="shared" si="283"/>
        <v>7837.5</v>
      </c>
      <c r="S1686" s="18">
        <f t="shared" si="288"/>
        <v>41.25</v>
      </c>
    </row>
    <row r="1687" spans="1:19" ht="18.75" customHeight="1" x14ac:dyDescent="0.25">
      <c r="A1687" s="14">
        <f t="shared" si="287"/>
        <v>1681</v>
      </c>
      <c r="B1687" s="21" t="s">
        <v>1481</v>
      </c>
      <c r="C1687" s="15" t="s">
        <v>3</v>
      </c>
      <c r="D1687" s="21" t="s">
        <v>1200</v>
      </c>
      <c r="E1687" s="21"/>
      <c r="F1687" s="69" t="s">
        <v>4</v>
      </c>
      <c r="G1687" s="9">
        <v>34773</v>
      </c>
      <c r="H1687" s="22">
        <v>4760</v>
      </c>
      <c r="I1687" s="17">
        <v>0</v>
      </c>
      <c r="J1687" s="17">
        <v>0</v>
      </c>
      <c r="K1687" s="17">
        <f t="shared" si="284"/>
        <v>4760</v>
      </c>
      <c r="L1687" s="23">
        <f t="shared" ref="L1687:L1750" si="289">H1687*0.05</f>
        <v>238</v>
      </c>
      <c r="M1687" s="23">
        <v>5</v>
      </c>
      <c r="N1687" s="18">
        <f t="shared" si="285"/>
        <v>26.068493150684933</v>
      </c>
      <c r="O1687" s="23">
        <v>45220</v>
      </c>
      <c r="P1687" s="18">
        <f t="shared" si="286"/>
        <v>26.56986301369863</v>
      </c>
      <c r="Q1687" s="18">
        <v>0</v>
      </c>
      <c r="R1687" s="18">
        <f t="shared" si="283"/>
        <v>45220</v>
      </c>
      <c r="S1687" s="18">
        <f t="shared" si="288"/>
        <v>238</v>
      </c>
    </row>
    <row r="1688" spans="1:19" ht="18.75" customHeight="1" x14ac:dyDescent="0.25">
      <c r="A1688" s="14">
        <f t="shared" si="287"/>
        <v>1682</v>
      </c>
      <c r="B1688" s="21" t="s">
        <v>1482</v>
      </c>
      <c r="C1688" s="15" t="s">
        <v>3</v>
      </c>
      <c r="D1688" s="21" t="s">
        <v>1200</v>
      </c>
      <c r="E1688" s="21"/>
      <c r="F1688" s="69" t="s">
        <v>4</v>
      </c>
      <c r="G1688" s="9">
        <v>34700</v>
      </c>
      <c r="H1688" s="22">
        <v>217.55000000000018</v>
      </c>
      <c r="I1688" s="17">
        <v>0</v>
      </c>
      <c r="J1688" s="17">
        <v>0</v>
      </c>
      <c r="K1688" s="17">
        <f t="shared" si="284"/>
        <v>217.55000000000018</v>
      </c>
      <c r="L1688" s="23">
        <f t="shared" si="289"/>
        <v>10.87750000000001</v>
      </c>
      <c r="M1688" s="23">
        <v>5</v>
      </c>
      <c r="N1688" s="18">
        <f t="shared" si="285"/>
        <v>26.268493150684932</v>
      </c>
      <c r="O1688" s="23">
        <v>2066.7249999999999</v>
      </c>
      <c r="P1688" s="18">
        <f t="shared" si="286"/>
        <v>26.769863013698629</v>
      </c>
      <c r="Q1688" s="18">
        <v>0</v>
      </c>
      <c r="R1688" s="18">
        <f t="shared" si="283"/>
        <v>2066.7249999999999</v>
      </c>
      <c r="S1688" s="18">
        <f t="shared" si="288"/>
        <v>10.87750000000001</v>
      </c>
    </row>
    <row r="1689" spans="1:19" ht="18.75" customHeight="1" x14ac:dyDescent="0.25">
      <c r="A1689" s="14">
        <f t="shared" si="287"/>
        <v>1683</v>
      </c>
      <c r="B1689" s="21" t="s">
        <v>1483</v>
      </c>
      <c r="C1689" s="15" t="s">
        <v>3</v>
      </c>
      <c r="D1689" s="21" t="s">
        <v>1200</v>
      </c>
      <c r="E1689" s="21"/>
      <c r="F1689" s="69" t="s">
        <v>4</v>
      </c>
      <c r="G1689" s="9">
        <v>34700</v>
      </c>
      <c r="H1689" s="22">
        <v>34.149999999999977</v>
      </c>
      <c r="I1689" s="17">
        <v>0</v>
      </c>
      <c r="J1689" s="17">
        <v>0</v>
      </c>
      <c r="K1689" s="17">
        <f t="shared" si="284"/>
        <v>34.149999999999977</v>
      </c>
      <c r="L1689" s="23">
        <f t="shared" si="289"/>
        <v>1.7074999999999989</v>
      </c>
      <c r="M1689" s="23">
        <v>5</v>
      </c>
      <c r="N1689" s="18">
        <f t="shared" si="285"/>
        <v>26.268493150684932</v>
      </c>
      <c r="O1689" s="23">
        <v>324.42500000000001</v>
      </c>
      <c r="P1689" s="18">
        <f t="shared" si="286"/>
        <v>26.769863013698629</v>
      </c>
      <c r="Q1689" s="18">
        <v>0</v>
      </c>
      <c r="R1689" s="18">
        <f t="shared" si="283"/>
        <v>324.42500000000001</v>
      </c>
      <c r="S1689" s="18">
        <f t="shared" si="288"/>
        <v>1.7074999999999989</v>
      </c>
    </row>
    <row r="1690" spans="1:19" ht="18.75" customHeight="1" x14ac:dyDescent="0.25">
      <c r="A1690" s="14">
        <f t="shared" si="287"/>
        <v>1684</v>
      </c>
      <c r="B1690" s="21" t="s">
        <v>1484</v>
      </c>
      <c r="C1690" s="15" t="s">
        <v>3</v>
      </c>
      <c r="D1690" s="21" t="s">
        <v>1200</v>
      </c>
      <c r="E1690" s="21"/>
      <c r="F1690" s="69" t="s">
        <v>4</v>
      </c>
      <c r="G1690" s="9">
        <v>34700</v>
      </c>
      <c r="H1690" s="22">
        <v>108.44999999999982</v>
      </c>
      <c r="I1690" s="17">
        <v>0</v>
      </c>
      <c r="J1690" s="17">
        <v>0</v>
      </c>
      <c r="K1690" s="17">
        <f t="shared" si="284"/>
        <v>108.44999999999982</v>
      </c>
      <c r="L1690" s="23">
        <f t="shared" si="289"/>
        <v>5.4224999999999914</v>
      </c>
      <c r="M1690" s="23">
        <v>5</v>
      </c>
      <c r="N1690" s="18">
        <f t="shared" si="285"/>
        <v>26.268493150684932</v>
      </c>
      <c r="O1690" s="23">
        <v>1030.2750000000001</v>
      </c>
      <c r="P1690" s="18">
        <f t="shared" si="286"/>
        <v>26.769863013698629</v>
      </c>
      <c r="Q1690" s="18">
        <v>0</v>
      </c>
      <c r="R1690" s="18">
        <f t="shared" si="283"/>
        <v>1030.2750000000001</v>
      </c>
      <c r="S1690" s="18">
        <f t="shared" si="288"/>
        <v>5.4224999999999914</v>
      </c>
    </row>
    <row r="1691" spans="1:19" ht="18.75" customHeight="1" x14ac:dyDescent="0.25">
      <c r="A1691" s="14">
        <f t="shared" si="287"/>
        <v>1685</v>
      </c>
      <c r="B1691" s="21" t="s">
        <v>1485</v>
      </c>
      <c r="C1691" s="15" t="s">
        <v>3</v>
      </c>
      <c r="D1691" s="21" t="s">
        <v>1200</v>
      </c>
      <c r="E1691" s="21"/>
      <c r="F1691" s="69" t="s">
        <v>4</v>
      </c>
      <c r="G1691" s="9">
        <v>34700</v>
      </c>
      <c r="H1691" s="22">
        <v>128.69999999999982</v>
      </c>
      <c r="I1691" s="17">
        <v>0</v>
      </c>
      <c r="J1691" s="17">
        <v>0</v>
      </c>
      <c r="K1691" s="17">
        <f t="shared" si="284"/>
        <v>128.69999999999982</v>
      </c>
      <c r="L1691" s="23">
        <f t="shared" si="289"/>
        <v>6.4349999999999916</v>
      </c>
      <c r="M1691" s="23">
        <v>5</v>
      </c>
      <c r="N1691" s="18">
        <f t="shared" si="285"/>
        <v>26.268493150684932</v>
      </c>
      <c r="O1691" s="23">
        <v>1222.6500000000001</v>
      </c>
      <c r="P1691" s="18">
        <f t="shared" si="286"/>
        <v>26.769863013698629</v>
      </c>
      <c r="Q1691" s="18">
        <v>0</v>
      </c>
      <c r="R1691" s="18">
        <f t="shared" si="283"/>
        <v>1222.6500000000001</v>
      </c>
      <c r="S1691" s="18">
        <f t="shared" si="288"/>
        <v>6.4349999999999916</v>
      </c>
    </row>
    <row r="1692" spans="1:19" ht="18.75" customHeight="1" x14ac:dyDescent="0.25">
      <c r="A1692" s="14">
        <f t="shared" si="287"/>
        <v>1686</v>
      </c>
      <c r="B1692" s="21" t="s">
        <v>1486</v>
      </c>
      <c r="C1692" s="15" t="s">
        <v>3</v>
      </c>
      <c r="D1692" s="21" t="s">
        <v>1200</v>
      </c>
      <c r="E1692" s="21"/>
      <c r="F1692" s="69" t="s">
        <v>4</v>
      </c>
      <c r="G1692" s="9">
        <v>34700</v>
      </c>
      <c r="H1692" s="22">
        <v>506.25</v>
      </c>
      <c r="I1692" s="17">
        <v>0</v>
      </c>
      <c r="J1692" s="17">
        <v>0</v>
      </c>
      <c r="K1692" s="17">
        <f t="shared" si="284"/>
        <v>506.25</v>
      </c>
      <c r="L1692" s="23">
        <f t="shared" si="289"/>
        <v>25.3125</v>
      </c>
      <c r="M1692" s="23">
        <v>5</v>
      </c>
      <c r="N1692" s="18">
        <f t="shared" si="285"/>
        <v>26.268493150684932</v>
      </c>
      <c r="O1692" s="23">
        <v>4809.375</v>
      </c>
      <c r="P1692" s="18">
        <f t="shared" si="286"/>
        <v>26.769863013698629</v>
      </c>
      <c r="Q1692" s="18">
        <v>0</v>
      </c>
      <c r="R1692" s="18">
        <f t="shared" si="283"/>
        <v>4809.375</v>
      </c>
      <c r="S1692" s="18">
        <f t="shared" si="288"/>
        <v>25.3125</v>
      </c>
    </row>
    <row r="1693" spans="1:19" ht="18.75" customHeight="1" x14ac:dyDescent="0.25">
      <c r="A1693" s="14">
        <f t="shared" si="287"/>
        <v>1687</v>
      </c>
      <c r="B1693" s="21" t="s">
        <v>1487</v>
      </c>
      <c r="C1693" s="15" t="s">
        <v>3</v>
      </c>
      <c r="D1693" s="21" t="s">
        <v>1200</v>
      </c>
      <c r="E1693" s="21"/>
      <c r="F1693" s="69" t="s">
        <v>4</v>
      </c>
      <c r="G1693" s="9">
        <v>34424</v>
      </c>
      <c r="H1693" s="22">
        <v>65.150000000000091</v>
      </c>
      <c r="I1693" s="17">
        <v>0</v>
      </c>
      <c r="J1693" s="17">
        <v>0</v>
      </c>
      <c r="K1693" s="17">
        <f t="shared" si="284"/>
        <v>65.150000000000091</v>
      </c>
      <c r="L1693" s="23">
        <f t="shared" si="289"/>
        <v>3.2575000000000047</v>
      </c>
      <c r="M1693" s="23">
        <v>5</v>
      </c>
      <c r="N1693" s="18">
        <f t="shared" si="285"/>
        <v>27.024657534246575</v>
      </c>
      <c r="O1693" s="23">
        <v>618.92499999999995</v>
      </c>
      <c r="P1693" s="18">
        <f t="shared" si="286"/>
        <v>27.526027397260275</v>
      </c>
      <c r="Q1693" s="18">
        <v>0</v>
      </c>
      <c r="R1693" s="18">
        <f t="shared" si="283"/>
        <v>618.92499999999995</v>
      </c>
      <c r="S1693" s="18">
        <f t="shared" si="288"/>
        <v>3.2575000000000047</v>
      </c>
    </row>
    <row r="1694" spans="1:19" ht="18.75" customHeight="1" x14ac:dyDescent="0.25">
      <c r="A1694" s="14">
        <f t="shared" si="287"/>
        <v>1688</v>
      </c>
      <c r="B1694" s="21" t="s">
        <v>1488</v>
      </c>
      <c r="C1694" s="15" t="s">
        <v>3</v>
      </c>
      <c r="D1694" s="21" t="s">
        <v>1200</v>
      </c>
      <c r="E1694" s="21"/>
      <c r="F1694" s="69" t="s">
        <v>4</v>
      </c>
      <c r="G1694" s="9">
        <v>34408</v>
      </c>
      <c r="H1694" s="22">
        <v>154.34999999999991</v>
      </c>
      <c r="I1694" s="17">
        <v>0</v>
      </c>
      <c r="J1694" s="17">
        <v>0</v>
      </c>
      <c r="K1694" s="17">
        <f t="shared" si="284"/>
        <v>154.34999999999991</v>
      </c>
      <c r="L1694" s="23">
        <f t="shared" si="289"/>
        <v>7.7174999999999958</v>
      </c>
      <c r="M1694" s="23">
        <v>5</v>
      </c>
      <c r="N1694" s="18">
        <f t="shared" si="285"/>
        <v>27.068493150684933</v>
      </c>
      <c r="O1694" s="23">
        <v>1466.325</v>
      </c>
      <c r="P1694" s="18">
        <f t="shared" si="286"/>
        <v>27.56986301369863</v>
      </c>
      <c r="Q1694" s="18">
        <v>0</v>
      </c>
      <c r="R1694" s="18">
        <f t="shared" si="283"/>
        <v>1466.325</v>
      </c>
      <c r="S1694" s="18">
        <f t="shared" si="288"/>
        <v>7.7174999999999958</v>
      </c>
    </row>
    <row r="1695" spans="1:19" ht="18.75" customHeight="1" x14ac:dyDescent="0.25">
      <c r="A1695" s="14">
        <f t="shared" si="287"/>
        <v>1689</v>
      </c>
      <c r="B1695" s="21" t="s">
        <v>1489</v>
      </c>
      <c r="C1695" s="15" t="s">
        <v>3</v>
      </c>
      <c r="D1695" s="21" t="s">
        <v>1200</v>
      </c>
      <c r="E1695" s="21"/>
      <c r="F1695" s="69" t="s">
        <v>4</v>
      </c>
      <c r="G1695" s="9">
        <v>34325</v>
      </c>
      <c r="H1695" s="22">
        <v>1468</v>
      </c>
      <c r="I1695" s="17">
        <v>0</v>
      </c>
      <c r="J1695" s="17">
        <v>0</v>
      </c>
      <c r="K1695" s="17">
        <f t="shared" si="284"/>
        <v>1468</v>
      </c>
      <c r="L1695" s="23">
        <f t="shared" si="289"/>
        <v>73.400000000000006</v>
      </c>
      <c r="M1695" s="23">
        <v>5</v>
      </c>
      <c r="N1695" s="18">
        <f t="shared" si="285"/>
        <v>27.295890410958904</v>
      </c>
      <c r="O1695" s="23">
        <v>13946</v>
      </c>
      <c r="P1695" s="18">
        <f t="shared" si="286"/>
        <v>27.797260273972604</v>
      </c>
      <c r="Q1695" s="18">
        <v>0</v>
      </c>
      <c r="R1695" s="18">
        <f t="shared" si="283"/>
        <v>13946</v>
      </c>
      <c r="S1695" s="18">
        <f t="shared" si="288"/>
        <v>73.400000000000006</v>
      </c>
    </row>
    <row r="1696" spans="1:19" ht="18.75" customHeight="1" x14ac:dyDescent="0.25">
      <c r="A1696" s="14">
        <f t="shared" si="287"/>
        <v>1690</v>
      </c>
      <c r="B1696" s="21" t="s">
        <v>1490</v>
      </c>
      <c r="C1696" s="15" t="s">
        <v>3</v>
      </c>
      <c r="D1696" s="21" t="s">
        <v>1200</v>
      </c>
      <c r="E1696" s="21"/>
      <c r="F1696" s="69" t="s">
        <v>4</v>
      </c>
      <c r="G1696" s="9">
        <v>34318</v>
      </c>
      <c r="H1696" s="22">
        <v>264.60000000000036</v>
      </c>
      <c r="I1696" s="17">
        <v>0</v>
      </c>
      <c r="J1696" s="17">
        <v>0</v>
      </c>
      <c r="K1696" s="17">
        <f t="shared" si="284"/>
        <v>264.60000000000036</v>
      </c>
      <c r="L1696" s="23">
        <f t="shared" si="289"/>
        <v>13.230000000000018</v>
      </c>
      <c r="M1696" s="23">
        <v>5</v>
      </c>
      <c r="N1696" s="18">
        <f t="shared" si="285"/>
        <v>27.315068493150687</v>
      </c>
      <c r="O1696" s="23">
        <v>2513.6999999999998</v>
      </c>
      <c r="P1696" s="18">
        <f t="shared" si="286"/>
        <v>27.816438356164383</v>
      </c>
      <c r="Q1696" s="18">
        <v>0</v>
      </c>
      <c r="R1696" s="18">
        <f t="shared" si="283"/>
        <v>2513.6999999999998</v>
      </c>
      <c r="S1696" s="18">
        <f t="shared" si="288"/>
        <v>13.230000000000018</v>
      </c>
    </row>
    <row r="1697" spans="1:19" ht="18.75" customHeight="1" x14ac:dyDescent="0.25">
      <c r="A1697" s="14">
        <f t="shared" si="287"/>
        <v>1691</v>
      </c>
      <c r="B1697" s="21" t="s">
        <v>1485</v>
      </c>
      <c r="C1697" s="15" t="s">
        <v>3</v>
      </c>
      <c r="D1697" s="21" t="s">
        <v>1200</v>
      </c>
      <c r="E1697" s="21"/>
      <c r="F1697" s="69" t="s">
        <v>4</v>
      </c>
      <c r="G1697" s="9">
        <v>34316</v>
      </c>
      <c r="H1697" s="22">
        <v>180</v>
      </c>
      <c r="I1697" s="17">
        <v>0</v>
      </c>
      <c r="J1697" s="17">
        <v>0</v>
      </c>
      <c r="K1697" s="17">
        <f t="shared" si="284"/>
        <v>180</v>
      </c>
      <c r="L1697" s="23">
        <f t="shared" si="289"/>
        <v>9</v>
      </c>
      <c r="M1697" s="23">
        <v>5</v>
      </c>
      <c r="N1697" s="18">
        <f t="shared" si="285"/>
        <v>27.32054794520548</v>
      </c>
      <c r="O1697" s="23">
        <v>1710</v>
      </c>
      <c r="P1697" s="18">
        <f t="shared" si="286"/>
        <v>27.82191780821918</v>
      </c>
      <c r="Q1697" s="18">
        <v>0</v>
      </c>
      <c r="R1697" s="18">
        <f t="shared" si="283"/>
        <v>1710</v>
      </c>
      <c r="S1697" s="18">
        <f t="shared" si="288"/>
        <v>9</v>
      </c>
    </row>
    <row r="1698" spans="1:19" ht="18.75" customHeight="1" x14ac:dyDescent="0.25">
      <c r="A1698" s="14">
        <f t="shared" si="287"/>
        <v>1692</v>
      </c>
      <c r="B1698" s="21" t="s">
        <v>1491</v>
      </c>
      <c r="C1698" s="15" t="s">
        <v>3</v>
      </c>
      <c r="D1698" s="21" t="s">
        <v>1200</v>
      </c>
      <c r="E1698" s="21"/>
      <c r="F1698" s="69" t="s">
        <v>4</v>
      </c>
      <c r="G1698" s="9">
        <v>34293</v>
      </c>
      <c r="H1698" s="22">
        <v>1040.5</v>
      </c>
      <c r="I1698" s="17">
        <v>0</v>
      </c>
      <c r="J1698" s="17">
        <v>0</v>
      </c>
      <c r="K1698" s="17">
        <f t="shared" si="284"/>
        <v>1040.5</v>
      </c>
      <c r="L1698" s="23">
        <f t="shared" si="289"/>
        <v>52.025000000000006</v>
      </c>
      <c r="M1698" s="23">
        <v>5</v>
      </c>
      <c r="N1698" s="18">
        <f t="shared" si="285"/>
        <v>27.383561643835616</v>
      </c>
      <c r="O1698" s="23">
        <v>9884.75</v>
      </c>
      <c r="P1698" s="18">
        <f t="shared" si="286"/>
        <v>27.884931506849316</v>
      </c>
      <c r="Q1698" s="18">
        <v>0</v>
      </c>
      <c r="R1698" s="18">
        <f t="shared" si="283"/>
        <v>9884.75</v>
      </c>
      <c r="S1698" s="18">
        <f t="shared" si="288"/>
        <v>52.025000000000006</v>
      </c>
    </row>
    <row r="1699" spans="1:19" ht="18.75" customHeight="1" x14ac:dyDescent="0.25">
      <c r="A1699" s="14">
        <f t="shared" si="287"/>
        <v>1693</v>
      </c>
      <c r="B1699" s="21" t="s">
        <v>1492</v>
      </c>
      <c r="C1699" s="15" t="s">
        <v>3</v>
      </c>
      <c r="D1699" s="21" t="s">
        <v>1200</v>
      </c>
      <c r="E1699" s="21"/>
      <c r="F1699" s="69" t="s">
        <v>4</v>
      </c>
      <c r="G1699" s="9">
        <v>34273</v>
      </c>
      <c r="H1699" s="22">
        <v>295.60000000000036</v>
      </c>
      <c r="I1699" s="17">
        <v>0</v>
      </c>
      <c r="J1699" s="17">
        <v>0</v>
      </c>
      <c r="K1699" s="17">
        <f t="shared" si="284"/>
        <v>295.60000000000036</v>
      </c>
      <c r="L1699" s="23">
        <f t="shared" si="289"/>
        <v>14.780000000000019</v>
      </c>
      <c r="M1699" s="23">
        <v>5</v>
      </c>
      <c r="N1699" s="18">
        <f t="shared" si="285"/>
        <v>27.438356164383563</v>
      </c>
      <c r="O1699" s="23">
        <v>2808.2</v>
      </c>
      <c r="P1699" s="18">
        <f t="shared" si="286"/>
        <v>27.93972602739726</v>
      </c>
      <c r="Q1699" s="18">
        <v>0</v>
      </c>
      <c r="R1699" s="18">
        <f t="shared" si="283"/>
        <v>2808.2</v>
      </c>
      <c r="S1699" s="18">
        <f t="shared" si="288"/>
        <v>14.780000000000019</v>
      </c>
    </row>
    <row r="1700" spans="1:19" ht="18.75" customHeight="1" x14ac:dyDescent="0.25">
      <c r="A1700" s="14">
        <f t="shared" si="287"/>
        <v>1694</v>
      </c>
      <c r="B1700" s="21" t="s">
        <v>1493</v>
      </c>
      <c r="C1700" s="15" t="s">
        <v>3</v>
      </c>
      <c r="D1700" s="21" t="s">
        <v>1200</v>
      </c>
      <c r="E1700" s="21"/>
      <c r="F1700" s="69" t="s">
        <v>4</v>
      </c>
      <c r="G1700" s="9">
        <v>34227</v>
      </c>
      <c r="H1700" s="22">
        <v>5632.8500000000058</v>
      </c>
      <c r="I1700" s="17">
        <v>0</v>
      </c>
      <c r="J1700" s="17">
        <v>0</v>
      </c>
      <c r="K1700" s="17">
        <f t="shared" si="284"/>
        <v>5632.8500000000058</v>
      </c>
      <c r="L1700" s="23">
        <f t="shared" si="289"/>
        <v>281.64250000000033</v>
      </c>
      <c r="M1700" s="23">
        <v>5</v>
      </c>
      <c r="N1700" s="18">
        <f t="shared" si="285"/>
        <v>27.564383561643837</v>
      </c>
      <c r="O1700" s="23">
        <v>53512.074999999997</v>
      </c>
      <c r="P1700" s="18">
        <f t="shared" si="286"/>
        <v>28.065753424657533</v>
      </c>
      <c r="Q1700" s="18">
        <v>0</v>
      </c>
      <c r="R1700" s="18">
        <f t="shared" si="283"/>
        <v>53512.074999999997</v>
      </c>
      <c r="S1700" s="18">
        <f t="shared" si="288"/>
        <v>281.64250000000033</v>
      </c>
    </row>
    <row r="1701" spans="1:19" ht="18.75" customHeight="1" x14ac:dyDescent="0.25">
      <c r="A1701" s="14">
        <f t="shared" si="287"/>
        <v>1695</v>
      </c>
      <c r="B1701" s="21" t="s">
        <v>1494</v>
      </c>
      <c r="C1701" s="15" t="s">
        <v>3</v>
      </c>
      <c r="D1701" s="21" t="s">
        <v>1200</v>
      </c>
      <c r="E1701" s="21"/>
      <c r="F1701" s="69" t="s">
        <v>4</v>
      </c>
      <c r="G1701" s="9">
        <v>34043</v>
      </c>
      <c r="H1701" s="22">
        <v>107.54999999999995</v>
      </c>
      <c r="I1701" s="17">
        <v>0</v>
      </c>
      <c r="J1701" s="17">
        <v>0</v>
      </c>
      <c r="K1701" s="17">
        <f t="shared" si="284"/>
        <v>107.54999999999995</v>
      </c>
      <c r="L1701" s="23">
        <f t="shared" si="289"/>
        <v>5.3774999999999977</v>
      </c>
      <c r="M1701" s="23">
        <v>5</v>
      </c>
      <c r="N1701" s="18">
        <f t="shared" si="285"/>
        <v>28.068493150684933</v>
      </c>
      <c r="O1701" s="23">
        <v>1021.725</v>
      </c>
      <c r="P1701" s="18">
        <f t="shared" si="286"/>
        <v>28.56986301369863</v>
      </c>
      <c r="Q1701" s="18">
        <v>0</v>
      </c>
      <c r="R1701" s="18">
        <f t="shared" si="283"/>
        <v>1021.725</v>
      </c>
      <c r="S1701" s="18">
        <f t="shared" si="288"/>
        <v>5.3774999999999977</v>
      </c>
    </row>
    <row r="1702" spans="1:19" ht="18.75" customHeight="1" x14ac:dyDescent="0.25">
      <c r="A1702" s="14">
        <f t="shared" si="287"/>
        <v>1696</v>
      </c>
      <c r="B1702" s="21" t="s">
        <v>1495</v>
      </c>
      <c r="C1702" s="15" t="s">
        <v>3</v>
      </c>
      <c r="D1702" s="21" t="s">
        <v>1200</v>
      </c>
      <c r="E1702" s="21"/>
      <c r="F1702" s="69" t="s">
        <v>4</v>
      </c>
      <c r="G1702" s="9">
        <v>34043</v>
      </c>
      <c r="H1702" s="22">
        <v>304.5</v>
      </c>
      <c r="I1702" s="17">
        <v>0</v>
      </c>
      <c r="J1702" s="17">
        <v>0</v>
      </c>
      <c r="K1702" s="17">
        <f t="shared" si="284"/>
        <v>304.5</v>
      </c>
      <c r="L1702" s="23">
        <f t="shared" si="289"/>
        <v>15.225000000000001</v>
      </c>
      <c r="M1702" s="23">
        <v>5</v>
      </c>
      <c r="N1702" s="18">
        <f t="shared" si="285"/>
        <v>28.068493150684933</v>
      </c>
      <c r="O1702" s="23">
        <v>2892.75</v>
      </c>
      <c r="P1702" s="18">
        <f t="shared" si="286"/>
        <v>28.56986301369863</v>
      </c>
      <c r="Q1702" s="18">
        <v>0</v>
      </c>
      <c r="R1702" s="18">
        <f t="shared" si="283"/>
        <v>2892.75</v>
      </c>
      <c r="S1702" s="18">
        <f t="shared" si="288"/>
        <v>15.225000000000001</v>
      </c>
    </row>
    <row r="1703" spans="1:19" ht="18.75" customHeight="1" x14ac:dyDescent="0.25">
      <c r="A1703" s="14">
        <f t="shared" si="287"/>
        <v>1697</v>
      </c>
      <c r="B1703" s="21" t="s">
        <v>1496</v>
      </c>
      <c r="C1703" s="15" t="s">
        <v>3</v>
      </c>
      <c r="D1703" s="21" t="s">
        <v>1200</v>
      </c>
      <c r="E1703" s="21"/>
      <c r="F1703" s="69" t="s">
        <v>4</v>
      </c>
      <c r="G1703" s="9">
        <v>33969</v>
      </c>
      <c r="H1703" s="22">
        <v>204.15000000000009</v>
      </c>
      <c r="I1703" s="17">
        <v>0</v>
      </c>
      <c r="J1703" s="17">
        <v>0</v>
      </c>
      <c r="K1703" s="17">
        <f t="shared" si="284"/>
        <v>204.15000000000009</v>
      </c>
      <c r="L1703" s="23">
        <f t="shared" si="289"/>
        <v>10.207500000000005</v>
      </c>
      <c r="M1703" s="23">
        <v>5</v>
      </c>
      <c r="N1703" s="18">
        <f t="shared" si="285"/>
        <v>28.271232876712329</v>
      </c>
      <c r="O1703" s="23">
        <v>1939.425</v>
      </c>
      <c r="P1703" s="18">
        <f t="shared" si="286"/>
        <v>28.772602739726029</v>
      </c>
      <c r="Q1703" s="18">
        <v>0</v>
      </c>
      <c r="R1703" s="18">
        <f t="shared" si="283"/>
        <v>1939.425</v>
      </c>
      <c r="S1703" s="18">
        <f t="shared" si="288"/>
        <v>10.207500000000005</v>
      </c>
    </row>
    <row r="1704" spans="1:19" ht="18.75" customHeight="1" x14ac:dyDescent="0.25">
      <c r="A1704" s="14">
        <f t="shared" si="287"/>
        <v>1698</v>
      </c>
      <c r="B1704" s="21" t="s">
        <v>1021</v>
      </c>
      <c r="C1704" s="15" t="s">
        <v>3</v>
      </c>
      <c r="D1704" s="21" t="s">
        <v>1200</v>
      </c>
      <c r="E1704" s="21"/>
      <c r="F1704" s="69" t="s">
        <v>4</v>
      </c>
      <c r="G1704" s="9">
        <v>33969</v>
      </c>
      <c r="H1704" s="22">
        <v>239.10000000000036</v>
      </c>
      <c r="I1704" s="17">
        <v>0</v>
      </c>
      <c r="J1704" s="17">
        <v>0</v>
      </c>
      <c r="K1704" s="17">
        <f t="shared" si="284"/>
        <v>239.10000000000036</v>
      </c>
      <c r="L1704" s="23">
        <f t="shared" si="289"/>
        <v>11.95500000000002</v>
      </c>
      <c r="M1704" s="23">
        <v>5</v>
      </c>
      <c r="N1704" s="18">
        <f t="shared" si="285"/>
        <v>28.271232876712329</v>
      </c>
      <c r="O1704" s="23">
        <v>2271.4499999999998</v>
      </c>
      <c r="P1704" s="18">
        <f t="shared" si="286"/>
        <v>28.772602739726029</v>
      </c>
      <c r="Q1704" s="18">
        <v>0</v>
      </c>
      <c r="R1704" s="18">
        <f t="shared" si="283"/>
        <v>2271.4499999999998</v>
      </c>
      <c r="S1704" s="18">
        <f t="shared" si="288"/>
        <v>11.95500000000002</v>
      </c>
    </row>
    <row r="1705" spans="1:19" ht="18.75" customHeight="1" x14ac:dyDescent="0.25">
      <c r="A1705" s="14">
        <f t="shared" si="287"/>
        <v>1699</v>
      </c>
      <c r="B1705" s="21" t="s">
        <v>1457</v>
      </c>
      <c r="C1705" s="15" t="s">
        <v>3</v>
      </c>
      <c r="D1705" s="21" t="s">
        <v>1200</v>
      </c>
      <c r="E1705" s="21"/>
      <c r="F1705" s="69" t="s">
        <v>4</v>
      </c>
      <c r="G1705" s="9">
        <v>33907</v>
      </c>
      <c r="H1705" s="22">
        <v>379.89999999999964</v>
      </c>
      <c r="I1705" s="17">
        <v>0</v>
      </c>
      <c r="J1705" s="17">
        <v>0</v>
      </c>
      <c r="K1705" s="17">
        <f t="shared" si="284"/>
        <v>379.89999999999964</v>
      </c>
      <c r="L1705" s="23">
        <f t="shared" si="289"/>
        <v>18.994999999999983</v>
      </c>
      <c r="M1705" s="23">
        <v>5</v>
      </c>
      <c r="N1705" s="18">
        <f t="shared" si="285"/>
        <v>28.44109589041096</v>
      </c>
      <c r="O1705" s="23">
        <v>3609.05</v>
      </c>
      <c r="P1705" s="18">
        <f t="shared" si="286"/>
        <v>28.942465753424656</v>
      </c>
      <c r="Q1705" s="18">
        <v>0</v>
      </c>
      <c r="R1705" s="18">
        <f t="shared" si="283"/>
        <v>3609.05</v>
      </c>
      <c r="S1705" s="18">
        <f t="shared" si="288"/>
        <v>18.994999999999983</v>
      </c>
    </row>
    <row r="1706" spans="1:19" ht="18.75" customHeight="1" x14ac:dyDescent="0.25">
      <c r="A1706" s="14">
        <f t="shared" si="287"/>
        <v>1700</v>
      </c>
      <c r="B1706" s="21" t="s">
        <v>1497</v>
      </c>
      <c r="C1706" s="15" t="s">
        <v>3</v>
      </c>
      <c r="D1706" s="21" t="s">
        <v>1200</v>
      </c>
      <c r="E1706" s="21"/>
      <c r="F1706" s="69" t="s">
        <v>4</v>
      </c>
      <c r="G1706" s="9">
        <v>33877</v>
      </c>
      <c r="H1706" s="22">
        <v>529.5</v>
      </c>
      <c r="I1706" s="17">
        <v>0</v>
      </c>
      <c r="J1706" s="17">
        <v>0</v>
      </c>
      <c r="K1706" s="17">
        <f t="shared" si="284"/>
        <v>529.5</v>
      </c>
      <c r="L1706" s="23">
        <f t="shared" si="289"/>
        <v>26.475000000000001</v>
      </c>
      <c r="M1706" s="23">
        <v>5</v>
      </c>
      <c r="N1706" s="18">
        <f t="shared" si="285"/>
        <v>28.523287671232875</v>
      </c>
      <c r="O1706" s="23">
        <v>5030.25</v>
      </c>
      <c r="P1706" s="18">
        <f t="shared" si="286"/>
        <v>29.024657534246575</v>
      </c>
      <c r="Q1706" s="18">
        <v>0</v>
      </c>
      <c r="R1706" s="18">
        <f t="shared" si="283"/>
        <v>5030.25</v>
      </c>
      <c r="S1706" s="18">
        <f t="shared" si="288"/>
        <v>26.475000000000001</v>
      </c>
    </row>
    <row r="1707" spans="1:19" ht="18.75" customHeight="1" x14ac:dyDescent="0.25">
      <c r="A1707" s="14">
        <f t="shared" si="287"/>
        <v>1701</v>
      </c>
      <c r="B1707" s="21" t="s">
        <v>1498</v>
      </c>
      <c r="C1707" s="15" t="s">
        <v>3</v>
      </c>
      <c r="D1707" s="21" t="s">
        <v>1200</v>
      </c>
      <c r="E1707" s="21"/>
      <c r="F1707" s="69" t="s">
        <v>4</v>
      </c>
      <c r="G1707" s="9">
        <v>33770</v>
      </c>
      <c r="H1707" s="22">
        <v>73.75</v>
      </c>
      <c r="I1707" s="17">
        <v>0</v>
      </c>
      <c r="J1707" s="17">
        <v>0</v>
      </c>
      <c r="K1707" s="17">
        <f t="shared" si="284"/>
        <v>73.75</v>
      </c>
      <c r="L1707" s="23">
        <f t="shared" si="289"/>
        <v>3.6875</v>
      </c>
      <c r="M1707" s="23">
        <v>5</v>
      </c>
      <c r="N1707" s="18">
        <f t="shared" si="285"/>
        <v>28.816438356164383</v>
      </c>
      <c r="O1707" s="23">
        <v>700.625</v>
      </c>
      <c r="P1707" s="18">
        <f t="shared" si="286"/>
        <v>29.317808219178083</v>
      </c>
      <c r="Q1707" s="18">
        <v>0</v>
      </c>
      <c r="R1707" s="18">
        <f t="shared" si="283"/>
        <v>700.625</v>
      </c>
      <c r="S1707" s="18">
        <f t="shared" si="288"/>
        <v>3.6875</v>
      </c>
    </row>
    <row r="1708" spans="1:19" ht="18.75" customHeight="1" x14ac:dyDescent="0.25">
      <c r="A1708" s="14">
        <f t="shared" si="287"/>
        <v>1702</v>
      </c>
      <c r="B1708" s="21" t="s">
        <v>1499</v>
      </c>
      <c r="C1708" s="15" t="s">
        <v>3</v>
      </c>
      <c r="D1708" s="21" t="s">
        <v>1200</v>
      </c>
      <c r="E1708" s="21"/>
      <c r="F1708" s="69" t="s">
        <v>4</v>
      </c>
      <c r="G1708" s="9">
        <v>33770</v>
      </c>
      <c r="H1708" s="22">
        <v>43.75</v>
      </c>
      <c r="I1708" s="17">
        <v>0</v>
      </c>
      <c r="J1708" s="17">
        <v>0</v>
      </c>
      <c r="K1708" s="17">
        <f t="shared" si="284"/>
        <v>43.75</v>
      </c>
      <c r="L1708" s="23">
        <f t="shared" si="289"/>
        <v>2.1875</v>
      </c>
      <c r="M1708" s="23">
        <v>5</v>
      </c>
      <c r="N1708" s="18">
        <f t="shared" si="285"/>
        <v>28.816438356164383</v>
      </c>
      <c r="O1708" s="23">
        <v>415.625</v>
      </c>
      <c r="P1708" s="18">
        <f t="shared" si="286"/>
        <v>29.317808219178083</v>
      </c>
      <c r="Q1708" s="18">
        <v>0</v>
      </c>
      <c r="R1708" s="18">
        <f t="shared" si="283"/>
        <v>415.625</v>
      </c>
      <c r="S1708" s="18">
        <f t="shared" si="288"/>
        <v>2.1875</v>
      </c>
    </row>
    <row r="1709" spans="1:19" ht="18.75" customHeight="1" x14ac:dyDescent="0.25">
      <c r="A1709" s="14">
        <f t="shared" si="287"/>
        <v>1703</v>
      </c>
      <c r="B1709" s="21" t="s">
        <v>1500</v>
      </c>
      <c r="C1709" s="15" t="s">
        <v>3</v>
      </c>
      <c r="D1709" s="21" t="s">
        <v>1200</v>
      </c>
      <c r="E1709" s="21"/>
      <c r="F1709" s="69" t="s">
        <v>4</v>
      </c>
      <c r="G1709" s="9">
        <v>33755</v>
      </c>
      <c r="H1709" s="22">
        <v>48.649999999999977</v>
      </c>
      <c r="I1709" s="17">
        <v>0</v>
      </c>
      <c r="J1709" s="17">
        <v>0</v>
      </c>
      <c r="K1709" s="17">
        <f t="shared" si="284"/>
        <v>48.649999999999977</v>
      </c>
      <c r="L1709" s="23">
        <f t="shared" si="289"/>
        <v>2.4324999999999992</v>
      </c>
      <c r="M1709" s="23">
        <v>5</v>
      </c>
      <c r="N1709" s="18">
        <f t="shared" si="285"/>
        <v>28.857534246575341</v>
      </c>
      <c r="O1709" s="23">
        <v>462.17500000000001</v>
      </c>
      <c r="P1709" s="18">
        <f t="shared" si="286"/>
        <v>29.358904109589041</v>
      </c>
      <c r="Q1709" s="18">
        <v>0</v>
      </c>
      <c r="R1709" s="18">
        <f t="shared" si="283"/>
        <v>462.17500000000001</v>
      </c>
      <c r="S1709" s="18">
        <f t="shared" si="288"/>
        <v>2.4324999999999992</v>
      </c>
    </row>
    <row r="1710" spans="1:19" ht="18.75" customHeight="1" x14ac:dyDescent="0.25">
      <c r="A1710" s="14">
        <f t="shared" si="287"/>
        <v>1704</v>
      </c>
      <c r="B1710" s="21" t="s">
        <v>1298</v>
      </c>
      <c r="C1710" s="15" t="s">
        <v>3</v>
      </c>
      <c r="D1710" s="21" t="s">
        <v>1200</v>
      </c>
      <c r="E1710" s="21"/>
      <c r="F1710" s="69" t="s">
        <v>4</v>
      </c>
      <c r="G1710" s="9">
        <v>33755</v>
      </c>
      <c r="H1710" s="22">
        <v>328.35000000000036</v>
      </c>
      <c r="I1710" s="17">
        <v>0</v>
      </c>
      <c r="J1710" s="17">
        <v>0</v>
      </c>
      <c r="K1710" s="17">
        <f t="shared" si="284"/>
        <v>328.35000000000036</v>
      </c>
      <c r="L1710" s="23">
        <f t="shared" si="289"/>
        <v>16.417500000000018</v>
      </c>
      <c r="M1710" s="23">
        <v>5</v>
      </c>
      <c r="N1710" s="18">
        <f t="shared" si="285"/>
        <v>28.857534246575341</v>
      </c>
      <c r="O1710" s="23">
        <v>3119.3249999999998</v>
      </c>
      <c r="P1710" s="18">
        <f t="shared" si="286"/>
        <v>29.358904109589041</v>
      </c>
      <c r="Q1710" s="18">
        <v>0</v>
      </c>
      <c r="R1710" s="18">
        <f t="shared" si="283"/>
        <v>3119.3249999999998</v>
      </c>
      <c r="S1710" s="18">
        <f t="shared" si="288"/>
        <v>16.417500000000018</v>
      </c>
    </row>
    <row r="1711" spans="1:19" ht="18.75" customHeight="1" x14ac:dyDescent="0.25">
      <c r="A1711" s="14">
        <f t="shared" si="287"/>
        <v>1705</v>
      </c>
      <c r="B1711" s="21" t="s">
        <v>1298</v>
      </c>
      <c r="C1711" s="15" t="s">
        <v>3</v>
      </c>
      <c r="D1711" s="21" t="s">
        <v>1200</v>
      </c>
      <c r="E1711" s="21"/>
      <c r="F1711" s="69" t="s">
        <v>4</v>
      </c>
      <c r="G1711" s="9">
        <v>33755</v>
      </c>
      <c r="H1711" s="22">
        <v>300</v>
      </c>
      <c r="I1711" s="17">
        <v>0</v>
      </c>
      <c r="J1711" s="17">
        <v>0</v>
      </c>
      <c r="K1711" s="17">
        <f t="shared" si="284"/>
        <v>300</v>
      </c>
      <c r="L1711" s="23">
        <f t="shared" si="289"/>
        <v>15</v>
      </c>
      <c r="M1711" s="23">
        <v>5</v>
      </c>
      <c r="N1711" s="18">
        <f t="shared" si="285"/>
        <v>28.857534246575341</v>
      </c>
      <c r="O1711" s="23">
        <v>2850</v>
      </c>
      <c r="P1711" s="18">
        <f t="shared" si="286"/>
        <v>29.358904109589041</v>
      </c>
      <c r="Q1711" s="18">
        <v>0</v>
      </c>
      <c r="R1711" s="18">
        <f t="shared" si="283"/>
        <v>2850</v>
      </c>
      <c r="S1711" s="18">
        <f t="shared" si="288"/>
        <v>15</v>
      </c>
    </row>
    <row r="1712" spans="1:19" ht="18.75" customHeight="1" x14ac:dyDescent="0.25">
      <c r="A1712" s="14">
        <f t="shared" si="287"/>
        <v>1706</v>
      </c>
      <c r="B1712" s="21" t="s">
        <v>1501</v>
      </c>
      <c r="C1712" s="15" t="s">
        <v>3</v>
      </c>
      <c r="D1712" s="21" t="s">
        <v>1200</v>
      </c>
      <c r="E1712" s="21"/>
      <c r="F1712" s="69" t="s">
        <v>4</v>
      </c>
      <c r="G1712" s="9">
        <v>33694</v>
      </c>
      <c r="H1712" s="22">
        <v>241.30000000000018</v>
      </c>
      <c r="I1712" s="17">
        <v>0</v>
      </c>
      <c r="J1712" s="17">
        <v>0</v>
      </c>
      <c r="K1712" s="17">
        <f t="shared" si="284"/>
        <v>241.30000000000018</v>
      </c>
      <c r="L1712" s="23">
        <f t="shared" si="289"/>
        <v>12.06500000000001</v>
      </c>
      <c r="M1712" s="23">
        <v>5</v>
      </c>
      <c r="N1712" s="18">
        <f t="shared" si="285"/>
        <v>29.024657534246575</v>
      </c>
      <c r="O1712" s="23">
        <v>2292.35</v>
      </c>
      <c r="P1712" s="18">
        <f t="shared" si="286"/>
        <v>29.526027397260275</v>
      </c>
      <c r="Q1712" s="18">
        <v>0</v>
      </c>
      <c r="R1712" s="18">
        <f t="shared" si="283"/>
        <v>2292.35</v>
      </c>
      <c r="S1712" s="18">
        <f t="shared" si="288"/>
        <v>12.06500000000001</v>
      </c>
    </row>
    <row r="1713" spans="1:19" ht="18.75" customHeight="1" x14ac:dyDescent="0.25">
      <c r="A1713" s="14">
        <f t="shared" si="287"/>
        <v>1707</v>
      </c>
      <c r="B1713" s="21" t="s">
        <v>1502</v>
      </c>
      <c r="C1713" s="15" t="s">
        <v>3</v>
      </c>
      <c r="D1713" s="21" t="s">
        <v>1200</v>
      </c>
      <c r="E1713" s="21"/>
      <c r="F1713" s="69" t="s">
        <v>4</v>
      </c>
      <c r="G1713" s="9">
        <v>33691</v>
      </c>
      <c r="H1713" s="22">
        <v>105.75</v>
      </c>
      <c r="I1713" s="17">
        <v>0</v>
      </c>
      <c r="J1713" s="17">
        <v>0</v>
      </c>
      <c r="K1713" s="17">
        <f t="shared" si="284"/>
        <v>105.75</v>
      </c>
      <c r="L1713" s="23">
        <f t="shared" si="289"/>
        <v>5.2875000000000005</v>
      </c>
      <c r="M1713" s="23">
        <v>5</v>
      </c>
      <c r="N1713" s="18">
        <f t="shared" si="285"/>
        <v>29.032876712328768</v>
      </c>
      <c r="O1713" s="23">
        <v>1004.625</v>
      </c>
      <c r="P1713" s="18">
        <f t="shared" si="286"/>
        <v>29.534246575342465</v>
      </c>
      <c r="Q1713" s="18">
        <v>0</v>
      </c>
      <c r="R1713" s="18">
        <f t="shared" si="283"/>
        <v>1004.625</v>
      </c>
      <c r="S1713" s="18">
        <f t="shared" si="288"/>
        <v>5.2875000000000005</v>
      </c>
    </row>
    <row r="1714" spans="1:19" ht="18.75" customHeight="1" x14ac:dyDescent="0.25">
      <c r="A1714" s="14">
        <f t="shared" si="287"/>
        <v>1708</v>
      </c>
      <c r="B1714" s="21" t="s">
        <v>1503</v>
      </c>
      <c r="C1714" s="15" t="s">
        <v>3</v>
      </c>
      <c r="D1714" s="21" t="s">
        <v>1200</v>
      </c>
      <c r="E1714" s="21"/>
      <c r="F1714" s="69" t="s">
        <v>4</v>
      </c>
      <c r="G1714" s="9">
        <v>33663</v>
      </c>
      <c r="H1714" s="22">
        <v>338</v>
      </c>
      <c r="I1714" s="17">
        <v>0</v>
      </c>
      <c r="J1714" s="17">
        <v>0</v>
      </c>
      <c r="K1714" s="17">
        <f t="shared" si="284"/>
        <v>338</v>
      </c>
      <c r="L1714" s="23">
        <f t="shared" si="289"/>
        <v>16.900000000000002</v>
      </c>
      <c r="M1714" s="23">
        <v>5</v>
      </c>
      <c r="N1714" s="18">
        <f t="shared" si="285"/>
        <v>29.109589041095891</v>
      </c>
      <c r="O1714" s="23">
        <v>3211</v>
      </c>
      <c r="P1714" s="18">
        <f t="shared" si="286"/>
        <v>29.610958904109587</v>
      </c>
      <c r="Q1714" s="18">
        <v>0</v>
      </c>
      <c r="R1714" s="18">
        <f t="shared" si="283"/>
        <v>3211</v>
      </c>
      <c r="S1714" s="18">
        <f t="shared" si="288"/>
        <v>16.900000000000002</v>
      </c>
    </row>
    <row r="1715" spans="1:19" ht="18.75" customHeight="1" x14ac:dyDescent="0.25">
      <c r="A1715" s="14">
        <f t="shared" si="287"/>
        <v>1709</v>
      </c>
      <c r="B1715" s="21" t="s">
        <v>1504</v>
      </c>
      <c r="C1715" s="15" t="s">
        <v>3</v>
      </c>
      <c r="D1715" s="21" t="s">
        <v>1200</v>
      </c>
      <c r="E1715" s="21"/>
      <c r="F1715" s="69" t="s">
        <v>4</v>
      </c>
      <c r="G1715" s="9">
        <v>33450</v>
      </c>
      <c r="H1715" s="22">
        <v>81.049999999999955</v>
      </c>
      <c r="I1715" s="17">
        <v>0</v>
      </c>
      <c r="J1715" s="17">
        <v>0</v>
      </c>
      <c r="K1715" s="17">
        <f t="shared" si="284"/>
        <v>81.049999999999955</v>
      </c>
      <c r="L1715" s="23">
        <f t="shared" si="289"/>
        <v>4.0524999999999975</v>
      </c>
      <c r="M1715" s="23">
        <v>5</v>
      </c>
      <c r="N1715" s="18">
        <f t="shared" si="285"/>
        <v>29.693150684931506</v>
      </c>
      <c r="O1715" s="23">
        <v>769.97500000000002</v>
      </c>
      <c r="P1715" s="18">
        <f t="shared" si="286"/>
        <v>30.194520547945206</v>
      </c>
      <c r="Q1715" s="18">
        <v>0</v>
      </c>
      <c r="R1715" s="18">
        <f t="shared" si="283"/>
        <v>769.97500000000002</v>
      </c>
      <c r="S1715" s="18">
        <f t="shared" si="288"/>
        <v>4.0524999999999975</v>
      </c>
    </row>
    <row r="1716" spans="1:19" ht="18.75" customHeight="1" x14ac:dyDescent="0.25">
      <c r="A1716" s="14">
        <f t="shared" si="287"/>
        <v>1710</v>
      </c>
      <c r="B1716" s="21" t="s">
        <v>1479</v>
      </c>
      <c r="C1716" s="15" t="s">
        <v>3</v>
      </c>
      <c r="D1716" s="21" t="s">
        <v>1200</v>
      </c>
      <c r="E1716" s="21"/>
      <c r="F1716" s="69" t="s">
        <v>4</v>
      </c>
      <c r="G1716" s="9">
        <v>33347</v>
      </c>
      <c r="H1716" s="22">
        <v>375</v>
      </c>
      <c r="I1716" s="17">
        <v>0</v>
      </c>
      <c r="J1716" s="17">
        <v>0</v>
      </c>
      <c r="K1716" s="17">
        <f t="shared" si="284"/>
        <v>375</v>
      </c>
      <c r="L1716" s="23">
        <f t="shared" si="289"/>
        <v>18.75</v>
      </c>
      <c r="M1716" s="23">
        <v>5</v>
      </c>
      <c r="N1716" s="18">
        <f t="shared" si="285"/>
        <v>29.975342465753425</v>
      </c>
      <c r="O1716" s="23">
        <v>3562.5</v>
      </c>
      <c r="P1716" s="18">
        <f t="shared" si="286"/>
        <v>30.476712328767125</v>
      </c>
      <c r="Q1716" s="18">
        <v>0</v>
      </c>
      <c r="R1716" s="18">
        <f t="shared" si="283"/>
        <v>3562.5</v>
      </c>
      <c r="S1716" s="18">
        <f t="shared" si="288"/>
        <v>18.75</v>
      </c>
    </row>
    <row r="1717" spans="1:19" ht="18.75" customHeight="1" x14ac:dyDescent="0.25">
      <c r="A1717" s="14">
        <f t="shared" si="287"/>
        <v>1711</v>
      </c>
      <c r="B1717" s="21" t="s">
        <v>1505</v>
      </c>
      <c r="C1717" s="15" t="s">
        <v>3</v>
      </c>
      <c r="D1717" s="21" t="s">
        <v>1200</v>
      </c>
      <c r="E1717" s="21"/>
      <c r="F1717" s="69" t="s">
        <v>4</v>
      </c>
      <c r="G1717" s="9">
        <v>33328</v>
      </c>
      <c r="H1717" s="22">
        <v>459.85000000000036</v>
      </c>
      <c r="I1717" s="17">
        <v>0</v>
      </c>
      <c r="J1717" s="17">
        <v>0</v>
      </c>
      <c r="K1717" s="17">
        <f t="shared" si="284"/>
        <v>459.85000000000036</v>
      </c>
      <c r="L1717" s="23">
        <f t="shared" si="289"/>
        <v>22.992500000000021</v>
      </c>
      <c r="M1717" s="23">
        <v>5</v>
      </c>
      <c r="N1717" s="18">
        <f t="shared" si="285"/>
        <v>30.027397260273972</v>
      </c>
      <c r="O1717" s="23">
        <v>4368.5749999999998</v>
      </c>
      <c r="P1717" s="18">
        <f t="shared" si="286"/>
        <v>30.528767123287672</v>
      </c>
      <c r="Q1717" s="18">
        <v>0</v>
      </c>
      <c r="R1717" s="18">
        <f t="shared" si="283"/>
        <v>4368.5749999999998</v>
      </c>
      <c r="S1717" s="18">
        <f t="shared" si="288"/>
        <v>22.992500000000021</v>
      </c>
    </row>
    <row r="1718" spans="1:19" ht="18.75" customHeight="1" x14ac:dyDescent="0.25">
      <c r="A1718" s="14">
        <f t="shared" si="287"/>
        <v>1712</v>
      </c>
      <c r="B1718" s="21" t="s">
        <v>1506</v>
      </c>
      <c r="C1718" s="15" t="s">
        <v>3</v>
      </c>
      <c r="D1718" s="21" t="s">
        <v>1200</v>
      </c>
      <c r="E1718" s="21"/>
      <c r="F1718" s="69" t="s">
        <v>4</v>
      </c>
      <c r="G1718" s="9">
        <v>33312</v>
      </c>
      <c r="H1718" s="22">
        <v>154.09999999999991</v>
      </c>
      <c r="I1718" s="17">
        <v>0</v>
      </c>
      <c r="J1718" s="17">
        <v>0</v>
      </c>
      <c r="K1718" s="17">
        <f t="shared" si="284"/>
        <v>154.09999999999991</v>
      </c>
      <c r="L1718" s="23">
        <f t="shared" si="289"/>
        <v>7.7049999999999956</v>
      </c>
      <c r="M1718" s="23">
        <v>5</v>
      </c>
      <c r="N1718" s="18">
        <f t="shared" si="285"/>
        <v>30.07123287671233</v>
      </c>
      <c r="O1718" s="23">
        <v>1463.95</v>
      </c>
      <c r="P1718" s="18">
        <f t="shared" si="286"/>
        <v>30.572602739726026</v>
      </c>
      <c r="Q1718" s="18">
        <v>0</v>
      </c>
      <c r="R1718" s="18">
        <f t="shared" si="283"/>
        <v>1463.95</v>
      </c>
      <c r="S1718" s="18">
        <f t="shared" si="288"/>
        <v>7.7049999999999956</v>
      </c>
    </row>
    <row r="1719" spans="1:19" ht="18.75" customHeight="1" x14ac:dyDescent="0.25">
      <c r="A1719" s="14">
        <f t="shared" si="287"/>
        <v>1713</v>
      </c>
      <c r="B1719" s="21" t="s">
        <v>1484</v>
      </c>
      <c r="C1719" s="15" t="s">
        <v>3</v>
      </c>
      <c r="D1719" s="21" t="s">
        <v>1200</v>
      </c>
      <c r="E1719" s="21"/>
      <c r="F1719" s="69" t="s">
        <v>4</v>
      </c>
      <c r="G1719" s="9">
        <v>33312</v>
      </c>
      <c r="H1719" s="22">
        <v>36.799999999999955</v>
      </c>
      <c r="I1719" s="17">
        <v>0</v>
      </c>
      <c r="J1719" s="17">
        <v>0</v>
      </c>
      <c r="K1719" s="17">
        <f t="shared" si="284"/>
        <v>36.799999999999955</v>
      </c>
      <c r="L1719" s="23">
        <f t="shared" si="289"/>
        <v>1.8399999999999979</v>
      </c>
      <c r="M1719" s="23">
        <v>5</v>
      </c>
      <c r="N1719" s="18">
        <f t="shared" si="285"/>
        <v>30.07123287671233</v>
      </c>
      <c r="O1719" s="23">
        <v>349.6</v>
      </c>
      <c r="P1719" s="18">
        <f t="shared" si="286"/>
        <v>30.572602739726026</v>
      </c>
      <c r="Q1719" s="18">
        <v>0</v>
      </c>
      <c r="R1719" s="18">
        <f t="shared" si="283"/>
        <v>349.6</v>
      </c>
      <c r="S1719" s="18">
        <f t="shared" si="288"/>
        <v>1.8399999999999979</v>
      </c>
    </row>
    <row r="1720" spans="1:19" ht="18.75" customHeight="1" x14ac:dyDescent="0.25">
      <c r="A1720" s="14">
        <f t="shared" si="287"/>
        <v>1714</v>
      </c>
      <c r="B1720" s="21" t="s">
        <v>1507</v>
      </c>
      <c r="C1720" s="15" t="s">
        <v>3</v>
      </c>
      <c r="D1720" s="21" t="s">
        <v>1200</v>
      </c>
      <c r="E1720" s="21"/>
      <c r="F1720" s="69" t="s">
        <v>4</v>
      </c>
      <c r="G1720" s="9">
        <v>33312</v>
      </c>
      <c r="H1720" s="22">
        <v>299.5</v>
      </c>
      <c r="I1720" s="17">
        <v>0</v>
      </c>
      <c r="J1720" s="17">
        <v>0</v>
      </c>
      <c r="K1720" s="17">
        <f t="shared" si="284"/>
        <v>299.5</v>
      </c>
      <c r="L1720" s="23">
        <f t="shared" si="289"/>
        <v>14.975000000000001</v>
      </c>
      <c r="M1720" s="23">
        <v>5</v>
      </c>
      <c r="N1720" s="18">
        <f t="shared" si="285"/>
        <v>30.07123287671233</v>
      </c>
      <c r="O1720" s="23">
        <v>2845.25</v>
      </c>
      <c r="P1720" s="18">
        <f t="shared" si="286"/>
        <v>30.572602739726026</v>
      </c>
      <c r="Q1720" s="18">
        <v>0</v>
      </c>
      <c r="R1720" s="18">
        <f t="shared" si="283"/>
        <v>2845.25</v>
      </c>
      <c r="S1720" s="18">
        <f t="shared" si="288"/>
        <v>14.975000000000001</v>
      </c>
    </row>
    <row r="1721" spans="1:19" ht="18.75" customHeight="1" x14ac:dyDescent="0.25">
      <c r="A1721" s="14">
        <f t="shared" si="287"/>
        <v>1715</v>
      </c>
      <c r="B1721" s="21" t="s">
        <v>1508</v>
      </c>
      <c r="C1721" s="15" t="s">
        <v>3</v>
      </c>
      <c r="D1721" s="21" t="s">
        <v>1200</v>
      </c>
      <c r="E1721" s="21"/>
      <c r="F1721" s="69" t="s">
        <v>4</v>
      </c>
      <c r="G1721" s="9">
        <v>33297</v>
      </c>
      <c r="H1721" s="22">
        <v>28.299999999999955</v>
      </c>
      <c r="I1721" s="17">
        <v>0</v>
      </c>
      <c r="J1721" s="17">
        <v>0</v>
      </c>
      <c r="K1721" s="17">
        <f t="shared" si="284"/>
        <v>28.299999999999955</v>
      </c>
      <c r="L1721" s="23">
        <f t="shared" si="289"/>
        <v>1.4149999999999978</v>
      </c>
      <c r="M1721" s="23">
        <v>5</v>
      </c>
      <c r="N1721" s="18">
        <f t="shared" si="285"/>
        <v>30.112328767123287</v>
      </c>
      <c r="O1721" s="23">
        <v>268.85000000000002</v>
      </c>
      <c r="P1721" s="18">
        <f t="shared" si="286"/>
        <v>30.613698630136987</v>
      </c>
      <c r="Q1721" s="18">
        <v>0</v>
      </c>
      <c r="R1721" s="18">
        <f t="shared" si="283"/>
        <v>268.85000000000002</v>
      </c>
      <c r="S1721" s="18">
        <f t="shared" si="288"/>
        <v>1.4149999999999978</v>
      </c>
    </row>
    <row r="1722" spans="1:19" ht="18.75" customHeight="1" x14ac:dyDescent="0.25">
      <c r="A1722" s="14">
        <f t="shared" si="287"/>
        <v>1716</v>
      </c>
      <c r="B1722" s="21" t="s">
        <v>1465</v>
      </c>
      <c r="C1722" s="15" t="s">
        <v>3</v>
      </c>
      <c r="D1722" s="21" t="s">
        <v>1200</v>
      </c>
      <c r="E1722" s="21"/>
      <c r="F1722" s="69" t="s">
        <v>4</v>
      </c>
      <c r="G1722" s="9">
        <v>33297</v>
      </c>
      <c r="H1722" s="22">
        <v>16.5</v>
      </c>
      <c r="I1722" s="17">
        <v>0</v>
      </c>
      <c r="J1722" s="17">
        <v>0</v>
      </c>
      <c r="K1722" s="17">
        <f t="shared" si="284"/>
        <v>16.5</v>
      </c>
      <c r="L1722" s="23">
        <f t="shared" si="289"/>
        <v>0.82500000000000007</v>
      </c>
      <c r="M1722" s="23">
        <v>5</v>
      </c>
      <c r="N1722" s="18">
        <f t="shared" si="285"/>
        <v>30.112328767123287</v>
      </c>
      <c r="O1722" s="23">
        <v>156.75</v>
      </c>
      <c r="P1722" s="18">
        <f t="shared" si="286"/>
        <v>30.613698630136987</v>
      </c>
      <c r="Q1722" s="18">
        <v>0</v>
      </c>
      <c r="R1722" s="18">
        <f t="shared" si="283"/>
        <v>156.75</v>
      </c>
      <c r="S1722" s="18">
        <f t="shared" si="288"/>
        <v>0.82500000000000007</v>
      </c>
    </row>
    <row r="1723" spans="1:19" ht="18.75" customHeight="1" x14ac:dyDescent="0.25">
      <c r="A1723" s="14">
        <f t="shared" si="287"/>
        <v>1717</v>
      </c>
      <c r="B1723" s="21" t="s">
        <v>1503</v>
      </c>
      <c r="C1723" s="15" t="s">
        <v>3</v>
      </c>
      <c r="D1723" s="21" t="s">
        <v>1200</v>
      </c>
      <c r="E1723" s="21"/>
      <c r="F1723" s="69" t="s">
        <v>4</v>
      </c>
      <c r="G1723" s="9">
        <v>33297</v>
      </c>
      <c r="H1723" s="22">
        <v>666.70000000000073</v>
      </c>
      <c r="I1723" s="17">
        <v>0</v>
      </c>
      <c r="J1723" s="17">
        <v>0</v>
      </c>
      <c r="K1723" s="17">
        <f t="shared" si="284"/>
        <v>666.70000000000073</v>
      </c>
      <c r="L1723" s="23">
        <f t="shared" si="289"/>
        <v>33.335000000000036</v>
      </c>
      <c r="M1723" s="23">
        <v>5</v>
      </c>
      <c r="N1723" s="18">
        <f t="shared" si="285"/>
        <v>30.112328767123287</v>
      </c>
      <c r="O1723" s="23">
        <v>6333.65</v>
      </c>
      <c r="P1723" s="18">
        <f t="shared" si="286"/>
        <v>30.613698630136987</v>
      </c>
      <c r="Q1723" s="18">
        <v>0</v>
      </c>
      <c r="R1723" s="18">
        <f t="shared" si="283"/>
        <v>6333.65</v>
      </c>
      <c r="S1723" s="18">
        <f t="shared" si="288"/>
        <v>33.335000000000036</v>
      </c>
    </row>
    <row r="1724" spans="1:19" ht="18.75" customHeight="1" x14ac:dyDescent="0.25">
      <c r="A1724" s="14">
        <f t="shared" si="287"/>
        <v>1718</v>
      </c>
      <c r="B1724" s="21" t="s">
        <v>1469</v>
      </c>
      <c r="C1724" s="15" t="s">
        <v>3</v>
      </c>
      <c r="D1724" s="21" t="s">
        <v>1200</v>
      </c>
      <c r="E1724" s="21"/>
      <c r="F1724" s="69" t="s">
        <v>4</v>
      </c>
      <c r="G1724" s="9">
        <v>33146</v>
      </c>
      <c r="H1724" s="22">
        <v>49.100000000000023</v>
      </c>
      <c r="I1724" s="17">
        <v>0</v>
      </c>
      <c r="J1724" s="17">
        <v>0</v>
      </c>
      <c r="K1724" s="17">
        <f t="shared" si="284"/>
        <v>49.100000000000023</v>
      </c>
      <c r="L1724" s="23">
        <f t="shared" si="289"/>
        <v>2.4550000000000014</v>
      </c>
      <c r="M1724" s="23">
        <v>5</v>
      </c>
      <c r="N1724" s="18">
        <f t="shared" si="285"/>
        <v>30.526027397260275</v>
      </c>
      <c r="O1724" s="23">
        <v>466.45</v>
      </c>
      <c r="P1724" s="18">
        <f t="shared" si="286"/>
        <v>31.027397260273972</v>
      </c>
      <c r="Q1724" s="18">
        <v>0</v>
      </c>
      <c r="R1724" s="18">
        <f t="shared" si="283"/>
        <v>466.45</v>
      </c>
      <c r="S1724" s="18">
        <f t="shared" si="288"/>
        <v>2.4550000000000014</v>
      </c>
    </row>
    <row r="1725" spans="1:19" ht="18.75" customHeight="1" x14ac:dyDescent="0.25">
      <c r="A1725" s="14">
        <f t="shared" si="287"/>
        <v>1719</v>
      </c>
      <c r="B1725" s="21" t="s">
        <v>1509</v>
      </c>
      <c r="C1725" s="15" t="s">
        <v>3</v>
      </c>
      <c r="D1725" s="21" t="s">
        <v>1200</v>
      </c>
      <c r="E1725" s="21"/>
      <c r="F1725" s="69" t="s">
        <v>4</v>
      </c>
      <c r="G1725" s="9">
        <v>32874</v>
      </c>
      <c r="H1725" s="22">
        <v>41.799999999999955</v>
      </c>
      <c r="I1725" s="17">
        <v>0</v>
      </c>
      <c r="J1725" s="17">
        <v>0</v>
      </c>
      <c r="K1725" s="17">
        <f t="shared" si="284"/>
        <v>41.799999999999955</v>
      </c>
      <c r="L1725" s="23">
        <f t="shared" si="289"/>
        <v>2.0899999999999976</v>
      </c>
      <c r="M1725" s="23">
        <v>5</v>
      </c>
      <c r="N1725" s="18">
        <f t="shared" si="285"/>
        <v>31.271232876712329</v>
      </c>
      <c r="O1725" s="23">
        <v>397.1</v>
      </c>
      <c r="P1725" s="18">
        <f t="shared" si="286"/>
        <v>31.772602739726029</v>
      </c>
      <c r="Q1725" s="18">
        <v>0</v>
      </c>
      <c r="R1725" s="18">
        <f t="shared" si="283"/>
        <v>397.1</v>
      </c>
      <c r="S1725" s="18">
        <f t="shared" si="288"/>
        <v>2.0899999999999976</v>
      </c>
    </row>
    <row r="1726" spans="1:19" ht="18.75" customHeight="1" x14ac:dyDescent="0.25">
      <c r="A1726" s="14">
        <f t="shared" si="287"/>
        <v>1720</v>
      </c>
      <c r="B1726" s="21" t="s">
        <v>1510</v>
      </c>
      <c r="C1726" s="15" t="s">
        <v>3</v>
      </c>
      <c r="D1726" s="21" t="s">
        <v>1200</v>
      </c>
      <c r="E1726" s="21"/>
      <c r="F1726" s="69" t="s">
        <v>4</v>
      </c>
      <c r="G1726" s="9">
        <v>32874</v>
      </c>
      <c r="H1726" s="22">
        <v>384.10000000000036</v>
      </c>
      <c r="I1726" s="17">
        <v>0</v>
      </c>
      <c r="J1726" s="17">
        <v>0</v>
      </c>
      <c r="K1726" s="17">
        <f t="shared" si="284"/>
        <v>384.10000000000036</v>
      </c>
      <c r="L1726" s="23">
        <f t="shared" si="289"/>
        <v>19.20500000000002</v>
      </c>
      <c r="M1726" s="23">
        <v>5</v>
      </c>
      <c r="N1726" s="18">
        <f t="shared" si="285"/>
        <v>31.271232876712329</v>
      </c>
      <c r="O1726" s="23">
        <v>3648.95</v>
      </c>
      <c r="P1726" s="18">
        <f t="shared" si="286"/>
        <v>31.772602739726029</v>
      </c>
      <c r="Q1726" s="18">
        <v>0</v>
      </c>
      <c r="R1726" s="18">
        <f t="shared" si="283"/>
        <v>3648.95</v>
      </c>
      <c r="S1726" s="18">
        <f t="shared" si="288"/>
        <v>19.20500000000002</v>
      </c>
    </row>
    <row r="1727" spans="1:19" ht="18.75" customHeight="1" x14ac:dyDescent="0.25">
      <c r="A1727" s="14">
        <f t="shared" si="287"/>
        <v>1721</v>
      </c>
      <c r="B1727" s="21" t="s">
        <v>1511</v>
      </c>
      <c r="C1727" s="15" t="s">
        <v>3</v>
      </c>
      <c r="D1727" s="21" t="s">
        <v>1200</v>
      </c>
      <c r="E1727" s="21"/>
      <c r="F1727" s="69" t="s">
        <v>4</v>
      </c>
      <c r="G1727" s="9">
        <v>32874</v>
      </c>
      <c r="H1727" s="22">
        <v>107</v>
      </c>
      <c r="I1727" s="17">
        <v>0</v>
      </c>
      <c r="J1727" s="17">
        <v>0</v>
      </c>
      <c r="K1727" s="17">
        <f t="shared" si="284"/>
        <v>107</v>
      </c>
      <c r="L1727" s="23">
        <f t="shared" si="289"/>
        <v>5.3500000000000005</v>
      </c>
      <c r="M1727" s="23">
        <v>5</v>
      </c>
      <c r="N1727" s="18">
        <f t="shared" si="285"/>
        <v>31.271232876712329</v>
      </c>
      <c r="O1727" s="23">
        <v>1016.5</v>
      </c>
      <c r="P1727" s="18">
        <f t="shared" si="286"/>
        <v>31.772602739726029</v>
      </c>
      <c r="Q1727" s="18">
        <v>0</v>
      </c>
      <c r="R1727" s="18">
        <f t="shared" si="283"/>
        <v>1016.5</v>
      </c>
      <c r="S1727" s="18">
        <f t="shared" si="288"/>
        <v>5.3500000000000005</v>
      </c>
    </row>
    <row r="1728" spans="1:19" ht="18.75" customHeight="1" x14ac:dyDescent="0.25">
      <c r="A1728" s="14">
        <f t="shared" si="287"/>
        <v>1722</v>
      </c>
      <c r="B1728" s="21" t="s">
        <v>1484</v>
      </c>
      <c r="C1728" s="15" t="s">
        <v>3</v>
      </c>
      <c r="D1728" s="21" t="s">
        <v>1200</v>
      </c>
      <c r="E1728" s="21"/>
      <c r="F1728" s="69" t="s">
        <v>4</v>
      </c>
      <c r="G1728" s="9">
        <v>32874</v>
      </c>
      <c r="H1728" s="22">
        <v>47.899999999999977</v>
      </c>
      <c r="I1728" s="17">
        <v>0</v>
      </c>
      <c r="J1728" s="17">
        <v>0</v>
      </c>
      <c r="K1728" s="17">
        <f t="shared" si="284"/>
        <v>47.899999999999977</v>
      </c>
      <c r="L1728" s="23">
        <f t="shared" si="289"/>
        <v>2.3949999999999991</v>
      </c>
      <c r="M1728" s="23">
        <v>5</v>
      </c>
      <c r="N1728" s="18">
        <f t="shared" si="285"/>
        <v>31.271232876712329</v>
      </c>
      <c r="O1728" s="23">
        <v>455.05</v>
      </c>
      <c r="P1728" s="18">
        <f t="shared" si="286"/>
        <v>31.772602739726029</v>
      </c>
      <c r="Q1728" s="18">
        <v>0</v>
      </c>
      <c r="R1728" s="18">
        <f t="shared" si="283"/>
        <v>455.05</v>
      </c>
      <c r="S1728" s="18">
        <f t="shared" si="288"/>
        <v>2.3949999999999991</v>
      </c>
    </row>
    <row r="1729" spans="1:19" ht="18.75" customHeight="1" x14ac:dyDescent="0.25">
      <c r="A1729" s="14">
        <f t="shared" si="287"/>
        <v>1723</v>
      </c>
      <c r="B1729" s="21" t="s">
        <v>1478</v>
      </c>
      <c r="C1729" s="15" t="s">
        <v>3</v>
      </c>
      <c r="D1729" s="21" t="s">
        <v>1200</v>
      </c>
      <c r="E1729" s="21"/>
      <c r="F1729" s="69" t="s">
        <v>4</v>
      </c>
      <c r="G1729" s="9">
        <v>32874</v>
      </c>
      <c r="H1729" s="22">
        <v>127.5</v>
      </c>
      <c r="I1729" s="17">
        <v>0</v>
      </c>
      <c r="J1729" s="17">
        <v>0</v>
      </c>
      <c r="K1729" s="17">
        <f t="shared" si="284"/>
        <v>127.5</v>
      </c>
      <c r="L1729" s="23">
        <f t="shared" si="289"/>
        <v>6.375</v>
      </c>
      <c r="M1729" s="23">
        <v>5</v>
      </c>
      <c r="N1729" s="18">
        <f t="shared" si="285"/>
        <v>31.271232876712329</v>
      </c>
      <c r="O1729" s="23">
        <v>1211.25</v>
      </c>
      <c r="P1729" s="18">
        <f t="shared" si="286"/>
        <v>31.772602739726029</v>
      </c>
      <c r="Q1729" s="18">
        <v>0</v>
      </c>
      <c r="R1729" s="18">
        <f t="shared" si="283"/>
        <v>1211.25</v>
      </c>
      <c r="S1729" s="18">
        <f t="shared" si="288"/>
        <v>6.375</v>
      </c>
    </row>
    <row r="1730" spans="1:19" ht="18.75" customHeight="1" x14ac:dyDescent="0.25">
      <c r="A1730" s="14">
        <f t="shared" si="287"/>
        <v>1724</v>
      </c>
      <c r="B1730" s="21" t="s">
        <v>1479</v>
      </c>
      <c r="C1730" s="15" t="s">
        <v>3</v>
      </c>
      <c r="D1730" s="21" t="s">
        <v>1200</v>
      </c>
      <c r="E1730" s="21"/>
      <c r="F1730" s="69" t="s">
        <v>4</v>
      </c>
      <c r="G1730" s="9">
        <v>32874</v>
      </c>
      <c r="H1730" s="22">
        <v>310</v>
      </c>
      <c r="I1730" s="17">
        <v>0</v>
      </c>
      <c r="J1730" s="17">
        <v>0</v>
      </c>
      <c r="K1730" s="17">
        <f t="shared" si="284"/>
        <v>310</v>
      </c>
      <c r="L1730" s="23">
        <f t="shared" si="289"/>
        <v>15.5</v>
      </c>
      <c r="M1730" s="23">
        <v>5</v>
      </c>
      <c r="N1730" s="18">
        <f t="shared" si="285"/>
        <v>31.271232876712329</v>
      </c>
      <c r="O1730" s="23">
        <v>2945</v>
      </c>
      <c r="P1730" s="18">
        <f t="shared" si="286"/>
        <v>31.772602739726029</v>
      </c>
      <c r="Q1730" s="18">
        <v>0</v>
      </c>
      <c r="R1730" s="18">
        <f t="shared" si="283"/>
        <v>2945</v>
      </c>
      <c r="S1730" s="18">
        <f t="shared" si="288"/>
        <v>15.5</v>
      </c>
    </row>
    <row r="1731" spans="1:19" ht="18.75" customHeight="1" x14ac:dyDescent="0.25">
      <c r="A1731" s="14">
        <f t="shared" si="287"/>
        <v>1725</v>
      </c>
      <c r="B1731" s="21" t="s">
        <v>1501</v>
      </c>
      <c r="C1731" s="15" t="s">
        <v>3</v>
      </c>
      <c r="D1731" s="21" t="s">
        <v>1200</v>
      </c>
      <c r="E1731" s="21"/>
      <c r="F1731" s="69" t="s">
        <v>4</v>
      </c>
      <c r="G1731" s="9">
        <v>32509</v>
      </c>
      <c r="H1731" s="22">
        <v>227.05000000000018</v>
      </c>
      <c r="I1731" s="17">
        <v>0</v>
      </c>
      <c r="J1731" s="17">
        <v>0</v>
      </c>
      <c r="K1731" s="17">
        <f t="shared" si="284"/>
        <v>227.05000000000018</v>
      </c>
      <c r="L1731" s="23">
        <f t="shared" si="289"/>
        <v>11.35250000000001</v>
      </c>
      <c r="M1731" s="23">
        <v>5</v>
      </c>
      <c r="N1731" s="18">
        <f t="shared" si="285"/>
        <v>32.271232876712325</v>
      </c>
      <c r="O1731" s="23">
        <v>2156.9749999999999</v>
      </c>
      <c r="P1731" s="18">
        <f t="shared" si="286"/>
        <v>32.772602739726025</v>
      </c>
      <c r="Q1731" s="18">
        <v>0</v>
      </c>
      <c r="R1731" s="18">
        <f t="shared" si="283"/>
        <v>2156.9749999999999</v>
      </c>
      <c r="S1731" s="18">
        <f t="shared" si="288"/>
        <v>11.35250000000001</v>
      </c>
    </row>
    <row r="1732" spans="1:19" ht="18.75" customHeight="1" x14ac:dyDescent="0.25">
      <c r="A1732" s="14">
        <f t="shared" si="287"/>
        <v>1726</v>
      </c>
      <c r="B1732" s="21" t="s">
        <v>1512</v>
      </c>
      <c r="C1732" s="15" t="s">
        <v>3</v>
      </c>
      <c r="D1732" s="21" t="s">
        <v>1200</v>
      </c>
      <c r="E1732" s="21"/>
      <c r="F1732" s="69" t="s">
        <v>4</v>
      </c>
      <c r="G1732" s="9">
        <v>32509</v>
      </c>
      <c r="H1732" s="22">
        <v>73.75</v>
      </c>
      <c r="I1732" s="17">
        <v>0</v>
      </c>
      <c r="J1732" s="17">
        <v>0</v>
      </c>
      <c r="K1732" s="17">
        <f t="shared" si="284"/>
        <v>73.75</v>
      </c>
      <c r="L1732" s="23">
        <f t="shared" si="289"/>
        <v>3.6875</v>
      </c>
      <c r="M1732" s="23">
        <v>5</v>
      </c>
      <c r="N1732" s="18">
        <f t="shared" si="285"/>
        <v>32.271232876712325</v>
      </c>
      <c r="O1732" s="23">
        <v>700.625</v>
      </c>
      <c r="P1732" s="18">
        <f t="shared" si="286"/>
        <v>32.772602739726025</v>
      </c>
      <c r="Q1732" s="18">
        <v>0</v>
      </c>
      <c r="R1732" s="18">
        <f t="shared" ref="R1732:R1795" si="290">Q1732+O1732</f>
        <v>700.625</v>
      </c>
      <c r="S1732" s="18">
        <f t="shared" si="288"/>
        <v>3.6875</v>
      </c>
    </row>
    <row r="1733" spans="1:19" ht="18.75" customHeight="1" x14ac:dyDescent="0.25">
      <c r="A1733" s="14">
        <f t="shared" si="287"/>
        <v>1727</v>
      </c>
      <c r="B1733" s="21" t="s">
        <v>1513</v>
      </c>
      <c r="C1733" s="15" t="s">
        <v>3</v>
      </c>
      <c r="D1733" s="21" t="s">
        <v>1200</v>
      </c>
      <c r="E1733" s="21"/>
      <c r="F1733" s="69" t="s">
        <v>4</v>
      </c>
      <c r="G1733" s="9">
        <v>32509</v>
      </c>
      <c r="H1733" s="22">
        <v>165.5</v>
      </c>
      <c r="I1733" s="17">
        <v>0</v>
      </c>
      <c r="J1733" s="17">
        <v>0</v>
      </c>
      <c r="K1733" s="17">
        <f t="shared" ref="K1733:K1796" si="291">H1733+I1733-J1733</f>
        <v>165.5</v>
      </c>
      <c r="L1733" s="23">
        <f t="shared" si="289"/>
        <v>8.2750000000000004</v>
      </c>
      <c r="M1733" s="23">
        <v>5</v>
      </c>
      <c r="N1733" s="18">
        <f t="shared" ref="N1733:N1796" si="292">IF(($N$2-G1733+1)/365&gt;0,($N$2-G1733+1)/365,0)</f>
        <v>32.271232876712325</v>
      </c>
      <c r="O1733" s="23">
        <v>1572.25</v>
      </c>
      <c r="P1733" s="18">
        <f t="shared" ref="P1733:P1796" si="293">($P$2-G1733+1)/365</f>
        <v>32.772602739726025</v>
      </c>
      <c r="Q1733" s="18">
        <v>0</v>
      </c>
      <c r="R1733" s="18">
        <f t="shared" si="290"/>
        <v>1572.25</v>
      </c>
      <c r="S1733" s="18">
        <f t="shared" si="288"/>
        <v>8.2750000000000004</v>
      </c>
    </row>
    <row r="1734" spans="1:19" ht="18.75" customHeight="1" x14ac:dyDescent="0.25">
      <c r="A1734" s="14">
        <f t="shared" ref="A1734:A1797" si="294">+A1733+1</f>
        <v>1728</v>
      </c>
      <c r="B1734" s="21" t="s">
        <v>1514</v>
      </c>
      <c r="C1734" s="15" t="s">
        <v>3</v>
      </c>
      <c r="D1734" s="21" t="s">
        <v>1200</v>
      </c>
      <c r="E1734" s="21"/>
      <c r="F1734" s="69" t="s">
        <v>4</v>
      </c>
      <c r="G1734" s="9">
        <v>32509</v>
      </c>
      <c r="H1734" s="22">
        <v>110</v>
      </c>
      <c r="I1734" s="17">
        <v>0</v>
      </c>
      <c r="J1734" s="17">
        <v>0</v>
      </c>
      <c r="K1734" s="17">
        <f t="shared" si="291"/>
        <v>110</v>
      </c>
      <c r="L1734" s="23">
        <f t="shared" si="289"/>
        <v>5.5</v>
      </c>
      <c r="M1734" s="23">
        <v>5</v>
      </c>
      <c r="N1734" s="18">
        <f t="shared" si="292"/>
        <v>32.271232876712325</v>
      </c>
      <c r="O1734" s="23">
        <v>1045</v>
      </c>
      <c r="P1734" s="18">
        <f t="shared" si="293"/>
        <v>32.772602739726025</v>
      </c>
      <c r="Q1734" s="18">
        <v>0</v>
      </c>
      <c r="R1734" s="18">
        <f t="shared" si="290"/>
        <v>1045</v>
      </c>
      <c r="S1734" s="18">
        <f t="shared" si="288"/>
        <v>5.5</v>
      </c>
    </row>
    <row r="1735" spans="1:19" ht="18.75" customHeight="1" x14ac:dyDescent="0.25">
      <c r="A1735" s="14">
        <f t="shared" si="294"/>
        <v>1729</v>
      </c>
      <c r="B1735" s="21" t="s">
        <v>1515</v>
      </c>
      <c r="C1735" s="15" t="s">
        <v>3</v>
      </c>
      <c r="D1735" s="21" t="s">
        <v>1200</v>
      </c>
      <c r="E1735" s="21"/>
      <c r="F1735" s="69" t="s">
        <v>4</v>
      </c>
      <c r="G1735" s="9">
        <v>32143</v>
      </c>
      <c r="H1735" s="22">
        <v>137.5</v>
      </c>
      <c r="I1735" s="17">
        <v>0</v>
      </c>
      <c r="J1735" s="17">
        <v>0</v>
      </c>
      <c r="K1735" s="17">
        <f t="shared" si="291"/>
        <v>137.5</v>
      </c>
      <c r="L1735" s="23">
        <f t="shared" si="289"/>
        <v>6.875</v>
      </c>
      <c r="M1735" s="23">
        <v>5</v>
      </c>
      <c r="N1735" s="18">
        <f t="shared" si="292"/>
        <v>33.273972602739725</v>
      </c>
      <c r="O1735" s="23">
        <v>1306.25</v>
      </c>
      <c r="P1735" s="18">
        <f t="shared" si="293"/>
        <v>33.775342465753425</v>
      </c>
      <c r="Q1735" s="18">
        <v>0</v>
      </c>
      <c r="R1735" s="18">
        <f t="shared" si="290"/>
        <v>1306.25</v>
      </c>
      <c r="S1735" s="18">
        <f t="shared" si="288"/>
        <v>6.875</v>
      </c>
    </row>
    <row r="1736" spans="1:19" ht="18.75" customHeight="1" x14ac:dyDescent="0.25">
      <c r="A1736" s="14">
        <f t="shared" si="294"/>
        <v>1730</v>
      </c>
      <c r="B1736" s="21" t="s">
        <v>1516</v>
      </c>
      <c r="C1736" s="15" t="s">
        <v>3</v>
      </c>
      <c r="D1736" s="21" t="s">
        <v>1200</v>
      </c>
      <c r="E1736" s="21"/>
      <c r="F1736" s="69" t="s">
        <v>4</v>
      </c>
      <c r="G1736" s="9">
        <v>32143</v>
      </c>
      <c r="H1736" s="22">
        <v>280.85000000000036</v>
      </c>
      <c r="I1736" s="17">
        <v>0</v>
      </c>
      <c r="J1736" s="17">
        <v>0</v>
      </c>
      <c r="K1736" s="17">
        <f t="shared" si="291"/>
        <v>280.85000000000036</v>
      </c>
      <c r="L1736" s="23">
        <f t="shared" si="289"/>
        <v>14.042500000000018</v>
      </c>
      <c r="M1736" s="23">
        <v>5</v>
      </c>
      <c r="N1736" s="18">
        <f t="shared" si="292"/>
        <v>33.273972602739725</v>
      </c>
      <c r="O1736" s="23">
        <v>2668.0749999999998</v>
      </c>
      <c r="P1736" s="18">
        <f t="shared" si="293"/>
        <v>33.775342465753425</v>
      </c>
      <c r="Q1736" s="18">
        <v>0</v>
      </c>
      <c r="R1736" s="18">
        <f t="shared" si="290"/>
        <v>2668.0749999999998</v>
      </c>
      <c r="S1736" s="18">
        <f t="shared" si="288"/>
        <v>14.042500000000018</v>
      </c>
    </row>
    <row r="1737" spans="1:19" ht="18.75" customHeight="1" x14ac:dyDescent="0.25">
      <c r="A1737" s="14">
        <f t="shared" si="294"/>
        <v>1731</v>
      </c>
      <c r="B1737" s="21" t="s">
        <v>1517</v>
      </c>
      <c r="C1737" s="15" t="s">
        <v>3</v>
      </c>
      <c r="D1737" s="21" t="s">
        <v>1200</v>
      </c>
      <c r="E1737" s="21"/>
      <c r="F1737" s="69" t="s">
        <v>4</v>
      </c>
      <c r="G1737" s="9">
        <v>32143</v>
      </c>
      <c r="H1737" s="22">
        <v>22.350000000000023</v>
      </c>
      <c r="I1737" s="17">
        <v>0</v>
      </c>
      <c r="J1737" s="17">
        <v>0</v>
      </c>
      <c r="K1737" s="17">
        <f t="shared" si="291"/>
        <v>22.350000000000023</v>
      </c>
      <c r="L1737" s="23">
        <f t="shared" si="289"/>
        <v>1.1175000000000013</v>
      </c>
      <c r="M1737" s="23">
        <v>10</v>
      </c>
      <c r="N1737" s="18">
        <f t="shared" si="292"/>
        <v>33.273972602739725</v>
      </c>
      <c r="O1737" s="23">
        <v>212.32499999999999</v>
      </c>
      <c r="P1737" s="18">
        <f t="shared" si="293"/>
        <v>33.775342465753425</v>
      </c>
      <c r="Q1737" s="18">
        <v>0</v>
      </c>
      <c r="R1737" s="18">
        <f t="shared" si="290"/>
        <v>212.32499999999999</v>
      </c>
      <c r="S1737" s="18">
        <f t="shared" si="288"/>
        <v>1.1175000000000013</v>
      </c>
    </row>
    <row r="1738" spans="1:19" ht="18.75" customHeight="1" x14ac:dyDescent="0.25">
      <c r="A1738" s="14">
        <f t="shared" si="294"/>
        <v>1732</v>
      </c>
      <c r="B1738" s="21" t="s">
        <v>1518</v>
      </c>
      <c r="C1738" s="15" t="s">
        <v>3</v>
      </c>
      <c r="D1738" s="21" t="s">
        <v>1200</v>
      </c>
      <c r="E1738" s="21"/>
      <c r="F1738" s="69" t="s">
        <v>4</v>
      </c>
      <c r="G1738" s="9">
        <v>32143</v>
      </c>
      <c r="H1738" s="22">
        <v>15.699999999999989</v>
      </c>
      <c r="I1738" s="17">
        <v>0</v>
      </c>
      <c r="J1738" s="17">
        <v>0</v>
      </c>
      <c r="K1738" s="17">
        <f t="shared" si="291"/>
        <v>15.699999999999989</v>
      </c>
      <c r="L1738" s="23">
        <f t="shared" si="289"/>
        <v>0.78499999999999948</v>
      </c>
      <c r="M1738" s="23">
        <v>5</v>
      </c>
      <c r="N1738" s="18">
        <f t="shared" si="292"/>
        <v>33.273972602739725</v>
      </c>
      <c r="O1738" s="23">
        <v>149.15</v>
      </c>
      <c r="P1738" s="18">
        <f t="shared" si="293"/>
        <v>33.775342465753425</v>
      </c>
      <c r="Q1738" s="18">
        <v>0</v>
      </c>
      <c r="R1738" s="18">
        <f t="shared" si="290"/>
        <v>149.15</v>
      </c>
      <c r="S1738" s="18">
        <f t="shared" si="288"/>
        <v>0.78499999999999948</v>
      </c>
    </row>
    <row r="1739" spans="1:19" ht="18.75" customHeight="1" x14ac:dyDescent="0.25">
      <c r="A1739" s="14">
        <f t="shared" si="294"/>
        <v>1733</v>
      </c>
      <c r="B1739" s="21" t="s">
        <v>1519</v>
      </c>
      <c r="C1739" s="15" t="s">
        <v>3</v>
      </c>
      <c r="D1739" s="21" t="s">
        <v>1200</v>
      </c>
      <c r="E1739" s="21"/>
      <c r="F1739" s="69" t="s">
        <v>4</v>
      </c>
      <c r="G1739" s="9">
        <v>32143</v>
      </c>
      <c r="H1739" s="22">
        <v>30.149999999999977</v>
      </c>
      <c r="I1739" s="17">
        <v>0</v>
      </c>
      <c r="J1739" s="17">
        <v>0</v>
      </c>
      <c r="K1739" s="17">
        <f t="shared" si="291"/>
        <v>30.149999999999977</v>
      </c>
      <c r="L1739" s="23">
        <f t="shared" si="289"/>
        <v>1.507499999999999</v>
      </c>
      <c r="M1739" s="23">
        <v>5</v>
      </c>
      <c r="N1739" s="18">
        <f t="shared" si="292"/>
        <v>33.273972602739725</v>
      </c>
      <c r="O1739" s="23">
        <v>286.42500000000001</v>
      </c>
      <c r="P1739" s="18">
        <f t="shared" si="293"/>
        <v>33.775342465753425</v>
      </c>
      <c r="Q1739" s="18">
        <v>0</v>
      </c>
      <c r="R1739" s="18">
        <f t="shared" si="290"/>
        <v>286.42500000000001</v>
      </c>
      <c r="S1739" s="18">
        <f t="shared" si="288"/>
        <v>1.507499999999999</v>
      </c>
    </row>
    <row r="1740" spans="1:19" ht="18.75" customHeight="1" x14ac:dyDescent="0.25">
      <c r="A1740" s="14">
        <f t="shared" si="294"/>
        <v>1734</v>
      </c>
      <c r="B1740" s="21" t="s">
        <v>1520</v>
      </c>
      <c r="C1740" s="15" t="s">
        <v>3</v>
      </c>
      <c r="D1740" s="21" t="s">
        <v>1200</v>
      </c>
      <c r="E1740" s="21"/>
      <c r="F1740" s="69" t="s">
        <v>4</v>
      </c>
      <c r="G1740" s="9">
        <v>32143</v>
      </c>
      <c r="H1740" s="22">
        <v>722.75</v>
      </c>
      <c r="I1740" s="17">
        <v>0</v>
      </c>
      <c r="J1740" s="17">
        <v>0</v>
      </c>
      <c r="K1740" s="17">
        <f t="shared" si="291"/>
        <v>722.75</v>
      </c>
      <c r="L1740" s="23">
        <f t="shared" si="289"/>
        <v>36.137500000000003</v>
      </c>
      <c r="M1740" s="23">
        <v>5</v>
      </c>
      <c r="N1740" s="18">
        <f t="shared" si="292"/>
        <v>33.273972602739725</v>
      </c>
      <c r="O1740" s="23">
        <v>6866.125</v>
      </c>
      <c r="P1740" s="18">
        <f t="shared" si="293"/>
        <v>33.775342465753425</v>
      </c>
      <c r="Q1740" s="18">
        <v>0</v>
      </c>
      <c r="R1740" s="18">
        <f t="shared" si="290"/>
        <v>6866.125</v>
      </c>
      <c r="S1740" s="18">
        <f t="shared" si="288"/>
        <v>36.137500000000003</v>
      </c>
    </row>
    <row r="1741" spans="1:19" ht="18.75" customHeight="1" x14ac:dyDescent="0.25">
      <c r="A1741" s="14">
        <f t="shared" si="294"/>
        <v>1735</v>
      </c>
      <c r="B1741" s="21" t="s">
        <v>1521</v>
      </c>
      <c r="C1741" s="15" t="s">
        <v>3</v>
      </c>
      <c r="D1741" s="21" t="s">
        <v>1200</v>
      </c>
      <c r="E1741" s="21"/>
      <c r="F1741" s="69" t="s">
        <v>4</v>
      </c>
      <c r="G1741" s="9">
        <v>31778</v>
      </c>
      <c r="H1741" s="22">
        <v>22.300000000000011</v>
      </c>
      <c r="I1741" s="17">
        <v>0</v>
      </c>
      <c r="J1741" s="17">
        <v>0</v>
      </c>
      <c r="K1741" s="17">
        <f t="shared" si="291"/>
        <v>22.300000000000011</v>
      </c>
      <c r="L1741" s="23">
        <f t="shared" si="289"/>
        <v>1.1150000000000007</v>
      </c>
      <c r="M1741" s="23">
        <v>5</v>
      </c>
      <c r="N1741" s="18">
        <f t="shared" si="292"/>
        <v>34.273972602739725</v>
      </c>
      <c r="O1741" s="23">
        <v>211.85</v>
      </c>
      <c r="P1741" s="18">
        <f t="shared" si="293"/>
        <v>34.775342465753425</v>
      </c>
      <c r="Q1741" s="18">
        <v>0</v>
      </c>
      <c r="R1741" s="18">
        <f t="shared" si="290"/>
        <v>211.85</v>
      </c>
      <c r="S1741" s="18">
        <f t="shared" si="288"/>
        <v>1.1150000000000007</v>
      </c>
    </row>
    <row r="1742" spans="1:19" ht="18.75" customHeight="1" x14ac:dyDescent="0.25">
      <c r="A1742" s="14">
        <f t="shared" si="294"/>
        <v>1736</v>
      </c>
      <c r="B1742" s="21" t="s">
        <v>1522</v>
      </c>
      <c r="C1742" s="15" t="s">
        <v>3</v>
      </c>
      <c r="D1742" s="21" t="s">
        <v>1200</v>
      </c>
      <c r="E1742" s="21"/>
      <c r="F1742" s="69" t="s">
        <v>4</v>
      </c>
      <c r="G1742" s="9">
        <v>31778</v>
      </c>
      <c r="H1742" s="22">
        <v>52.5</v>
      </c>
      <c r="I1742" s="17">
        <v>0</v>
      </c>
      <c r="J1742" s="17">
        <v>0</v>
      </c>
      <c r="K1742" s="17">
        <f t="shared" si="291"/>
        <v>52.5</v>
      </c>
      <c r="L1742" s="23">
        <f t="shared" si="289"/>
        <v>2.625</v>
      </c>
      <c r="M1742" s="23">
        <v>5</v>
      </c>
      <c r="N1742" s="18">
        <f t="shared" si="292"/>
        <v>34.273972602739725</v>
      </c>
      <c r="O1742" s="23">
        <v>498.75</v>
      </c>
      <c r="P1742" s="18">
        <f t="shared" si="293"/>
        <v>34.775342465753425</v>
      </c>
      <c r="Q1742" s="18">
        <v>0</v>
      </c>
      <c r="R1742" s="18">
        <f t="shared" si="290"/>
        <v>498.75</v>
      </c>
      <c r="S1742" s="18">
        <f t="shared" si="288"/>
        <v>2.625</v>
      </c>
    </row>
    <row r="1743" spans="1:19" ht="18.75" customHeight="1" x14ac:dyDescent="0.25">
      <c r="A1743" s="14">
        <f t="shared" si="294"/>
        <v>1737</v>
      </c>
      <c r="B1743" s="21" t="s">
        <v>1523</v>
      </c>
      <c r="C1743" s="15" t="s">
        <v>3</v>
      </c>
      <c r="D1743" s="21" t="s">
        <v>1200</v>
      </c>
      <c r="E1743" s="21"/>
      <c r="F1743" s="69" t="s">
        <v>4</v>
      </c>
      <c r="G1743" s="9">
        <v>31778</v>
      </c>
      <c r="H1743" s="22">
        <v>35</v>
      </c>
      <c r="I1743" s="17">
        <v>0</v>
      </c>
      <c r="J1743" s="17">
        <v>0</v>
      </c>
      <c r="K1743" s="17">
        <f t="shared" si="291"/>
        <v>35</v>
      </c>
      <c r="L1743" s="23">
        <f t="shared" si="289"/>
        <v>1.75</v>
      </c>
      <c r="M1743" s="23">
        <v>5</v>
      </c>
      <c r="N1743" s="18">
        <f t="shared" si="292"/>
        <v>34.273972602739725</v>
      </c>
      <c r="O1743" s="23">
        <v>332.5</v>
      </c>
      <c r="P1743" s="18">
        <f t="shared" si="293"/>
        <v>34.775342465753425</v>
      </c>
      <c r="Q1743" s="18">
        <v>0</v>
      </c>
      <c r="R1743" s="18">
        <f t="shared" si="290"/>
        <v>332.5</v>
      </c>
      <c r="S1743" s="18">
        <f t="shared" si="288"/>
        <v>1.75</v>
      </c>
    </row>
    <row r="1744" spans="1:19" ht="18.75" customHeight="1" x14ac:dyDescent="0.25">
      <c r="A1744" s="14">
        <f t="shared" si="294"/>
        <v>1738</v>
      </c>
      <c r="B1744" s="21" t="s">
        <v>1524</v>
      </c>
      <c r="C1744" s="15" t="s">
        <v>3</v>
      </c>
      <c r="D1744" s="21" t="s">
        <v>1200</v>
      </c>
      <c r="E1744" s="21"/>
      <c r="F1744" s="69" t="s">
        <v>4</v>
      </c>
      <c r="G1744" s="9">
        <v>31413</v>
      </c>
      <c r="H1744" s="22">
        <v>111.55000000000018</v>
      </c>
      <c r="I1744" s="17">
        <v>0</v>
      </c>
      <c r="J1744" s="17">
        <v>0</v>
      </c>
      <c r="K1744" s="17">
        <f t="shared" si="291"/>
        <v>111.55000000000018</v>
      </c>
      <c r="L1744" s="23">
        <f t="shared" si="289"/>
        <v>5.5775000000000095</v>
      </c>
      <c r="M1744" s="23">
        <v>5</v>
      </c>
      <c r="N1744" s="18">
        <f t="shared" si="292"/>
        <v>35.273972602739725</v>
      </c>
      <c r="O1744" s="23">
        <v>1059.7249999999999</v>
      </c>
      <c r="P1744" s="18">
        <f t="shared" si="293"/>
        <v>35.775342465753425</v>
      </c>
      <c r="Q1744" s="18">
        <v>0</v>
      </c>
      <c r="R1744" s="18">
        <f t="shared" si="290"/>
        <v>1059.7249999999999</v>
      </c>
      <c r="S1744" s="18">
        <f t="shared" si="288"/>
        <v>5.5775000000000095</v>
      </c>
    </row>
    <row r="1745" spans="1:19" ht="18.75" customHeight="1" x14ac:dyDescent="0.25">
      <c r="A1745" s="14">
        <f t="shared" si="294"/>
        <v>1739</v>
      </c>
      <c r="B1745" s="21" t="s">
        <v>1525</v>
      </c>
      <c r="C1745" s="15" t="s">
        <v>3</v>
      </c>
      <c r="D1745" s="21" t="s">
        <v>1200</v>
      </c>
      <c r="E1745" s="21"/>
      <c r="F1745" s="69" t="s">
        <v>4</v>
      </c>
      <c r="G1745" s="9">
        <v>31413</v>
      </c>
      <c r="H1745" s="22">
        <v>132</v>
      </c>
      <c r="I1745" s="17">
        <v>0</v>
      </c>
      <c r="J1745" s="17">
        <v>0</v>
      </c>
      <c r="K1745" s="17">
        <f t="shared" si="291"/>
        <v>132</v>
      </c>
      <c r="L1745" s="23">
        <f t="shared" si="289"/>
        <v>6.6000000000000005</v>
      </c>
      <c r="M1745" s="23">
        <v>5</v>
      </c>
      <c r="N1745" s="18">
        <f t="shared" si="292"/>
        <v>35.273972602739725</v>
      </c>
      <c r="O1745" s="23">
        <v>1254</v>
      </c>
      <c r="P1745" s="18">
        <f t="shared" si="293"/>
        <v>35.775342465753425</v>
      </c>
      <c r="Q1745" s="18">
        <v>0</v>
      </c>
      <c r="R1745" s="18">
        <f t="shared" si="290"/>
        <v>1254</v>
      </c>
      <c r="S1745" s="18">
        <f t="shared" si="288"/>
        <v>6.6000000000000005</v>
      </c>
    </row>
    <row r="1746" spans="1:19" ht="18.75" customHeight="1" x14ac:dyDescent="0.25">
      <c r="A1746" s="14">
        <f t="shared" si="294"/>
        <v>1740</v>
      </c>
      <c r="B1746" s="21" t="s">
        <v>1484</v>
      </c>
      <c r="C1746" s="15" t="s">
        <v>3</v>
      </c>
      <c r="D1746" s="21" t="s">
        <v>1200</v>
      </c>
      <c r="E1746" s="21"/>
      <c r="F1746" s="69" t="s">
        <v>4</v>
      </c>
      <c r="G1746" s="9">
        <v>31413</v>
      </c>
      <c r="H1746" s="22">
        <v>39.75</v>
      </c>
      <c r="I1746" s="17">
        <v>0</v>
      </c>
      <c r="J1746" s="17">
        <v>0</v>
      </c>
      <c r="K1746" s="17">
        <f t="shared" si="291"/>
        <v>39.75</v>
      </c>
      <c r="L1746" s="23">
        <f t="shared" si="289"/>
        <v>1.9875</v>
      </c>
      <c r="M1746" s="23">
        <v>5</v>
      </c>
      <c r="N1746" s="18">
        <f t="shared" si="292"/>
        <v>35.273972602739725</v>
      </c>
      <c r="O1746" s="23">
        <v>377.625</v>
      </c>
      <c r="P1746" s="18">
        <f t="shared" si="293"/>
        <v>35.775342465753425</v>
      </c>
      <c r="Q1746" s="18">
        <v>0</v>
      </c>
      <c r="R1746" s="18">
        <f t="shared" si="290"/>
        <v>377.625</v>
      </c>
      <c r="S1746" s="18">
        <f t="shared" ref="S1746:S1809" si="295">L1746</f>
        <v>1.9875</v>
      </c>
    </row>
    <row r="1747" spans="1:19" ht="18.75" customHeight="1" x14ac:dyDescent="0.25">
      <c r="A1747" s="14">
        <f t="shared" si="294"/>
        <v>1741</v>
      </c>
      <c r="B1747" s="21" t="s">
        <v>1526</v>
      </c>
      <c r="C1747" s="15" t="s">
        <v>3</v>
      </c>
      <c r="D1747" s="21" t="s">
        <v>1200</v>
      </c>
      <c r="E1747" s="21"/>
      <c r="F1747" s="69" t="s">
        <v>4</v>
      </c>
      <c r="G1747" s="9">
        <v>31413</v>
      </c>
      <c r="H1747" s="22">
        <v>42.649999999999977</v>
      </c>
      <c r="I1747" s="17">
        <v>0</v>
      </c>
      <c r="J1747" s="17">
        <v>0</v>
      </c>
      <c r="K1747" s="17">
        <f t="shared" si="291"/>
        <v>42.649999999999977</v>
      </c>
      <c r="L1747" s="23">
        <f t="shared" si="289"/>
        <v>2.132499999999999</v>
      </c>
      <c r="M1747" s="23">
        <v>10</v>
      </c>
      <c r="N1747" s="18">
        <f t="shared" si="292"/>
        <v>35.273972602739725</v>
      </c>
      <c r="O1747" s="23">
        <v>405.17500000000001</v>
      </c>
      <c r="P1747" s="18">
        <f t="shared" si="293"/>
        <v>35.775342465753425</v>
      </c>
      <c r="Q1747" s="18">
        <v>0</v>
      </c>
      <c r="R1747" s="18">
        <f t="shared" si="290"/>
        <v>405.17500000000001</v>
      </c>
      <c r="S1747" s="18">
        <f t="shared" si="295"/>
        <v>2.132499999999999</v>
      </c>
    </row>
    <row r="1748" spans="1:19" ht="18.75" customHeight="1" x14ac:dyDescent="0.25">
      <c r="A1748" s="14">
        <f t="shared" si="294"/>
        <v>1742</v>
      </c>
      <c r="B1748" s="21" t="s">
        <v>1495</v>
      </c>
      <c r="C1748" s="15" t="s">
        <v>3</v>
      </c>
      <c r="D1748" s="21" t="s">
        <v>1200</v>
      </c>
      <c r="E1748" s="21"/>
      <c r="F1748" s="69" t="s">
        <v>4</v>
      </c>
      <c r="G1748" s="9">
        <v>31048</v>
      </c>
      <c r="H1748" s="22">
        <v>151.65000000000009</v>
      </c>
      <c r="I1748" s="17">
        <v>0</v>
      </c>
      <c r="J1748" s="17">
        <v>0</v>
      </c>
      <c r="K1748" s="17">
        <f t="shared" si="291"/>
        <v>151.65000000000009</v>
      </c>
      <c r="L1748" s="23">
        <f t="shared" si="289"/>
        <v>7.5825000000000049</v>
      </c>
      <c r="M1748" s="23">
        <v>5</v>
      </c>
      <c r="N1748" s="18">
        <f t="shared" si="292"/>
        <v>36.273972602739725</v>
      </c>
      <c r="O1748" s="23">
        <v>1440.675</v>
      </c>
      <c r="P1748" s="18">
        <f t="shared" si="293"/>
        <v>36.775342465753425</v>
      </c>
      <c r="Q1748" s="18">
        <v>0</v>
      </c>
      <c r="R1748" s="18">
        <f t="shared" si="290"/>
        <v>1440.675</v>
      </c>
      <c r="S1748" s="18">
        <f t="shared" si="295"/>
        <v>7.5825000000000049</v>
      </c>
    </row>
    <row r="1749" spans="1:19" ht="18.75" customHeight="1" x14ac:dyDescent="0.25">
      <c r="A1749" s="14">
        <f t="shared" si="294"/>
        <v>1743</v>
      </c>
      <c r="B1749" s="21" t="s">
        <v>1527</v>
      </c>
      <c r="C1749" s="15" t="s">
        <v>3</v>
      </c>
      <c r="D1749" s="21" t="s">
        <v>1200</v>
      </c>
      <c r="E1749" s="21"/>
      <c r="F1749" s="69" t="s">
        <v>4</v>
      </c>
      <c r="G1749" s="9">
        <v>31048</v>
      </c>
      <c r="H1749" s="22">
        <v>47.75</v>
      </c>
      <c r="I1749" s="17">
        <v>0</v>
      </c>
      <c r="J1749" s="17">
        <v>0</v>
      </c>
      <c r="K1749" s="17">
        <f t="shared" si="291"/>
        <v>47.75</v>
      </c>
      <c r="L1749" s="23">
        <f t="shared" si="289"/>
        <v>2.3875000000000002</v>
      </c>
      <c r="M1749" s="23">
        <v>5</v>
      </c>
      <c r="N1749" s="18">
        <f t="shared" si="292"/>
        <v>36.273972602739725</v>
      </c>
      <c r="O1749" s="23">
        <v>453.625</v>
      </c>
      <c r="P1749" s="18">
        <f t="shared" si="293"/>
        <v>36.775342465753425</v>
      </c>
      <c r="Q1749" s="18">
        <v>0</v>
      </c>
      <c r="R1749" s="18">
        <f t="shared" si="290"/>
        <v>453.625</v>
      </c>
      <c r="S1749" s="18">
        <f t="shared" si="295"/>
        <v>2.3875000000000002</v>
      </c>
    </row>
    <row r="1750" spans="1:19" ht="18.75" customHeight="1" x14ac:dyDescent="0.25">
      <c r="A1750" s="14">
        <f t="shared" si="294"/>
        <v>1744</v>
      </c>
      <c r="B1750" s="21" t="s">
        <v>1528</v>
      </c>
      <c r="C1750" s="15" t="s">
        <v>3</v>
      </c>
      <c r="D1750" s="21" t="s">
        <v>1200</v>
      </c>
      <c r="E1750" s="21"/>
      <c r="F1750" s="69" t="s">
        <v>4</v>
      </c>
      <c r="G1750" s="9">
        <v>31048</v>
      </c>
      <c r="H1750" s="22">
        <v>158.55000000000018</v>
      </c>
      <c r="I1750" s="17">
        <v>0</v>
      </c>
      <c r="J1750" s="17">
        <v>0</v>
      </c>
      <c r="K1750" s="17">
        <f t="shared" si="291"/>
        <v>158.55000000000018</v>
      </c>
      <c r="L1750" s="23">
        <f t="shared" si="289"/>
        <v>7.9275000000000091</v>
      </c>
      <c r="M1750" s="23">
        <v>5</v>
      </c>
      <c r="N1750" s="18">
        <f t="shared" si="292"/>
        <v>36.273972602739725</v>
      </c>
      <c r="O1750" s="23">
        <v>1506.2249999999999</v>
      </c>
      <c r="P1750" s="18">
        <f t="shared" si="293"/>
        <v>36.775342465753425</v>
      </c>
      <c r="Q1750" s="18">
        <v>0</v>
      </c>
      <c r="R1750" s="18">
        <f t="shared" si="290"/>
        <v>1506.2249999999999</v>
      </c>
      <c r="S1750" s="18">
        <f t="shared" si="295"/>
        <v>7.9275000000000091</v>
      </c>
    </row>
    <row r="1751" spans="1:19" ht="18.75" customHeight="1" x14ac:dyDescent="0.25">
      <c r="A1751" s="14">
        <f t="shared" si="294"/>
        <v>1745</v>
      </c>
      <c r="B1751" s="21" t="s">
        <v>1529</v>
      </c>
      <c r="C1751" s="15" t="s">
        <v>3</v>
      </c>
      <c r="D1751" s="21" t="s">
        <v>1200</v>
      </c>
      <c r="E1751" s="21"/>
      <c r="F1751" s="69" t="s">
        <v>4</v>
      </c>
      <c r="G1751" s="9">
        <v>31048</v>
      </c>
      <c r="H1751" s="22">
        <v>29.5</v>
      </c>
      <c r="I1751" s="17">
        <v>0</v>
      </c>
      <c r="J1751" s="17">
        <v>0</v>
      </c>
      <c r="K1751" s="17">
        <f t="shared" si="291"/>
        <v>29.5</v>
      </c>
      <c r="L1751" s="23">
        <f t="shared" ref="L1751:L1814" si="296">H1751*0.05</f>
        <v>1.4750000000000001</v>
      </c>
      <c r="M1751" s="23">
        <v>5</v>
      </c>
      <c r="N1751" s="18">
        <f t="shared" si="292"/>
        <v>36.273972602739725</v>
      </c>
      <c r="O1751" s="23">
        <v>280.25</v>
      </c>
      <c r="P1751" s="18">
        <f t="shared" si="293"/>
        <v>36.775342465753425</v>
      </c>
      <c r="Q1751" s="18">
        <v>0</v>
      </c>
      <c r="R1751" s="18">
        <f t="shared" si="290"/>
        <v>280.25</v>
      </c>
      <c r="S1751" s="18">
        <f t="shared" si="295"/>
        <v>1.4750000000000001</v>
      </c>
    </row>
    <row r="1752" spans="1:19" ht="18.75" customHeight="1" x14ac:dyDescent="0.25">
      <c r="A1752" s="14">
        <f t="shared" si="294"/>
        <v>1746</v>
      </c>
      <c r="B1752" s="21" t="s">
        <v>1521</v>
      </c>
      <c r="C1752" s="15" t="s">
        <v>3</v>
      </c>
      <c r="D1752" s="21" t="s">
        <v>1200</v>
      </c>
      <c r="E1752" s="21"/>
      <c r="F1752" s="69" t="s">
        <v>4</v>
      </c>
      <c r="G1752" s="9">
        <v>31048</v>
      </c>
      <c r="H1752" s="22">
        <v>22.300000000000011</v>
      </c>
      <c r="I1752" s="17">
        <v>0</v>
      </c>
      <c r="J1752" s="17">
        <v>0</v>
      </c>
      <c r="K1752" s="17">
        <f t="shared" si="291"/>
        <v>22.300000000000011</v>
      </c>
      <c r="L1752" s="23">
        <f t="shared" si="296"/>
        <v>1.1150000000000007</v>
      </c>
      <c r="M1752" s="23">
        <v>5</v>
      </c>
      <c r="N1752" s="18">
        <f t="shared" si="292"/>
        <v>36.273972602739725</v>
      </c>
      <c r="O1752" s="23">
        <v>211.85</v>
      </c>
      <c r="P1752" s="18">
        <f t="shared" si="293"/>
        <v>36.775342465753425</v>
      </c>
      <c r="Q1752" s="18">
        <v>0</v>
      </c>
      <c r="R1752" s="18">
        <f t="shared" si="290"/>
        <v>211.85</v>
      </c>
      <c r="S1752" s="18">
        <f t="shared" si="295"/>
        <v>1.1150000000000007</v>
      </c>
    </row>
    <row r="1753" spans="1:19" ht="18.75" customHeight="1" x14ac:dyDescent="0.25">
      <c r="A1753" s="14">
        <f t="shared" si="294"/>
        <v>1747</v>
      </c>
      <c r="B1753" s="21" t="s">
        <v>1526</v>
      </c>
      <c r="C1753" s="15" t="s">
        <v>3</v>
      </c>
      <c r="D1753" s="21" t="s">
        <v>1200</v>
      </c>
      <c r="E1753" s="21"/>
      <c r="F1753" s="69" t="s">
        <v>4</v>
      </c>
      <c r="G1753" s="9">
        <v>31048</v>
      </c>
      <c r="H1753" s="22">
        <v>15.300000000000011</v>
      </c>
      <c r="I1753" s="17">
        <v>0</v>
      </c>
      <c r="J1753" s="17">
        <v>0</v>
      </c>
      <c r="K1753" s="17">
        <f t="shared" si="291"/>
        <v>15.300000000000011</v>
      </c>
      <c r="L1753" s="23">
        <f t="shared" si="296"/>
        <v>0.76500000000000057</v>
      </c>
      <c r="M1753" s="23">
        <v>10</v>
      </c>
      <c r="N1753" s="18">
        <f t="shared" si="292"/>
        <v>36.273972602739725</v>
      </c>
      <c r="O1753" s="23">
        <v>145.35</v>
      </c>
      <c r="P1753" s="18">
        <f t="shared" si="293"/>
        <v>36.775342465753425</v>
      </c>
      <c r="Q1753" s="18">
        <v>0</v>
      </c>
      <c r="R1753" s="18">
        <f t="shared" si="290"/>
        <v>145.35</v>
      </c>
      <c r="S1753" s="18">
        <f t="shared" si="295"/>
        <v>0.76500000000000057</v>
      </c>
    </row>
    <row r="1754" spans="1:19" ht="18.75" customHeight="1" x14ac:dyDescent="0.25">
      <c r="A1754" s="14">
        <f t="shared" si="294"/>
        <v>1748</v>
      </c>
      <c r="B1754" s="21" t="s">
        <v>1437</v>
      </c>
      <c r="C1754" s="15" t="s">
        <v>3</v>
      </c>
      <c r="D1754" s="21" t="s">
        <v>1200</v>
      </c>
      <c r="E1754" s="21"/>
      <c r="F1754" s="69" t="s">
        <v>4</v>
      </c>
      <c r="G1754" s="9">
        <v>31048</v>
      </c>
      <c r="H1754" s="22">
        <v>538</v>
      </c>
      <c r="I1754" s="17">
        <v>0</v>
      </c>
      <c r="J1754" s="17">
        <v>0</v>
      </c>
      <c r="K1754" s="17">
        <f t="shared" si="291"/>
        <v>538</v>
      </c>
      <c r="L1754" s="23">
        <f t="shared" si="296"/>
        <v>26.900000000000002</v>
      </c>
      <c r="M1754" s="23">
        <v>5</v>
      </c>
      <c r="N1754" s="18">
        <f t="shared" si="292"/>
        <v>36.273972602739725</v>
      </c>
      <c r="O1754" s="23">
        <v>5111</v>
      </c>
      <c r="P1754" s="18">
        <f t="shared" si="293"/>
        <v>36.775342465753425</v>
      </c>
      <c r="Q1754" s="18">
        <v>0</v>
      </c>
      <c r="R1754" s="18">
        <f t="shared" si="290"/>
        <v>5111</v>
      </c>
      <c r="S1754" s="18">
        <f t="shared" si="295"/>
        <v>26.900000000000002</v>
      </c>
    </row>
    <row r="1755" spans="1:19" ht="18.75" customHeight="1" x14ac:dyDescent="0.25">
      <c r="A1755" s="14">
        <f t="shared" si="294"/>
        <v>1749</v>
      </c>
      <c r="B1755" s="21" t="s">
        <v>1530</v>
      </c>
      <c r="C1755" s="15" t="s">
        <v>3</v>
      </c>
      <c r="D1755" s="21" t="s">
        <v>1200</v>
      </c>
      <c r="E1755" s="21"/>
      <c r="F1755" s="69" t="s">
        <v>4</v>
      </c>
      <c r="G1755" s="9">
        <v>30682</v>
      </c>
      <c r="H1755" s="22">
        <v>256.55000000000018</v>
      </c>
      <c r="I1755" s="17">
        <v>0</v>
      </c>
      <c r="J1755" s="17">
        <v>0</v>
      </c>
      <c r="K1755" s="17">
        <f t="shared" si="291"/>
        <v>256.55000000000018</v>
      </c>
      <c r="L1755" s="23">
        <f t="shared" si="296"/>
        <v>12.827500000000009</v>
      </c>
      <c r="M1755" s="23">
        <v>5</v>
      </c>
      <c r="N1755" s="18">
        <f t="shared" si="292"/>
        <v>37.276712328767125</v>
      </c>
      <c r="O1755" s="23">
        <v>2437.2249999999999</v>
      </c>
      <c r="P1755" s="18">
        <f t="shared" si="293"/>
        <v>37.778082191780825</v>
      </c>
      <c r="Q1755" s="18">
        <v>0</v>
      </c>
      <c r="R1755" s="18">
        <f t="shared" si="290"/>
        <v>2437.2249999999999</v>
      </c>
      <c r="S1755" s="18">
        <f t="shared" si="295"/>
        <v>12.827500000000009</v>
      </c>
    </row>
    <row r="1756" spans="1:19" ht="18.75" customHeight="1" x14ac:dyDescent="0.25">
      <c r="A1756" s="14">
        <f t="shared" si="294"/>
        <v>1750</v>
      </c>
      <c r="B1756" s="21" t="s">
        <v>1531</v>
      </c>
      <c r="C1756" s="15" t="s">
        <v>3</v>
      </c>
      <c r="D1756" s="21" t="s">
        <v>1200</v>
      </c>
      <c r="E1756" s="21"/>
      <c r="F1756" s="69" t="s">
        <v>4</v>
      </c>
      <c r="G1756" s="9">
        <v>30682</v>
      </c>
      <c r="H1756" s="22">
        <v>8.8499999999999943</v>
      </c>
      <c r="I1756" s="17">
        <v>0</v>
      </c>
      <c r="J1756" s="17">
        <v>0</v>
      </c>
      <c r="K1756" s="17">
        <f t="shared" si="291"/>
        <v>8.8499999999999943</v>
      </c>
      <c r="L1756" s="23">
        <f t="shared" si="296"/>
        <v>0.44249999999999973</v>
      </c>
      <c r="M1756" s="23">
        <v>5</v>
      </c>
      <c r="N1756" s="18">
        <f t="shared" si="292"/>
        <v>37.276712328767125</v>
      </c>
      <c r="O1756" s="23">
        <v>84.075000000000003</v>
      </c>
      <c r="P1756" s="18">
        <f t="shared" si="293"/>
        <v>37.778082191780825</v>
      </c>
      <c r="Q1756" s="18">
        <v>0</v>
      </c>
      <c r="R1756" s="18">
        <f t="shared" si="290"/>
        <v>84.075000000000003</v>
      </c>
      <c r="S1756" s="18">
        <f t="shared" si="295"/>
        <v>0.44249999999999973</v>
      </c>
    </row>
    <row r="1757" spans="1:19" ht="18.75" customHeight="1" x14ac:dyDescent="0.25">
      <c r="A1757" s="14">
        <f t="shared" si="294"/>
        <v>1751</v>
      </c>
      <c r="B1757" s="21" t="s">
        <v>1532</v>
      </c>
      <c r="C1757" s="15" t="s">
        <v>3</v>
      </c>
      <c r="D1757" s="21" t="s">
        <v>1200</v>
      </c>
      <c r="E1757" s="21"/>
      <c r="F1757" s="69" t="s">
        <v>4</v>
      </c>
      <c r="G1757" s="9">
        <v>30682</v>
      </c>
      <c r="H1757" s="22">
        <v>73.25</v>
      </c>
      <c r="I1757" s="17">
        <v>0</v>
      </c>
      <c r="J1757" s="17">
        <v>0</v>
      </c>
      <c r="K1757" s="17">
        <f t="shared" si="291"/>
        <v>73.25</v>
      </c>
      <c r="L1757" s="23">
        <f t="shared" si="296"/>
        <v>3.6625000000000001</v>
      </c>
      <c r="M1757" s="23">
        <v>5</v>
      </c>
      <c r="N1757" s="18">
        <f t="shared" si="292"/>
        <v>37.276712328767125</v>
      </c>
      <c r="O1757" s="23">
        <v>695.875</v>
      </c>
      <c r="P1757" s="18">
        <f t="shared" si="293"/>
        <v>37.778082191780825</v>
      </c>
      <c r="Q1757" s="18">
        <v>0</v>
      </c>
      <c r="R1757" s="18">
        <f t="shared" si="290"/>
        <v>695.875</v>
      </c>
      <c r="S1757" s="18">
        <f t="shared" si="295"/>
        <v>3.6625000000000001</v>
      </c>
    </row>
    <row r="1758" spans="1:19" ht="18.75" customHeight="1" x14ac:dyDescent="0.25">
      <c r="A1758" s="14">
        <f t="shared" si="294"/>
        <v>1752</v>
      </c>
      <c r="B1758" s="21" t="s">
        <v>1526</v>
      </c>
      <c r="C1758" s="15" t="s">
        <v>3</v>
      </c>
      <c r="D1758" s="21" t="s">
        <v>1200</v>
      </c>
      <c r="E1758" s="21"/>
      <c r="F1758" s="69" t="s">
        <v>4</v>
      </c>
      <c r="G1758" s="9">
        <v>30682</v>
      </c>
      <c r="H1758" s="22">
        <v>116.55000000000018</v>
      </c>
      <c r="I1758" s="17">
        <v>0</v>
      </c>
      <c r="J1758" s="17">
        <v>0</v>
      </c>
      <c r="K1758" s="17">
        <f t="shared" si="291"/>
        <v>116.55000000000018</v>
      </c>
      <c r="L1758" s="23">
        <f t="shared" si="296"/>
        <v>5.8275000000000095</v>
      </c>
      <c r="M1758" s="23">
        <v>10</v>
      </c>
      <c r="N1758" s="18">
        <f t="shared" si="292"/>
        <v>37.276712328767125</v>
      </c>
      <c r="O1758" s="23">
        <v>1107.2249999999999</v>
      </c>
      <c r="P1758" s="18">
        <f t="shared" si="293"/>
        <v>37.778082191780825</v>
      </c>
      <c r="Q1758" s="18">
        <v>0</v>
      </c>
      <c r="R1758" s="18">
        <f t="shared" si="290"/>
        <v>1107.2249999999999</v>
      </c>
      <c r="S1758" s="18">
        <f t="shared" si="295"/>
        <v>5.8275000000000095</v>
      </c>
    </row>
    <row r="1759" spans="1:19" ht="18.75" customHeight="1" x14ac:dyDescent="0.25">
      <c r="A1759" s="14">
        <f t="shared" si="294"/>
        <v>1753</v>
      </c>
      <c r="B1759" s="21" t="s">
        <v>1469</v>
      </c>
      <c r="C1759" s="15" t="s">
        <v>3</v>
      </c>
      <c r="D1759" s="21" t="s">
        <v>1200</v>
      </c>
      <c r="E1759" s="21"/>
      <c r="F1759" s="69" t="s">
        <v>4</v>
      </c>
      <c r="G1759" s="9">
        <v>30317</v>
      </c>
      <c r="H1759" s="22">
        <v>43.399999999999977</v>
      </c>
      <c r="I1759" s="17">
        <v>0</v>
      </c>
      <c r="J1759" s="17">
        <v>0</v>
      </c>
      <c r="K1759" s="17">
        <f t="shared" si="291"/>
        <v>43.399999999999977</v>
      </c>
      <c r="L1759" s="23">
        <f t="shared" si="296"/>
        <v>2.169999999999999</v>
      </c>
      <c r="M1759" s="23">
        <v>5</v>
      </c>
      <c r="N1759" s="18">
        <f t="shared" si="292"/>
        <v>38.276712328767125</v>
      </c>
      <c r="O1759" s="23">
        <v>412.3</v>
      </c>
      <c r="P1759" s="18">
        <f t="shared" si="293"/>
        <v>38.778082191780825</v>
      </c>
      <c r="Q1759" s="18">
        <v>0</v>
      </c>
      <c r="R1759" s="18">
        <f t="shared" si="290"/>
        <v>412.3</v>
      </c>
      <c r="S1759" s="18">
        <f t="shared" si="295"/>
        <v>2.169999999999999</v>
      </c>
    </row>
    <row r="1760" spans="1:19" ht="18.75" customHeight="1" x14ac:dyDescent="0.25">
      <c r="A1760" s="14">
        <f t="shared" si="294"/>
        <v>1754</v>
      </c>
      <c r="B1760" s="21" t="s">
        <v>1515</v>
      </c>
      <c r="C1760" s="15" t="s">
        <v>3</v>
      </c>
      <c r="D1760" s="21" t="s">
        <v>1200</v>
      </c>
      <c r="E1760" s="21"/>
      <c r="F1760" s="69" t="s">
        <v>4</v>
      </c>
      <c r="G1760" s="9">
        <v>30317</v>
      </c>
      <c r="H1760" s="22">
        <v>105.75</v>
      </c>
      <c r="I1760" s="17">
        <v>0</v>
      </c>
      <c r="J1760" s="17">
        <v>0</v>
      </c>
      <c r="K1760" s="17">
        <f t="shared" si="291"/>
        <v>105.75</v>
      </c>
      <c r="L1760" s="23">
        <f t="shared" si="296"/>
        <v>5.2875000000000005</v>
      </c>
      <c r="M1760" s="23">
        <v>5</v>
      </c>
      <c r="N1760" s="18">
        <f t="shared" si="292"/>
        <v>38.276712328767125</v>
      </c>
      <c r="O1760" s="23">
        <v>1004.625</v>
      </c>
      <c r="P1760" s="18">
        <f t="shared" si="293"/>
        <v>38.778082191780825</v>
      </c>
      <c r="Q1760" s="18">
        <v>0</v>
      </c>
      <c r="R1760" s="18">
        <f t="shared" si="290"/>
        <v>1004.625</v>
      </c>
      <c r="S1760" s="18">
        <f t="shared" si="295"/>
        <v>5.2875000000000005</v>
      </c>
    </row>
    <row r="1761" spans="1:19" ht="18.75" customHeight="1" x14ac:dyDescent="0.25">
      <c r="A1761" s="14">
        <f t="shared" si="294"/>
        <v>1755</v>
      </c>
      <c r="B1761" s="21" t="s">
        <v>1533</v>
      </c>
      <c r="C1761" s="15" t="s">
        <v>3</v>
      </c>
      <c r="D1761" s="21" t="s">
        <v>1200</v>
      </c>
      <c r="E1761" s="21"/>
      <c r="F1761" s="69" t="s">
        <v>4</v>
      </c>
      <c r="G1761" s="9">
        <v>30317</v>
      </c>
      <c r="H1761" s="22">
        <v>273.55000000000018</v>
      </c>
      <c r="I1761" s="17">
        <v>0</v>
      </c>
      <c r="J1761" s="17">
        <v>0</v>
      </c>
      <c r="K1761" s="17">
        <f t="shared" si="291"/>
        <v>273.55000000000018</v>
      </c>
      <c r="L1761" s="23">
        <f t="shared" si="296"/>
        <v>13.677500000000009</v>
      </c>
      <c r="M1761" s="23">
        <v>5</v>
      </c>
      <c r="N1761" s="18">
        <f t="shared" si="292"/>
        <v>38.276712328767125</v>
      </c>
      <c r="O1761" s="23">
        <v>2598.7249999999999</v>
      </c>
      <c r="P1761" s="18">
        <f t="shared" si="293"/>
        <v>38.778082191780825</v>
      </c>
      <c r="Q1761" s="18">
        <v>0</v>
      </c>
      <c r="R1761" s="18">
        <f t="shared" si="290"/>
        <v>2598.7249999999999</v>
      </c>
      <c r="S1761" s="18">
        <f t="shared" si="295"/>
        <v>13.677500000000009</v>
      </c>
    </row>
    <row r="1762" spans="1:19" ht="18.75" customHeight="1" x14ac:dyDescent="0.25">
      <c r="A1762" s="14">
        <f t="shared" si="294"/>
        <v>1756</v>
      </c>
      <c r="B1762" s="21" t="s">
        <v>1534</v>
      </c>
      <c r="C1762" s="15" t="s">
        <v>3</v>
      </c>
      <c r="D1762" s="21" t="s">
        <v>1200</v>
      </c>
      <c r="E1762" s="21"/>
      <c r="F1762" s="69" t="s">
        <v>4</v>
      </c>
      <c r="G1762" s="9">
        <v>30317</v>
      </c>
      <c r="H1762" s="22">
        <v>20</v>
      </c>
      <c r="I1762" s="17">
        <v>0</v>
      </c>
      <c r="J1762" s="17">
        <v>0</v>
      </c>
      <c r="K1762" s="17">
        <f t="shared" si="291"/>
        <v>20</v>
      </c>
      <c r="L1762" s="23">
        <f t="shared" si="296"/>
        <v>1</v>
      </c>
      <c r="M1762" s="23">
        <v>5</v>
      </c>
      <c r="N1762" s="18">
        <f t="shared" si="292"/>
        <v>38.276712328767125</v>
      </c>
      <c r="O1762" s="23">
        <v>190</v>
      </c>
      <c r="P1762" s="18">
        <f t="shared" si="293"/>
        <v>38.778082191780825</v>
      </c>
      <c r="Q1762" s="18">
        <v>0</v>
      </c>
      <c r="R1762" s="18">
        <f t="shared" si="290"/>
        <v>190</v>
      </c>
      <c r="S1762" s="18">
        <f t="shared" si="295"/>
        <v>1</v>
      </c>
    </row>
    <row r="1763" spans="1:19" ht="18.75" customHeight="1" x14ac:dyDescent="0.25">
      <c r="A1763" s="14">
        <f t="shared" si="294"/>
        <v>1757</v>
      </c>
      <c r="B1763" s="21" t="s">
        <v>1526</v>
      </c>
      <c r="C1763" s="15" t="s">
        <v>3</v>
      </c>
      <c r="D1763" s="21" t="s">
        <v>1200</v>
      </c>
      <c r="E1763" s="21"/>
      <c r="F1763" s="69" t="s">
        <v>4</v>
      </c>
      <c r="G1763" s="9">
        <v>30317</v>
      </c>
      <c r="H1763" s="22">
        <v>26</v>
      </c>
      <c r="I1763" s="17">
        <v>0</v>
      </c>
      <c r="J1763" s="17">
        <v>0</v>
      </c>
      <c r="K1763" s="17">
        <f t="shared" si="291"/>
        <v>26</v>
      </c>
      <c r="L1763" s="23">
        <f t="shared" si="296"/>
        <v>1.3</v>
      </c>
      <c r="M1763" s="23">
        <v>10</v>
      </c>
      <c r="N1763" s="18">
        <f t="shared" si="292"/>
        <v>38.276712328767125</v>
      </c>
      <c r="O1763" s="23">
        <v>247</v>
      </c>
      <c r="P1763" s="18">
        <f t="shared" si="293"/>
        <v>38.778082191780825</v>
      </c>
      <c r="Q1763" s="18">
        <v>0</v>
      </c>
      <c r="R1763" s="18">
        <f t="shared" si="290"/>
        <v>247</v>
      </c>
      <c r="S1763" s="18">
        <f t="shared" si="295"/>
        <v>1.3</v>
      </c>
    </row>
    <row r="1764" spans="1:19" ht="18.75" customHeight="1" x14ac:dyDescent="0.25">
      <c r="A1764" s="14">
        <f t="shared" si="294"/>
        <v>1758</v>
      </c>
      <c r="B1764" s="21" t="s">
        <v>1535</v>
      </c>
      <c r="C1764" s="15" t="s">
        <v>3</v>
      </c>
      <c r="D1764" s="21" t="s">
        <v>1200</v>
      </c>
      <c r="E1764" s="21"/>
      <c r="F1764" s="69" t="s">
        <v>4</v>
      </c>
      <c r="G1764" s="9">
        <v>29952</v>
      </c>
      <c r="H1764" s="22">
        <v>14.25</v>
      </c>
      <c r="I1764" s="17">
        <v>0</v>
      </c>
      <c r="J1764" s="17">
        <v>0</v>
      </c>
      <c r="K1764" s="17">
        <f t="shared" si="291"/>
        <v>14.25</v>
      </c>
      <c r="L1764" s="23">
        <f t="shared" si="296"/>
        <v>0.71250000000000002</v>
      </c>
      <c r="M1764" s="23">
        <v>5</v>
      </c>
      <c r="N1764" s="18">
        <f t="shared" si="292"/>
        <v>39.276712328767125</v>
      </c>
      <c r="O1764" s="23">
        <v>135.375</v>
      </c>
      <c r="P1764" s="18">
        <f t="shared" si="293"/>
        <v>39.778082191780825</v>
      </c>
      <c r="Q1764" s="18">
        <v>0</v>
      </c>
      <c r="R1764" s="18">
        <f t="shared" si="290"/>
        <v>135.375</v>
      </c>
      <c r="S1764" s="18">
        <f t="shared" si="295"/>
        <v>0.71250000000000002</v>
      </c>
    </row>
    <row r="1765" spans="1:19" ht="18.75" customHeight="1" x14ac:dyDescent="0.25">
      <c r="A1765" s="14">
        <f t="shared" si="294"/>
        <v>1759</v>
      </c>
      <c r="B1765" s="21" t="s">
        <v>1536</v>
      </c>
      <c r="C1765" s="15" t="s">
        <v>3</v>
      </c>
      <c r="D1765" s="21" t="s">
        <v>1200</v>
      </c>
      <c r="E1765" s="21"/>
      <c r="F1765" s="69" t="s">
        <v>4</v>
      </c>
      <c r="G1765" s="9">
        <v>29952</v>
      </c>
      <c r="H1765" s="22">
        <v>72.049999999999955</v>
      </c>
      <c r="I1765" s="17">
        <v>0</v>
      </c>
      <c r="J1765" s="17">
        <v>0</v>
      </c>
      <c r="K1765" s="17">
        <f t="shared" si="291"/>
        <v>72.049999999999955</v>
      </c>
      <c r="L1765" s="23">
        <f t="shared" si="296"/>
        <v>3.6024999999999978</v>
      </c>
      <c r="M1765" s="23">
        <v>5</v>
      </c>
      <c r="N1765" s="18">
        <f t="shared" si="292"/>
        <v>39.276712328767125</v>
      </c>
      <c r="O1765" s="23">
        <v>684.47500000000002</v>
      </c>
      <c r="P1765" s="18">
        <f t="shared" si="293"/>
        <v>39.778082191780825</v>
      </c>
      <c r="Q1765" s="18">
        <v>0</v>
      </c>
      <c r="R1765" s="18">
        <f t="shared" si="290"/>
        <v>684.47500000000002</v>
      </c>
      <c r="S1765" s="18">
        <f t="shared" si="295"/>
        <v>3.6024999999999978</v>
      </c>
    </row>
    <row r="1766" spans="1:19" ht="18.75" customHeight="1" x14ac:dyDescent="0.25">
      <c r="A1766" s="14">
        <f t="shared" si="294"/>
        <v>1760</v>
      </c>
      <c r="B1766" s="21" t="s">
        <v>1537</v>
      </c>
      <c r="C1766" s="15" t="s">
        <v>3</v>
      </c>
      <c r="D1766" s="21" t="s">
        <v>1200</v>
      </c>
      <c r="E1766" s="21"/>
      <c r="F1766" s="69" t="s">
        <v>4</v>
      </c>
      <c r="G1766" s="9">
        <v>29952</v>
      </c>
      <c r="H1766" s="22">
        <v>220.64999999999964</v>
      </c>
      <c r="I1766" s="17">
        <v>0</v>
      </c>
      <c r="J1766" s="17">
        <v>0</v>
      </c>
      <c r="K1766" s="17">
        <f t="shared" si="291"/>
        <v>220.64999999999964</v>
      </c>
      <c r="L1766" s="23">
        <f t="shared" si="296"/>
        <v>11.032499999999983</v>
      </c>
      <c r="M1766" s="23">
        <v>5</v>
      </c>
      <c r="N1766" s="18">
        <f t="shared" si="292"/>
        <v>39.276712328767125</v>
      </c>
      <c r="O1766" s="23">
        <v>2096.1750000000002</v>
      </c>
      <c r="P1766" s="18">
        <f t="shared" si="293"/>
        <v>39.778082191780825</v>
      </c>
      <c r="Q1766" s="18">
        <v>0</v>
      </c>
      <c r="R1766" s="18">
        <f t="shared" si="290"/>
        <v>2096.1750000000002</v>
      </c>
      <c r="S1766" s="18">
        <f t="shared" si="295"/>
        <v>11.032499999999983</v>
      </c>
    </row>
    <row r="1767" spans="1:19" ht="18.75" customHeight="1" x14ac:dyDescent="0.25">
      <c r="A1767" s="14">
        <f t="shared" si="294"/>
        <v>1761</v>
      </c>
      <c r="B1767" s="21" t="s">
        <v>1538</v>
      </c>
      <c r="C1767" s="15" t="s">
        <v>3</v>
      </c>
      <c r="D1767" s="21" t="s">
        <v>1200</v>
      </c>
      <c r="E1767" s="21"/>
      <c r="F1767" s="69" t="s">
        <v>4</v>
      </c>
      <c r="G1767" s="9">
        <v>29952</v>
      </c>
      <c r="H1767" s="22">
        <v>17.199999999999989</v>
      </c>
      <c r="I1767" s="17">
        <v>0</v>
      </c>
      <c r="J1767" s="17">
        <v>0</v>
      </c>
      <c r="K1767" s="17">
        <f t="shared" si="291"/>
        <v>17.199999999999989</v>
      </c>
      <c r="L1767" s="23">
        <f t="shared" si="296"/>
        <v>0.85999999999999943</v>
      </c>
      <c r="M1767" s="23">
        <v>5</v>
      </c>
      <c r="N1767" s="18">
        <f t="shared" si="292"/>
        <v>39.276712328767125</v>
      </c>
      <c r="O1767" s="23">
        <v>163.4</v>
      </c>
      <c r="P1767" s="18">
        <f t="shared" si="293"/>
        <v>39.778082191780825</v>
      </c>
      <c r="Q1767" s="18">
        <v>0</v>
      </c>
      <c r="R1767" s="18">
        <f t="shared" si="290"/>
        <v>163.4</v>
      </c>
      <c r="S1767" s="18">
        <f t="shared" si="295"/>
        <v>0.85999999999999943</v>
      </c>
    </row>
    <row r="1768" spans="1:19" ht="18.75" customHeight="1" x14ac:dyDescent="0.25">
      <c r="A1768" s="14">
        <f t="shared" si="294"/>
        <v>1762</v>
      </c>
      <c r="B1768" s="21" t="s">
        <v>1526</v>
      </c>
      <c r="C1768" s="15" t="s">
        <v>3</v>
      </c>
      <c r="D1768" s="21" t="s">
        <v>1200</v>
      </c>
      <c r="E1768" s="21"/>
      <c r="F1768" s="69" t="s">
        <v>4</v>
      </c>
      <c r="G1768" s="9">
        <v>29952</v>
      </c>
      <c r="H1768" s="22">
        <v>29.25</v>
      </c>
      <c r="I1768" s="17">
        <v>0</v>
      </c>
      <c r="J1768" s="17">
        <v>0</v>
      </c>
      <c r="K1768" s="17">
        <f t="shared" si="291"/>
        <v>29.25</v>
      </c>
      <c r="L1768" s="23">
        <f t="shared" si="296"/>
        <v>1.4625000000000001</v>
      </c>
      <c r="M1768" s="23">
        <v>10</v>
      </c>
      <c r="N1768" s="18">
        <f t="shared" si="292"/>
        <v>39.276712328767125</v>
      </c>
      <c r="O1768" s="23">
        <v>277.875</v>
      </c>
      <c r="P1768" s="18">
        <f t="shared" si="293"/>
        <v>39.778082191780825</v>
      </c>
      <c r="Q1768" s="18">
        <v>0</v>
      </c>
      <c r="R1768" s="18">
        <f t="shared" si="290"/>
        <v>277.875</v>
      </c>
      <c r="S1768" s="18">
        <f t="shared" si="295"/>
        <v>1.4625000000000001</v>
      </c>
    </row>
    <row r="1769" spans="1:19" ht="18.75" customHeight="1" x14ac:dyDescent="0.25">
      <c r="A1769" s="14">
        <f t="shared" si="294"/>
        <v>1763</v>
      </c>
      <c r="B1769" s="21" t="s">
        <v>1539</v>
      </c>
      <c r="C1769" s="15" t="s">
        <v>3</v>
      </c>
      <c r="D1769" s="21" t="s">
        <v>1200</v>
      </c>
      <c r="E1769" s="21"/>
      <c r="F1769" s="69" t="s">
        <v>4</v>
      </c>
      <c r="G1769" s="9">
        <v>29587</v>
      </c>
      <c r="H1769" s="22">
        <v>60.75</v>
      </c>
      <c r="I1769" s="17">
        <v>0</v>
      </c>
      <c r="J1769" s="17">
        <v>0</v>
      </c>
      <c r="K1769" s="17">
        <f t="shared" si="291"/>
        <v>60.75</v>
      </c>
      <c r="L1769" s="23">
        <f t="shared" si="296"/>
        <v>3.0375000000000001</v>
      </c>
      <c r="M1769" s="23">
        <v>5</v>
      </c>
      <c r="N1769" s="18">
        <f t="shared" si="292"/>
        <v>40.276712328767125</v>
      </c>
      <c r="O1769" s="23">
        <v>577.125</v>
      </c>
      <c r="P1769" s="18">
        <f t="shared" si="293"/>
        <v>40.778082191780825</v>
      </c>
      <c r="Q1769" s="18">
        <v>0</v>
      </c>
      <c r="R1769" s="18">
        <f t="shared" si="290"/>
        <v>577.125</v>
      </c>
      <c r="S1769" s="18">
        <f t="shared" si="295"/>
        <v>3.0375000000000001</v>
      </c>
    </row>
    <row r="1770" spans="1:19" ht="18.75" customHeight="1" x14ac:dyDescent="0.25">
      <c r="A1770" s="14">
        <f t="shared" si="294"/>
        <v>1764</v>
      </c>
      <c r="B1770" s="21" t="s">
        <v>1540</v>
      </c>
      <c r="C1770" s="15" t="s">
        <v>3</v>
      </c>
      <c r="D1770" s="21" t="s">
        <v>1200</v>
      </c>
      <c r="E1770" s="21"/>
      <c r="F1770" s="69" t="s">
        <v>4</v>
      </c>
      <c r="G1770" s="9">
        <v>29587</v>
      </c>
      <c r="H1770" s="22">
        <v>93.799999999999955</v>
      </c>
      <c r="I1770" s="17">
        <v>0</v>
      </c>
      <c r="J1770" s="17">
        <v>0</v>
      </c>
      <c r="K1770" s="17">
        <f t="shared" si="291"/>
        <v>93.799999999999955</v>
      </c>
      <c r="L1770" s="23">
        <f t="shared" si="296"/>
        <v>4.6899999999999977</v>
      </c>
      <c r="M1770" s="23">
        <v>5</v>
      </c>
      <c r="N1770" s="18">
        <f t="shared" si="292"/>
        <v>40.276712328767125</v>
      </c>
      <c r="O1770" s="23">
        <v>891.1</v>
      </c>
      <c r="P1770" s="18">
        <f t="shared" si="293"/>
        <v>40.778082191780825</v>
      </c>
      <c r="Q1770" s="18">
        <v>0</v>
      </c>
      <c r="R1770" s="18">
        <f t="shared" si="290"/>
        <v>891.1</v>
      </c>
      <c r="S1770" s="18">
        <f t="shared" si="295"/>
        <v>4.6899999999999977</v>
      </c>
    </row>
    <row r="1771" spans="1:19" ht="18.75" customHeight="1" x14ac:dyDescent="0.25">
      <c r="A1771" s="14">
        <f t="shared" si="294"/>
        <v>1765</v>
      </c>
      <c r="B1771" s="21" t="s">
        <v>1541</v>
      </c>
      <c r="C1771" s="15" t="s">
        <v>3</v>
      </c>
      <c r="D1771" s="21" t="s">
        <v>1200</v>
      </c>
      <c r="E1771" s="21"/>
      <c r="F1771" s="69" t="s">
        <v>4</v>
      </c>
      <c r="G1771" s="9">
        <v>29587</v>
      </c>
      <c r="H1771" s="22">
        <v>16</v>
      </c>
      <c r="I1771" s="17">
        <v>0</v>
      </c>
      <c r="J1771" s="17">
        <v>0</v>
      </c>
      <c r="K1771" s="17">
        <f t="shared" si="291"/>
        <v>16</v>
      </c>
      <c r="L1771" s="23">
        <f t="shared" si="296"/>
        <v>0.8</v>
      </c>
      <c r="M1771" s="23">
        <v>5</v>
      </c>
      <c r="N1771" s="18">
        <f t="shared" si="292"/>
        <v>40.276712328767125</v>
      </c>
      <c r="O1771" s="23">
        <v>152</v>
      </c>
      <c r="P1771" s="18">
        <f t="shared" si="293"/>
        <v>40.778082191780825</v>
      </c>
      <c r="Q1771" s="18">
        <v>0</v>
      </c>
      <c r="R1771" s="18">
        <f t="shared" si="290"/>
        <v>152</v>
      </c>
      <c r="S1771" s="18">
        <f t="shared" si="295"/>
        <v>0.8</v>
      </c>
    </row>
    <row r="1772" spans="1:19" ht="18.75" customHeight="1" x14ac:dyDescent="0.25">
      <c r="A1772" s="14">
        <f t="shared" si="294"/>
        <v>1766</v>
      </c>
      <c r="B1772" s="21" t="s">
        <v>1521</v>
      </c>
      <c r="C1772" s="15" t="s">
        <v>3</v>
      </c>
      <c r="D1772" s="21" t="s">
        <v>1200</v>
      </c>
      <c r="E1772" s="21"/>
      <c r="F1772" s="69" t="s">
        <v>4</v>
      </c>
      <c r="G1772" s="9">
        <v>29587</v>
      </c>
      <c r="H1772" s="22">
        <v>21.100000000000023</v>
      </c>
      <c r="I1772" s="17">
        <v>0</v>
      </c>
      <c r="J1772" s="17">
        <v>0</v>
      </c>
      <c r="K1772" s="17">
        <f t="shared" si="291"/>
        <v>21.100000000000023</v>
      </c>
      <c r="L1772" s="23">
        <f t="shared" si="296"/>
        <v>1.0550000000000013</v>
      </c>
      <c r="M1772" s="23">
        <v>5</v>
      </c>
      <c r="N1772" s="18">
        <f t="shared" si="292"/>
        <v>40.276712328767125</v>
      </c>
      <c r="O1772" s="23">
        <v>200.45</v>
      </c>
      <c r="P1772" s="18">
        <f t="shared" si="293"/>
        <v>40.778082191780825</v>
      </c>
      <c r="Q1772" s="18">
        <v>0</v>
      </c>
      <c r="R1772" s="18">
        <f t="shared" si="290"/>
        <v>200.45</v>
      </c>
      <c r="S1772" s="18">
        <f t="shared" si="295"/>
        <v>1.0550000000000013</v>
      </c>
    </row>
    <row r="1773" spans="1:19" ht="18.75" customHeight="1" x14ac:dyDescent="0.25">
      <c r="A1773" s="14">
        <f t="shared" si="294"/>
        <v>1767</v>
      </c>
      <c r="B1773" s="21" t="s">
        <v>1542</v>
      </c>
      <c r="C1773" s="15" t="s">
        <v>3</v>
      </c>
      <c r="D1773" s="21" t="s">
        <v>1200</v>
      </c>
      <c r="E1773" s="21"/>
      <c r="F1773" s="69" t="s">
        <v>4</v>
      </c>
      <c r="G1773" s="9">
        <v>29221</v>
      </c>
      <c r="H1773" s="22">
        <v>20</v>
      </c>
      <c r="I1773" s="17">
        <v>0</v>
      </c>
      <c r="J1773" s="17">
        <v>0</v>
      </c>
      <c r="K1773" s="17">
        <f t="shared" si="291"/>
        <v>20</v>
      </c>
      <c r="L1773" s="23">
        <f t="shared" si="296"/>
        <v>1</v>
      </c>
      <c r="M1773" s="23">
        <v>5</v>
      </c>
      <c r="N1773" s="18">
        <f t="shared" si="292"/>
        <v>41.279452054794518</v>
      </c>
      <c r="O1773" s="23">
        <v>190</v>
      </c>
      <c r="P1773" s="18">
        <f t="shared" si="293"/>
        <v>41.780821917808218</v>
      </c>
      <c r="Q1773" s="18">
        <v>0</v>
      </c>
      <c r="R1773" s="18">
        <f t="shared" si="290"/>
        <v>190</v>
      </c>
      <c r="S1773" s="18">
        <f t="shared" si="295"/>
        <v>1</v>
      </c>
    </row>
    <row r="1774" spans="1:19" ht="18.75" customHeight="1" x14ac:dyDescent="0.25">
      <c r="A1774" s="14">
        <f t="shared" si="294"/>
        <v>1768</v>
      </c>
      <c r="B1774" s="21" t="s">
        <v>1543</v>
      </c>
      <c r="C1774" s="15" t="s">
        <v>3</v>
      </c>
      <c r="D1774" s="21" t="s">
        <v>1200</v>
      </c>
      <c r="E1774" s="21"/>
      <c r="F1774" s="69" t="s">
        <v>4</v>
      </c>
      <c r="G1774" s="9">
        <v>29221</v>
      </c>
      <c r="H1774" s="22">
        <v>40.600000000000023</v>
      </c>
      <c r="I1774" s="17">
        <v>0</v>
      </c>
      <c r="J1774" s="17">
        <v>0</v>
      </c>
      <c r="K1774" s="17">
        <f t="shared" si="291"/>
        <v>40.600000000000023</v>
      </c>
      <c r="L1774" s="23">
        <f t="shared" si="296"/>
        <v>2.0300000000000011</v>
      </c>
      <c r="M1774" s="23">
        <v>5</v>
      </c>
      <c r="N1774" s="18">
        <f t="shared" si="292"/>
        <v>41.279452054794518</v>
      </c>
      <c r="O1774" s="23">
        <v>385.7</v>
      </c>
      <c r="P1774" s="18">
        <f t="shared" si="293"/>
        <v>41.780821917808218</v>
      </c>
      <c r="Q1774" s="18">
        <v>0</v>
      </c>
      <c r="R1774" s="18">
        <f t="shared" si="290"/>
        <v>385.7</v>
      </c>
      <c r="S1774" s="18">
        <f t="shared" si="295"/>
        <v>2.0300000000000011</v>
      </c>
    </row>
    <row r="1775" spans="1:19" ht="18.75" customHeight="1" x14ac:dyDescent="0.25">
      <c r="A1775" s="14">
        <f t="shared" si="294"/>
        <v>1769</v>
      </c>
      <c r="B1775" s="21" t="s">
        <v>1544</v>
      </c>
      <c r="C1775" s="15" t="s">
        <v>3</v>
      </c>
      <c r="D1775" s="21" t="s">
        <v>1200</v>
      </c>
      <c r="E1775" s="21"/>
      <c r="F1775" s="69" t="s">
        <v>4</v>
      </c>
      <c r="G1775" s="9">
        <v>29221</v>
      </c>
      <c r="H1775" s="22">
        <v>20.100000000000023</v>
      </c>
      <c r="I1775" s="17">
        <v>0</v>
      </c>
      <c r="J1775" s="17">
        <v>0</v>
      </c>
      <c r="K1775" s="17">
        <f t="shared" si="291"/>
        <v>20.100000000000023</v>
      </c>
      <c r="L1775" s="23">
        <f t="shared" si="296"/>
        <v>1.0050000000000012</v>
      </c>
      <c r="M1775" s="23">
        <v>5</v>
      </c>
      <c r="N1775" s="18">
        <f t="shared" si="292"/>
        <v>41.279452054794518</v>
      </c>
      <c r="O1775" s="23">
        <v>190.95</v>
      </c>
      <c r="P1775" s="18">
        <f t="shared" si="293"/>
        <v>41.780821917808218</v>
      </c>
      <c r="Q1775" s="18">
        <v>0</v>
      </c>
      <c r="R1775" s="18">
        <f t="shared" si="290"/>
        <v>190.95</v>
      </c>
      <c r="S1775" s="18">
        <f t="shared" si="295"/>
        <v>1.0050000000000012</v>
      </c>
    </row>
    <row r="1776" spans="1:19" ht="18.75" customHeight="1" x14ac:dyDescent="0.25">
      <c r="A1776" s="14">
        <f t="shared" si="294"/>
        <v>1770</v>
      </c>
      <c r="B1776" s="21" t="s">
        <v>1540</v>
      </c>
      <c r="C1776" s="15" t="s">
        <v>3</v>
      </c>
      <c r="D1776" s="21" t="s">
        <v>1200</v>
      </c>
      <c r="E1776" s="21"/>
      <c r="F1776" s="69" t="s">
        <v>4</v>
      </c>
      <c r="G1776" s="9">
        <v>29221</v>
      </c>
      <c r="H1776" s="22">
        <v>3.6500000000000057</v>
      </c>
      <c r="I1776" s="17">
        <v>0</v>
      </c>
      <c r="J1776" s="17">
        <v>0</v>
      </c>
      <c r="K1776" s="17">
        <f t="shared" si="291"/>
        <v>3.6500000000000057</v>
      </c>
      <c r="L1776" s="23">
        <f t="shared" si="296"/>
        <v>0.1825000000000003</v>
      </c>
      <c r="M1776" s="23">
        <v>5</v>
      </c>
      <c r="N1776" s="18">
        <f t="shared" si="292"/>
        <v>41.279452054794518</v>
      </c>
      <c r="O1776" s="23">
        <v>34.674999999999997</v>
      </c>
      <c r="P1776" s="18">
        <f t="shared" si="293"/>
        <v>41.780821917808218</v>
      </c>
      <c r="Q1776" s="18">
        <v>0</v>
      </c>
      <c r="R1776" s="18">
        <f t="shared" si="290"/>
        <v>34.674999999999997</v>
      </c>
      <c r="S1776" s="18">
        <f t="shared" si="295"/>
        <v>0.1825000000000003</v>
      </c>
    </row>
    <row r="1777" spans="1:19" ht="18.75" customHeight="1" x14ac:dyDescent="0.25">
      <c r="A1777" s="14">
        <f t="shared" si="294"/>
        <v>1771</v>
      </c>
      <c r="B1777" s="21" t="s">
        <v>1545</v>
      </c>
      <c r="C1777" s="15" t="s">
        <v>3</v>
      </c>
      <c r="D1777" s="21" t="s">
        <v>1200</v>
      </c>
      <c r="E1777" s="21"/>
      <c r="F1777" s="69" t="s">
        <v>4</v>
      </c>
      <c r="G1777" s="9">
        <v>28856</v>
      </c>
      <c r="H1777" s="22">
        <v>71.599999999999909</v>
      </c>
      <c r="I1777" s="17">
        <v>0</v>
      </c>
      <c r="J1777" s="17">
        <v>0</v>
      </c>
      <c r="K1777" s="17">
        <f t="shared" si="291"/>
        <v>71.599999999999909</v>
      </c>
      <c r="L1777" s="23">
        <f t="shared" si="296"/>
        <v>3.5799999999999956</v>
      </c>
      <c r="M1777" s="23">
        <v>5</v>
      </c>
      <c r="N1777" s="18">
        <f t="shared" si="292"/>
        <v>42.279452054794518</v>
      </c>
      <c r="O1777" s="23">
        <v>680.2</v>
      </c>
      <c r="P1777" s="18">
        <f t="shared" si="293"/>
        <v>42.780821917808218</v>
      </c>
      <c r="Q1777" s="18">
        <v>0</v>
      </c>
      <c r="R1777" s="18">
        <f t="shared" si="290"/>
        <v>680.2</v>
      </c>
      <c r="S1777" s="18">
        <f t="shared" si="295"/>
        <v>3.5799999999999956</v>
      </c>
    </row>
    <row r="1778" spans="1:19" ht="18.75" customHeight="1" x14ac:dyDescent="0.25">
      <c r="A1778" s="14">
        <f t="shared" si="294"/>
        <v>1772</v>
      </c>
      <c r="B1778" s="21" t="s">
        <v>1546</v>
      </c>
      <c r="C1778" s="15" t="s">
        <v>3</v>
      </c>
      <c r="D1778" s="21" t="s">
        <v>1200</v>
      </c>
      <c r="E1778" s="21"/>
      <c r="F1778" s="69" t="s">
        <v>4</v>
      </c>
      <c r="G1778" s="9">
        <v>28856</v>
      </c>
      <c r="H1778" s="22">
        <v>18</v>
      </c>
      <c r="I1778" s="17">
        <v>0</v>
      </c>
      <c r="J1778" s="17">
        <v>0</v>
      </c>
      <c r="K1778" s="17">
        <f t="shared" si="291"/>
        <v>18</v>
      </c>
      <c r="L1778" s="23">
        <f t="shared" si="296"/>
        <v>0.9</v>
      </c>
      <c r="M1778" s="23">
        <v>5</v>
      </c>
      <c r="N1778" s="18">
        <f t="shared" si="292"/>
        <v>42.279452054794518</v>
      </c>
      <c r="O1778" s="23">
        <v>171</v>
      </c>
      <c r="P1778" s="18">
        <f t="shared" si="293"/>
        <v>42.780821917808218</v>
      </c>
      <c r="Q1778" s="18">
        <v>0</v>
      </c>
      <c r="R1778" s="18">
        <f t="shared" si="290"/>
        <v>171</v>
      </c>
      <c r="S1778" s="18">
        <f t="shared" si="295"/>
        <v>0.9</v>
      </c>
    </row>
    <row r="1779" spans="1:19" ht="18.75" customHeight="1" x14ac:dyDescent="0.25">
      <c r="A1779" s="14">
        <f t="shared" si="294"/>
        <v>1773</v>
      </c>
      <c r="B1779" s="21" t="s">
        <v>1547</v>
      </c>
      <c r="C1779" s="15" t="s">
        <v>3</v>
      </c>
      <c r="D1779" s="21" t="s">
        <v>1200</v>
      </c>
      <c r="E1779" s="21"/>
      <c r="F1779" s="69" t="s">
        <v>4</v>
      </c>
      <c r="G1779" s="9">
        <v>28856</v>
      </c>
      <c r="H1779" s="22">
        <v>12.75</v>
      </c>
      <c r="I1779" s="17">
        <v>0</v>
      </c>
      <c r="J1779" s="17">
        <v>0</v>
      </c>
      <c r="K1779" s="17">
        <f t="shared" si="291"/>
        <v>12.75</v>
      </c>
      <c r="L1779" s="23">
        <f t="shared" si="296"/>
        <v>0.63750000000000007</v>
      </c>
      <c r="M1779" s="23">
        <v>5</v>
      </c>
      <c r="N1779" s="18">
        <f t="shared" si="292"/>
        <v>42.279452054794518</v>
      </c>
      <c r="O1779" s="23">
        <v>121.125</v>
      </c>
      <c r="P1779" s="18">
        <f t="shared" si="293"/>
        <v>42.780821917808218</v>
      </c>
      <c r="Q1779" s="18">
        <v>0</v>
      </c>
      <c r="R1779" s="18">
        <f t="shared" si="290"/>
        <v>121.125</v>
      </c>
      <c r="S1779" s="18">
        <f t="shared" si="295"/>
        <v>0.63750000000000007</v>
      </c>
    </row>
    <row r="1780" spans="1:19" ht="18.75" customHeight="1" x14ac:dyDescent="0.25">
      <c r="A1780" s="14">
        <f t="shared" si="294"/>
        <v>1774</v>
      </c>
      <c r="B1780" s="21" t="s">
        <v>1526</v>
      </c>
      <c r="C1780" s="15" t="s">
        <v>3</v>
      </c>
      <c r="D1780" s="21" t="s">
        <v>1200</v>
      </c>
      <c r="E1780" s="21"/>
      <c r="F1780" s="69" t="s">
        <v>4</v>
      </c>
      <c r="G1780" s="9">
        <v>28856</v>
      </c>
      <c r="H1780" s="22">
        <v>130.65000000000009</v>
      </c>
      <c r="I1780" s="17">
        <v>0</v>
      </c>
      <c r="J1780" s="17">
        <v>0</v>
      </c>
      <c r="K1780" s="17">
        <f t="shared" si="291"/>
        <v>130.65000000000009</v>
      </c>
      <c r="L1780" s="23">
        <f t="shared" si="296"/>
        <v>6.5325000000000051</v>
      </c>
      <c r="M1780" s="23">
        <v>10</v>
      </c>
      <c r="N1780" s="18">
        <f t="shared" si="292"/>
        <v>42.279452054794518</v>
      </c>
      <c r="O1780" s="23">
        <v>1241.175</v>
      </c>
      <c r="P1780" s="18">
        <f t="shared" si="293"/>
        <v>42.780821917808218</v>
      </c>
      <c r="Q1780" s="18">
        <v>0</v>
      </c>
      <c r="R1780" s="18">
        <f t="shared" si="290"/>
        <v>1241.175</v>
      </c>
      <c r="S1780" s="18">
        <f t="shared" si="295"/>
        <v>6.5325000000000051</v>
      </c>
    </row>
    <row r="1781" spans="1:19" ht="18.75" customHeight="1" x14ac:dyDescent="0.25">
      <c r="A1781" s="14">
        <f t="shared" si="294"/>
        <v>1775</v>
      </c>
      <c r="B1781" s="21" t="s">
        <v>1548</v>
      </c>
      <c r="C1781" s="15" t="s">
        <v>3</v>
      </c>
      <c r="D1781" s="21" t="s">
        <v>1200</v>
      </c>
      <c r="E1781" s="21"/>
      <c r="F1781" s="69" t="s">
        <v>4</v>
      </c>
      <c r="G1781" s="9">
        <v>28491</v>
      </c>
      <c r="H1781" s="22">
        <v>150.59999999999991</v>
      </c>
      <c r="I1781" s="17">
        <v>0</v>
      </c>
      <c r="J1781" s="17">
        <v>0</v>
      </c>
      <c r="K1781" s="17">
        <f t="shared" si="291"/>
        <v>150.59999999999991</v>
      </c>
      <c r="L1781" s="23">
        <f t="shared" si="296"/>
        <v>7.5299999999999958</v>
      </c>
      <c r="M1781" s="23">
        <v>5</v>
      </c>
      <c r="N1781" s="18">
        <f t="shared" si="292"/>
        <v>43.279452054794518</v>
      </c>
      <c r="O1781" s="23">
        <v>1430.7</v>
      </c>
      <c r="P1781" s="18">
        <f t="shared" si="293"/>
        <v>43.780821917808218</v>
      </c>
      <c r="Q1781" s="18">
        <v>0</v>
      </c>
      <c r="R1781" s="18">
        <f t="shared" si="290"/>
        <v>1430.7</v>
      </c>
      <c r="S1781" s="18">
        <f t="shared" si="295"/>
        <v>7.5299999999999958</v>
      </c>
    </row>
    <row r="1782" spans="1:19" ht="18.75" customHeight="1" x14ac:dyDescent="0.25">
      <c r="A1782" s="14">
        <f t="shared" si="294"/>
        <v>1776</v>
      </c>
      <c r="B1782" s="21" t="s">
        <v>1549</v>
      </c>
      <c r="C1782" s="15" t="s">
        <v>3</v>
      </c>
      <c r="D1782" s="21" t="s">
        <v>1200</v>
      </c>
      <c r="E1782" s="21"/>
      <c r="F1782" s="69" t="s">
        <v>4</v>
      </c>
      <c r="G1782" s="9">
        <v>28491</v>
      </c>
      <c r="H1782" s="22">
        <v>21.550000000000011</v>
      </c>
      <c r="I1782" s="17">
        <v>0</v>
      </c>
      <c r="J1782" s="17">
        <v>0</v>
      </c>
      <c r="K1782" s="17">
        <f t="shared" si="291"/>
        <v>21.550000000000011</v>
      </c>
      <c r="L1782" s="23">
        <f t="shared" si="296"/>
        <v>1.0775000000000006</v>
      </c>
      <c r="M1782" s="23">
        <v>5</v>
      </c>
      <c r="N1782" s="18">
        <f t="shared" si="292"/>
        <v>43.279452054794518</v>
      </c>
      <c r="O1782" s="23">
        <v>204.72499999999999</v>
      </c>
      <c r="P1782" s="18">
        <f t="shared" si="293"/>
        <v>43.780821917808218</v>
      </c>
      <c r="Q1782" s="18">
        <v>0</v>
      </c>
      <c r="R1782" s="18">
        <f t="shared" si="290"/>
        <v>204.72499999999999</v>
      </c>
      <c r="S1782" s="18">
        <f t="shared" si="295"/>
        <v>1.0775000000000006</v>
      </c>
    </row>
    <row r="1783" spans="1:19" ht="18.75" customHeight="1" x14ac:dyDescent="0.25">
      <c r="A1783" s="14">
        <f t="shared" si="294"/>
        <v>1777</v>
      </c>
      <c r="B1783" s="21" t="s">
        <v>1550</v>
      </c>
      <c r="C1783" s="15" t="s">
        <v>3</v>
      </c>
      <c r="D1783" s="21" t="s">
        <v>1200</v>
      </c>
      <c r="E1783" s="21"/>
      <c r="F1783" s="69" t="s">
        <v>4</v>
      </c>
      <c r="G1783" s="9">
        <v>28491</v>
      </c>
      <c r="H1783" s="22">
        <v>14.449999999999989</v>
      </c>
      <c r="I1783" s="17">
        <v>0</v>
      </c>
      <c r="J1783" s="17">
        <v>0</v>
      </c>
      <c r="K1783" s="17">
        <f t="shared" si="291"/>
        <v>14.449999999999989</v>
      </c>
      <c r="L1783" s="23">
        <f t="shared" si="296"/>
        <v>0.72249999999999948</v>
      </c>
      <c r="M1783" s="23">
        <v>5</v>
      </c>
      <c r="N1783" s="18">
        <f t="shared" si="292"/>
        <v>43.279452054794518</v>
      </c>
      <c r="O1783" s="23">
        <v>137.27500000000001</v>
      </c>
      <c r="P1783" s="18">
        <f t="shared" si="293"/>
        <v>43.780821917808218</v>
      </c>
      <c r="Q1783" s="18">
        <v>0</v>
      </c>
      <c r="R1783" s="18">
        <f t="shared" si="290"/>
        <v>137.27500000000001</v>
      </c>
      <c r="S1783" s="18">
        <f t="shared" si="295"/>
        <v>0.72249999999999948</v>
      </c>
    </row>
    <row r="1784" spans="1:19" ht="18.75" customHeight="1" x14ac:dyDescent="0.25">
      <c r="A1784" s="14">
        <f t="shared" si="294"/>
        <v>1778</v>
      </c>
      <c r="B1784" s="21" t="s">
        <v>1551</v>
      </c>
      <c r="C1784" s="15" t="s">
        <v>3</v>
      </c>
      <c r="D1784" s="21" t="s">
        <v>1200</v>
      </c>
      <c r="E1784" s="21"/>
      <c r="F1784" s="69" t="s">
        <v>4</v>
      </c>
      <c r="G1784" s="9">
        <v>28491</v>
      </c>
      <c r="H1784" s="22">
        <v>13.75</v>
      </c>
      <c r="I1784" s="17">
        <v>0</v>
      </c>
      <c r="J1784" s="17">
        <v>0</v>
      </c>
      <c r="K1784" s="17">
        <f t="shared" si="291"/>
        <v>13.75</v>
      </c>
      <c r="L1784" s="23">
        <f t="shared" si="296"/>
        <v>0.6875</v>
      </c>
      <c r="M1784" s="23">
        <v>5</v>
      </c>
      <c r="N1784" s="18">
        <f t="shared" si="292"/>
        <v>43.279452054794518</v>
      </c>
      <c r="O1784" s="23">
        <v>130.625</v>
      </c>
      <c r="P1784" s="18">
        <f t="shared" si="293"/>
        <v>43.780821917808218</v>
      </c>
      <c r="Q1784" s="18">
        <v>0</v>
      </c>
      <c r="R1784" s="18">
        <f t="shared" si="290"/>
        <v>130.625</v>
      </c>
      <c r="S1784" s="18">
        <f t="shared" si="295"/>
        <v>0.6875</v>
      </c>
    </row>
    <row r="1785" spans="1:19" ht="18.75" customHeight="1" x14ac:dyDescent="0.25">
      <c r="A1785" s="14">
        <f t="shared" si="294"/>
        <v>1779</v>
      </c>
      <c r="B1785" s="21" t="s">
        <v>1523</v>
      </c>
      <c r="C1785" s="15" t="s">
        <v>3</v>
      </c>
      <c r="D1785" s="21" t="s">
        <v>1200</v>
      </c>
      <c r="E1785" s="21"/>
      <c r="F1785" s="69" t="s">
        <v>4</v>
      </c>
      <c r="G1785" s="9">
        <v>28491</v>
      </c>
      <c r="H1785" s="22">
        <v>39.850000000000023</v>
      </c>
      <c r="I1785" s="17">
        <v>0</v>
      </c>
      <c r="J1785" s="17">
        <v>0</v>
      </c>
      <c r="K1785" s="17">
        <f t="shared" si="291"/>
        <v>39.850000000000023</v>
      </c>
      <c r="L1785" s="23">
        <f t="shared" si="296"/>
        <v>1.9925000000000013</v>
      </c>
      <c r="M1785" s="23">
        <v>5</v>
      </c>
      <c r="N1785" s="18">
        <f t="shared" si="292"/>
        <v>43.279452054794518</v>
      </c>
      <c r="O1785" s="23">
        <v>378.57499999999999</v>
      </c>
      <c r="P1785" s="18">
        <f t="shared" si="293"/>
        <v>43.780821917808218</v>
      </c>
      <c r="Q1785" s="18">
        <v>0</v>
      </c>
      <c r="R1785" s="18">
        <f t="shared" si="290"/>
        <v>378.57499999999999</v>
      </c>
      <c r="S1785" s="18">
        <f t="shared" si="295"/>
        <v>1.9925000000000013</v>
      </c>
    </row>
    <row r="1786" spans="1:19" ht="18.75" customHeight="1" x14ac:dyDescent="0.25">
      <c r="A1786" s="14">
        <f t="shared" si="294"/>
        <v>1780</v>
      </c>
      <c r="B1786" s="21" t="s">
        <v>1552</v>
      </c>
      <c r="C1786" s="15" t="s">
        <v>3</v>
      </c>
      <c r="D1786" s="21" t="s">
        <v>1200</v>
      </c>
      <c r="E1786" s="21"/>
      <c r="F1786" s="69" t="s">
        <v>4</v>
      </c>
      <c r="G1786" s="9">
        <v>28491</v>
      </c>
      <c r="H1786" s="22">
        <v>70.5</v>
      </c>
      <c r="I1786" s="17">
        <v>0</v>
      </c>
      <c r="J1786" s="17">
        <v>0</v>
      </c>
      <c r="K1786" s="17">
        <f t="shared" si="291"/>
        <v>70.5</v>
      </c>
      <c r="L1786" s="23">
        <f t="shared" si="296"/>
        <v>3.5250000000000004</v>
      </c>
      <c r="M1786" s="23">
        <v>5</v>
      </c>
      <c r="N1786" s="18">
        <f t="shared" si="292"/>
        <v>43.279452054794518</v>
      </c>
      <c r="O1786" s="23">
        <v>669.75</v>
      </c>
      <c r="P1786" s="18">
        <f t="shared" si="293"/>
        <v>43.780821917808218</v>
      </c>
      <c r="Q1786" s="18">
        <v>0</v>
      </c>
      <c r="R1786" s="18">
        <f t="shared" si="290"/>
        <v>669.75</v>
      </c>
      <c r="S1786" s="18">
        <f t="shared" si="295"/>
        <v>3.5250000000000004</v>
      </c>
    </row>
    <row r="1787" spans="1:19" ht="18.75" customHeight="1" x14ac:dyDescent="0.25">
      <c r="A1787" s="14">
        <f t="shared" si="294"/>
        <v>1781</v>
      </c>
      <c r="B1787" s="21" t="s">
        <v>1553</v>
      </c>
      <c r="C1787" s="15" t="s">
        <v>3</v>
      </c>
      <c r="D1787" s="21" t="s">
        <v>1200</v>
      </c>
      <c r="E1787" s="21"/>
      <c r="F1787" s="69" t="s">
        <v>4</v>
      </c>
      <c r="G1787" s="9">
        <v>28491</v>
      </c>
      <c r="H1787" s="22">
        <v>22.449999999999989</v>
      </c>
      <c r="I1787" s="17">
        <v>0</v>
      </c>
      <c r="J1787" s="17">
        <v>0</v>
      </c>
      <c r="K1787" s="17">
        <f t="shared" si="291"/>
        <v>22.449999999999989</v>
      </c>
      <c r="L1787" s="23">
        <f t="shared" si="296"/>
        <v>1.1224999999999994</v>
      </c>
      <c r="M1787" s="23">
        <v>10</v>
      </c>
      <c r="N1787" s="18">
        <f t="shared" si="292"/>
        <v>43.279452054794518</v>
      </c>
      <c r="O1787" s="23">
        <v>213.27500000000001</v>
      </c>
      <c r="P1787" s="18">
        <f t="shared" si="293"/>
        <v>43.780821917808218</v>
      </c>
      <c r="Q1787" s="18">
        <v>0</v>
      </c>
      <c r="R1787" s="18">
        <f t="shared" si="290"/>
        <v>213.27500000000001</v>
      </c>
      <c r="S1787" s="18">
        <f t="shared" si="295"/>
        <v>1.1224999999999994</v>
      </c>
    </row>
    <row r="1788" spans="1:19" ht="18.75" customHeight="1" x14ac:dyDescent="0.25">
      <c r="A1788" s="14">
        <f t="shared" si="294"/>
        <v>1782</v>
      </c>
      <c r="B1788" s="21" t="s">
        <v>1554</v>
      </c>
      <c r="C1788" s="15" t="s">
        <v>3</v>
      </c>
      <c r="D1788" s="21" t="s">
        <v>1200</v>
      </c>
      <c r="E1788" s="21"/>
      <c r="F1788" s="69" t="s">
        <v>4</v>
      </c>
      <c r="G1788" s="9">
        <v>28491</v>
      </c>
      <c r="H1788" s="22">
        <v>11.949999999999989</v>
      </c>
      <c r="I1788" s="17">
        <v>0</v>
      </c>
      <c r="J1788" s="17">
        <v>0</v>
      </c>
      <c r="K1788" s="17">
        <f t="shared" si="291"/>
        <v>11.949999999999989</v>
      </c>
      <c r="L1788" s="23">
        <f t="shared" si="296"/>
        <v>0.59749999999999948</v>
      </c>
      <c r="M1788" s="23">
        <v>5</v>
      </c>
      <c r="N1788" s="18">
        <f t="shared" si="292"/>
        <v>43.279452054794518</v>
      </c>
      <c r="O1788" s="23">
        <v>113.52500000000001</v>
      </c>
      <c r="P1788" s="18">
        <f t="shared" si="293"/>
        <v>43.780821917808218</v>
      </c>
      <c r="Q1788" s="18">
        <v>0</v>
      </c>
      <c r="R1788" s="18">
        <f t="shared" si="290"/>
        <v>113.52500000000001</v>
      </c>
      <c r="S1788" s="18">
        <f t="shared" si="295"/>
        <v>0.59749999999999948</v>
      </c>
    </row>
    <row r="1789" spans="1:19" ht="18.75" customHeight="1" x14ac:dyDescent="0.25">
      <c r="A1789" s="14">
        <f t="shared" si="294"/>
        <v>1783</v>
      </c>
      <c r="B1789" s="21" t="s">
        <v>1555</v>
      </c>
      <c r="C1789" s="15" t="s">
        <v>3</v>
      </c>
      <c r="D1789" s="21" t="s">
        <v>1200</v>
      </c>
      <c r="E1789" s="21"/>
      <c r="F1789" s="69" t="s">
        <v>4</v>
      </c>
      <c r="G1789" s="9">
        <v>28491</v>
      </c>
      <c r="H1789" s="22">
        <v>2.6499999999999986</v>
      </c>
      <c r="I1789" s="17">
        <v>0</v>
      </c>
      <c r="J1789" s="17">
        <v>0</v>
      </c>
      <c r="K1789" s="17">
        <f t="shared" si="291"/>
        <v>2.6499999999999986</v>
      </c>
      <c r="L1789" s="23">
        <f t="shared" si="296"/>
        <v>0.13249999999999992</v>
      </c>
      <c r="M1789" s="23">
        <v>5</v>
      </c>
      <c r="N1789" s="18">
        <f t="shared" si="292"/>
        <v>43.279452054794518</v>
      </c>
      <c r="O1789" s="23">
        <v>25.175000000000001</v>
      </c>
      <c r="P1789" s="18">
        <f t="shared" si="293"/>
        <v>43.780821917808218</v>
      </c>
      <c r="Q1789" s="18">
        <v>0</v>
      </c>
      <c r="R1789" s="18">
        <f t="shared" si="290"/>
        <v>25.175000000000001</v>
      </c>
      <c r="S1789" s="18">
        <f t="shared" si="295"/>
        <v>0.13249999999999992</v>
      </c>
    </row>
    <row r="1790" spans="1:19" ht="18.75" customHeight="1" x14ac:dyDescent="0.25">
      <c r="A1790" s="14">
        <f t="shared" si="294"/>
        <v>1784</v>
      </c>
      <c r="B1790" s="21" t="s">
        <v>1556</v>
      </c>
      <c r="C1790" s="15" t="s">
        <v>3</v>
      </c>
      <c r="D1790" s="21" t="s">
        <v>1200</v>
      </c>
      <c r="E1790" s="21"/>
      <c r="F1790" s="69" t="s">
        <v>4</v>
      </c>
      <c r="G1790" s="9">
        <v>28491</v>
      </c>
      <c r="H1790" s="22">
        <v>4.0999999999999943</v>
      </c>
      <c r="I1790" s="17">
        <v>0</v>
      </c>
      <c r="J1790" s="17">
        <v>0</v>
      </c>
      <c r="K1790" s="17">
        <f t="shared" si="291"/>
        <v>4.0999999999999943</v>
      </c>
      <c r="L1790" s="23">
        <f t="shared" si="296"/>
        <v>0.20499999999999974</v>
      </c>
      <c r="M1790" s="23">
        <v>10</v>
      </c>
      <c r="N1790" s="18">
        <f t="shared" si="292"/>
        <v>43.279452054794518</v>
      </c>
      <c r="O1790" s="23">
        <v>38.950000000000003</v>
      </c>
      <c r="P1790" s="18">
        <f t="shared" si="293"/>
        <v>43.780821917808218</v>
      </c>
      <c r="Q1790" s="18">
        <v>0</v>
      </c>
      <c r="R1790" s="18">
        <f t="shared" si="290"/>
        <v>38.950000000000003</v>
      </c>
      <c r="S1790" s="18">
        <f t="shared" si="295"/>
        <v>0.20499999999999974</v>
      </c>
    </row>
    <row r="1791" spans="1:19" ht="18.75" customHeight="1" x14ac:dyDescent="0.25">
      <c r="A1791" s="14">
        <f t="shared" si="294"/>
        <v>1785</v>
      </c>
      <c r="B1791" s="21" t="s">
        <v>1557</v>
      </c>
      <c r="C1791" s="15" t="s">
        <v>3</v>
      </c>
      <c r="D1791" s="21" t="s">
        <v>1200</v>
      </c>
      <c r="E1791" s="21"/>
      <c r="F1791" s="69" t="s">
        <v>4</v>
      </c>
      <c r="G1791" s="9">
        <v>28491</v>
      </c>
      <c r="H1791" s="22">
        <v>1.3999999999999986</v>
      </c>
      <c r="I1791" s="17">
        <v>0</v>
      </c>
      <c r="J1791" s="17">
        <v>0</v>
      </c>
      <c r="K1791" s="17">
        <f t="shared" si="291"/>
        <v>1.3999999999999986</v>
      </c>
      <c r="L1791" s="23">
        <f t="shared" si="296"/>
        <v>6.9999999999999937E-2</v>
      </c>
      <c r="M1791" s="23">
        <v>5</v>
      </c>
      <c r="N1791" s="18">
        <f t="shared" si="292"/>
        <v>43.279452054794518</v>
      </c>
      <c r="O1791" s="23">
        <v>13.3</v>
      </c>
      <c r="P1791" s="18">
        <f t="shared" si="293"/>
        <v>43.780821917808218</v>
      </c>
      <c r="Q1791" s="18">
        <v>0</v>
      </c>
      <c r="R1791" s="18">
        <f t="shared" si="290"/>
        <v>13.3</v>
      </c>
      <c r="S1791" s="18">
        <f t="shared" si="295"/>
        <v>6.9999999999999937E-2</v>
      </c>
    </row>
    <row r="1792" spans="1:19" ht="18.75" customHeight="1" x14ac:dyDescent="0.25">
      <c r="A1792" s="14">
        <f t="shared" si="294"/>
        <v>1786</v>
      </c>
      <c r="B1792" s="21" t="s">
        <v>1558</v>
      </c>
      <c r="C1792" s="15" t="s">
        <v>3</v>
      </c>
      <c r="D1792" s="21" t="s">
        <v>1200</v>
      </c>
      <c r="E1792" s="21"/>
      <c r="F1792" s="69" t="s">
        <v>4</v>
      </c>
      <c r="G1792" s="9">
        <v>28491</v>
      </c>
      <c r="H1792" s="22">
        <v>0.69999999999999929</v>
      </c>
      <c r="I1792" s="17">
        <v>0</v>
      </c>
      <c r="J1792" s="17">
        <v>0</v>
      </c>
      <c r="K1792" s="17">
        <f t="shared" si="291"/>
        <v>0.69999999999999929</v>
      </c>
      <c r="L1792" s="23">
        <f t="shared" si="296"/>
        <v>3.4999999999999969E-2</v>
      </c>
      <c r="M1792" s="23">
        <v>10</v>
      </c>
      <c r="N1792" s="18">
        <f t="shared" si="292"/>
        <v>43.279452054794518</v>
      </c>
      <c r="O1792" s="23">
        <v>6.65</v>
      </c>
      <c r="P1792" s="18">
        <f t="shared" si="293"/>
        <v>43.780821917808218</v>
      </c>
      <c r="Q1792" s="18">
        <v>0</v>
      </c>
      <c r="R1792" s="18">
        <f t="shared" si="290"/>
        <v>6.65</v>
      </c>
      <c r="S1792" s="18">
        <f t="shared" si="295"/>
        <v>3.4999999999999969E-2</v>
      </c>
    </row>
    <row r="1793" spans="1:19" ht="18.75" customHeight="1" x14ac:dyDescent="0.25">
      <c r="A1793" s="14">
        <f t="shared" si="294"/>
        <v>1787</v>
      </c>
      <c r="B1793" s="21" t="s">
        <v>1559</v>
      </c>
      <c r="C1793" s="15" t="s">
        <v>3</v>
      </c>
      <c r="D1793" s="21" t="s">
        <v>1200</v>
      </c>
      <c r="E1793" s="21"/>
      <c r="F1793" s="69" t="s">
        <v>4</v>
      </c>
      <c r="G1793" s="9">
        <v>28126</v>
      </c>
      <c r="H1793" s="22">
        <v>77.900000000000091</v>
      </c>
      <c r="I1793" s="17">
        <v>0</v>
      </c>
      <c r="J1793" s="17">
        <v>0</v>
      </c>
      <c r="K1793" s="17">
        <f t="shared" si="291"/>
        <v>77.900000000000091</v>
      </c>
      <c r="L1793" s="23">
        <f t="shared" si="296"/>
        <v>3.8950000000000049</v>
      </c>
      <c r="M1793" s="23">
        <v>5</v>
      </c>
      <c r="N1793" s="18">
        <f t="shared" si="292"/>
        <v>44.279452054794518</v>
      </c>
      <c r="O1793" s="23">
        <v>740.05</v>
      </c>
      <c r="P1793" s="18">
        <f t="shared" si="293"/>
        <v>44.780821917808218</v>
      </c>
      <c r="Q1793" s="18">
        <v>0</v>
      </c>
      <c r="R1793" s="18">
        <f t="shared" si="290"/>
        <v>740.05</v>
      </c>
      <c r="S1793" s="18">
        <f t="shared" si="295"/>
        <v>3.8950000000000049</v>
      </c>
    </row>
    <row r="1794" spans="1:19" ht="18.75" customHeight="1" x14ac:dyDescent="0.25">
      <c r="A1794" s="14">
        <f t="shared" si="294"/>
        <v>1788</v>
      </c>
      <c r="B1794" s="21" t="s">
        <v>964</v>
      </c>
      <c r="C1794" s="15" t="s">
        <v>3</v>
      </c>
      <c r="D1794" s="21" t="s">
        <v>1200</v>
      </c>
      <c r="E1794" s="21"/>
      <c r="F1794" s="69" t="s">
        <v>4</v>
      </c>
      <c r="G1794" s="9">
        <v>28126</v>
      </c>
      <c r="H1794" s="22">
        <v>200.19999999999982</v>
      </c>
      <c r="I1794" s="17">
        <v>0</v>
      </c>
      <c r="J1794" s="17">
        <v>0</v>
      </c>
      <c r="K1794" s="17">
        <f t="shared" si="291"/>
        <v>200.19999999999982</v>
      </c>
      <c r="L1794" s="23">
        <f t="shared" si="296"/>
        <v>10.009999999999991</v>
      </c>
      <c r="M1794" s="23">
        <v>5</v>
      </c>
      <c r="N1794" s="18">
        <f t="shared" si="292"/>
        <v>44.279452054794518</v>
      </c>
      <c r="O1794" s="23">
        <v>1901.9</v>
      </c>
      <c r="P1794" s="18">
        <f t="shared" si="293"/>
        <v>44.780821917808218</v>
      </c>
      <c r="Q1794" s="18">
        <v>0</v>
      </c>
      <c r="R1794" s="18">
        <f t="shared" si="290"/>
        <v>1901.9</v>
      </c>
      <c r="S1794" s="18">
        <f t="shared" si="295"/>
        <v>10.009999999999991</v>
      </c>
    </row>
    <row r="1795" spans="1:19" ht="18.75" customHeight="1" x14ac:dyDescent="0.25">
      <c r="A1795" s="14">
        <f t="shared" si="294"/>
        <v>1789</v>
      </c>
      <c r="B1795" s="21" t="s">
        <v>1560</v>
      </c>
      <c r="C1795" s="15" t="s">
        <v>3</v>
      </c>
      <c r="D1795" s="21" t="s">
        <v>1200</v>
      </c>
      <c r="E1795" s="21"/>
      <c r="F1795" s="69" t="s">
        <v>4</v>
      </c>
      <c r="G1795" s="9">
        <v>28126</v>
      </c>
      <c r="H1795" s="22">
        <v>57.349999999999909</v>
      </c>
      <c r="I1795" s="17">
        <v>0</v>
      </c>
      <c r="J1795" s="17">
        <v>0</v>
      </c>
      <c r="K1795" s="17">
        <f t="shared" si="291"/>
        <v>57.349999999999909</v>
      </c>
      <c r="L1795" s="23">
        <f t="shared" si="296"/>
        <v>2.8674999999999957</v>
      </c>
      <c r="M1795" s="23">
        <v>5</v>
      </c>
      <c r="N1795" s="18">
        <f t="shared" si="292"/>
        <v>44.279452054794518</v>
      </c>
      <c r="O1795" s="23">
        <v>544.82500000000005</v>
      </c>
      <c r="P1795" s="18">
        <f t="shared" si="293"/>
        <v>44.780821917808218</v>
      </c>
      <c r="Q1795" s="18">
        <v>0</v>
      </c>
      <c r="R1795" s="18">
        <f t="shared" si="290"/>
        <v>544.82500000000005</v>
      </c>
      <c r="S1795" s="18">
        <f t="shared" si="295"/>
        <v>2.8674999999999957</v>
      </c>
    </row>
    <row r="1796" spans="1:19" ht="18.75" customHeight="1" x14ac:dyDescent="0.25">
      <c r="A1796" s="14">
        <f t="shared" si="294"/>
        <v>1790</v>
      </c>
      <c r="B1796" s="21" t="s">
        <v>1521</v>
      </c>
      <c r="C1796" s="15" t="s">
        <v>3</v>
      </c>
      <c r="D1796" s="21" t="s">
        <v>1200</v>
      </c>
      <c r="E1796" s="21"/>
      <c r="F1796" s="69" t="s">
        <v>4</v>
      </c>
      <c r="G1796" s="9">
        <v>28126</v>
      </c>
      <c r="H1796" s="22">
        <v>12.75</v>
      </c>
      <c r="I1796" s="17">
        <v>0</v>
      </c>
      <c r="J1796" s="17">
        <v>0</v>
      </c>
      <c r="K1796" s="17">
        <f t="shared" si="291"/>
        <v>12.75</v>
      </c>
      <c r="L1796" s="23">
        <f t="shared" si="296"/>
        <v>0.63750000000000007</v>
      </c>
      <c r="M1796" s="23">
        <v>5</v>
      </c>
      <c r="N1796" s="18">
        <f t="shared" si="292"/>
        <v>44.279452054794518</v>
      </c>
      <c r="O1796" s="23">
        <v>121.125</v>
      </c>
      <c r="P1796" s="18">
        <f t="shared" si="293"/>
        <v>44.780821917808218</v>
      </c>
      <c r="Q1796" s="18">
        <v>0</v>
      </c>
      <c r="R1796" s="18">
        <f t="shared" ref="R1796:R1859" si="297">Q1796+O1796</f>
        <v>121.125</v>
      </c>
      <c r="S1796" s="18">
        <f t="shared" si="295"/>
        <v>0.63750000000000007</v>
      </c>
    </row>
    <row r="1797" spans="1:19" ht="18.75" customHeight="1" x14ac:dyDescent="0.25">
      <c r="A1797" s="14">
        <f t="shared" si="294"/>
        <v>1791</v>
      </c>
      <c r="B1797" s="21" t="s">
        <v>1561</v>
      </c>
      <c r="C1797" s="15" t="s">
        <v>3</v>
      </c>
      <c r="D1797" s="21" t="s">
        <v>1200</v>
      </c>
      <c r="E1797" s="21"/>
      <c r="F1797" s="69" t="s">
        <v>4</v>
      </c>
      <c r="G1797" s="9">
        <v>28126</v>
      </c>
      <c r="H1797" s="22">
        <v>1.1499999999999986</v>
      </c>
      <c r="I1797" s="17">
        <v>0</v>
      </c>
      <c r="J1797" s="17">
        <v>0</v>
      </c>
      <c r="K1797" s="17">
        <f t="shared" ref="K1797:K1860" si="298">H1797+I1797-J1797</f>
        <v>1.1499999999999986</v>
      </c>
      <c r="L1797" s="23">
        <f t="shared" si="296"/>
        <v>5.7499999999999933E-2</v>
      </c>
      <c r="M1797" s="23">
        <v>5</v>
      </c>
      <c r="N1797" s="18">
        <f t="shared" ref="N1797:N1860" si="299">IF(($N$2-G1797+1)/365&gt;0,($N$2-G1797+1)/365,0)</f>
        <v>44.279452054794518</v>
      </c>
      <c r="O1797" s="23">
        <v>10.925000000000001</v>
      </c>
      <c r="P1797" s="18">
        <f t="shared" ref="P1797:P1860" si="300">($P$2-G1797+1)/365</f>
        <v>44.780821917808218</v>
      </c>
      <c r="Q1797" s="18">
        <v>0</v>
      </c>
      <c r="R1797" s="18">
        <f t="shared" si="297"/>
        <v>10.925000000000001</v>
      </c>
      <c r="S1797" s="18">
        <f t="shared" si="295"/>
        <v>5.7499999999999933E-2</v>
      </c>
    </row>
    <row r="1798" spans="1:19" ht="18.75" customHeight="1" x14ac:dyDescent="0.25">
      <c r="A1798" s="14">
        <f t="shared" ref="A1798:A1861" si="301">+A1797+1</f>
        <v>1792</v>
      </c>
      <c r="B1798" s="21" t="s">
        <v>1200</v>
      </c>
      <c r="C1798" s="15" t="s">
        <v>3</v>
      </c>
      <c r="D1798" s="21" t="s">
        <v>1200</v>
      </c>
      <c r="E1798" s="21"/>
      <c r="F1798" s="69" t="s">
        <v>4</v>
      </c>
      <c r="G1798" s="9">
        <v>28126</v>
      </c>
      <c r="H1798" s="22">
        <v>54.099999999999909</v>
      </c>
      <c r="I1798" s="17">
        <v>0</v>
      </c>
      <c r="J1798" s="17">
        <v>0</v>
      </c>
      <c r="K1798" s="17">
        <f t="shared" si="298"/>
        <v>54.099999999999909</v>
      </c>
      <c r="L1798" s="23">
        <f t="shared" si="296"/>
        <v>2.7049999999999956</v>
      </c>
      <c r="M1798" s="23">
        <v>5</v>
      </c>
      <c r="N1798" s="18">
        <f t="shared" si="299"/>
        <v>44.279452054794518</v>
      </c>
      <c r="O1798" s="23">
        <v>513.95000000000005</v>
      </c>
      <c r="P1798" s="18">
        <f t="shared" si="300"/>
        <v>44.780821917808218</v>
      </c>
      <c r="Q1798" s="18">
        <v>0</v>
      </c>
      <c r="R1798" s="18">
        <f t="shared" si="297"/>
        <v>513.95000000000005</v>
      </c>
      <c r="S1798" s="18">
        <f t="shared" si="295"/>
        <v>2.7049999999999956</v>
      </c>
    </row>
    <row r="1799" spans="1:19" ht="18.75" customHeight="1" x14ac:dyDescent="0.25">
      <c r="A1799" s="14">
        <f t="shared" si="301"/>
        <v>1793</v>
      </c>
      <c r="B1799" s="21" t="s">
        <v>1562</v>
      </c>
      <c r="C1799" s="15" t="s">
        <v>3</v>
      </c>
      <c r="D1799" s="21" t="s">
        <v>1200</v>
      </c>
      <c r="E1799" s="21"/>
      <c r="F1799" s="69" t="s">
        <v>4</v>
      </c>
      <c r="G1799" s="9">
        <v>28126</v>
      </c>
      <c r="H1799" s="22">
        <v>74.150000000000091</v>
      </c>
      <c r="I1799" s="17">
        <v>0</v>
      </c>
      <c r="J1799" s="17">
        <v>0</v>
      </c>
      <c r="K1799" s="17">
        <f t="shared" si="298"/>
        <v>74.150000000000091</v>
      </c>
      <c r="L1799" s="23">
        <f t="shared" si="296"/>
        <v>3.7075000000000049</v>
      </c>
      <c r="M1799" s="23">
        <v>10</v>
      </c>
      <c r="N1799" s="18">
        <f t="shared" si="299"/>
        <v>44.279452054794518</v>
      </c>
      <c r="O1799" s="23">
        <v>704.42499999999995</v>
      </c>
      <c r="P1799" s="18">
        <f t="shared" si="300"/>
        <v>44.780821917808218</v>
      </c>
      <c r="Q1799" s="18">
        <v>0</v>
      </c>
      <c r="R1799" s="18">
        <f t="shared" si="297"/>
        <v>704.42499999999995</v>
      </c>
      <c r="S1799" s="18">
        <f t="shared" si="295"/>
        <v>3.7075000000000049</v>
      </c>
    </row>
    <row r="1800" spans="1:19" ht="18.75" customHeight="1" x14ac:dyDescent="0.25">
      <c r="A1800" s="14">
        <f t="shared" si="301"/>
        <v>1794</v>
      </c>
      <c r="B1800" s="21" t="s">
        <v>1563</v>
      </c>
      <c r="C1800" s="15" t="s">
        <v>3</v>
      </c>
      <c r="D1800" s="21" t="s">
        <v>1200</v>
      </c>
      <c r="E1800" s="21"/>
      <c r="F1800" s="69" t="s">
        <v>4</v>
      </c>
      <c r="G1800" s="9">
        <v>28126</v>
      </c>
      <c r="H1800" s="22">
        <v>17.800000000000011</v>
      </c>
      <c r="I1800" s="17">
        <v>0</v>
      </c>
      <c r="J1800" s="17">
        <v>0</v>
      </c>
      <c r="K1800" s="17">
        <f t="shared" si="298"/>
        <v>17.800000000000011</v>
      </c>
      <c r="L1800" s="23">
        <f t="shared" si="296"/>
        <v>0.89000000000000057</v>
      </c>
      <c r="M1800" s="23">
        <v>5</v>
      </c>
      <c r="N1800" s="18">
        <f t="shared" si="299"/>
        <v>44.279452054794518</v>
      </c>
      <c r="O1800" s="23">
        <v>169.1</v>
      </c>
      <c r="P1800" s="18">
        <f t="shared" si="300"/>
        <v>44.780821917808218</v>
      </c>
      <c r="Q1800" s="18">
        <v>0</v>
      </c>
      <c r="R1800" s="18">
        <f t="shared" si="297"/>
        <v>169.1</v>
      </c>
      <c r="S1800" s="18">
        <f t="shared" si="295"/>
        <v>0.89000000000000057</v>
      </c>
    </row>
    <row r="1801" spans="1:19" ht="18.75" customHeight="1" x14ac:dyDescent="0.25">
      <c r="A1801" s="14">
        <f t="shared" si="301"/>
        <v>1795</v>
      </c>
      <c r="B1801" s="21" t="s">
        <v>1564</v>
      </c>
      <c r="C1801" s="15" t="s">
        <v>3</v>
      </c>
      <c r="D1801" s="21" t="s">
        <v>1200</v>
      </c>
      <c r="E1801" s="21"/>
      <c r="F1801" s="69" t="s">
        <v>4</v>
      </c>
      <c r="G1801" s="9">
        <v>28126</v>
      </c>
      <c r="H1801" s="22">
        <v>3.8499999999999943</v>
      </c>
      <c r="I1801" s="17">
        <v>0</v>
      </c>
      <c r="J1801" s="17">
        <v>0</v>
      </c>
      <c r="K1801" s="17">
        <f t="shared" si="298"/>
        <v>3.8499999999999943</v>
      </c>
      <c r="L1801" s="23">
        <f t="shared" si="296"/>
        <v>0.19249999999999973</v>
      </c>
      <c r="M1801" s="23">
        <v>10</v>
      </c>
      <c r="N1801" s="18">
        <f t="shared" si="299"/>
        <v>44.279452054794518</v>
      </c>
      <c r="O1801" s="23">
        <v>36.575000000000003</v>
      </c>
      <c r="P1801" s="18">
        <f t="shared" si="300"/>
        <v>44.780821917808218</v>
      </c>
      <c r="Q1801" s="18">
        <v>0</v>
      </c>
      <c r="R1801" s="18">
        <f t="shared" si="297"/>
        <v>36.575000000000003</v>
      </c>
      <c r="S1801" s="18">
        <f t="shared" si="295"/>
        <v>0.19249999999999973</v>
      </c>
    </row>
    <row r="1802" spans="1:19" ht="18.75" customHeight="1" x14ac:dyDescent="0.25">
      <c r="A1802" s="14">
        <f t="shared" si="301"/>
        <v>1796</v>
      </c>
      <c r="B1802" s="21" t="s">
        <v>1565</v>
      </c>
      <c r="C1802" s="15" t="s">
        <v>3</v>
      </c>
      <c r="D1802" s="21" t="s">
        <v>1200</v>
      </c>
      <c r="E1802" s="21"/>
      <c r="F1802" s="69" t="s">
        <v>4</v>
      </c>
      <c r="G1802" s="9">
        <v>27760</v>
      </c>
      <c r="H1802" s="22">
        <v>32</v>
      </c>
      <c r="I1802" s="17">
        <v>0</v>
      </c>
      <c r="J1802" s="17">
        <v>0</v>
      </c>
      <c r="K1802" s="17">
        <f t="shared" si="298"/>
        <v>32</v>
      </c>
      <c r="L1802" s="23">
        <f t="shared" si="296"/>
        <v>1.6</v>
      </c>
      <c r="M1802" s="23">
        <v>5</v>
      </c>
      <c r="N1802" s="18">
        <f t="shared" si="299"/>
        <v>45.282191780821918</v>
      </c>
      <c r="O1802" s="23">
        <v>304</v>
      </c>
      <c r="P1802" s="18">
        <f t="shared" si="300"/>
        <v>45.783561643835618</v>
      </c>
      <c r="Q1802" s="18">
        <v>0</v>
      </c>
      <c r="R1802" s="18">
        <f t="shared" si="297"/>
        <v>304</v>
      </c>
      <c r="S1802" s="18">
        <f t="shared" si="295"/>
        <v>1.6</v>
      </c>
    </row>
    <row r="1803" spans="1:19" ht="18.75" customHeight="1" x14ac:dyDescent="0.25">
      <c r="A1803" s="14">
        <f t="shared" si="301"/>
        <v>1797</v>
      </c>
      <c r="B1803" s="21" t="s">
        <v>1566</v>
      </c>
      <c r="C1803" s="15" t="s">
        <v>3</v>
      </c>
      <c r="D1803" s="21" t="s">
        <v>1200</v>
      </c>
      <c r="E1803" s="21"/>
      <c r="F1803" s="69" t="s">
        <v>4</v>
      </c>
      <c r="G1803" s="9">
        <v>27760</v>
      </c>
      <c r="H1803" s="22">
        <v>206.05000000000018</v>
      </c>
      <c r="I1803" s="17">
        <v>0</v>
      </c>
      <c r="J1803" s="17">
        <v>0</v>
      </c>
      <c r="K1803" s="17">
        <f t="shared" si="298"/>
        <v>206.05000000000018</v>
      </c>
      <c r="L1803" s="23">
        <f t="shared" si="296"/>
        <v>10.302500000000009</v>
      </c>
      <c r="M1803" s="23">
        <v>5</v>
      </c>
      <c r="N1803" s="18">
        <f t="shared" si="299"/>
        <v>45.282191780821918</v>
      </c>
      <c r="O1803" s="23">
        <v>1957.4749999999999</v>
      </c>
      <c r="P1803" s="18">
        <f t="shared" si="300"/>
        <v>45.783561643835618</v>
      </c>
      <c r="Q1803" s="18">
        <v>0</v>
      </c>
      <c r="R1803" s="18">
        <f t="shared" si="297"/>
        <v>1957.4749999999999</v>
      </c>
      <c r="S1803" s="18">
        <f t="shared" si="295"/>
        <v>10.302500000000009</v>
      </c>
    </row>
    <row r="1804" spans="1:19" ht="18.75" customHeight="1" x14ac:dyDescent="0.25">
      <c r="A1804" s="14">
        <f t="shared" si="301"/>
        <v>1798</v>
      </c>
      <c r="B1804" s="21" t="s">
        <v>1567</v>
      </c>
      <c r="C1804" s="15" t="s">
        <v>3</v>
      </c>
      <c r="D1804" s="21" t="s">
        <v>1200</v>
      </c>
      <c r="E1804" s="21"/>
      <c r="F1804" s="69" t="s">
        <v>4</v>
      </c>
      <c r="G1804" s="9">
        <v>27760</v>
      </c>
      <c r="H1804" s="22">
        <v>31.799999999999955</v>
      </c>
      <c r="I1804" s="17">
        <v>0</v>
      </c>
      <c r="J1804" s="17">
        <v>0</v>
      </c>
      <c r="K1804" s="17">
        <f t="shared" si="298"/>
        <v>31.799999999999955</v>
      </c>
      <c r="L1804" s="23">
        <f t="shared" si="296"/>
        <v>1.5899999999999979</v>
      </c>
      <c r="M1804" s="23">
        <v>5</v>
      </c>
      <c r="N1804" s="18">
        <f t="shared" si="299"/>
        <v>45.282191780821918</v>
      </c>
      <c r="O1804" s="23">
        <v>302.10000000000002</v>
      </c>
      <c r="P1804" s="18">
        <f t="shared" si="300"/>
        <v>45.783561643835618</v>
      </c>
      <c r="Q1804" s="18">
        <v>0</v>
      </c>
      <c r="R1804" s="18">
        <f t="shared" si="297"/>
        <v>302.10000000000002</v>
      </c>
      <c r="S1804" s="18">
        <f t="shared" si="295"/>
        <v>1.5899999999999979</v>
      </c>
    </row>
    <row r="1805" spans="1:19" ht="18.75" customHeight="1" x14ac:dyDescent="0.25">
      <c r="A1805" s="14">
        <f t="shared" si="301"/>
        <v>1799</v>
      </c>
      <c r="B1805" s="21" t="s">
        <v>1490</v>
      </c>
      <c r="C1805" s="15" t="s">
        <v>3</v>
      </c>
      <c r="D1805" s="21" t="s">
        <v>1200</v>
      </c>
      <c r="E1805" s="21"/>
      <c r="F1805" s="69" t="s">
        <v>4</v>
      </c>
      <c r="G1805" s="9">
        <v>27395</v>
      </c>
      <c r="H1805" s="22">
        <v>113.30000000000018</v>
      </c>
      <c r="I1805" s="17">
        <v>0</v>
      </c>
      <c r="J1805" s="17">
        <v>0</v>
      </c>
      <c r="K1805" s="17">
        <f t="shared" si="298"/>
        <v>113.30000000000018</v>
      </c>
      <c r="L1805" s="23">
        <f t="shared" si="296"/>
        <v>5.6650000000000098</v>
      </c>
      <c r="M1805" s="23">
        <v>5</v>
      </c>
      <c r="N1805" s="18">
        <f t="shared" si="299"/>
        <v>46.282191780821918</v>
      </c>
      <c r="O1805" s="23">
        <v>1076.3499999999999</v>
      </c>
      <c r="P1805" s="18">
        <f t="shared" si="300"/>
        <v>46.783561643835618</v>
      </c>
      <c r="Q1805" s="18">
        <v>0</v>
      </c>
      <c r="R1805" s="18">
        <f t="shared" si="297"/>
        <v>1076.3499999999999</v>
      </c>
      <c r="S1805" s="18">
        <f t="shared" si="295"/>
        <v>5.6650000000000098</v>
      </c>
    </row>
    <row r="1806" spans="1:19" ht="18.75" customHeight="1" x14ac:dyDescent="0.25">
      <c r="A1806" s="14">
        <f t="shared" si="301"/>
        <v>1800</v>
      </c>
      <c r="B1806" s="21" t="s">
        <v>1469</v>
      </c>
      <c r="C1806" s="15" t="s">
        <v>3</v>
      </c>
      <c r="D1806" s="21" t="s">
        <v>1200</v>
      </c>
      <c r="E1806" s="21"/>
      <c r="F1806" s="69" t="s">
        <v>4</v>
      </c>
      <c r="G1806" s="9">
        <v>27395</v>
      </c>
      <c r="H1806" s="22">
        <v>25.300000000000011</v>
      </c>
      <c r="I1806" s="17">
        <v>0</v>
      </c>
      <c r="J1806" s="17">
        <v>0</v>
      </c>
      <c r="K1806" s="17">
        <f t="shared" si="298"/>
        <v>25.300000000000011</v>
      </c>
      <c r="L1806" s="23">
        <f t="shared" si="296"/>
        <v>1.2650000000000006</v>
      </c>
      <c r="M1806" s="23">
        <v>5</v>
      </c>
      <c r="N1806" s="18">
        <f t="shared" si="299"/>
        <v>46.282191780821918</v>
      </c>
      <c r="O1806" s="23">
        <v>240.35</v>
      </c>
      <c r="P1806" s="18">
        <f t="shared" si="300"/>
        <v>46.783561643835618</v>
      </c>
      <c r="Q1806" s="18">
        <v>0</v>
      </c>
      <c r="R1806" s="18">
        <f t="shared" si="297"/>
        <v>240.35</v>
      </c>
      <c r="S1806" s="18">
        <f t="shared" si="295"/>
        <v>1.2650000000000006</v>
      </c>
    </row>
    <row r="1807" spans="1:19" ht="18.75" customHeight="1" x14ac:dyDescent="0.25">
      <c r="A1807" s="14">
        <f t="shared" si="301"/>
        <v>1801</v>
      </c>
      <c r="B1807" s="21" t="s">
        <v>1521</v>
      </c>
      <c r="C1807" s="15" t="s">
        <v>3</v>
      </c>
      <c r="D1807" s="21" t="s">
        <v>1200</v>
      </c>
      <c r="E1807" s="21"/>
      <c r="F1807" s="69" t="s">
        <v>4</v>
      </c>
      <c r="G1807" s="9">
        <v>27395</v>
      </c>
      <c r="H1807" s="22">
        <v>13.5</v>
      </c>
      <c r="I1807" s="17">
        <v>0</v>
      </c>
      <c r="J1807" s="17">
        <v>0</v>
      </c>
      <c r="K1807" s="17">
        <f t="shared" si="298"/>
        <v>13.5</v>
      </c>
      <c r="L1807" s="23">
        <f t="shared" si="296"/>
        <v>0.67500000000000004</v>
      </c>
      <c r="M1807" s="23">
        <v>5</v>
      </c>
      <c r="N1807" s="18">
        <f t="shared" si="299"/>
        <v>46.282191780821918</v>
      </c>
      <c r="O1807" s="23">
        <v>128.25</v>
      </c>
      <c r="P1807" s="18">
        <f t="shared" si="300"/>
        <v>46.783561643835618</v>
      </c>
      <c r="Q1807" s="18">
        <v>0</v>
      </c>
      <c r="R1807" s="18">
        <f t="shared" si="297"/>
        <v>128.25</v>
      </c>
      <c r="S1807" s="18">
        <f t="shared" si="295"/>
        <v>0.67500000000000004</v>
      </c>
    </row>
    <row r="1808" spans="1:19" ht="18.75" customHeight="1" x14ac:dyDescent="0.25">
      <c r="A1808" s="14">
        <f t="shared" si="301"/>
        <v>1802</v>
      </c>
      <c r="B1808" s="21" t="s">
        <v>1568</v>
      </c>
      <c r="C1808" s="15" t="s">
        <v>3</v>
      </c>
      <c r="D1808" s="21" t="s">
        <v>1200</v>
      </c>
      <c r="E1808" s="21"/>
      <c r="F1808" s="69" t="s">
        <v>4</v>
      </c>
      <c r="G1808" s="9">
        <v>27395</v>
      </c>
      <c r="H1808" s="22">
        <v>5.7999999999999972</v>
      </c>
      <c r="I1808" s="17">
        <v>0</v>
      </c>
      <c r="J1808" s="17">
        <v>0</v>
      </c>
      <c r="K1808" s="17">
        <f t="shared" si="298"/>
        <v>5.7999999999999972</v>
      </c>
      <c r="L1808" s="23">
        <f t="shared" si="296"/>
        <v>0.28999999999999987</v>
      </c>
      <c r="M1808" s="23">
        <v>5</v>
      </c>
      <c r="N1808" s="18">
        <f t="shared" si="299"/>
        <v>46.282191780821918</v>
      </c>
      <c r="O1808" s="23">
        <v>55.1</v>
      </c>
      <c r="P1808" s="18">
        <f t="shared" si="300"/>
        <v>46.783561643835618</v>
      </c>
      <c r="Q1808" s="18">
        <v>0</v>
      </c>
      <c r="R1808" s="18">
        <f t="shared" si="297"/>
        <v>55.1</v>
      </c>
      <c r="S1808" s="18">
        <f t="shared" si="295"/>
        <v>0.28999999999999987</v>
      </c>
    </row>
    <row r="1809" spans="1:19" ht="18.75" customHeight="1" x14ac:dyDescent="0.25">
      <c r="A1809" s="14">
        <f t="shared" si="301"/>
        <v>1803</v>
      </c>
      <c r="B1809" s="21" t="s">
        <v>1540</v>
      </c>
      <c r="C1809" s="15" t="s">
        <v>3</v>
      </c>
      <c r="D1809" s="21" t="s">
        <v>1200</v>
      </c>
      <c r="E1809" s="21"/>
      <c r="F1809" s="69" t="s">
        <v>4</v>
      </c>
      <c r="G1809" s="9">
        <v>27395</v>
      </c>
      <c r="H1809" s="22">
        <v>0.85000000000000142</v>
      </c>
      <c r="I1809" s="17">
        <v>0</v>
      </c>
      <c r="J1809" s="17">
        <v>0</v>
      </c>
      <c r="K1809" s="17">
        <f t="shared" si="298"/>
        <v>0.85000000000000142</v>
      </c>
      <c r="L1809" s="23">
        <f t="shared" si="296"/>
        <v>4.2500000000000072E-2</v>
      </c>
      <c r="M1809" s="23">
        <v>5</v>
      </c>
      <c r="N1809" s="18">
        <f t="shared" si="299"/>
        <v>46.282191780821918</v>
      </c>
      <c r="O1809" s="23">
        <v>8.0749999999999993</v>
      </c>
      <c r="P1809" s="18">
        <f t="shared" si="300"/>
        <v>46.783561643835618</v>
      </c>
      <c r="Q1809" s="18">
        <v>0</v>
      </c>
      <c r="R1809" s="18">
        <f t="shared" si="297"/>
        <v>8.0749999999999993</v>
      </c>
      <c r="S1809" s="18">
        <f t="shared" si="295"/>
        <v>4.2500000000000072E-2</v>
      </c>
    </row>
    <row r="1810" spans="1:19" ht="18.75" customHeight="1" x14ac:dyDescent="0.25">
      <c r="A1810" s="14">
        <f t="shared" si="301"/>
        <v>1804</v>
      </c>
      <c r="B1810" s="21" t="s">
        <v>1569</v>
      </c>
      <c r="C1810" s="15" t="s">
        <v>3</v>
      </c>
      <c r="D1810" s="21" t="s">
        <v>1200</v>
      </c>
      <c r="E1810" s="21"/>
      <c r="F1810" s="69" t="s">
        <v>4</v>
      </c>
      <c r="G1810" s="9">
        <v>27395</v>
      </c>
      <c r="H1810" s="22">
        <v>759.70000000000073</v>
      </c>
      <c r="I1810" s="17">
        <v>0</v>
      </c>
      <c r="J1810" s="17">
        <v>0</v>
      </c>
      <c r="K1810" s="17">
        <f t="shared" si="298"/>
        <v>759.70000000000073</v>
      </c>
      <c r="L1810" s="23">
        <f t="shared" si="296"/>
        <v>37.985000000000035</v>
      </c>
      <c r="M1810" s="23">
        <v>10</v>
      </c>
      <c r="N1810" s="18">
        <f t="shared" si="299"/>
        <v>46.282191780821918</v>
      </c>
      <c r="O1810" s="23">
        <v>7217.15</v>
      </c>
      <c r="P1810" s="18">
        <f t="shared" si="300"/>
        <v>46.783561643835618</v>
      </c>
      <c r="Q1810" s="18">
        <v>0</v>
      </c>
      <c r="R1810" s="18">
        <f t="shared" si="297"/>
        <v>7217.15</v>
      </c>
      <c r="S1810" s="18">
        <f t="shared" ref="S1810:S1830" si="302">L1810</f>
        <v>37.985000000000035</v>
      </c>
    </row>
    <row r="1811" spans="1:19" ht="18.75" customHeight="1" x14ac:dyDescent="0.25">
      <c r="A1811" s="14">
        <f t="shared" si="301"/>
        <v>1805</v>
      </c>
      <c r="B1811" s="21" t="s">
        <v>1570</v>
      </c>
      <c r="C1811" s="15" t="s">
        <v>3</v>
      </c>
      <c r="D1811" s="21" t="s">
        <v>1200</v>
      </c>
      <c r="E1811" s="21"/>
      <c r="F1811" s="69" t="s">
        <v>4</v>
      </c>
      <c r="G1811" s="9">
        <v>27030</v>
      </c>
      <c r="H1811" s="22">
        <v>297.60000000000036</v>
      </c>
      <c r="I1811" s="17">
        <v>0</v>
      </c>
      <c r="J1811" s="17">
        <v>0</v>
      </c>
      <c r="K1811" s="17">
        <f t="shared" si="298"/>
        <v>297.60000000000036</v>
      </c>
      <c r="L1811" s="23">
        <f t="shared" si="296"/>
        <v>14.880000000000019</v>
      </c>
      <c r="M1811" s="23">
        <v>10</v>
      </c>
      <c r="N1811" s="18">
        <f t="shared" si="299"/>
        <v>47.282191780821918</v>
      </c>
      <c r="O1811" s="23">
        <v>2827.2</v>
      </c>
      <c r="P1811" s="18">
        <f t="shared" si="300"/>
        <v>47.783561643835618</v>
      </c>
      <c r="Q1811" s="18">
        <v>0</v>
      </c>
      <c r="R1811" s="18">
        <f t="shared" si="297"/>
        <v>2827.2</v>
      </c>
      <c r="S1811" s="18">
        <f t="shared" si="302"/>
        <v>14.880000000000019</v>
      </c>
    </row>
    <row r="1812" spans="1:19" ht="18.75" customHeight="1" x14ac:dyDescent="0.25">
      <c r="A1812" s="14">
        <f t="shared" si="301"/>
        <v>1806</v>
      </c>
      <c r="B1812" s="21" t="s">
        <v>1570</v>
      </c>
      <c r="C1812" s="15" t="s">
        <v>3</v>
      </c>
      <c r="D1812" s="21" t="s">
        <v>1200</v>
      </c>
      <c r="E1812" s="21"/>
      <c r="F1812" s="69" t="s">
        <v>4</v>
      </c>
      <c r="G1812" s="9">
        <v>26665</v>
      </c>
      <c r="H1812" s="22">
        <v>256.75</v>
      </c>
      <c r="I1812" s="17">
        <v>0</v>
      </c>
      <c r="J1812" s="17">
        <v>0</v>
      </c>
      <c r="K1812" s="17">
        <f t="shared" si="298"/>
        <v>256.75</v>
      </c>
      <c r="L1812" s="23">
        <f t="shared" si="296"/>
        <v>12.8375</v>
      </c>
      <c r="M1812" s="23">
        <v>10</v>
      </c>
      <c r="N1812" s="18">
        <f t="shared" si="299"/>
        <v>48.282191780821918</v>
      </c>
      <c r="O1812" s="23">
        <v>2439.125</v>
      </c>
      <c r="P1812" s="18">
        <f t="shared" si="300"/>
        <v>48.783561643835618</v>
      </c>
      <c r="Q1812" s="18">
        <v>0</v>
      </c>
      <c r="R1812" s="18">
        <f t="shared" si="297"/>
        <v>2439.125</v>
      </c>
      <c r="S1812" s="18">
        <f t="shared" si="302"/>
        <v>12.8375</v>
      </c>
    </row>
    <row r="1813" spans="1:19" ht="18.75" customHeight="1" x14ac:dyDescent="0.25">
      <c r="A1813" s="14">
        <f t="shared" si="301"/>
        <v>1807</v>
      </c>
      <c r="B1813" s="21" t="s">
        <v>1526</v>
      </c>
      <c r="C1813" s="15" t="s">
        <v>3</v>
      </c>
      <c r="D1813" s="21" t="s">
        <v>1200</v>
      </c>
      <c r="E1813" s="21"/>
      <c r="F1813" s="69" t="s">
        <v>4</v>
      </c>
      <c r="G1813" s="9">
        <v>26665</v>
      </c>
      <c r="H1813" s="22">
        <v>934.70000000000073</v>
      </c>
      <c r="I1813" s="17">
        <v>0</v>
      </c>
      <c r="J1813" s="17">
        <v>0</v>
      </c>
      <c r="K1813" s="17">
        <f t="shared" si="298"/>
        <v>934.70000000000073</v>
      </c>
      <c r="L1813" s="23">
        <f t="shared" si="296"/>
        <v>46.735000000000042</v>
      </c>
      <c r="M1813" s="23">
        <v>10</v>
      </c>
      <c r="N1813" s="18">
        <f t="shared" si="299"/>
        <v>48.282191780821918</v>
      </c>
      <c r="O1813" s="23">
        <v>8879.65</v>
      </c>
      <c r="P1813" s="18">
        <f t="shared" si="300"/>
        <v>48.783561643835618</v>
      </c>
      <c r="Q1813" s="18">
        <v>0</v>
      </c>
      <c r="R1813" s="18">
        <f t="shared" si="297"/>
        <v>8879.65</v>
      </c>
      <c r="S1813" s="18">
        <f t="shared" si="302"/>
        <v>46.735000000000042</v>
      </c>
    </row>
    <row r="1814" spans="1:19" ht="18.75" customHeight="1" x14ac:dyDescent="0.25">
      <c r="A1814" s="14">
        <f t="shared" si="301"/>
        <v>1808</v>
      </c>
      <c r="B1814" s="21" t="s">
        <v>1571</v>
      </c>
      <c r="C1814" s="15" t="s">
        <v>3</v>
      </c>
      <c r="D1814" s="21" t="s">
        <v>1200</v>
      </c>
      <c r="E1814" s="21"/>
      <c r="F1814" s="69" t="s">
        <v>4</v>
      </c>
      <c r="G1814" s="9">
        <v>26299</v>
      </c>
      <c r="H1814" s="22">
        <v>11.050000000000011</v>
      </c>
      <c r="I1814" s="17">
        <v>0</v>
      </c>
      <c r="J1814" s="17">
        <v>0</v>
      </c>
      <c r="K1814" s="17">
        <f t="shared" si="298"/>
        <v>11.050000000000011</v>
      </c>
      <c r="L1814" s="23">
        <f t="shared" si="296"/>
        <v>0.55250000000000055</v>
      </c>
      <c r="M1814" s="23">
        <v>5</v>
      </c>
      <c r="N1814" s="18">
        <f t="shared" si="299"/>
        <v>49.284931506849318</v>
      </c>
      <c r="O1814" s="23">
        <v>104.97499999999999</v>
      </c>
      <c r="P1814" s="18">
        <f t="shared" si="300"/>
        <v>49.786301369863011</v>
      </c>
      <c r="Q1814" s="18">
        <v>0</v>
      </c>
      <c r="R1814" s="18">
        <f t="shared" si="297"/>
        <v>104.97499999999999</v>
      </c>
      <c r="S1814" s="18">
        <f t="shared" si="302"/>
        <v>0.55250000000000055</v>
      </c>
    </row>
    <row r="1815" spans="1:19" ht="18.75" customHeight="1" x14ac:dyDescent="0.25">
      <c r="A1815" s="14">
        <f t="shared" si="301"/>
        <v>1809</v>
      </c>
      <c r="B1815" s="21" t="s">
        <v>1572</v>
      </c>
      <c r="C1815" s="15" t="s">
        <v>3</v>
      </c>
      <c r="D1815" s="21" t="s">
        <v>1200</v>
      </c>
      <c r="E1815" s="21"/>
      <c r="F1815" s="69" t="s">
        <v>4</v>
      </c>
      <c r="G1815" s="9">
        <v>26299</v>
      </c>
      <c r="H1815" s="22">
        <v>88</v>
      </c>
      <c r="I1815" s="17">
        <v>0</v>
      </c>
      <c r="J1815" s="17">
        <v>0</v>
      </c>
      <c r="K1815" s="17">
        <f t="shared" si="298"/>
        <v>88</v>
      </c>
      <c r="L1815" s="23">
        <f t="shared" ref="L1815:L1878" si="303">H1815*0.05</f>
        <v>4.4000000000000004</v>
      </c>
      <c r="M1815" s="23">
        <v>10</v>
      </c>
      <c r="N1815" s="18">
        <f t="shared" si="299"/>
        <v>49.284931506849318</v>
      </c>
      <c r="O1815" s="23">
        <v>836</v>
      </c>
      <c r="P1815" s="18">
        <f t="shared" si="300"/>
        <v>49.786301369863011</v>
      </c>
      <c r="Q1815" s="18">
        <v>0</v>
      </c>
      <c r="R1815" s="18">
        <f t="shared" si="297"/>
        <v>836</v>
      </c>
      <c r="S1815" s="18">
        <f t="shared" si="302"/>
        <v>4.4000000000000004</v>
      </c>
    </row>
    <row r="1816" spans="1:19" ht="18.75" customHeight="1" x14ac:dyDescent="0.25">
      <c r="A1816" s="14">
        <f t="shared" si="301"/>
        <v>1810</v>
      </c>
      <c r="B1816" s="21" t="s">
        <v>1573</v>
      </c>
      <c r="C1816" s="15" t="s">
        <v>3</v>
      </c>
      <c r="D1816" s="21" t="s">
        <v>1200</v>
      </c>
      <c r="E1816" s="21"/>
      <c r="F1816" s="69" t="s">
        <v>4</v>
      </c>
      <c r="G1816" s="9">
        <v>26299</v>
      </c>
      <c r="H1816" s="22">
        <v>0.34999999999999964</v>
      </c>
      <c r="I1816" s="17">
        <v>0</v>
      </c>
      <c r="J1816" s="17">
        <v>0</v>
      </c>
      <c r="K1816" s="17">
        <f t="shared" si="298"/>
        <v>0.34999999999999964</v>
      </c>
      <c r="L1816" s="23">
        <f t="shared" si="303"/>
        <v>1.7499999999999984E-2</v>
      </c>
      <c r="M1816" s="23">
        <v>10</v>
      </c>
      <c r="N1816" s="18">
        <f t="shared" si="299"/>
        <v>49.284931506849318</v>
      </c>
      <c r="O1816" s="23">
        <v>3.3250000000000002</v>
      </c>
      <c r="P1816" s="18">
        <f t="shared" si="300"/>
        <v>49.786301369863011</v>
      </c>
      <c r="Q1816" s="18">
        <v>0</v>
      </c>
      <c r="R1816" s="18">
        <f t="shared" si="297"/>
        <v>3.3250000000000002</v>
      </c>
      <c r="S1816" s="18">
        <f t="shared" si="302"/>
        <v>1.7499999999999984E-2</v>
      </c>
    </row>
    <row r="1817" spans="1:19" ht="18.75" customHeight="1" x14ac:dyDescent="0.25">
      <c r="A1817" s="14">
        <f t="shared" si="301"/>
        <v>1811</v>
      </c>
      <c r="B1817" s="21" t="s">
        <v>1574</v>
      </c>
      <c r="C1817" s="15" t="s">
        <v>3</v>
      </c>
      <c r="D1817" s="21" t="s">
        <v>1200</v>
      </c>
      <c r="E1817" s="21"/>
      <c r="F1817" s="69" t="s">
        <v>4</v>
      </c>
      <c r="G1817" s="9">
        <v>26299</v>
      </c>
      <c r="H1817" s="22">
        <v>0.55000000000000071</v>
      </c>
      <c r="I1817" s="17">
        <v>0</v>
      </c>
      <c r="J1817" s="17">
        <v>0</v>
      </c>
      <c r="K1817" s="17">
        <f t="shared" si="298"/>
        <v>0.55000000000000071</v>
      </c>
      <c r="L1817" s="23">
        <f t="shared" si="303"/>
        <v>2.7500000000000038E-2</v>
      </c>
      <c r="M1817" s="23">
        <v>10</v>
      </c>
      <c r="N1817" s="18">
        <f t="shared" si="299"/>
        <v>49.284931506849318</v>
      </c>
      <c r="O1817" s="23">
        <v>5.2249999999999996</v>
      </c>
      <c r="P1817" s="18">
        <f t="shared" si="300"/>
        <v>49.786301369863011</v>
      </c>
      <c r="Q1817" s="18">
        <v>0</v>
      </c>
      <c r="R1817" s="18">
        <f t="shared" si="297"/>
        <v>5.2249999999999996</v>
      </c>
      <c r="S1817" s="18">
        <f t="shared" si="302"/>
        <v>2.7500000000000038E-2</v>
      </c>
    </row>
    <row r="1818" spans="1:19" ht="18.75" customHeight="1" x14ac:dyDescent="0.25">
      <c r="A1818" s="14">
        <f t="shared" si="301"/>
        <v>1812</v>
      </c>
      <c r="B1818" s="21" t="s">
        <v>1575</v>
      </c>
      <c r="C1818" s="15" t="s">
        <v>3</v>
      </c>
      <c r="D1818" s="21" t="s">
        <v>1200</v>
      </c>
      <c r="E1818" s="21"/>
      <c r="F1818" s="69" t="s">
        <v>4</v>
      </c>
      <c r="G1818" s="9">
        <v>26299</v>
      </c>
      <c r="H1818" s="22">
        <v>2.7999999999999972</v>
      </c>
      <c r="I1818" s="17">
        <v>0</v>
      </c>
      <c r="J1818" s="17">
        <v>0</v>
      </c>
      <c r="K1818" s="17">
        <f t="shared" si="298"/>
        <v>2.7999999999999972</v>
      </c>
      <c r="L1818" s="23">
        <f t="shared" si="303"/>
        <v>0.13999999999999987</v>
      </c>
      <c r="M1818" s="23">
        <v>5</v>
      </c>
      <c r="N1818" s="18">
        <f t="shared" si="299"/>
        <v>49.284931506849318</v>
      </c>
      <c r="O1818" s="23">
        <v>26.6</v>
      </c>
      <c r="P1818" s="18">
        <f t="shared" si="300"/>
        <v>49.786301369863011</v>
      </c>
      <c r="Q1818" s="18">
        <v>0</v>
      </c>
      <c r="R1818" s="18">
        <f t="shared" si="297"/>
        <v>26.6</v>
      </c>
      <c r="S1818" s="18">
        <f t="shared" si="302"/>
        <v>0.13999999999999987</v>
      </c>
    </row>
    <row r="1819" spans="1:19" ht="18.75" customHeight="1" x14ac:dyDescent="0.25">
      <c r="A1819" s="14">
        <f t="shared" si="301"/>
        <v>1813</v>
      </c>
      <c r="B1819" s="21" t="s">
        <v>1576</v>
      </c>
      <c r="C1819" s="15" t="s">
        <v>3</v>
      </c>
      <c r="D1819" s="21" t="s">
        <v>1200</v>
      </c>
      <c r="E1819" s="21"/>
      <c r="F1819" s="69" t="s">
        <v>4</v>
      </c>
      <c r="G1819" s="9">
        <v>26299</v>
      </c>
      <c r="H1819" s="22">
        <v>3.0499999999999972</v>
      </c>
      <c r="I1819" s="17">
        <v>0</v>
      </c>
      <c r="J1819" s="17">
        <v>0</v>
      </c>
      <c r="K1819" s="17">
        <f t="shared" si="298"/>
        <v>3.0499999999999972</v>
      </c>
      <c r="L1819" s="23">
        <f t="shared" si="303"/>
        <v>0.15249999999999986</v>
      </c>
      <c r="M1819" s="23">
        <v>5</v>
      </c>
      <c r="N1819" s="18">
        <f t="shared" si="299"/>
        <v>49.284931506849318</v>
      </c>
      <c r="O1819" s="23">
        <v>28.975000000000001</v>
      </c>
      <c r="P1819" s="18">
        <f t="shared" si="300"/>
        <v>49.786301369863011</v>
      </c>
      <c r="Q1819" s="18">
        <v>0</v>
      </c>
      <c r="R1819" s="18">
        <f t="shared" si="297"/>
        <v>28.975000000000001</v>
      </c>
      <c r="S1819" s="18">
        <f t="shared" si="302"/>
        <v>0.15249999999999986</v>
      </c>
    </row>
    <row r="1820" spans="1:19" ht="18.75" customHeight="1" x14ac:dyDescent="0.25">
      <c r="A1820" s="14">
        <f t="shared" si="301"/>
        <v>1814</v>
      </c>
      <c r="B1820" s="21" t="s">
        <v>1577</v>
      </c>
      <c r="C1820" s="15" t="s">
        <v>3</v>
      </c>
      <c r="D1820" s="21" t="s">
        <v>1200</v>
      </c>
      <c r="E1820" s="21"/>
      <c r="F1820" s="69" t="s">
        <v>4</v>
      </c>
      <c r="G1820" s="9">
        <v>25934</v>
      </c>
      <c r="H1820" s="22">
        <v>8.0500000000000114</v>
      </c>
      <c r="I1820" s="17">
        <v>0</v>
      </c>
      <c r="J1820" s="17">
        <v>0</v>
      </c>
      <c r="K1820" s="17">
        <f t="shared" si="298"/>
        <v>8.0500000000000114</v>
      </c>
      <c r="L1820" s="23">
        <f t="shared" si="303"/>
        <v>0.40250000000000058</v>
      </c>
      <c r="M1820" s="23">
        <v>5</v>
      </c>
      <c r="N1820" s="18">
        <f t="shared" si="299"/>
        <v>50.284931506849318</v>
      </c>
      <c r="O1820" s="23">
        <v>76.474999999999994</v>
      </c>
      <c r="P1820" s="18">
        <f t="shared" si="300"/>
        <v>50.786301369863011</v>
      </c>
      <c r="Q1820" s="18">
        <v>0</v>
      </c>
      <c r="R1820" s="18">
        <f t="shared" si="297"/>
        <v>76.474999999999994</v>
      </c>
      <c r="S1820" s="18">
        <f t="shared" si="302"/>
        <v>0.40250000000000058</v>
      </c>
    </row>
    <row r="1821" spans="1:19" ht="18.75" customHeight="1" x14ac:dyDescent="0.25">
      <c r="A1821" s="14">
        <f t="shared" si="301"/>
        <v>1815</v>
      </c>
      <c r="B1821" s="21" t="s">
        <v>1578</v>
      </c>
      <c r="C1821" s="15" t="s">
        <v>3</v>
      </c>
      <c r="D1821" s="21" t="s">
        <v>1200</v>
      </c>
      <c r="E1821" s="21"/>
      <c r="F1821" s="69" t="s">
        <v>4</v>
      </c>
      <c r="G1821" s="9">
        <v>25569</v>
      </c>
      <c r="H1821" s="22">
        <v>212.59999999999991</v>
      </c>
      <c r="I1821" s="17">
        <v>0</v>
      </c>
      <c r="J1821" s="17">
        <v>0</v>
      </c>
      <c r="K1821" s="17">
        <f t="shared" si="298"/>
        <v>212.59999999999991</v>
      </c>
      <c r="L1821" s="23">
        <f t="shared" si="303"/>
        <v>10.629999999999995</v>
      </c>
      <c r="M1821" s="23">
        <v>10</v>
      </c>
      <c r="N1821" s="18">
        <f t="shared" si="299"/>
        <v>51.284931506849318</v>
      </c>
      <c r="O1821" s="23">
        <v>2019.7</v>
      </c>
      <c r="P1821" s="18">
        <f t="shared" si="300"/>
        <v>51.786301369863011</v>
      </c>
      <c r="Q1821" s="18">
        <v>0</v>
      </c>
      <c r="R1821" s="18">
        <f t="shared" si="297"/>
        <v>2019.7</v>
      </c>
      <c r="S1821" s="18">
        <f t="shared" si="302"/>
        <v>10.629999999999995</v>
      </c>
    </row>
    <row r="1822" spans="1:19" ht="18.75" customHeight="1" x14ac:dyDescent="0.25">
      <c r="A1822" s="14">
        <f t="shared" si="301"/>
        <v>1816</v>
      </c>
      <c r="B1822" s="21" t="s">
        <v>1579</v>
      </c>
      <c r="C1822" s="15" t="s">
        <v>3</v>
      </c>
      <c r="D1822" s="21" t="s">
        <v>1200</v>
      </c>
      <c r="E1822" s="21"/>
      <c r="F1822" s="69" t="s">
        <v>4</v>
      </c>
      <c r="G1822" s="9">
        <v>25204</v>
      </c>
      <c r="H1822" s="22">
        <v>5.7999999999999972</v>
      </c>
      <c r="I1822" s="17">
        <v>0</v>
      </c>
      <c r="J1822" s="17">
        <v>0</v>
      </c>
      <c r="K1822" s="17">
        <f t="shared" si="298"/>
        <v>5.7999999999999972</v>
      </c>
      <c r="L1822" s="23">
        <f t="shared" si="303"/>
        <v>0.28999999999999987</v>
      </c>
      <c r="M1822" s="23">
        <v>5</v>
      </c>
      <c r="N1822" s="18">
        <f t="shared" si="299"/>
        <v>52.284931506849318</v>
      </c>
      <c r="O1822" s="23">
        <v>55.1</v>
      </c>
      <c r="P1822" s="18">
        <f t="shared" si="300"/>
        <v>52.786301369863011</v>
      </c>
      <c r="Q1822" s="18">
        <v>0</v>
      </c>
      <c r="R1822" s="18">
        <f t="shared" si="297"/>
        <v>55.1</v>
      </c>
      <c r="S1822" s="18">
        <f t="shared" si="302"/>
        <v>0.28999999999999987</v>
      </c>
    </row>
    <row r="1823" spans="1:19" ht="18.75" customHeight="1" x14ac:dyDescent="0.25">
      <c r="A1823" s="14">
        <f t="shared" si="301"/>
        <v>1817</v>
      </c>
      <c r="B1823" s="21" t="s">
        <v>1552</v>
      </c>
      <c r="C1823" s="15" t="s">
        <v>3</v>
      </c>
      <c r="D1823" s="21" t="s">
        <v>1200</v>
      </c>
      <c r="E1823" s="21"/>
      <c r="F1823" s="69" t="s">
        <v>4</v>
      </c>
      <c r="G1823" s="9">
        <v>25204</v>
      </c>
      <c r="H1823" s="22">
        <v>0.94999999999999929</v>
      </c>
      <c r="I1823" s="17">
        <v>0</v>
      </c>
      <c r="J1823" s="17">
        <v>0</v>
      </c>
      <c r="K1823" s="17">
        <f t="shared" si="298"/>
        <v>0.94999999999999929</v>
      </c>
      <c r="L1823" s="23">
        <f t="shared" si="303"/>
        <v>4.7499999999999966E-2</v>
      </c>
      <c r="M1823" s="23">
        <v>5</v>
      </c>
      <c r="N1823" s="18">
        <f t="shared" si="299"/>
        <v>52.284931506849318</v>
      </c>
      <c r="O1823" s="23">
        <v>9.0250000000000004</v>
      </c>
      <c r="P1823" s="18">
        <f t="shared" si="300"/>
        <v>52.786301369863011</v>
      </c>
      <c r="Q1823" s="18">
        <v>0</v>
      </c>
      <c r="R1823" s="18">
        <f t="shared" si="297"/>
        <v>9.0250000000000004</v>
      </c>
      <c r="S1823" s="18">
        <f t="shared" si="302"/>
        <v>4.7499999999999966E-2</v>
      </c>
    </row>
    <row r="1824" spans="1:19" ht="18.75" customHeight="1" x14ac:dyDescent="0.25">
      <c r="A1824" s="14">
        <f t="shared" si="301"/>
        <v>1818</v>
      </c>
      <c r="B1824" s="21" t="s">
        <v>1580</v>
      </c>
      <c r="C1824" s="15" t="s">
        <v>3</v>
      </c>
      <c r="D1824" s="21" t="s">
        <v>1200</v>
      </c>
      <c r="E1824" s="21"/>
      <c r="F1824" s="69" t="s">
        <v>4</v>
      </c>
      <c r="G1824" s="9">
        <v>24108</v>
      </c>
      <c r="H1824" s="22">
        <v>53.600000000000023</v>
      </c>
      <c r="I1824" s="17">
        <v>0</v>
      </c>
      <c r="J1824" s="17">
        <v>0</v>
      </c>
      <c r="K1824" s="17">
        <f t="shared" si="298"/>
        <v>53.600000000000023</v>
      </c>
      <c r="L1824" s="23">
        <f t="shared" si="303"/>
        <v>2.6800000000000015</v>
      </c>
      <c r="M1824" s="23">
        <v>10</v>
      </c>
      <c r="N1824" s="18">
        <f t="shared" si="299"/>
        <v>55.287671232876711</v>
      </c>
      <c r="O1824" s="23">
        <v>509.2</v>
      </c>
      <c r="P1824" s="18">
        <f t="shared" si="300"/>
        <v>55.789041095890411</v>
      </c>
      <c r="Q1824" s="18">
        <v>0</v>
      </c>
      <c r="R1824" s="18">
        <f t="shared" si="297"/>
        <v>509.2</v>
      </c>
      <c r="S1824" s="18">
        <f t="shared" si="302"/>
        <v>2.6800000000000015</v>
      </c>
    </row>
    <row r="1825" spans="1:19" ht="18.75" customHeight="1" x14ac:dyDescent="0.25">
      <c r="A1825" s="14">
        <f t="shared" si="301"/>
        <v>1819</v>
      </c>
      <c r="B1825" s="21" t="s">
        <v>1581</v>
      </c>
      <c r="C1825" s="15" t="s">
        <v>3</v>
      </c>
      <c r="D1825" s="21" t="s">
        <v>1200</v>
      </c>
      <c r="E1825" s="21"/>
      <c r="F1825" s="69" t="s">
        <v>4</v>
      </c>
      <c r="G1825" s="9">
        <v>23743</v>
      </c>
      <c r="H1825" s="22">
        <v>28.450000000000045</v>
      </c>
      <c r="I1825" s="17">
        <v>0</v>
      </c>
      <c r="J1825" s="17">
        <v>0</v>
      </c>
      <c r="K1825" s="17">
        <f t="shared" si="298"/>
        <v>28.450000000000045</v>
      </c>
      <c r="L1825" s="23">
        <f t="shared" si="303"/>
        <v>1.4225000000000023</v>
      </c>
      <c r="M1825" s="23">
        <v>5</v>
      </c>
      <c r="N1825" s="18">
        <f t="shared" si="299"/>
        <v>56.287671232876711</v>
      </c>
      <c r="O1825" s="23">
        <v>270.27499999999998</v>
      </c>
      <c r="P1825" s="18">
        <f t="shared" si="300"/>
        <v>56.789041095890411</v>
      </c>
      <c r="Q1825" s="18">
        <v>0</v>
      </c>
      <c r="R1825" s="18">
        <f t="shared" si="297"/>
        <v>270.27499999999998</v>
      </c>
      <c r="S1825" s="18">
        <f t="shared" si="302"/>
        <v>1.4225000000000023</v>
      </c>
    </row>
    <row r="1826" spans="1:19" ht="18.75" customHeight="1" x14ac:dyDescent="0.25">
      <c r="A1826" s="14">
        <f t="shared" si="301"/>
        <v>1820</v>
      </c>
      <c r="B1826" s="21" t="s">
        <v>1582</v>
      </c>
      <c r="C1826" s="15" t="s">
        <v>3</v>
      </c>
      <c r="D1826" s="21" t="s">
        <v>1200</v>
      </c>
      <c r="E1826" s="21"/>
      <c r="F1826" s="69" t="s">
        <v>4</v>
      </c>
      <c r="G1826" s="9">
        <v>23377</v>
      </c>
      <c r="H1826" s="22">
        <v>22.600000000000023</v>
      </c>
      <c r="I1826" s="17">
        <v>0</v>
      </c>
      <c r="J1826" s="17">
        <v>0</v>
      </c>
      <c r="K1826" s="17">
        <f t="shared" si="298"/>
        <v>22.600000000000023</v>
      </c>
      <c r="L1826" s="23">
        <f t="shared" si="303"/>
        <v>1.1300000000000012</v>
      </c>
      <c r="M1826" s="23">
        <v>5</v>
      </c>
      <c r="N1826" s="18">
        <f t="shared" si="299"/>
        <v>57.290410958904111</v>
      </c>
      <c r="O1826" s="23">
        <v>214.7</v>
      </c>
      <c r="P1826" s="18">
        <f t="shared" si="300"/>
        <v>57.791780821917811</v>
      </c>
      <c r="Q1826" s="18">
        <v>0</v>
      </c>
      <c r="R1826" s="18">
        <f t="shared" si="297"/>
        <v>214.7</v>
      </c>
      <c r="S1826" s="18">
        <f t="shared" si="302"/>
        <v>1.1300000000000012</v>
      </c>
    </row>
    <row r="1827" spans="1:19" ht="18.75" customHeight="1" x14ac:dyDescent="0.25">
      <c r="A1827" s="14">
        <f t="shared" si="301"/>
        <v>1821</v>
      </c>
      <c r="B1827" s="21" t="s">
        <v>1583</v>
      </c>
      <c r="C1827" s="15" t="s">
        <v>3</v>
      </c>
      <c r="D1827" s="21" t="s">
        <v>1200</v>
      </c>
      <c r="E1827" s="21"/>
      <c r="F1827" s="69" t="s">
        <v>4</v>
      </c>
      <c r="G1827" s="9">
        <v>23102</v>
      </c>
      <c r="H1827" s="22">
        <v>133.69999999999982</v>
      </c>
      <c r="I1827" s="17">
        <v>0</v>
      </c>
      <c r="J1827" s="17">
        <v>0</v>
      </c>
      <c r="K1827" s="17">
        <f t="shared" si="298"/>
        <v>133.69999999999982</v>
      </c>
      <c r="L1827" s="23">
        <f t="shared" si="303"/>
        <v>6.6849999999999916</v>
      </c>
      <c r="M1827" s="23">
        <v>5</v>
      </c>
      <c r="N1827" s="18">
        <f t="shared" si="299"/>
        <v>58.043835616438358</v>
      </c>
      <c r="O1827" s="23">
        <v>1270.1500000000001</v>
      </c>
      <c r="P1827" s="18">
        <f t="shared" si="300"/>
        <v>58.545205479452058</v>
      </c>
      <c r="Q1827" s="18">
        <v>0</v>
      </c>
      <c r="R1827" s="18">
        <f t="shared" si="297"/>
        <v>1270.1500000000001</v>
      </c>
      <c r="S1827" s="18">
        <f t="shared" si="302"/>
        <v>6.6849999999999916</v>
      </c>
    </row>
    <row r="1828" spans="1:19" ht="18.75" customHeight="1" x14ac:dyDescent="0.25">
      <c r="A1828" s="14">
        <f t="shared" si="301"/>
        <v>1822</v>
      </c>
      <c r="B1828" s="21" t="s">
        <v>1584</v>
      </c>
      <c r="C1828" s="15" t="s">
        <v>3</v>
      </c>
      <c r="D1828" s="21" t="s">
        <v>1200</v>
      </c>
      <c r="E1828" s="21"/>
      <c r="F1828" s="69" t="s">
        <v>4</v>
      </c>
      <c r="G1828" s="9">
        <v>23012</v>
      </c>
      <c r="H1828" s="22">
        <v>6.2999999999999972</v>
      </c>
      <c r="I1828" s="17">
        <v>0</v>
      </c>
      <c r="J1828" s="17">
        <v>0</v>
      </c>
      <c r="K1828" s="17">
        <f t="shared" si="298"/>
        <v>6.2999999999999972</v>
      </c>
      <c r="L1828" s="23">
        <f t="shared" si="303"/>
        <v>0.31499999999999989</v>
      </c>
      <c r="M1828" s="23">
        <v>5</v>
      </c>
      <c r="N1828" s="18">
        <f t="shared" si="299"/>
        <v>58.290410958904111</v>
      </c>
      <c r="O1828" s="23">
        <v>59.85</v>
      </c>
      <c r="P1828" s="18">
        <f t="shared" si="300"/>
        <v>58.791780821917811</v>
      </c>
      <c r="Q1828" s="18">
        <v>0</v>
      </c>
      <c r="R1828" s="18">
        <f t="shared" si="297"/>
        <v>59.85</v>
      </c>
      <c r="S1828" s="18">
        <f t="shared" si="302"/>
        <v>0.31499999999999989</v>
      </c>
    </row>
    <row r="1829" spans="1:19" ht="18.75" customHeight="1" x14ac:dyDescent="0.25">
      <c r="A1829" s="14">
        <f t="shared" si="301"/>
        <v>1823</v>
      </c>
      <c r="B1829" s="21" t="s">
        <v>1552</v>
      </c>
      <c r="C1829" s="15" t="s">
        <v>3</v>
      </c>
      <c r="D1829" s="21" t="s">
        <v>1200</v>
      </c>
      <c r="E1829" s="21"/>
      <c r="F1829" s="69" t="s">
        <v>4</v>
      </c>
      <c r="G1829" s="9">
        <v>22647</v>
      </c>
      <c r="H1829" s="22">
        <v>17.199999999999989</v>
      </c>
      <c r="I1829" s="17">
        <v>0</v>
      </c>
      <c r="J1829" s="17">
        <v>0</v>
      </c>
      <c r="K1829" s="17">
        <f t="shared" si="298"/>
        <v>17.199999999999989</v>
      </c>
      <c r="L1829" s="23">
        <f t="shared" si="303"/>
        <v>0.85999999999999943</v>
      </c>
      <c r="M1829" s="23">
        <v>5</v>
      </c>
      <c r="N1829" s="18">
        <f t="shared" si="299"/>
        <v>59.290410958904111</v>
      </c>
      <c r="O1829" s="23">
        <v>163.4</v>
      </c>
      <c r="P1829" s="18">
        <f t="shared" si="300"/>
        <v>59.791780821917811</v>
      </c>
      <c r="Q1829" s="18">
        <v>0</v>
      </c>
      <c r="R1829" s="18">
        <f t="shared" si="297"/>
        <v>163.4</v>
      </c>
      <c r="S1829" s="18">
        <f t="shared" si="302"/>
        <v>0.85999999999999943</v>
      </c>
    </row>
    <row r="1830" spans="1:19" ht="18.75" customHeight="1" x14ac:dyDescent="0.25">
      <c r="A1830" s="14">
        <f t="shared" si="301"/>
        <v>1824</v>
      </c>
      <c r="B1830" s="21" t="s">
        <v>1578</v>
      </c>
      <c r="C1830" s="15" t="s">
        <v>3</v>
      </c>
      <c r="D1830" s="21" t="s">
        <v>1200</v>
      </c>
      <c r="E1830" s="21"/>
      <c r="F1830" s="69" t="s">
        <v>4</v>
      </c>
      <c r="G1830" s="9">
        <v>22282</v>
      </c>
      <c r="H1830" s="22">
        <v>140.15000000000009</v>
      </c>
      <c r="I1830" s="17">
        <v>0</v>
      </c>
      <c r="J1830" s="17">
        <v>0</v>
      </c>
      <c r="K1830" s="17">
        <f t="shared" si="298"/>
        <v>140.15000000000009</v>
      </c>
      <c r="L1830" s="23">
        <f t="shared" si="303"/>
        <v>7.0075000000000047</v>
      </c>
      <c r="M1830" s="23">
        <v>10</v>
      </c>
      <c r="N1830" s="18">
        <f t="shared" si="299"/>
        <v>60.290410958904111</v>
      </c>
      <c r="O1830" s="23">
        <v>1331.425</v>
      </c>
      <c r="P1830" s="18">
        <f t="shared" si="300"/>
        <v>60.791780821917811</v>
      </c>
      <c r="Q1830" s="18">
        <v>0</v>
      </c>
      <c r="R1830" s="18">
        <f t="shared" si="297"/>
        <v>1331.425</v>
      </c>
      <c r="S1830" s="18">
        <f t="shared" si="302"/>
        <v>7.0075000000000047</v>
      </c>
    </row>
    <row r="1831" spans="1:19" ht="18.75" customHeight="1" x14ac:dyDescent="0.25">
      <c r="A1831" s="14">
        <f t="shared" si="301"/>
        <v>1825</v>
      </c>
      <c r="B1831" s="21" t="s">
        <v>1585</v>
      </c>
      <c r="C1831" s="15" t="s">
        <v>3</v>
      </c>
      <c r="D1831" s="21" t="s">
        <v>1200</v>
      </c>
      <c r="E1831" s="21"/>
      <c r="F1831" s="69" t="s">
        <v>4</v>
      </c>
      <c r="G1831" s="9">
        <v>20911</v>
      </c>
      <c r="H1831" s="22">
        <v>35.049999999999955</v>
      </c>
      <c r="I1831" s="17">
        <v>0</v>
      </c>
      <c r="J1831" s="17">
        <v>0</v>
      </c>
      <c r="K1831" s="17">
        <f t="shared" si="298"/>
        <v>35.049999999999955</v>
      </c>
      <c r="L1831" s="23">
        <f t="shared" si="303"/>
        <v>1.7524999999999977</v>
      </c>
      <c r="M1831" s="23">
        <v>5</v>
      </c>
      <c r="N1831" s="18">
        <f t="shared" si="299"/>
        <v>64.046575342465758</v>
      </c>
      <c r="O1831" s="23">
        <v>-9.947598300641473E-15</v>
      </c>
      <c r="P1831" s="18">
        <f t="shared" si="300"/>
        <v>64.547945205479451</v>
      </c>
      <c r="Q1831" s="18">
        <v>0</v>
      </c>
      <c r="R1831" s="18">
        <f t="shared" si="297"/>
        <v>-9.947598300641473E-15</v>
      </c>
      <c r="S1831" s="18">
        <f t="shared" ref="S1831:S1859" si="304">K1831-R1831</f>
        <v>35.049999999999962</v>
      </c>
    </row>
    <row r="1832" spans="1:19" ht="18.75" customHeight="1" x14ac:dyDescent="0.25">
      <c r="A1832" s="14">
        <f t="shared" si="301"/>
        <v>1826</v>
      </c>
      <c r="B1832" s="21" t="s">
        <v>1586</v>
      </c>
      <c r="C1832" s="15" t="s">
        <v>3</v>
      </c>
      <c r="D1832" s="21" t="s">
        <v>1200</v>
      </c>
      <c r="E1832" s="21"/>
      <c r="F1832" s="69" t="s">
        <v>4</v>
      </c>
      <c r="G1832" s="9">
        <v>42475</v>
      </c>
      <c r="H1832" s="22">
        <v>5699.98</v>
      </c>
      <c r="I1832" s="17">
        <v>0</v>
      </c>
      <c r="J1832" s="17">
        <v>0</v>
      </c>
      <c r="K1832" s="17">
        <f t="shared" si="298"/>
        <v>5699.98</v>
      </c>
      <c r="L1832" s="23">
        <f t="shared" si="303"/>
        <v>284.99899999999997</v>
      </c>
      <c r="M1832" s="23">
        <v>5</v>
      </c>
      <c r="N1832" s="18">
        <f t="shared" si="299"/>
        <v>4.9671232876712326</v>
      </c>
      <c r="O1832" s="23">
        <v>5379.375645479452</v>
      </c>
      <c r="P1832" s="18">
        <f t="shared" si="300"/>
        <v>5.4684931506849317</v>
      </c>
      <c r="Q1832" s="18">
        <v>0</v>
      </c>
      <c r="R1832" s="18">
        <f t="shared" si="297"/>
        <v>5379.375645479452</v>
      </c>
      <c r="S1832" s="18">
        <f t="shared" si="304"/>
        <v>320.60435452054753</v>
      </c>
    </row>
    <row r="1833" spans="1:19" ht="18.75" customHeight="1" x14ac:dyDescent="0.25">
      <c r="A1833" s="14">
        <f t="shared" si="301"/>
        <v>1827</v>
      </c>
      <c r="B1833" s="21" t="s">
        <v>1587</v>
      </c>
      <c r="C1833" s="15" t="s">
        <v>3</v>
      </c>
      <c r="D1833" s="21" t="s">
        <v>1200</v>
      </c>
      <c r="E1833" s="21"/>
      <c r="F1833" s="69" t="s">
        <v>4</v>
      </c>
      <c r="G1833" s="9">
        <v>42505</v>
      </c>
      <c r="H1833" s="22">
        <v>15669.86</v>
      </c>
      <c r="I1833" s="17">
        <v>0</v>
      </c>
      <c r="J1833" s="17">
        <v>0</v>
      </c>
      <c r="K1833" s="17">
        <f t="shared" si="298"/>
        <v>15669.86</v>
      </c>
      <c r="L1833" s="23">
        <f t="shared" si="303"/>
        <v>783.49300000000005</v>
      </c>
      <c r="M1833" s="23">
        <v>5</v>
      </c>
      <c r="N1833" s="18">
        <f t="shared" si="299"/>
        <v>4.8849315068493153</v>
      </c>
      <c r="O1833" s="23">
        <v>14543.776636164384</v>
      </c>
      <c r="P1833" s="18">
        <f t="shared" si="300"/>
        <v>5.3863013698630136</v>
      </c>
      <c r="Q1833" s="18">
        <v>0</v>
      </c>
      <c r="R1833" s="18">
        <f t="shared" si="297"/>
        <v>14543.776636164384</v>
      </c>
      <c r="S1833" s="18">
        <f t="shared" si="304"/>
        <v>1126.0833638356162</v>
      </c>
    </row>
    <row r="1834" spans="1:19" ht="18.75" customHeight="1" x14ac:dyDescent="0.25">
      <c r="A1834" s="14">
        <f t="shared" si="301"/>
        <v>1828</v>
      </c>
      <c r="B1834" s="21" t="s">
        <v>1588</v>
      </c>
      <c r="C1834" s="15" t="s">
        <v>3</v>
      </c>
      <c r="D1834" s="21" t="s">
        <v>1200</v>
      </c>
      <c r="E1834" s="21"/>
      <c r="F1834" s="69" t="s">
        <v>4</v>
      </c>
      <c r="G1834" s="9">
        <v>42505</v>
      </c>
      <c r="H1834" s="22">
        <v>23400</v>
      </c>
      <c r="I1834" s="17">
        <v>0</v>
      </c>
      <c r="J1834" s="17">
        <v>0</v>
      </c>
      <c r="K1834" s="17">
        <f t="shared" si="298"/>
        <v>23400</v>
      </c>
      <c r="L1834" s="23">
        <f t="shared" si="303"/>
        <v>1170</v>
      </c>
      <c r="M1834" s="23">
        <v>5</v>
      </c>
      <c r="N1834" s="18">
        <f t="shared" si="299"/>
        <v>4.8849315068493153</v>
      </c>
      <c r="O1834" s="23">
        <v>21718.405479452056</v>
      </c>
      <c r="P1834" s="18">
        <f t="shared" si="300"/>
        <v>5.3863013698630136</v>
      </c>
      <c r="Q1834" s="18">
        <v>0</v>
      </c>
      <c r="R1834" s="18">
        <f t="shared" si="297"/>
        <v>21718.405479452056</v>
      </c>
      <c r="S1834" s="18">
        <f t="shared" si="304"/>
        <v>1681.5945205479438</v>
      </c>
    </row>
    <row r="1835" spans="1:19" ht="18.75" customHeight="1" x14ac:dyDescent="0.25">
      <c r="A1835" s="14">
        <f t="shared" si="301"/>
        <v>1829</v>
      </c>
      <c r="B1835" s="21" t="s">
        <v>1206</v>
      </c>
      <c r="C1835" s="15" t="s">
        <v>3</v>
      </c>
      <c r="D1835" s="21" t="s">
        <v>1200</v>
      </c>
      <c r="E1835" s="21"/>
      <c r="F1835" s="69" t="s">
        <v>4</v>
      </c>
      <c r="G1835" s="9">
        <v>42536</v>
      </c>
      <c r="H1835" s="22">
        <v>7834.93</v>
      </c>
      <c r="I1835" s="17">
        <v>0</v>
      </c>
      <c r="J1835" s="17">
        <v>0</v>
      </c>
      <c r="K1835" s="17">
        <f t="shared" si="298"/>
        <v>7834.93</v>
      </c>
      <c r="L1835" s="23">
        <f t="shared" si="303"/>
        <v>391.74650000000003</v>
      </c>
      <c r="M1835" s="23">
        <v>5</v>
      </c>
      <c r="N1835" s="18">
        <f t="shared" si="299"/>
        <v>4.8</v>
      </c>
      <c r="O1835" s="23">
        <v>7145.4561599999997</v>
      </c>
      <c r="P1835" s="18">
        <f t="shared" si="300"/>
        <v>5.3013698630136989</v>
      </c>
      <c r="Q1835" s="18">
        <v>0</v>
      </c>
      <c r="R1835" s="18">
        <f t="shared" si="297"/>
        <v>7145.4561599999997</v>
      </c>
      <c r="S1835" s="18">
        <f t="shared" si="304"/>
        <v>689.47384000000056</v>
      </c>
    </row>
    <row r="1836" spans="1:19" ht="18.75" customHeight="1" x14ac:dyDescent="0.25">
      <c r="A1836" s="14">
        <f t="shared" si="301"/>
        <v>1830</v>
      </c>
      <c r="B1836" s="21" t="s">
        <v>1208</v>
      </c>
      <c r="C1836" s="15" t="s">
        <v>3</v>
      </c>
      <c r="D1836" s="21" t="s">
        <v>1200</v>
      </c>
      <c r="E1836" s="21"/>
      <c r="F1836" s="69" t="s">
        <v>4</v>
      </c>
      <c r="G1836" s="9">
        <v>42536</v>
      </c>
      <c r="H1836" s="22">
        <v>25000</v>
      </c>
      <c r="I1836" s="17">
        <v>0</v>
      </c>
      <c r="J1836" s="17">
        <v>0</v>
      </c>
      <c r="K1836" s="17">
        <f t="shared" si="298"/>
        <v>25000</v>
      </c>
      <c r="L1836" s="23">
        <f t="shared" si="303"/>
        <v>1250</v>
      </c>
      <c r="M1836" s="23">
        <v>5</v>
      </c>
      <c r="N1836" s="18">
        <f t="shared" si="299"/>
        <v>4.8</v>
      </c>
      <c r="O1836" s="23">
        <v>22800</v>
      </c>
      <c r="P1836" s="18">
        <f t="shared" si="300"/>
        <v>5.3013698630136989</v>
      </c>
      <c r="Q1836" s="18">
        <v>0</v>
      </c>
      <c r="R1836" s="18">
        <f t="shared" si="297"/>
        <v>22800</v>
      </c>
      <c r="S1836" s="18">
        <f t="shared" si="304"/>
        <v>2200</v>
      </c>
    </row>
    <row r="1837" spans="1:19" ht="18.75" customHeight="1" x14ac:dyDescent="0.25">
      <c r="A1837" s="14">
        <f t="shared" si="301"/>
        <v>1831</v>
      </c>
      <c r="B1837" s="21" t="s">
        <v>1208</v>
      </c>
      <c r="C1837" s="15" t="s">
        <v>3</v>
      </c>
      <c r="D1837" s="21" t="s">
        <v>1200</v>
      </c>
      <c r="E1837" s="21"/>
      <c r="F1837" s="69" t="s">
        <v>4</v>
      </c>
      <c r="G1837" s="9">
        <v>42543</v>
      </c>
      <c r="H1837" s="22">
        <v>12600</v>
      </c>
      <c r="I1837" s="17">
        <v>0</v>
      </c>
      <c r="J1837" s="17">
        <v>0</v>
      </c>
      <c r="K1837" s="17">
        <f t="shared" si="298"/>
        <v>12600</v>
      </c>
      <c r="L1837" s="23">
        <f t="shared" si="303"/>
        <v>630</v>
      </c>
      <c r="M1837" s="23">
        <v>5</v>
      </c>
      <c r="N1837" s="18">
        <f t="shared" si="299"/>
        <v>4.7808219178082192</v>
      </c>
      <c r="O1837" s="23">
        <v>11445.287671232876</v>
      </c>
      <c r="P1837" s="18">
        <f t="shared" si="300"/>
        <v>5.2821917808219174</v>
      </c>
      <c r="Q1837" s="18">
        <v>0</v>
      </c>
      <c r="R1837" s="18">
        <f t="shared" si="297"/>
        <v>11445.287671232876</v>
      </c>
      <c r="S1837" s="18">
        <f t="shared" si="304"/>
        <v>1154.7123287671238</v>
      </c>
    </row>
    <row r="1838" spans="1:19" ht="18.75" customHeight="1" x14ac:dyDescent="0.25">
      <c r="A1838" s="14">
        <f t="shared" si="301"/>
        <v>1832</v>
      </c>
      <c r="B1838" s="21" t="s">
        <v>1589</v>
      </c>
      <c r="C1838" s="15" t="s">
        <v>3</v>
      </c>
      <c r="D1838" s="21" t="s">
        <v>1200</v>
      </c>
      <c r="E1838" s="21"/>
      <c r="F1838" s="69" t="s">
        <v>4</v>
      </c>
      <c r="G1838" s="9">
        <v>42566</v>
      </c>
      <c r="H1838" s="22">
        <v>8490</v>
      </c>
      <c r="I1838" s="17">
        <v>0</v>
      </c>
      <c r="J1838" s="17">
        <v>0</v>
      </c>
      <c r="K1838" s="17">
        <f t="shared" si="298"/>
        <v>8490</v>
      </c>
      <c r="L1838" s="23">
        <f t="shared" si="303"/>
        <v>424.5</v>
      </c>
      <c r="M1838" s="23">
        <v>5</v>
      </c>
      <c r="N1838" s="18">
        <f t="shared" si="299"/>
        <v>4.7178082191780826</v>
      </c>
      <c r="O1838" s="23">
        <v>7610.2964383561648</v>
      </c>
      <c r="P1838" s="18">
        <f t="shared" si="300"/>
        <v>5.2191780821917808</v>
      </c>
      <c r="Q1838" s="18">
        <v>0</v>
      </c>
      <c r="R1838" s="18">
        <f t="shared" si="297"/>
        <v>7610.2964383561648</v>
      </c>
      <c r="S1838" s="18">
        <f t="shared" si="304"/>
        <v>879.7035616438352</v>
      </c>
    </row>
    <row r="1839" spans="1:19" ht="18.75" customHeight="1" x14ac:dyDescent="0.25">
      <c r="A1839" s="14">
        <f t="shared" si="301"/>
        <v>1833</v>
      </c>
      <c r="B1839" s="21" t="s">
        <v>1590</v>
      </c>
      <c r="C1839" s="15" t="s">
        <v>3</v>
      </c>
      <c r="D1839" s="21" t="s">
        <v>1200</v>
      </c>
      <c r="E1839" s="21"/>
      <c r="F1839" s="69" t="s">
        <v>4</v>
      </c>
      <c r="G1839" s="9">
        <v>42566</v>
      </c>
      <c r="H1839" s="22">
        <v>2865</v>
      </c>
      <c r="I1839" s="17">
        <v>0</v>
      </c>
      <c r="J1839" s="17">
        <v>0</v>
      </c>
      <c r="K1839" s="17">
        <f t="shared" si="298"/>
        <v>2865</v>
      </c>
      <c r="L1839" s="23">
        <f t="shared" si="303"/>
        <v>143.25</v>
      </c>
      <c r="M1839" s="23">
        <v>5</v>
      </c>
      <c r="N1839" s="18">
        <f t="shared" si="299"/>
        <v>4.7178082191780826</v>
      </c>
      <c r="O1839" s="23">
        <v>2568.1389041095895</v>
      </c>
      <c r="P1839" s="18">
        <f t="shared" si="300"/>
        <v>5.2191780821917808</v>
      </c>
      <c r="Q1839" s="18">
        <v>0</v>
      </c>
      <c r="R1839" s="18">
        <f t="shared" si="297"/>
        <v>2568.1389041095895</v>
      </c>
      <c r="S1839" s="18">
        <f t="shared" si="304"/>
        <v>296.86109589041052</v>
      </c>
    </row>
    <row r="1840" spans="1:19" ht="18.75" customHeight="1" x14ac:dyDescent="0.25">
      <c r="A1840" s="14">
        <f t="shared" si="301"/>
        <v>1834</v>
      </c>
      <c r="B1840" s="21" t="s">
        <v>1591</v>
      </c>
      <c r="C1840" s="15" t="s">
        <v>3</v>
      </c>
      <c r="D1840" s="21" t="s">
        <v>1200</v>
      </c>
      <c r="E1840" s="21"/>
      <c r="F1840" s="69" t="s">
        <v>4</v>
      </c>
      <c r="G1840" s="9">
        <v>42566</v>
      </c>
      <c r="H1840" s="22">
        <v>435000</v>
      </c>
      <c r="I1840" s="17">
        <v>0</v>
      </c>
      <c r="J1840" s="17">
        <v>0</v>
      </c>
      <c r="K1840" s="17">
        <f t="shared" si="298"/>
        <v>435000</v>
      </c>
      <c r="L1840" s="23">
        <f t="shared" si="303"/>
        <v>21750</v>
      </c>
      <c r="M1840" s="23">
        <v>5</v>
      </c>
      <c r="N1840" s="18">
        <f t="shared" si="299"/>
        <v>4.7178082191780826</v>
      </c>
      <c r="O1840" s="23">
        <v>389926.84931506857</v>
      </c>
      <c r="P1840" s="18">
        <f t="shared" si="300"/>
        <v>5.2191780821917808</v>
      </c>
      <c r="Q1840" s="18">
        <v>0</v>
      </c>
      <c r="R1840" s="18">
        <f t="shared" si="297"/>
        <v>389926.84931506857</v>
      </c>
      <c r="S1840" s="18">
        <f t="shared" si="304"/>
        <v>45073.150684931432</v>
      </c>
    </row>
    <row r="1841" spans="1:19" ht="18.75" customHeight="1" x14ac:dyDescent="0.25">
      <c r="A1841" s="14">
        <f t="shared" si="301"/>
        <v>1835</v>
      </c>
      <c r="B1841" s="21" t="s">
        <v>1592</v>
      </c>
      <c r="C1841" s="15" t="s">
        <v>3</v>
      </c>
      <c r="D1841" s="21" t="s">
        <v>1200</v>
      </c>
      <c r="E1841" s="21"/>
      <c r="F1841" s="69" t="s">
        <v>4</v>
      </c>
      <c r="G1841" s="9">
        <v>42566</v>
      </c>
      <c r="H1841" s="22">
        <v>3900</v>
      </c>
      <c r="I1841" s="17">
        <v>0</v>
      </c>
      <c r="J1841" s="17">
        <v>0</v>
      </c>
      <c r="K1841" s="17">
        <f t="shared" si="298"/>
        <v>3900</v>
      </c>
      <c r="L1841" s="23">
        <f t="shared" si="303"/>
        <v>195</v>
      </c>
      <c r="M1841" s="23">
        <v>5</v>
      </c>
      <c r="N1841" s="18">
        <f t="shared" si="299"/>
        <v>4.7178082191780826</v>
      </c>
      <c r="O1841" s="23">
        <v>3495.8958904109595</v>
      </c>
      <c r="P1841" s="18">
        <f t="shared" si="300"/>
        <v>5.2191780821917808</v>
      </c>
      <c r="Q1841" s="18">
        <v>0</v>
      </c>
      <c r="R1841" s="18">
        <f t="shared" si="297"/>
        <v>3495.8958904109595</v>
      </c>
      <c r="S1841" s="18">
        <f t="shared" si="304"/>
        <v>404.10410958904049</v>
      </c>
    </row>
    <row r="1842" spans="1:19" ht="18.75" customHeight="1" x14ac:dyDescent="0.25">
      <c r="A1842" s="14">
        <f t="shared" si="301"/>
        <v>1836</v>
      </c>
      <c r="B1842" s="21" t="s">
        <v>1593</v>
      </c>
      <c r="C1842" s="15" t="s">
        <v>3</v>
      </c>
      <c r="D1842" s="21" t="s">
        <v>1200</v>
      </c>
      <c r="E1842" s="21"/>
      <c r="F1842" s="69" t="s">
        <v>4</v>
      </c>
      <c r="G1842" s="9">
        <v>42628</v>
      </c>
      <c r="H1842" s="22">
        <v>65000</v>
      </c>
      <c r="I1842" s="17">
        <v>0</v>
      </c>
      <c r="J1842" s="17">
        <v>0</v>
      </c>
      <c r="K1842" s="17">
        <f t="shared" si="298"/>
        <v>65000</v>
      </c>
      <c r="L1842" s="23">
        <f t="shared" si="303"/>
        <v>3250</v>
      </c>
      <c r="M1842" s="23">
        <v>5</v>
      </c>
      <c r="N1842" s="18">
        <f t="shared" si="299"/>
        <v>4.5479452054794525</v>
      </c>
      <c r="O1842" s="23">
        <v>56167.123287671238</v>
      </c>
      <c r="P1842" s="18">
        <f t="shared" si="300"/>
        <v>5.0493150684931507</v>
      </c>
      <c r="Q1842" s="18">
        <v>0</v>
      </c>
      <c r="R1842" s="18">
        <f t="shared" si="297"/>
        <v>56167.123287671238</v>
      </c>
      <c r="S1842" s="18">
        <f t="shared" si="304"/>
        <v>8832.8767123287616</v>
      </c>
    </row>
    <row r="1843" spans="1:19" ht="18.75" customHeight="1" x14ac:dyDescent="0.25">
      <c r="A1843" s="14">
        <f t="shared" si="301"/>
        <v>1837</v>
      </c>
      <c r="B1843" s="21" t="s">
        <v>1594</v>
      </c>
      <c r="C1843" s="15" t="s">
        <v>3</v>
      </c>
      <c r="D1843" s="21" t="s">
        <v>1200</v>
      </c>
      <c r="E1843" s="21"/>
      <c r="F1843" s="69" t="s">
        <v>4</v>
      </c>
      <c r="G1843" s="9">
        <v>42628</v>
      </c>
      <c r="H1843" s="22">
        <v>149850</v>
      </c>
      <c r="I1843" s="17">
        <v>0</v>
      </c>
      <c r="J1843" s="17">
        <v>0</v>
      </c>
      <c r="K1843" s="17">
        <f t="shared" si="298"/>
        <v>149850</v>
      </c>
      <c r="L1843" s="23">
        <f t="shared" si="303"/>
        <v>7492.5</v>
      </c>
      <c r="M1843" s="23">
        <v>5</v>
      </c>
      <c r="N1843" s="18">
        <f t="shared" si="299"/>
        <v>4.5479452054794525</v>
      </c>
      <c r="O1843" s="23">
        <v>129486.82191780824</v>
      </c>
      <c r="P1843" s="18">
        <f t="shared" si="300"/>
        <v>5.0493150684931507</v>
      </c>
      <c r="Q1843" s="18">
        <v>0</v>
      </c>
      <c r="R1843" s="18">
        <f t="shared" si="297"/>
        <v>129486.82191780824</v>
      </c>
      <c r="S1843" s="18">
        <f t="shared" si="304"/>
        <v>20363.178082191764</v>
      </c>
    </row>
    <row r="1844" spans="1:19" ht="18.75" customHeight="1" x14ac:dyDescent="0.25">
      <c r="A1844" s="14">
        <f t="shared" si="301"/>
        <v>1838</v>
      </c>
      <c r="B1844" s="21" t="s">
        <v>1595</v>
      </c>
      <c r="C1844" s="15" t="s">
        <v>3</v>
      </c>
      <c r="D1844" s="21" t="s">
        <v>1200</v>
      </c>
      <c r="E1844" s="21"/>
      <c r="F1844" s="69" t="s">
        <v>4</v>
      </c>
      <c r="G1844" s="9">
        <v>42689</v>
      </c>
      <c r="H1844" s="22">
        <v>364322.37000000011</v>
      </c>
      <c r="I1844" s="17">
        <v>0</v>
      </c>
      <c r="J1844" s="17">
        <v>0</v>
      </c>
      <c r="K1844" s="17">
        <f t="shared" si="298"/>
        <v>364322.37000000011</v>
      </c>
      <c r="L1844" s="23">
        <f t="shared" si="303"/>
        <v>18216.118500000008</v>
      </c>
      <c r="M1844" s="23">
        <v>5</v>
      </c>
      <c r="N1844" s="18">
        <f t="shared" si="299"/>
        <v>4.3808219178082188</v>
      </c>
      <c r="O1844" s="23">
        <v>303245.97049232887</v>
      </c>
      <c r="P1844" s="18">
        <f t="shared" si="300"/>
        <v>4.882191780821918</v>
      </c>
      <c r="Q1844" s="18">
        <f t="shared" ref="Q1844:Q1877" si="305">(P1844-N1844)/M1844*(K1844-L1844)</f>
        <v>34705.448780547988</v>
      </c>
      <c r="R1844" s="18">
        <f t="shared" si="297"/>
        <v>337951.41927287687</v>
      </c>
      <c r="S1844" s="18">
        <f t="shared" si="304"/>
        <v>26370.950727123243</v>
      </c>
    </row>
    <row r="1845" spans="1:19" ht="18.75" customHeight="1" x14ac:dyDescent="0.25">
      <c r="A1845" s="14">
        <f t="shared" si="301"/>
        <v>1839</v>
      </c>
      <c r="B1845" s="21" t="s">
        <v>1296</v>
      </c>
      <c r="C1845" s="15" t="s">
        <v>3</v>
      </c>
      <c r="D1845" s="21" t="s">
        <v>1200</v>
      </c>
      <c r="E1845" s="21"/>
      <c r="F1845" s="69" t="s">
        <v>4</v>
      </c>
      <c r="G1845" s="9">
        <v>42787</v>
      </c>
      <c r="H1845" s="22">
        <v>18585.650000000001</v>
      </c>
      <c r="I1845" s="17">
        <v>0</v>
      </c>
      <c r="J1845" s="17">
        <v>0</v>
      </c>
      <c r="K1845" s="17">
        <f t="shared" si="298"/>
        <v>18585.650000000001</v>
      </c>
      <c r="L1845" s="23">
        <f t="shared" si="303"/>
        <v>929.28250000000014</v>
      </c>
      <c r="M1845" s="23">
        <v>5</v>
      </c>
      <c r="N1845" s="18">
        <f t="shared" si="299"/>
        <v>4.1123287671232873</v>
      </c>
      <c r="O1845" s="23">
        <v>14521.757598630138</v>
      </c>
      <c r="P1845" s="18">
        <f t="shared" si="300"/>
        <v>4.6136986301369864</v>
      </c>
      <c r="Q1845" s="18">
        <f t="shared" si="305"/>
        <v>1770.4741109589058</v>
      </c>
      <c r="R1845" s="18">
        <f t="shared" si="297"/>
        <v>16292.231709589043</v>
      </c>
      <c r="S1845" s="18">
        <f t="shared" si="304"/>
        <v>2293.4182904109584</v>
      </c>
    </row>
    <row r="1846" spans="1:19" ht="18.75" customHeight="1" x14ac:dyDescent="0.25">
      <c r="A1846" s="14">
        <f t="shared" si="301"/>
        <v>1840</v>
      </c>
      <c r="B1846" s="21" t="s">
        <v>1596</v>
      </c>
      <c r="C1846" s="15" t="s">
        <v>3</v>
      </c>
      <c r="D1846" s="21" t="s">
        <v>1200</v>
      </c>
      <c r="E1846" s="21"/>
      <c r="F1846" s="69" t="s">
        <v>4</v>
      </c>
      <c r="G1846" s="9">
        <v>42787</v>
      </c>
      <c r="H1846" s="22">
        <v>152703.70000000001</v>
      </c>
      <c r="I1846" s="17">
        <v>0</v>
      </c>
      <c r="J1846" s="17">
        <v>0</v>
      </c>
      <c r="K1846" s="17">
        <f t="shared" si="298"/>
        <v>152703.70000000001</v>
      </c>
      <c r="L1846" s="23">
        <f t="shared" si="303"/>
        <v>7635.1850000000013</v>
      </c>
      <c r="M1846" s="23">
        <v>5</v>
      </c>
      <c r="N1846" s="18">
        <f t="shared" si="299"/>
        <v>4.1123287671232873</v>
      </c>
      <c r="O1846" s="23">
        <v>119313.88548767121</v>
      </c>
      <c r="P1846" s="18">
        <f t="shared" si="300"/>
        <v>4.6136986301369864</v>
      </c>
      <c r="Q1846" s="18">
        <f t="shared" si="305"/>
        <v>14546.596298630151</v>
      </c>
      <c r="R1846" s="18">
        <f t="shared" si="297"/>
        <v>133860.48178630136</v>
      </c>
      <c r="S1846" s="18">
        <f t="shared" si="304"/>
        <v>18843.218213698652</v>
      </c>
    </row>
    <row r="1847" spans="1:19" ht="18.75" customHeight="1" x14ac:dyDescent="0.25">
      <c r="A1847" s="14">
        <f t="shared" si="301"/>
        <v>1841</v>
      </c>
      <c r="B1847" s="21" t="s">
        <v>1597</v>
      </c>
      <c r="C1847" s="15" t="s">
        <v>3</v>
      </c>
      <c r="D1847" s="21" t="s">
        <v>1200</v>
      </c>
      <c r="E1847" s="21"/>
      <c r="F1847" s="69" t="s">
        <v>4</v>
      </c>
      <c r="G1847" s="9">
        <v>42787</v>
      </c>
      <c r="H1847" s="22">
        <v>45710.65</v>
      </c>
      <c r="I1847" s="17">
        <v>0</v>
      </c>
      <c r="J1847" s="17">
        <v>0</v>
      </c>
      <c r="K1847" s="17">
        <f t="shared" si="298"/>
        <v>45710.65</v>
      </c>
      <c r="L1847" s="23">
        <f t="shared" si="303"/>
        <v>2285.5325000000003</v>
      </c>
      <c r="M1847" s="23">
        <v>5</v>
      </c>
      <c r="N1847" s="18">
        <f t="shared" si="299"/>
        <v>4.1123287671232873</v>
      </c>
      <c r="O1847" s="23">
        <v>35715.67198219178</v>
      </c>
      <c r="P1847" s="18">
        <f t="shared" si="300"/>
        <v>4.6136986301369864</v>
      </c>
      <c r="Q1847" s="18">
        <f t="shared" si="305"/>
        <v>4354.4090424657579</v>
      </c>
      <c r="R1847" s="18">
        <f t="shared" si="297"/>
        <v>40070.081024657535</v>
      </c>
      <c r="S1847" s="18">
        <f t="shared" si="304"/>
        <v>5640.5689753424667</v>
      </c>
    </row>
    <row r="1848" spans="1:19" ht="18.75" customHeight="1" x14ac:dyDescent="0.25">
      <c r="A1848" s="14">
        <f t="shared" si="301"/>
        <v>1842</v>
      </c>
      <c r="B1848" s="21" t="s">
        <v>1598</v>
      </c>
      <c r="C1848" s="15" t="s">
        <v>3</v>
      </c>
      <c r="D1848" s="21" t="s">
        <v>1200</v>
      </c>
      <c r="E1848" s="21"/>
      <c r="F1848" s="69" t="s">
        <v>4</v>
      </c>
      <c r="G1848" s="9">
        <v>42815</v>
      </c>
      <c r="H1848" s="22">
        <v>20300</v>
      </c>
      <c r="I1848" s="17">
        <v>0</v>
      </c>
      <c r="J1848" s="17">
        <v>0</v>
      </c>
      <c r="K1848" s="17">
        <f t="shared" si="298"/>
        <v>20300</v>
      </c>
      <c r="L1848" s="23">
        <f t="shared" si="303"/>
        <v>1015</v>
      </c>
      <c r="M1848" s="23">
        <v>5</v>
      </c>
      <c r="N1848" s="18">
        <f t="shared" si="299"/>
        <v>4.0356164383561648</v>
      </c>
      <c r="O1848" s="23">
        <v>15565.372602739728</v>
      </c>
      <c r="P1848" s="18">
        <f t="shared" si="300"/>
        <v>4.536986301369863</v>
      </c>
      <c r="Q1848" s="18">
        <f t="shared" si="305"/>
        <v>1933.7835616438342</v>
      </c>
      <c r="R1848" s="18">
        <f t="shared" si="297"/>
        <v>17499.156164383563</v>
      </c>
      <c r="S1848" s="18">
        <f t="shared" si="304"/>
        <v>2800.843835616437</v>
      </c>
    </row>
    <row r="1849" spans="1:19" ht="18.75" customHeight="1" x14ac:dyDescent="0.25">
      <c r="A1849" s="14">
        <f t="shared" si="301"/>
        <v>1843</v>
      </c>
      <c r="B1849" s="21" t="s">
        <v>1257</v>
      </c>
      <c r="C1849" s="15" t="s">
        <v>3</v>
      </c>
      <c r="D1849" s="21" t="s">
        <v>1200</v>
      </c>
      <c r="E1849" s="21"/>
      <c r="F1849" s="69" t="s">
        <v>4</v>
      </c>
      <c r="G1849" s="9">
        <v>42815</v>
      </c>
      <c r="H1849" s="22">
        <v>77402</v>
      </c>
      <c r="I1849" s="17">
        <v>0</v>
      </c>
      <c r="J1849" s="17">
        <v>0</v>
      </c>
      <c r="K1849" s="17">
        <f t="shared" si="298"/>
        <v>77402</v>
      </c>
      <c r="L1849" s="23">
        <f t="shared" si="303"/>
        <v>3870.1000000000004</v>
      </c>
      <c r="M1849" s="23">
        <v>5</v>
      </c>
      <c r="N1849" s="18">
        <f t="shared" si="299"/>
        <v>4.0356164383561648</v>
      </c>
      <c r="O1849" s="23">
        <v>59349.308876712334</v>
      </c>
      <c r="P1849" s="18">
        <f t="shared" si="300"/>
        <v>4.536986301369863</v>
      </c>
      <c r="Q1849" s="18">
        <f t="shared" si="305"/>
        <v>7373.3357260273915</v>
      </c>
      <c r="R1849" s="18">
        <f t="shared" si="297"/>
        <v>66722.644602739718</v>
      </c>
      <c r="S1849" s="18">
        <f t="shared" si="304"/>
        <v>10679.355397260282</v>
      </c>
    </row>
    <row r="1850" spans="1:19" ht="18.75" customHeight="1" x14ac:dyDescent="0.25">
      <c r="A1850" s="14">
        <f t="shared" si="301"/>
        <v>1844</v>
      </c>
      <c r="B1850" s="21" t="s">
        <v>1599</v>
      </c>
      <c r="C1850" s="15" t="s">
        <v>3</v>
      </c>
      <c r="D1850" s="21" t="s">
        <v>1200</v>
      </c>
      <c r="E1850" s="21"/>
      <c r="F1850" s="69" t="s">
        <v>4</v>
      </c>
      <c r="G1850" s="9">
        <v>42815</v>
      </c>
      <c r="H1850" s="22">
        <v>25190</v>
      </c>
      <c r="I1850" s="17">
        <v>0</v>
      </c>
      <c r="J1850" s="17">
        <v>0</v>
      </c>
      <c r="K1850" s="17">
        <f t="shared" si="298"/>
        <v>25190</v>
      </c>
      <c r="L1850" s="23">
        <f t="shared" si="303"/>
        <v>1259.5</v>
      </c>
      <c r="M1850" s="23">
        <v>5</v>
      </c>
      <c r="N1850" s="18">
        <f t="shared" si="299"/>
        <v>4.0356164383561648</v>
      </c>
      <c r="O1850" s="23">
        <v>19314.863835616441</v>
      </c>
      <c r="P1850" s="18">
        <f t="shared" si="300"/>
        <v>4.536986301369863</v>
      </c>
      <c r="Q1850" s="18">
        <f t="shared" si="305"/>
        <v>2399.6063013698613</v>
      </c>
      <c r="R1850" s="18">
        <f t="shared" si="297"/>
        <v>21714.470136986303</v>
      </c>
      <c r="S1850" s="18">
        <f t="shared" si="304"/>
        <v>3475.5298630136967</v>
      </c>
    </row>
    <row r="1851" spans="1:19" ht="18.75" customHeight="1" x14ac:dyDescent="0.25">
      <c r="A1851" s="14">
        <f t="shared" si="301"/>
        <v>1845</v>
      </c>
      <c r="B1851" s="21" t="s">
        <v>1600</v>
      </c>
      <c r="C1851" s="15" t="s">
        <v>3</v>
      </c>
      <c r="D1851" s="21" t="s">
        <v>1200</v>
      </c>
      <c r="E1851" s="21"/>
      <c r="F1851" s="69" t="s">
        <v>4</v>
      </c>
      <c r="G1851" s="9">
        <v>42815</v>
      </c>
      <c r="H1851" s="22">
        <v>4293.75</v>
      </c>
      <c r="I1851" s="17">
        <v>0</v>
      </c>
      <c r="J1851" s="17">
        <v>0</v>
      </c>
      <c r="K1851" s="17">
        <f t="shared" si="298"/>
        <v>4293.75</v>
      </c>
      <c r="L1851" s="23">
        <f t="shared" si="303"/>
        <v>214.6875</v>
      </c>
      <c r="M1851" s="23">
        <v>5</v>
      </c>
      <c r="N1851" s="18">
        <f t="shared" si="299"/>
        <v>4.0356164383561648</v>
      </c>
      <c r="O1851" s="23">
        <v>3292.3063356164389</v>
      </c>
      <c r="P1851" s="18">
        <f t="shared" si="300"/>
        <v>4.536986301369863</v>
      </c>
      <c r="Q1851" s="18">
        <f t="shared" si="305"/>
        <v>409.02380136986272</v>
      </c>
      <c r="R1851" s="18">
        <f t="shared" si="297"/>
        <v>3701.3301369863016</v>
      </c>
      <c r="S1851" s="18">
        <f t="shared" si="304"/>
        <v>592.41986301369843</v>
      </c>
    </row>
    <row r="1852" spans="1:19" ht="18.75" customHeight="1" x14ac:dyDescent="0.25">
      <c r="A1852" s="14">
        <f t="shared" si="301"/>
        <v>1846</v>
      </c>
      <c r="B1852" s="21" t="s">
        <v>1601</v>
      </c>
      <c r="C1852" s="15" t="s">
        <v>3</v>
      </c>
      <c r="D1852" s="21" t="s">
        <v>1200</v>
      </c>
      <c r="E1852" s="21"/>
      <c r="F1852" s="69" t="s">
        <v>4</v>
      </c>
      <c r="G1852" s="9">
        <v>42815</v>
      </c>
      <c r="H1852" s="22">
        <v>126650</v>
      </c>
      <c r="I1852" s="17">
        <v>0</v>
      </c>
      <c r="J1852" s="17">
        <v>0</v>
      </c>
      <c r="K1852" s="17">
        <f t="shared" si="298"/>
        <v>126650</v>
      </c>
      <c r="L1852" s="23">
        <f t="shared" si="303"/>
        <v>6332.5</v>
      </c>
      <c r="M1852" s="23">
        <v>5</v>
      </c>
      <c r="N1852" s="18">
        <f t="shared" si="299"/>
        <v>4.0356164383561648</v>
      </c>
      <c r="O1852" s="23">
        <v>97111.056164383568</v>
      </c>
      <c r="P1852" s="18">
        <f t="shared" si="300"/>
        <v>4.536986301369863</v>
      </c>
      <c r="Q1852" s="18">
        <f t="shared" si="305"/>
        <v>12064.713698630128</v>
      </c>
      <c r="R1852" s="18">
        <f t="shared" si="297"/>
        <v>109175.7698630137</v>
      </c>
      <c r="S1852" s="18">
        <f t="shared" si="304"/>
        <v>17474.230136986298</v>
      </c>
    </row>
    <row r="1853" spans="1:19" ht="18.75" customHeight="1" x14ac:dyDescent="0.25">
      <c r="A1853" s="14">
        <f t="shared" si="301"/>
        <v>1847</v>
      </c>
      <c r="B1853" s="21" t="s">
        <v>1206</v>
      </c>
      <c r="C1853" s="15" t="s">
        <v>3</v>
      </c>
      <c r="D1853" s="21" t="s">
        <v>1200</v>
      </c>
      <c r="E1853" s="21"/>
      <c r="F1853" s="69" t="s">
        <v>4</v>
      </c>
      <c r="G1853" s="9">
        <v>42840</v>
      </c>
      <c r="H1853" s="22">
        <v>12700</v>
      </c>
      <c r="I1853" s="17">
        <v>0</v>
      </c>
      <c r="J1853" s="17">
        <v>0</v>
      </c>
      <c r="K1853" s="17">
        <f t="shared" si="298"/>
        <v>12700</v>
      </c>
      <c r="L1853" s="23">
        <f t="shared" si="303"/>
        <v>635</v>
      </c>
      <c r="M1853" s="23">
        <v>5</v>
      </c>
      <c r="N1853" s="18">
        <f t="shared" si="299"/>
        <v>3.967123287671233</v>
      </c>
      <c r="O1853" s="23">
        <v>9572.6684931506861</v>
      </c>
      <c r="P1853" s="18">
        <f t="shared" si="300"/>
        <v>4.4684931506849317</v>
      </c>
      <c r="Q1853" s="18">
        <f t="shared" si="305"/>
        <v>1209.8054794520549</v>
      </c>
      <c r="R1853" s="18">
        <f t="shared" si="297"/>
        <v>10782.47397260274</v>
      </c>
      <c r="S1853" s="18">
        <f t="shared" si="304"/>
        <v>1917.5260273972599</v>
      </c>
    </row>
    <row r="1854" spans="1:19" ht="18.75" customHeight="1" x14ac:dyDescent="0.25">
      <c r="A1854" s="14">
        <f t="shared" si="301"/>
        <v>1848</v>
      </c>
      <c r="B1854" s="21" t="s">
        <v>1602</v>
      </c>
      <c r="C1854" s="15" t="s">
        <v>3</v>
      </c>
      <c r="D1854" s="21" t="s">
        <v>1200</v>
      </c>
      <c r="E1854" s="21"/>
      <c r="F1854" s="69" t="s">
        <v>4</v>
      </c>
      <c r="G1854" s="9">
        <v>42840</v>
      </c>
      <c r="H1854" s="22">
        <v>13999</v>
      </c>
      <c r="I1854" s="17">
        <v>0</v>
      </c>
      <c r="J1854" s="17">
        <v>0</v>
      </c>
      <c r="K1854" s="17">
        <f t="shared" si="298"/>
        <v>13999</v>
      </c>
      <c r="L1854" s="23">
        <f t="shared" si="303"/>
        <v>699.95</v>
      </c>
      <c r="M1854" s="23">
        <v>5</v>
      </c>
      <c r="N1854" s="18">
        <f t="shared" si="299"/>
        <v>3.967123287671233</v>
      </c>
      <c r="O1854" s="23">
        <v>10551.794191780822</v>
      </c>
      <c r="P1854" s="18">
        <f t="shared" si="300"/>
        <v>4.4684931506849317</v>
      </c>
      <c r="Q1854" s="18">
        <f t="shared" si="305"/>
        <v>1333.5485753424657</v>
      </c>
      <c r="R1854" s="18">
        <f t="shared" si="297"/>
        <v>11885.342767123288</v>
      </c>
      <c r="S1854" s="18">
        <f t="shared" si="304"/>
        <v>2113.6572328767124</v>
      </c>
    </row>
    <row r="1855" spans="1:19" ht="18.75" customHeight="1" x14ac:dyDescent="0.25">
      <c r="A1855" s="14">
        <f t="shared" si="301"/>
        <v>1849</v>
      </c>
      <c r="B1855" s="21" t="s">
        <v>1199</v>
      </c>
      <c r="C1855" s="15" t="s">
        <v>3</v>
      </c>
      <c r="D1855" s="21" t="s">
        <v>1200</v>
      </c>
      <c r="E1855" s="21"/>
      <c r="F1855" s="69" t="s">
        <v>4</v>
      </c>
      <c r="G1855" s="9">
        <v>42870</v>
      </c>
      <c r="H1855" s="22">
        <v>79200</v>
      </c>
      <c r="I1855" s="17">
        <v>0</v>
      </c>
      <c r="J1855" s="17">
        <v>0</v>
      </c>
      <c r="K1855" s="17">
        <f t="shared" si="298"/>
        <v>79200</v>
      </c>
      <c r="L1855" s="23">
        <f t="shared" si="303"/>
        <v>3960</v>
      </c>
      <c r="M1855" s="23">
        <v>5</v>
      </c>
      <c r="N1855" s="18">
        <f t="shared" si="299"/>
        <v>3.8849315068493149</v>
      </c>
      <c r="O1855" s="23">
        <v>58460.449315068487</v>
      </c>
      <c r="P1855" s="18">
        <f t="shared" si="300"/>
        <v>4.3863013698630136</v>
      </c>
      <c r="Q1855" s="18">
        <f t="shared" si="305"/>
        <v>7544.6136986301381</v>
      </c>
      <c r="R1855" s="18">
        <f t="shared" si="297"/>
        <v>66005.063013698629</v>
      </c>
      <c r="S1855" s="18">
        <f t="shared" si="304"/>
        <v>13194.936986301371</v>
      </c>
    </row>
    <row r="1856" spans="1:19" ht="18.75" customHeight="1" x14ac:dyDescent="0.25">
      <c r="A1856" s="14">
        <f t="shared" si="301"/>
        <v>1850</v>
      </c>
      <c r="B1856" s="21" t="s">
        <v>1603</v>
      </c>
      <c r="C1856" s="15" t="s">
        <v>3</v>
      </c>
      <c r="D1856" s="21" t="s">
        <v>1200</v>
      </c>
      <c r="E1856" s="21"/>
      <c r="F1856" s="69" t="s">
        <v>4</v>
      </c>
      <c r="G1856" s="9">
        <v>42901</v>
      </c>
      <c r="H1856" s="22">
        <v>168000</v>
      </c>
      <c r="I1856" s="17">
        <v>0</v>
      </c>
      <c r="J1856" s="17">
        <v>0</v>
      </c>
      <c r="K1856" s="17">
        <f t="shared" si="298"/>
        <v>168000</v>
      </c>
      <c r="L1856" s="23">
        <f t="shared" si="303"/>
        <v>8400</v>
      </c>
      <c r="M1856" s="23">
        <v>5</v>
      </c>
      <c r="N1856" s="18">
        <f t="shared" si="299"/>
        <v>3.8</v>
      </c>
      <c r="O1856" s="23">
        <v>121296</v>
      </c>
      <c r="P1856" s="18">
        <f t="shared" si="300"/>
        <v>4.3013698630136989</v>
      </c>
      <c r="Q1856" s="18">
        <f t="shared" si="305"/>
        <v>16003.726027397275</v>
      </c>
      <c r="R1856" s="18">
        <f t="shared" si="297"/>
        <v>137299.72602739726</v>
      </c>
      <c r="S1856" s="18">
        <f t="shared" si="304"/>
        <v>30700.273972602736</v>
      </c>
    </row>
    <row r="1857" spans="1:19" ht="18.75" customHeight="1" x14ac:dyDescent="0.25">
      <c r="A1857" s="14">
        <f t="shared" si="301"/>
        <v>1851</v>
      </c>
      <c r="B1857" s="21" t="s">
        <v>1604</v>
      </c>
      <c r="C1857" s="15" t="s">
        <v>3</v>
      </c>
      <c r="D1857" s="21" t="s">
        <v>1200</v>
      </c>
      <c r="E1857" s="21"/>
      <c r="F1857" s="69" t="s">
        <v>4</v>
      </c>
      <c r="G1857" s="9">
        <v>42901</v>
      </c>
      <c r="H1857" s="22">
        <v>22900</v>
      </c>
      <c r="I1857" s="17">
        <v>0</v>
      </c>
      <c r="J1857" s="17">
        <v>0</v>
      </c>
      <c r="K1857" s="17">
        <f t="shared" si="298"/>
        <v>22900</v>
      </c>
      <c r="L1857" s="23">
        <f t="shared" si="303"/>
        <v>1145</v>
      </c>
      <c r="M1857" s="23">
        <v>5</v>
      </c>
      <c r="N1857" s="18">
        <f t="shared" si="299"/>
        <v>3.8</v>
      </c>
      <c r="O1857" s="23">
        <v>16533.8</v>
      </c>
      <c r="P1857" s="18">
        <f t="shared" si="300"/>
        <v>4.3013698630136989</v>
      </c>
      <c r="Q1857" s="18">
        <f t="shared" si="305"/>
        <v>2181.4602739726047</v>
      </c>
      <c r="R1857" s="18">
        <f t="shared" si="297"/>
        <v>18715.260273972603</v>
      </c>
      <c r="S1857" s="18">
        <f t="shared" si="304"/>
        <v>4184.7397260273974</v>
      </c>
    </row>
    <row r="1858" spans="1:19" ht="18.75" customHeight="1" x14ac:dyDescent="0.25">
      <c r="A1858" s="14">
        <f t="shared" si="301"/>
        <v>1852</v>
      </c>
      <c r="B1858" s="21" t="s">
        <v>1605</v>
      </c>
      <c r="C1858" s="15" t="s">
        <v>3</v>
      </c>
      <c r="D1858" s="21" t="s">
        <v>1200</v>
      </c>
      <c r="E1858" s="21"/>
      <c r="F1858" s="69" t="s">
        <v>4</v>
      </c>
      <c r="G1858" s="9">
        <v>42931</v>
      </c>
      <c r="H1858" s="22">
        <v>23000</v>
      </c>
      <c r="I1858" s="17">
        <v>0</v>
      </c>
      <c r="J1858" s="17">
        <v>0</v>
      </c>
      <c r="K1858" s="17">
        <f t="shared" si="298"/>
        <v>23000</v>
      </c>
      <c r="L1858" s="23">
        <f t="shared" si="303"/>
        <v>1150</v>
      </c>
      <c r="M1858" s="23">
        <v>5</v>
      </c>
      <c r="N1858" s="18">
        <f t="shared" si="299"/>
        <v>3.7178082191780821</v>
      </c>
      <c r="O1858" s="23">
        <v>16246.821917808218</v>
      </c>
      <c r="P1858" s="18">
        <f t="shared" si="300"/>
        <v>4.2191780821917808</v>
      </c>
      <c r="Q1858" s="18">
        <f t="shared" si="305"/>
        <v>2190.9863013698632</v>
      </c>
      <c r="R1858" s="18">
        <f t="shared" si="297"/>
        <v>18437.808219178081</v>
      </c>
      <c r="S1858" s="18">
        <f t="shared" si="304"/>
        <v>4562.1917808219187</v>
      </c>
    </row>
    <row r="1859" spans="1:19" ht="18.75" customHeight="1" x14ac:dyDescent="0.25">
      <c r="A1859" s="14">
        <f t="shared" si="301"/>
        <v>1853</v>
      </c>
      <c r="B1859" s="21" t="s">
        <v>1606</v>
      </c>
      <c r="C1859" s="15" t="s">
        <v>3</v>
      </c>
      <c r="D1859" s="21" t="s">
        <v>1200</v>
      </c>
      <c r="E1859" s="21"/>
      <c r="F1859" s="69" t="s">
        <v>4</v>
      </c>
      <c r="G1859" s="9">
        <v>42931</v>
      </c>
      <c r="H1859" s="22">
        <v>2900</v>
      </c>
      <c r="I1859" s="17">
        <v>0</v>
      </c>
      <c r="J1859" s="17">
        <v>0</v>
      </c>
      <c r="K1859" s="17">
        <f t="shared" si="298"/>
        <v>2900</v>
      </c>
      <c r="L1859" s="23">
        <f t="shared" si="303"/>
        <v>145</v>
      </c>
      <c r="M1859" s="23">
        <v>5</v>
      </c>
      <c r="N1859" s="18">
        <f t="shared" si="299"/>
        <v>3.7178082191780821</v>
      </c>
      <c r="O1859" s="23">
        <v>2048.5123287671231</v>
      </c>
      <c r="P1859" s="18">
        <f t="shared" si="300"/>
        <v>4.2191780821917808</v>
      </c>
      <c r="Q1859" s="18">
        <f t="shared" si="305"/>
        <v>276.25479452054799</v>
      </c>
      <c r="R1859" s="18">
        <f t="shared" si="297"/>
        <v>2324.767123287671</v>
      </c>
      <c r="S1859" s="18">
        <f t="shared" si="304"/>
        <v>575.23287671232902</v>
      </c>
    </row>
    <row r="1860" spans="1:19" ht="18.75" customHeight="1" x14ac:dyDescent="0.25">
      <c r="A1860" s="14">
        <f t="shared" si="301"/>
        <v>1854</v>
      </c>
      <c r="B1860" s="21" t="s">
        <v>1607</v>
      </c>
      <c r="C1860" s="15" t="s">
        <v>3</v>
      </c>
      <c r="D1860" s="21" t="s">
        <v>1200</v>
      </c>
      <c r="E1860" s="21"/>
      <c r="F1860" s="69" t="s">
        <v>4</v>
      </c>
      <c r="G1860" s="9">
        <v>42931</v>
      </c>
      <c r="H1860" s="22">
        <v>23640</v>
      </c>
      <c r="I1860" s="17">
        <v>0</v>
      </c>
      <c r="J1860" s="17">
        <v>0</v>
      </c>
      <c r="K1860" s="17">
        <f t="shared" si="298"/>
        <v>23640</v>
      </c>
      <c r="L1860" s="23">
        <f t="shared" si="303"/>
        <v>1182</v>
      </c>
      <c r="M1860" s="23">
        <v>5</v>
      </c>
      <c r="N1860" s="18">
        <f t="shared" si="299"/>
        <v>3.7178082191780821</v>
      </c>
      <c r="O1860" s="23">
        <v>16698.907397260275</v>
      </c>
      <c r="P1860" s="18">
        <f t="shared" si="300"/>
        <v>4.2191780821917808</v>
      </c>
      <c r="Q1860" s="18">
        <f t="shared" si="305"/>
        <v>2251.9528767123288</v>
      </c>
      <c r="R1860" s="18">
        <f t="shared" ref="R1860:R1923" si="306">Q1860+O1860</f>
        <v>18950.860273972605</v>
      </c>
      <c r="S1860" s="18">
        <f t="shared" ref="S1860:S1923" si="307">K1860-R1860</f>
        <v>4689.1397260273952</v>
      </c>
    </row>
    <row r="1861" spans="1:19" ht="18.75" customHeight="1" x14ac:dyDescent="0.25">
      <c r="A1861" s="14">
        <f t="shared" si="301"/>
        <v>1855</v>
      </c>
      <c r="B1861" s="21" t="s">
        <v>1199</v>
      </c>
      <c r="C1861" s="15" t="s">
        <v>3</v>
      </c>
      <c r="D1861" s="21" t="s">
        <v>1200</v>
      </c>
      <c r="E1861" s="21"/>
      <c r="F1861" s="69" t="s">
        <v>4</v>
      </c>
      <c r="G1861" s="9">
        <v>42931</v>
      </c>
      <c r="H1861" s="22">
        <v>280000</v>
      </c>
      <c r="I1861" s="17">
        <v>0</v>
      </c>
      <c r="J1861" s="17">
        <v>0</v>
      </c>
      <c r="K1861" s="17">
        <f t="shared" ref="K1861:K1924" si="308">H1861+I1861-J1861</f>
        <v>280000</v>
      </c>
      <c r="L1861" s="23">
        <f t="shared" si="303"/>
        <v>14000</v>
      </c>
      <c r="M1861" s="23">
        <v>5</v>
      </c>
      <c r="N1861" s="18">
        <f t="shared" ref="N1861:N1924" si="309">IF(($N$2-G1861+1)/365&gt;0,($N$2-G1861+1)/365,0)</f>
        <v>3.7178082191780821</v>
      </c>
      <c r="O1861" s="23">
        <v>197787.39726027398</v>
      </c>
      <c r="P1861" s="18">
        <f t="shared" ref="P1861:P1924" si="310">($P$2-G1861+1)/365</f>
        <v>4.2191780821917808</v>
      </c>
      <c r="Q1861" s="18">
        <f t="shared" si="305"/>
        <v>26672.876712328769</v>
      </c>
      <c r="R1861" s="18">
        <f t="shared" si="306"/>
        <v>224460.27397260274</v>
      </c>
      <c r="S1861" s="18">
        <f t="shared" si="307"/>
        <v>55539.726027397264</v>
      </c>
    </row>
    <row r="1862" spans="1:19" ht="18.75" customHeight="1" x14ac:dyDescent="0.25">
      <c r="A1862" s="14">
        <f t="shared" ref="A1862:A1925" si="311">+A1861+1</f>
        <v>1856</v>
      </c>
      <c r="B1862" s="21" t="s">
        <v>1608</v>
      </c>
      <c r="C1862" s="15" t="s">
        <v>3</v>
      </c>
      <c r="D1862" s="21" t="s">
        <v>1200</v>
      </c>
      <c r="E1862" s="21"/>
      <c r="F1862" s="69" t="s">
        <v>4</v>
      </c>
      <c r="G1862" s="9">
        <v>42962</v>
      </c>
      <c r="H1862" s="22">
        <v>92000</v>
      </c>
      <c r="I1862" s="17">
        <v>0</v>
      </c>
      <c r="J1862" s="17">
        <v>0</v>
      </c>
      <c r="K1862" s="17">
        <f t="shared" si="308"/>
        <v>92000</v>
      </c>
      <c r="L1862" s="23">
        <f t="shared" si="303"/>
        <v>4600</v>
      </c>
      <c r="M1862" s="23">
        <v>5</v>
      </c>
      <c r="N1862" s="18">
        <f t="shared" si="309"/>
        <v>3.6328767123287671</v>
      </c>
      <c r="O1862" s="23">
        <v>63502.684931506847</v>
      </c>
      <c r="P1862" s="18">
        <f t="shared" si="310"/>
        <v>4.1342465753424653</v>
      </c>
      <c r="Q1862" s="18">
        <f t="shared" si="305"/>
        <v>8763.9452054794456</v>
      </c>
      <c r="R1862" s="18">
        <f t="shared" si="306"/>
        <v>72266.630136986292</v>
      </c>
      <c r="S1862" s="18">
        <f t="shared" si="307"/>
        <v>19733.369863013708</v>
      </c>
    </row>
    <row r="1863" spans="1:19" ht="18.75" customHeight="1" x14ac:dyDescent="0.25">
      <c r="A1863" s="14">
        <f t="shared" si="311"/>
        <v>1857</v>
      </c>
      <c r="B1863" s="21" t="s">
        <v>1609</v>
      </c>
      <c r="C1863" s="15" t="s">
        <v>3</v>
      </c>
      <c r="D1863" s="21" t="s">
        <v>1200</v>
      </c>
      <c r="E1863" s="21"/>
      <c r="F1863" s="69" t="s">
        <v>4</v>
      </c>
      <c r="G1863" s="9">
        <v>42993</v>
      </c>
      <c r="H1863" s="22">
        <v>11000</v>
      </c>
      <c r="I1863" s="17">
        <v>0</v>
      </c>
      <c r="J1863" s="17">
        <v>0</v>
      </c>
      <c r="K1863" s="17">
        <f t="shared" si="308"/>
        <v>11000</v>
      </c>
      <c r="L1863" s="23">
        <f t="shared" si="303"/>
        <v>550</v>
      </c>
      <c r="M1863" s="23">
        <v>3</v>
      </c>
      <c r="N1863" s="18">
        <f t="shared" si="309"/>
        <v>3.547945205479452</v>
      </c>
      <c r="O1863" s="23">
        <v>12358.675799086759</v>
      </c>
      <c r="P1863" s="18">
        <f t="shared" si="310"/>
        <v>4.0493150684931507</v>
      </c>
      <c r="Q1863" s="18">
        <v>0</v>
      </c>
      <c r="R1863" s="18">
        <f t="shared" si="306"/>
        <v>12358.675799086759</v>
      </c>
      <c r="S1863" s="18">
        <f>L1863</f>
        <v>550</v>
      </c>
    </row>
    <row r="1864" spans="1:19" ht="18.75" customHeight="1" x14ac:dyDescent="0.25">
      <c r="A1864" s="14">
        <f t="shared" si="311"/>
        <v>1858</v>
      </c>
      <c r="B1864" s="21" t="s">
        <v>1610</v>
      </c>
      <c r="C1864" s="15" t="s">
        <v>3</v>
      </c>
      <c r="D1864" s="21" t="s">
        <v>1200</v>
      </c>
      <c r="E1864" s="21"/>
      <c r="F1864" s="69" t="s">
        <v>4</v>
      </c>
      <c r="G1864" s="9">
        <v>42993</v>
      </c>
      <c r="H1864" s="22">
        <v>26630</v>
      </c>
      <c r="I1864" s="17">
        <v>0</v>
      </c>
      <c r="J1864" s="17">
        <v>0</v>
      </c>
      <c r="K1864" s="17">
        <f t="shared" si="308"/>
        <v>26630</v>
      </c>
      <c r="L1864" s="23">
        <f t="shared" si="303"/>
        <v>1331.5</v>
      </c>
      <c r="M1864" s="23">
        <v>5</v>
      </c>
      <c r="N1864" s="18">
        <f t="shared" si="309"/>
        <v>3.547945205479452</v>
      </c>
      <c r="O1864" s="23">
        <v>17951.538356164383</v>
      </c>
      <c r="P1864" s="18">
        <f t="shared" si="310"/>
        <v>4.0493150684931507</v>
      </c>
      <c r="Q1864" s="18">
        <f t="shared" si="305"/>
        <v>2536.7810958904111</v>
      </c>
      <c r="R1864" s="18">
        <f t="shared" si="306"/>
        <v>20488.319452054795</v>
      </c>
      <c r="S1864" s="18">
        <f t="shared" si="307"/>
        <v>6141.680547945205</v>
      </c>
    </row>
    <row r="1865" spans="1:19" ht="18.75" customHeight="1" x14ac:dyDescent="0.25">
      <c r="A1865" s="14">
        <f t="shared" si="311"/>
        <v>1859</v>
      </c>
      <c r="B1865" s="21" t="s">
        <v>1611</v>
      </c>
      <c r="C1865" s="15" t="s">
        <v>3</v>
      </c>
      <c r="D1865" s="21" t="s">
        <v>1200</v>
      </c>
      <c r="E1865" s="21"/>
      <c r="F1865" s="69" t="s">
        <v>4</v>
      </c>
      <c r="G1865" s="9">
        <v>42993</v>
      </c>
      <c r="H1865" s="22">
        <v>6000</v>
      </c>
      <c r="I1865" s="17">
        <v>0</v>
      </c>
      <c r="J1865" s="17">
        <v>0</v>
      </c>
      <c r="K1865" s="17">
        <f t="shared" si="308"/>
        <v>6000</v>
      </c>
      <c r="L1865" s="23">
        <f t="shared" si="303"/>
        <v>300</v>
      </c>
      <c r="M1865" s="23">
        <v>5</v>
      </c>
      <c r="N1865" s="18">
        <f t="shared" si="309"/>
        <v>3.547945205479452</v>
      </c>
      <c r="O1865" s="23">
        <v>4044.6575342465753</v>
      </c>
      <c r="P1865" s="18">
        <f t="shared" si="310"/>
        <v>4.0493150684931507</v>
      </c>
      <c r="Q1865" s="18">
        <f t="shared" si="305"/>
        <v>571.56164383561645</v>
      </c>
      <c r="R1865" s="18">
        <f t="shared" si="306"/>
        <v>4616.2191780821922</v>
      </c>
      <c r="S1865" s="18">
        <f t="shared" si="307"/>
        <v>1383.7808219178078</v>
      </c>
    </row>
    <row r="1866" spans="1:19" ht="18.75" customHeight="1" x14ac:dyDescent="0.25">
      <c r="A1866" s="14">
        <f t="shared" si="311"/>
        <v>1860</v>
      </c>
      <c r="B1866" s="21" t="s">
        <v>1199</v>
      </c>
      <c r="C1866" s="15" t="s">
        <v>3</v>
      </c>
      <c r="D1866" s="21" t="s">
        <v>1200</v>
      </c>
      <c r="E1866" s="21"/>
      <c r="F1866" s="69" t="s">
        <v>4</v>
      </c>
      <c r="G1866" s="9">
        <v>42993</v>
      </c>
      <c r="H1866" s="22">
        <v>112000</v>
      </c>
      <c r="I1866" s="17">
        <v>0</v>
      </c>
      <c r="J1866" s="17">
        <v>0</v>
      </c>
      <c r="K1866" s="17">
        <f t="shared" si="308"/>
        <v>112000</v>
      </c>
      <c r="L1866" s="23">
        <f t="shared" si="303"/>
        <v>5600</v>
      </c>
      <c r="M1866" s="23">
        <v>5</v>
      </c>
      <c r="N1866" s="18">
        <f t="shared" si="309"/>
        <v>3.547945205479452</v>
      </c>
      <c r="O1866" s="23">
        <v>75500.273972602736</v>
      </c>
      <c r="P1866" s="18">
        <f t="shared" si="310"/>
        <v>4.0493150684931507</v>
      </c>
      <c r="Q1866" s="18">
        <f t="shared" si="305"/>
        <v>10669.150684931508</v>
      </c>
      <c r="R1866" s="18">
        <f t="shared" si="306"/>
        <v>86169.42465753424</v>
      </c>
      <c r="S1866" s="18">
        <f t="shared" si="307"/>
        <v>25830.57534246576</v>
      </c>
    </row>
    <row r="1867" spans="1:19" ht="18.75" customHeight="1" x14ac:dyDescent="0.25">
      <c r="A1867" s="14">
        <f t="shared" si="311"/>
        <v>1861</v>
      </c>
      <c r="B1867" s="21" t="s">
        <v>1612</v>
      </c>
      <c r="C1867" s="15" t="s">
        <v>3</v>
      </c>
      <c r="D1867" s="21" t="s">
        <v>1200</v>
      </c>
      <c r="E1867" s="21"/>
      <c r="F1867" s="69" t="s">
        <v>4</v>
      </c>
      <c r="G1867" s="9">
        <v>42993</v>
      </c>
      <c r="H1867" s="22">
        <v>8135.6</v>
      </c>
      <c r="I1867" s="17">
        <v>0</v>
      </c>
      <c r="J1867" s="17">
        <v>0</v>
      </c>
      <c r="K1867" s="17">
        <f t="shared" si="308"/>
        <v>8135.6</v>
      </c>
      <c r="L1867" s="23">
        <f t="shared" si="303"/>
        <v>406.78000000000003</v>
      </c>
      <c r="M1867" s="23">
        <v>5</v>
      </c>
      <c r="N1867" s="18">
        <f t="shared" si="309"/>
        <v>3.547945205479452</v>
      </c>
      <c r="O1867" s="23">
        <v>5484.28597260274</v>
      </c>
      <c r="P1867" s="18">
        <f t="shared" si="310"/>
        <v>4.0493150684931507</v>
      </c>
      <c r="Q1867" s="18">
        <f t="shared" si="305"/>
        <v>774.99948493150703</v>
      </c>
      <c r="R1867" s="18">
        <f t="shared" si="306"/>
        <v>6259.2854575342471</v>
      </c>
      <c r="S1867" s="18">
        <f t="shared" si="307"/>
        <v>1876.3145424657532</v>
      </c>
    </row>
    <row r="1868" spans="1:19" ht="18.75" customHeight="1" x14ac:dyDescent="0.25">
      <c r="A1868" s="14">
        <f t="shared" si="311"/>
        <v>1862</v>
      </c>
      <c r="B1868" s="21" t="s">
        <v>1609</v>
      </c>
      <c r="C1868" s="15" t="s">
        <v>3</v>
      </c>
      <c r="D1868" s="21" t="s">
        <v>1200</v>
      </c>
      <c r="E1868" s="21"/>
      <c r="F1868" s="69" t="s">
        <v>4</v>
      </c>
      <c r="G1868" s="9">
        <v>43023</v>
      </c>
      <c r="H1868" s="22">
        <v>10000</v>
      </c>
      <c r="I1868" s="17">
        <v>0</v>
      </c>
      <c r="J1868" s="17">
        <v>0</v>
      </c>
      <c r="K1868" s="17">
        <f t="shared" si="308"/>
        <v>10000</v>
      </c>
      <c r="L1868" s="23">
        <f t="shared" si="303"/>
        <v>500</v>
      </c>
      <c r="M1868" s="23">
        <v>3</v>
      </c>
      <c r="N1868" s="18">
        <f t="shared" si="309"/>
        <v>3.4657534246575343</v>
      </c>
      <c r="O1868" s="23">
        <v>10974.885844748858</v>
      </c>
      <c r="P1868" s="18">
        <f t="shared" si="310"/>
        <v>3.967123287671233</v>
      </c>
      <c r="Q1868" s="18">
        <v>0</v>
      </c>
      <c r="R1868" s="18">
        <f t="shared" si="306"/>
        <v>10974.885844748858</v>
      </c>
      <c r="S1868" s="18">
        <f>L1868</f>
        <v>500</v>
      </c>
    </row>
    <row r="1869" spans="1:19" ht="18.75" customHeight="1" x14ac:dyDescent="0.25">
      <c r="A1869" s="14">
        <f t="shared" si="311"/>
        <v>1863</v>
      </c>
      <c r="B1869" s="21" t="s">
        <v>1613</v>
      </c>
      <c r="C1869" s="15" t="s">
        <v>3</v>
      </c>
      <c r="D1869" s="21" t="s">
        <v>1200</v>
      </c>
      <c r="E1869" s="21"/>
      <c r="F1869" s="69" t="s">
        <v>4</v>
      </c>
      <c r="G1869" s="9">
        <v>43023</v>
      </c>
      <c r="H1869" s="22">
        <v>74100.5</v>
      </c>
      <c r="I1869" s="17">
        <v>0</v>
      </c>
      <c r="J1869" s="17">
        <v>0</v>
      </c>
      <c r="K1869" s="17">
        <f t="shared" si="308"/>
        <v>74100.5</v>
      </c>
      <c r="L1869" s="23">
        <f t="shared" si="303"/>
        <v>3705.0250000000001</v>
      </c>
      <c r="M1869" s="23">
        <v>5</v>
      </c>
      <c r="N1869" s="18">
        <f t="shared" si="309"/>
        <v>3.4657534246575343</v>
      </c>
      <c r="O1869" s="23">
        <v>48794.671712328774</v>
      </c>
      <c r="P1869" s="18">
        <f t="shared" si="310"/>
        <v>3.967123287671233</v>
      </c>
      <c r="Q1869" s="18">
        <f t="shared" si="305"/>
        <v>7058.8339315068506</v>
      </c>
      <c r="R1869" s="18">
        <f t="shared" si="306"/>
        <v>55853.505643835626</v>
      </c>
      <c r="S1869" s="18">
        <f t="shared" si="307"/>
        <v>18246.994356164374</v>
      </c>
    </row>
    <row r="1870" spans="1:19" ht="18.75" customHeight="1" x14ac:dyDescent="0.25">
      <c r="A1870" s="14">
        <f t="shared" si="311"/>
        <v>1864</v>
      </c>
      <c r="B1870" s="21" t="s">
        <v>1614</v>
      </c>
      <c r="C1870" s="15" t="s">
        <v>3</v>
      </c>
      <c r="D1870" s="21" t="s">
        <v>1200</v>
      </c>
      <c r="E1870" s="21"/>
      <c r="F1870" s="69" t="s">
        <v>4</v>
      </c>
      <c r="G1870" s="9">
        <v>43023</v>
      </c>
      <c r="H1870" s="22">
        <v>8266.02</v>
      </c>
      <c r="I1870" s="17">
        <v>0</v>
      </c>
      <c r="J1870" s="17">
        <v>0</v>
      </c>
      <c r="K1870" s="17">
        <f t="shared" si="308"/>
        <v>8266.02</v>
      </c>
      <c r="L1870" s="23">
        <f t="shared" si="303"/>
        <v>413.30100000000004</v>
      </c>
      <c r="M1870" s="23">
        <v>5</v>
      </c>
      <c r="N1870" s="18">
        <f t="shared" si="309"/>
        <v>3.4657534246575343</v>
      </c>
      <c r="O1870" s="23">
        <v>5443.1175534246577</v>
      </c>
      <c r="P1870" s="18">
        <f t="shared" si="310"/>
        <v>3.967123287671233</v>
      </c>
      <c r="Q1870" s="18">
        <f t="shared" si="305"/>
        <v>787.42332986301381</v>
      </c>
      <c r="R1870" s="18">
        <f t="shared" si="306"/>
        <v>6230.540883287671</v>
      </c>
      <c r="S1870" s="18">
        <f t="shared" si="307"/>
        <v>2035.4791167123294</v>
      </c>
    </row>
    <row r="1871" spans="1:19" ht="18.75" customHeight="1" x14ac:dyDescent="0.25">
      <c r="A1871" s="14">
        <f t="shared" si="311"/>
        <v>1865</v>
      </c>
      <c r="B1871" s="21" t="s">
        <v>1615</v>
      </c>
      <c r="C1871" s="15" t="s">
        <v>3</v>
      </c>
      <c r="D1871" s="21" t="s">
        <v>1200</v>
      </c>
      <c r="E1871" s="21"/>
      <c r="F1871" s="69" t="s">
        <v>4</v>
      </c>
      <c r="G1871" s="9">
        <v>43023</v>
      </c>
      <c r="H1871" s="22">
        <v>12588.099999999999</v>
      </c>
      <c r="I1871" s="17">
        <v>0</v>
      </c>
      <c r="J1871" s="17">
        <v>0</v>
      </c>
      <c r="K1871" s="17">
        <f t="shared" si="308"/>
        <v>12588.099999999999</v>
      </c>
      <c r="L1871" s="23">
        <f t="shared" si="303"/>
        <v>629.40499999999997</v>
      </c>
      <c r="M1871" s="23">
        <v>5</v>
      </c>
      <c r="N1871" s="18">
        <f t="shared" si="309"/>
        <v>3.4657534246575343</v>
      </c>
      <c r="O1871" s="23">
        <v>8289.1776301369846</v>
      </c>
      <c r="P1871" s="18">
        <f t="shared" si="310"/>
        <v>3.967123287671233</v>
      </c>
      <c r="Q1871" s="18">
        <f t="shared" si="305"/>
        <v>1199.1458547945203</v>
      </c>
      <c r="R1871" s="18">
        <f t="shared" si="306"/>
        <v>9488.3234849315049</v>
      </c>
      <c r="S1871" s="18">
        <f t="shared" si="307"/>
        <v>3099.7765150684936</v>
      </c>
    </row>
    <row r="1872" spans="1:19" ht="18.75" customHeight="1" x14ac:dyDescent="0.25">
      <c r="A1872" s="14">
        <f t="shared" si="311"/>
        <v>1866</v>
      </c>
      <c r="B1872" s="21" t="s">
        <v>1616</v>
      </c>
      <c r="C1872" s="15" t="s">
        <v>3</v>
      </c>
      <c r="D1872" s="21" t="s">
        <v>1200</v>
      </c>
      <c r="E1872" s="21"/>
      <c r="F1872" s="69" t="s">
        <v>4</v>
      </c>
      <c r="G1872" s="9">
        <v>43054</v>
      </c>
      <c r="H1872" s="22">
        <v>53050.84</v>
      </c>
      <c r="I1872" s="17">
        <v>0</v>
      </c>
      <c r="J1872" s="17">
        <v>0</v>
      </c>
      <c r="K1872" s="17">
        <f t="shared" si="308"/>
        <v>53050.84</v>
      </c>
      <c r="L1872" s="23">
        <f t="shared" si="303"/>
        <v>2652.5419999999999</v>
      </c>
      <c r="M1872" s="23">
        <v>5</v>
      </c>
      <c r="N1872" s="18">
        <f t="shared" si="309"/>
        <v>3.3808219178082193</v>
      </c>
      <c r="O1872" s="23">
        <v>34077.534099726021</v>
      </c>
      <c r="P1872" s="18">
        <f t="shared" si="310"/>
        <v>3.882191780821918</v>
      </c>
      <c r="Q1872" s="18">
        <f t="shared" si="305"/>
        <v>5053.6375528767121</v>
      </c>
      <c r="R1872" s="18">
        <f t="shared" si="306"/>
        <v>39131.17165260273</v>
      </c>
      <c r="S1872" s="18">
        <f t="shared" si="307"/>
        <v>13919.668347397266</v>
      </c>
    </row>
    <row r="1873" spans="1:19" ht="18.75" customHeight="1" x14ac:dyDescent="0.25">
      <c r="A1873" s="14">
        <f t="shared" si="311"/>
        <v>1867</v>
      </c>
      <c r="B1873" s="21" t="s">
        <v>1609</v>
      </c>
      <c r="C1873" s="15" t="s">
        <v>3</v>
      </c>
      <c r="D1873" s="21" t="s">
        <v>1200</v>
      </c>
      <c r="E1873" s="21"/>
      <c r="F1873" s="69" t="s">
        <v>4</v>
      </c>
      <c r="G1873" s="9">
        <v>43054</v>
      </c>
      <c r="H1873" s="22">
        <v>6696.42</v>
      </c>
      <c r="I1873" s="17">
        <v>0</v>
      </c>
      <c r="J1873" s="17">
        <v>0</v>
      </c>
      <c r="K1873" s="17">
        <f t="shared" si="308"/>
        <v>6696.42</v>
      </c>
      <c r="L1873" s="23">
        <f t="shared" si="303"/>
        <v>334.82100000000003</v>
      </c>
      <c r="M1873" s="23">
        <v>3</v>
      </c>
      <c r="N1873" s="18">
        <f t="shared" si="309"/>
        <v>3.3808219178082193</v>
      </c>
      <c r="O1873" s="23">
        <v>7169.1444438356157</v>
      </c>
      <c r="P1873" s="18">
        <f t="shared" si="310"/>
        <v>3.882191780821918</v>
      </c>
      <c r="Q1873" s="18">
        <v>0</v>
      </c>
      <c r="R1873" s="18">
        <f t="shared" si="306"/>
        <v>7169.1444438356157</v>
      </c>
      <c r="S1873" s="18">
        <f>L1873</f>
        <v>334.82100000000003</v>
      </c>
    </row>
    <row r="1874" spans="1:19" ht="18.75" customHeight="1" x14ac:dyDescent="0.25">
      <c r="A1874" s="14">
        <f t="shared" si="311"/>
        <v>1868</v>
      </c>
      <c r="B1874" s="21" t="s">
        <v>1617</v>
      </c>
      <c r="C1874" s="15" t="s">
        <v>3</v>
      </c>
      <c r="D1874" s="21" t="s">
        <v>1200</v>
      </c>
      <c r="E1874" s="21"/>
      <c r="F1874" s="69" t="s">
        <v>4</v>
      </c>
      <c r="G1874" s="9">
        <v>43054</v>
      </c>
      <c r="H1874" s="22">
        <v>113932.88</v>
      </c>
      <c r="I1874" s="17">
        <v>0</v>
      </c>
      <c r="J1874" s="17">
        <v>0</v>
      </c>
      <c r="K1874" s="17">
        <f t="shared" si="308"/>
        <v>113932.88</v>
      </c>
      <c r="L1874" s="23">
        <f t="shared" si="303"/>
        <v>5696.6440000000002</v>
      </c>
      <c r="M1874" s="23">
        <v>5</v>
      </c>
      <c r="N1874" s="18">
        <f t="shared" si="309"/>
        <v>3.3808219178082193</v>
      </c>
      <c r="O1874" s="23">
        <v>73185.487793972614</v>
      </c>
      <c r="P1874" s="18">
        <f t="shared" si="310"/>
        <v>3.882191780821918</v>
      </c>
      <c r="Q1874" s="18">
        <f t="shared" si="305"/>
        <v>10853.277363287672</v>
      </c>
      <c r="R1874" s="18">
        <f t="shared" si="306"/>
        <v>84038.765157260292</v>
      </c>
      <c r="S1874" s="18">
        <f t="shared" si="307"/>
        <v>29894.114842739713</v>
      </c>
    </row>
    <row r="1875" spans="1:19" ht="18.75" customHeight="1" x14ac:dyDescent="0.25">
      <c r="A1875" s="14">
        <f t="shared" si="311"/>
        <v>1869</v>
      </c>
      <c r="B1875" s="21" t="s">
        <v>1609</v>
      </c>
      <c r="C1875" s="15" t="s">
        <v>3</v>
      </c>
      <c r="D1875" s="21" t="s">
        <v>1200</v>
      </c>
      <c r="E1875" s="21"/>
      <c r="F1875" s="69" t="s">
        <v>4</v>
      </c>
      <c r="G1875" s="9">
        <v>43084</v>
      </c>
      <c r="H1875" s="22">
        <v>6000</v>
      </c>
      <c r="I1875" s="17">
        <v>0</v>
      </c>
      <c r="J1875" s="17">
        <v>0</v>
      </c>
      <c r="K1875" s="17">
        <f t="shared" si="308"/>
        <v>6000</v>
      </c>
      <c r="L1875" s="23">
        <f t="shared" si="303"/>
        <v>300</v>
      </c>
      <c r="M1875" s="23">
        <v>3</v>
      </c>
      <c r="N1875" s="18">
        <f t="shared" si="309"/>
        <v>3.2986301369863016</v>
      </c>
      <c r="O1875" s="23">
        <v>6267.3972602739732</v>
      </c>
      <c r="P1875" s="18">
        <f t="shared" si="310"/>
        <v>3.8</v>
      </c>
      <c r="Q1875" s="18">
        <v>0</v>
      </c>
      <c r="R1875" s="18">
        <f t="shared" si="306"/>
        <v>6267.3972602739732</v>
      </c>
      <c r="S1875" s="18">
        <f t="shared" ref="S1875:S1876" si="312">L1875</f>
        <v>300</v>
      </c>
    </row>
    <row r="1876" spans="1:19" ht="18.75" customHeight="1" x14ac:dyDescent="0.25">
      <c r="A1876" s="14">
        <f t="shared" si="311"/>
        <v>1870</v>
      </c>
      <c r="B1876" s="21" t="s">
        <v>1618</v>
      </c>
      <c r="C1876" s="15" t="s">
        <v>3</v>
      </c>
      <c r="D1876" s="21" t="s">
        <v>1200</v>
      </c>
      <c r="E1876" s="21"/>
      <c r="F1876" s="69" t="s">
        <v>4</v>
      </c>
      <c r="G1876" s="9">
        <v>43084</v>
      </c>
      <c r="H1876" s="22">
        <v>11000</v>
      </c>
      <c r="I1876" s="17">
        <v>0</v>
      </c>
      <c r="J1876" s="17">
        <v>0</v>
      </c>
      <c r="K1876" s="17">
        <f t="shared" si="308"/>
        <v>11000</v>
      </c>
      <c r="L1876" s="23">
        <f t="shared" si="303"/>
        <v>550</v>
      </c>
      <c r="M1876" s="23">
        <v>3</v>
      </c>
      <c r="N1876" s="18">
        <f t="shared" si="309"/>
        <v>3.2986301369863016</v>
      </c>
      <c r="O1876" s="23">
        <v>11490.228310502283</v>
      </c>
      <c r="P1876" s="18">
        <f t="shared" si="310"/>
        <v>3.8</v>
      </c>
      <c r="Q1876" s="18">
        <v>0</v>
      </c>
      <c r="R1876" s="18">
        <f t="shared" si="306"/>
        <v>11490.228310502283</v>
      </c>
      <c r="S1876" s="18">
        <f t="shared" si="312"/>
        <v>550</v>
      </c>
    </row>
    <row r="1877" spans="1:19" ht="18.75" customHeight="1" x14ac:dyDescent="0.25">
      <c r="A1877" s="14">
        <f t="shared" si="311"/>
        <v>1871</v>
      </c>
      <c r="B1877" s="21" t="s">
        <v>1619</v>
      </c>
      <c r="C1877" s="15" t="s">
        <v>3</v>
      </c>
      <c r="D1877" s="21" t="s">
        <v>1200</v>
      </c>
      <c r="E1877" s="21"/>
      <c r="F1877" s="69" t="s">
        <v>4</v>
      </c>
      <c r="G1877" s="9">
        <v>43115</v>
      </c>
      <c r="H1877" s="22">
        <v>5500</v>
      </c>
      <c r="I1877" s="17">
        <v>0</v>
      </c>
      <c r="J1877" s="17">
        <v>0</v>
      </c>
      <c r="K1877" s="17">
        <f t="shared" si="308"/>
        <v>5500</v>
      </c>
      <c r="L1877" s="23">
        <f t="shared" si="303"/>
        <v>275</v>
      </c>
      <c r="M1877" s="23">
        <v>5</v>
      </c>
      <c r="N1877" s="18">
        <f t="shared" si="309"/>
        <v>3.2136986301369861</v>
      </c>
      <c r="O1877" s="23">
        <v>3358.3150684931506</v>
      </c>
      <c r="P1877" s="18">
        <f t="shared" si="310"/>
        <v>3.7150684931506848</v>
      </c>
      <c r="Q1877" s="18">
        <f t="shared" si="305"/>
        <v>523.93150684931516</v>
      </c>
      <c r="R1877" s="18">
        <f t="shared" si="306"/>
        <v>3882.2465753424658</v>
      </c>
      <c r="S1877" s="18">
        <f t="shared" si="307"/>
        <v>1617.7534246575342</v>
      </c>
    </row>
    <row r="1878" spans="1:19" ht="18.75" customHeight="1" x14ac:dyDescent="0.25">
      <c r="A1878" s="14">
        <f t="shared" si="311"/>
        <v>1872</v>
      </c>
      <c r="B1878" s="21" t="s">
        <v>1620</v>
      </c>
      <c r="C1878" s="15" t="s">
        <v>3</v>
      </c>
      <c r="D1878" s="21" t="s">
        <v>1200</v>
      </c>
      <c r="E1878" s="21"/>
      <c r="F1878" s="69" t="s">
        <v>4</v>
      </c>
      <c r="G1878" s="9">
        <v>43115</v>
      </c>
      <c r="H1878" s="22">
        <v>63347.46</v>
      </c>
      <c r="I1878" s="17">
        <v>0</v>
      </c>
      <c r="J1878" s="17">
        <v>0</v>
      </c>
      <c r="K1878" s="17">
        <f t="shared" si="308"/>
        <v>63347.46</v>
      </c>
      <c r="L1878" s="23">
        <f t="shared" si="303"/>
        <v>3167.373</v>
      </c>
      <c r="M1878" s="23">
        <v>3</v>
      </c>
      <c r="N1878" s="18">
        <f t="shared" si="309"/>
        <v>3.2136986301369861</v>
      </c>
      <c r="O1878" s="23">
        <v>64466.887717808204</v>
      </c>
      <c r="P1878" s="18">
        <f t="shared" si="310"/>
        <v>3.7150684931506848</v>
      </c>
      <c r="Q1878" s="18">
        <v>0</v>
      </c>
      <c r="R1878" s="18">
        <f t="shared" si="306"/>
        <v>64466.887717808204</v>
      </c>
      <c r="S1878" s="18">
        <f>L1878</f>
        <v>3167.373</v>
      </c>
    </row>
    <row r="1879" spans="1:19" ht="18.75" customHeight="1" x14ac:dyDescent="0.25">
      <c r="A1879" s="14">
        <f t="shared" si="311"/>
        <v>1873</v>
      </c>
      <c r="B1879" s="21" t="s">
        <v>1621</v>
      </c>
      <c r="C1879" s="15" t="s">
        <v>3</v>
      </c>
      <c r="D1879" s="21" t="s">
        <v>1200</v>
      </c>
      <c r="E1879" s="21"/>
      <c r="F1879" s="69" t="s">
        <v>4</v>
      </c>
      <c r="G1879" s="9">
        <v>43146</v>
      </c>
      <c r="H1879" s="22">
        <v>6875</v>
      </c>
      <c r="I1879" s="17">
        <v>0</v>
      </c>
      <c r="J1879" s="17">
        <v>0</v>
      </c>
      <c r="K1879" s="17">
        <f t="shared" si="308"/>
        <v>6875</v>
      </c>
      <c r="L1879" s="23">
        <f t="shared" ref="L1879:L1942" si="313">H1879*0.05</f>
        <v>343.75</v>
      </c>
      <c r="M1879" s="23">
        <v>5</v>
      </c>
      <c r="N1879" s="18">
        <f t="shared" si="309"/>
        <v>3.128767123287671</v>
      </c>
      <c r="O1879" s="23">
        <v>4086.9520547945203</v>
      </c>
      <c r="P1879" s="18">
        <f t="shared" si="310"/>
        <v>3.6301369863013697</v>
      </c>
      <c r="Q1879" s="18">
        <f t="shared" ref="Q1879:Q1941" si="314">(P1879-N1879)/M1879*(K1879-L1879)</f>
        <v>654.91438356164394</v>
      </c>
      <c r="R1879" s="18">
        <f t="shared" si="306"/>
        <v>4741.8664383561645</v>
      </c>
      <c r="S1879" s="18">
        <f t="shared" si="307"/>
        <v>2133.1335616438355</v>
      </c>
    </row>
    <row r="1880" spans="1:19" ht="18.75" customHeight="1" x14ac:dyDescent="0.25">
      <c r="A1880" s="14">
        <f t="shared" si="311"/>
        <v>1874</v>
      </c>
      <c r="B1880" s="21" t="s">
        <v>1322</v>
      </c>
      <c r="C1880" s="15" t="s">
        <v>3</v>
      </c>
      <c r="D1880" s="21" t="s">
        <v>1200</v>
      </c>
      <c r="E1880" s="21"/>
      <c r="F1880" s="69" t="s">
        <v>4</v>
      </c>
      <c r="G1880" s="9">
        <v>43146</v>
      </c>
      <c r="H1880" s="22">
        <v>6500</v>
      </c>
      <c r="I1880" s="17">
        <v>0</v>
      </c>
      <c r="J1880" s="17">
        <v>0</v>
      </c>
      <c r="K1880" s="17">
        <f t="shared" si="308"/>
        <v>6500</v>
      </c>
      <c r="L1880" s="23">
        <f t="shared" si="313"/>
        <v>325</v>
      </c>
      <c r="M1880" s="23">
        <v>5</v>
      </c>
      <c r="N1880" s="18">
        <f t="shared" si="309"/>
        <v>3.128767123287671</v>
      </c>
      <c r="O1880" s="23">
        <v>3864.0273972602736</v>
      </c>
      <c r="P1880" s="18">
        <f t="shared" si="310"/>
        <v>3.6301369863013697</v>
      </c>
      <c r="Q1880" s="18">
        <f t="shared" si="314"/>
        <v>619.19178082191786</v>
      </c>
      <c r="R1880" s="18">
        <f t="shared" si="306"/>
        <v>4483.2191780821913</v>
      </c>
      <c r="S1880" s="18">
        <f t="shared" si="307"/>
        <v>2016.7808219178087</v>
      </c>
    </row>
    <row r="1881" spans="1:19" ht="18.75" customHeight="1" x14ac:dyDescent="0.25">
      <c r="A1881" s="14">
        <f t="shared" si="311"/>
        <v>1875</v>
      </c>
      <c r="B1881" s="21" t="s">
        <v>1622</v>
      </c>
      <c r="C1881" s="15" t="s">
        <v>3</v>
      </c>
      <c r="D1881" s="21" t="s">
        <v>1200</v>
      </c>
      <c r="E1881" s="21"/>
      <c r="F1881" s="69" t="s">
        <v>4</v>
      </c>
      <c r="G1881" s="9">
        <v>43174</v>
      </c>
      <c r="H1881" s="22">
        <v>47465.38</v>
      </c>
      <c r="I1881" s="17">
        <v>0</v>
      </c>
      <c r="J1881" s="17">
        <v>0</v>
      </c>
      <c r="K1881" s="17">
        <f t="shared" si="308"/>
        <v>47465.38</v>
      </c>
      <c r="L1881" s="23">
        <f t="shared" si="313"/>
        <v>2373.2689999999998</v>
      </c>
      <c r="M1881" s="23">
        <v>5</v>
      </c>
      <c r="N1881" s="18">
        <f t="shared" si="309"/>
        <v>3.0520547945205481</v>
      </c>
      <c r="O1881" s="23">
        <v>27524.718714520546</v>
      </c>
      <c r="P1881" s="18">
        <f t="shared" si="310"/>
        <v>3.5534246575342467</v>
      </c>
      <c r="Q1881" s="18">
        <f t="shared" si="314"/>
        <v>4521.5651030136987</v>
      </c>
      <c r="R1881" s="18">
        <f t="shared" si="306"/>
        <v>32046.283817534244</v>
      </c>
      <c r="S1881" s="18">
        <f t="shared" si="307"/>
        <v>15419.096182465753</v>
      </c>
    </row>
    <row r="1882" spans="1:19" ht="18.75" customHeight="1" x14ac:dyDescent="0.25">
      <c r="A1882" s="14">
        <f t="shared" si="311"/>
        <v>1876</v>
      </c>
      <c r="B1882" s="21" t="s">
        <v>1623</v>
      </c>
      <c r="C1882" s="15" t="s">
        <v>3</v>
      </c>
      <c r="D1882" s="21" t="s">
        <v>1200</v>
      </c>
      <c r="E1882" s="21"/>
      <c r="F1882" s="69" t="s">
        <v>4</v>
      </c>
      <c r="G1882" s="9">
        <v>43174</v>
      </c>
      <c r="H1882" s="22">
        <v>10318.56</v>
      </c>
      <c r="I1882" s="17">
        <v>0</v>
      </c>
      <c r="J1882" s="17">
        <v>0</v>
      </c>
      <c r="K1882" s="17">
        <f t="shared" si="308"/>
        <v>10318.56</v>
      </c>
      <c r="L1882" s="23">
        <f t="shared" si="313"/>
        <v>515.928</v>
      </c>
      <c r="M1882" s="23">
        <v>5</v>
      </c>
      <c r="N1882" s="18">
        <f t="shared" si="309"/>
        <v>3.0520547945205481</v>
      </c>
      <c r="O1882" s="23">
        <v>5983.6339989041098</v>
      </c>
      <c r="P1882" s="18">
        <f t="shared" si="310"/>
        <v>3.5534246575342467</v>
      </c>
      <c r="Q1882" s="18">
        <f t="shared" si="314"/>
        <v>982.94885260273975</v>
      </c>
      <c r="R1882" s="18">
        <f t="shared" si="306"/>
        <v>6966.5828515068497</v>
      </c>
      <c r="S1882" s="18">
        <f t="shared" si="307"/>
        <v>3351.9771484931498</v>
      </c>
    </row>
    <row r="1883" spans="1:19" ht="18.75" customHeight="1" x14ac:dyDescent="0.25">
      <c r="A1883" s="14">
        <f t="shared" si="311"/>
        <v>1877</v>
      </c>
      <c r="B1883" s="21" t="s">
        <v>1624</v>
      </c>
      <c r="C1883" s="15" t="s">
        <v>3</v>
      </c>
      <c r="D1883" s="21" t="s">
        <v>1200</v>
      </c>
      <c r="E1883" s="21"/>
      <c r="F1883" s="69" t="s">
        <v>4</v>
      </c>
      <c r="G1883" s="9">
        <v>43174</v>
      </c>
      <c r="H1883" s="22">
        <v>2416.06</v>
      </c>
      <c r="I1883" s="17">
        <v>0</v>
      </c>
      <c r="J1883" s="17">
        <v>0</v>
      </c>
      <c r="K1883" s="17">
        <f t="shared" si="308"/>
        <v>2416.06</v>
      </c>
      <c r="L1883" s="23">
        <f t="shared" si="313"/>
        <v>120.803</v>
      </c>
      <c r="M1883" s="23">
        <v>5</v>
      </c>
      <c r="N1883" s="18">
        <f t="shared" si="309"/>
        <v>3.0520547945205481</v>
      </c>
      <c r="O1883" s="23">
        <v>1401.0500263013701</v>
      </c>
      <c r="P1883" s="18">
        <f t="shared" si="310"/>
        <v>3.5534246575342467</v>
      </c>
      <c r="Q1883" s="18">
        <f t="shared" si="314"/>
        <v>230.1545375342466</v>
      </c>
      <c r="R1883" s="18">
        <f t="shared" si="306"/>
        <v>1631.2045638356167</v>
      </c>
      <c r="S1883" s="18">
        <f t="shared" si="307"/>
        <v>784.85543616438326</v>
      </c>
    </row>
    <row r="1884" spans="1:19" ht="18.75" customHeight="1" x14ac:dyDescent="0.25">
      <c r="A1884" s="14">
        <f t="shared" si="311"/>
        <v>1878</v>
      </c>
      <c r="B1884" s="21" t="s">
        <v>1625</v>
      </c>
      <c r="C1884" s="15" t="s">
        <v>3</v>
      </c>
      <c r="D1884" s="21" t="s">
        <v>1200</v>
      </c>
      <c r="E1884" s="21"/>
      <c r="F1884" s="69" t="s">
        <v>4</v>
      </c>
      <c r="G1884" s="9">
        <v>43296</v>
      </c>
      <c r="H1884" s="22">
        <v>11999</v>
      </c>
      <c r="I1884" s="17">
        <v>0</v>
      </c>
      <c r="J1884" s="17">
        <v>0</v>
      </c>
      <c r="K1884" s="17">
        <f t="shared" si="308"/>
        <v>11999</v>
      </c>
      <c r="L1884" s="23">
        <f t="shared" si="313"/>
        <v>599.95000000000005</v>
      </c>
      <c r="M1884" s="23">
        <v>3</v>
      </c>
      <c r="N1884" s="18">
        <f t="shared" si="309"/>
        <v>2.7178082191780821</v>
      </c>
      <c r="O1884" s="23">
        <v>10326.810593607304</v>
      </c>
      <c r="P1884" s="18">
        <f t="shared" si="310"/>
        <v>3.2191780821917808</v>
      </c>
      <c r="Q1884" s="18">
        <v>0</v>
      </c>
      <c r="R1884" s="18">
        <f t="shared" si="306"/>
        <v>10326.810593607304</v>
      </c>
      <c r="S1884" s="18">
        <f t="shared" si="307"/>
        <v>1672.1894063926957</v>
      </c>
    </row>
    <row r="1885" spans="1:19" ht="18.75" customHeight="1" x14ac:dyDescent="0.25">
      <c r="A1885" s="14">
        <f t="shared" si="311"/>
        <v>1879</v>
      </c>
      <c r="B1885" s="21" t="s">
        <v>1626</v>
      </c>
      <c r="C1885" s="15" t="s">
        <v>3</v>
      </c>
      <c r="D1885" s="21" t="s">
        <v>1200</v>
      </c>
      <c r="E1885" s="21"/>
      <c r="F1885" s="69" t="s">
        <v>4</v>
      </c>
      <c r="G1885" s="9">
        <v>43327</v>
      </c>
      <c r="H1885" s="22">
        <v>18990</v>
      </c>
      <c r="I1885" s="17">
        <v>0</v>
      </c>
      <c r="J1885" s="17">
        <v>0</v>
      </c>
      <c r="K1885" s="17">
        <f t="shared" si="308"/>
        <v>18990</v>
      </c>
      <c r="L1885" s="23">
        <f t="shared" si="313"/>
        <v>949.5</v>
      </c>
      <c r="M1885" s="23">
        <v>3</v>
      </c>
      <c r="N1885" s="18">
        <f t="shared" si="309"/>
        <v>2.6328767123287671</v>
      </c>
      <c r="O1885" s="23">
        <v>15832.80410958904</v>
      </c>
      <c r="P1885" s="18">
        <f t="shared" si="310"/>
        <v>3.1342465753424658</v>
      </c>
      <c r="Q1885" s="18">
        <v>0</v>
      </c>
      <c r="R1885" s="18">
        <f t="shared" si="306"/>
        <v>15832.80410958904</v>
      </c>
      <c r="S1885" s="18">
        <f t="shared" si="307"/>
        <v>3157.1958904109597</v>
      </c>
    </row>
    <row r="1886" spans="1:19" ht="18.75" customHeight="1" x14ac:dyDescent="0.25">
      <c r="A1886" s="14">
        <f t="shared" si="311"/>
        <v>1880</v>
      </c>
      <c r="B1886" s="21" t="s">
        <v>1627</v>
      </c>
      <c r="C1886" s="15" t="s">
        <v>3</v>
      </c>
      <c r="D1886" s="21" t="s">
        <v>1200</v>
      </c>
      <c r="E1886" s="21"/>
      <c r="F1886" s="69" t="s">
        <v>4</v>
      </c>
      <c r="G1886" s="9">
        <v>43388</v>
      </c>
      <c r="H1886" s="22">
        <v>65169.49</v>
      </c>
      <c r="I1886" s="17">
        <v>0</v>
      </c>
      <c r="J1886" s="17">
        <v>0</v>
      </c>
      <c r="K1886" s="17">
        <f t="shared" si="308"/>
        <v>65169.49</v>
      </c>
      <c r="L1886" s="23">
        <f t="shared" si="313"/>
        <v>3258.4745000000003</v>
      </c>
      <c r="M1886" s="23">
        <v>5</v>
      </c>
      <c r="N1886" s="18">
        <f t="shared" si="309"/>
        <v>2.4657534246575343</v>
      </c>
      <c r="O1886" s="23">
        <v>30531.459698630137</v>
      </c>
      <c r="P1886" s="18">
        <f t="shared" si="310"/>
        <v>2.967123287671233</v>
      </c>
      <c r="Q1886" s="18">
        <f t="shared" si="314"/>
        <v>6208.0634720547941</v>
      </c>
      <c r="R1886" s="18">
        <f t="shared" si="306"/>
        <v>36739.52317068493</v>
      </c>
      <c r="S1886" s="18">
        <f t="shared" si="307"/>
        <v>28429.966829315068</v>
      </c>
    </row>
    <row r="1887" spans="1:19" ht="18.75" customHeight="1" x14ac:dyDescent="0.25">
      <c r="A1887" s="14">
        <f t="shared" si="311"/>
        <v>1881</v>
      </c>
      <c r="B1887" s="21" t="s">
        <v>1628</v>
      </c>
      <c r="C1887" s="15" t="s">
        <v>3</v>
      </c>
      <c r="D1887" s="21" t="s">
        <v>1200</v>
      </c>
      <c r="E1887" s="21"/>
      <c r="F1887" s="69" t="s">
        <v>4</v>
      </c>
      <c r="G1887" s="9">
        <v>43388</v>
      </c>
      <c r="H1887" s="22">
        <v>15677.12</v>
      </c>
      <c r="I1887" s="17">
        <v>0</v>
      </c>
      <c r="J1887" s="17">
        <v>0</v>
      </c>
      <c r="K1887" s="17">
        <f t="shared" si="308"/>
        <v>15677.12</v>
      </c>
      <c r="L1887" s="23">
        <f t="shared" si="313"/>
        <v>783.85600000000011</v>
      </c>
      <c r="M1887" s="23">
        <v>5</v>
      </c>
      <c r="N1887" s="18">
        <f t="shared" si="309"/>
        <v>2.4657534246575343</v>
      </c>
      <c r="O1887" s="23">
        <v>7344.6233424657548</v>
      </c>
      <c r="P1887" s="18">
        <f t="shared" si="310"/>
        <v>2.967123287671233</v>
      </c>
      <c r="Q1887" s="18">
        <f t="shared" si="314"/>
        <v>1493.40674630137</v>
      </c>
      <c r="R1887" s="18">
        <f t="shared" si="306"/>
        <v>8838.0300887671256</v>
      </c>
      <c r="S1887" s="18">
        <f t="shared" si="307"/>
        <v>6839.0899112328752</v>
      </c>
    </row>
    <row r="1888" spans="1:19" ht="18.75" customHeight="1" x14ac:dyDescent="0.25">
      <c r="A1888" s="14">
        <f t="shared" si="311"/>
        <v>1882</v>
      </c>
      <c r="B1888" s="21" t="s">
        <v>1625</v>
      </c>
      <c r="C1888" s="15" t="s">
        <v>3</v>
      </c>
      <c r="D1888" s="21" t="s">
        <v>1200</v>
      </c>
      <c r="E1888" s="21"/>
      <c r="F1888" s="69" t="s">
        <v>4</v>
      </c>
      <c r="G1888" s="9">
        <v>43419</v>
      </c>
      <c r="H1888" s="22">
        <v>14999</v>
      </c>
      <c r="I1888" s="17">
        <v>0</v>
      </c>
      <c r="J1888" s="17">
        <v>0</v>
      </c>
      <c r="K1888" s="17">
        <f t="shared" si="308"/>
        <v>14999</v>
      </c>
      <c r="L1888" s="23">
        <f t="shared" si="313"/>
        <v>749.95</v>
      </c>
      <c r="M1888" s="23">
        <v>3</v>
      </c>
      <c r="N1888" s="18">
        <f t="shared" si="309"/>
        <v>2.3808219178082193</v>
      </c>
      <c r="O1888" s="23">
        <v>11308.150182648402</v>
      </c>
      <c r="P1888" s="18">
        <f t="shared" si="310"/>
        <v>2.882191780821918</v>
      </c>
      <c r="Q1888" s="18">
        <f t="shared" si="314"/>
        <v>2381.348082191781</v>
      </c>
      <c r="R1888" s="18">
        <f t="shared" si="306"/>
        <v>13689.498264840182</v>
      </c>
      <c r="S1888" s="18">
        <f t="shared" si="307"/>
        <v>1309.5017351598181</v>
      </c>
    </row>
    <row r="1889" spans="1:19" ht="18.75" customHeight="1" x14ac:dyDescent="0.25">
      <c r="A1889" s="14">
        <f t="shared" si="311"/>
        <v>1883</v>
      </c>
      <c r="B1889" s="21" t="s">
        <v>1629</v>
      </c>
      <c r="C1889" s="15" t="s">
        <v>3</v>
      </c>
      <c r="D1889" s="21" t="s">
        <v>1200</v>
      </c>
      <c r="E1889" s="21"/>
      <c r="F1889" s="69" t="s">
        <v>4</v>
      </c>
      <c r="G1889" s="9">
        <v>43419</v>
      </c>
      <c r="H1889" s="22">
        <v>12999</v>
      </c>
      <c r="I1889" s="17">
        <v>0</v>
      </c>
      <c r="J1889" s="17">
        <v>0</v>
      </c>
      <c r="K1889" s="17">
        <f t="shared" si="308"/>
        <v>12999</v>
      </c>
      <c r="L1889" s="23">
        <f t="shared" si="313"/>
        <v>649.95000000000005</v>
      </c>
      <c r="M1889" s="23">
        <v>3</v>
      </c>
      <c r="N1889" s="18">
        <f t="shared" si="309"/>
        <v>2.3808219178082193</v>
      </c>
      <c r="O1889" s="23">
        <v>9800.2963013698609</v>
      </c>
      <c r="P1889" s="18">
        <f t="shared" si="310"/>
        <v>2.882191780821918</v>
      </c>
      <c r="Q1889" s="18">
        <f t="shared" si="314"/>
        <v>2063.8138356164382</v>
      </c>
      <c r="R1889" s="18">
        <f t="shared" si="306"/>
        <v>11864.110136986299</v>
      </c>
      <c r="S1889" s="18">
        <f t="shared" si="307"/>
        <v>1134.889863013701</v>
      </c>
    </row>
    <row r="1890" spans="1:19" ht="18.75" customHeight="1" x14ac:dyDescent="0.25">
      <c r="A1890" s="14">
        <f t="shared" si="311"/>
        <v>1884</v>
      </c>
      <c r="B1890" s="21" t="s">
        <v>1630</v>
      </c>
      <c r="C1890" s="15" t="s">
        <v>3</v>
      </c>
      <c r="D1890" s="21" t="s">
        <v>1200</v>
      </c>
      <c r="E1890" s="21"/>
      <c r="F1890" s="69" t="s">
        <v>4</v>
      </c>
      <c r="G1890" s="9">
        <v>43449</v>
      </c>
      <c r="H1890" s="22">
        <v>16000</v>
      </c>
      <c r="I1890" s="17">
        <v>0</v>
      </c>
      <c r="J1890" s="17">
        <v>0</v>
      </c>
      <c r="K1890" s="17">
        <f t="shared" si="308"/>
        <v>16000</v>
      </c>
      <c r="L1890" s="23">
        <f t="shared" si="313"/>
        <v>800</v>
      </c>
      <c r="M1890" s="23">
        <v>3</v>
      </c>
      <c r="N1890" s="18">
        <f t="shared" si="309"/>
        <v>2.2986301369863016</v>
      </c>
      <c r="O1890" s="23">
        <v>11646.392694063929</v>
      </c>
      <c r="P1890" s="18">
        <f t="shared" si="310"/>
        <v>2.8</v>
      </c>
      <c r="Q1890" s="18">
        <f t="shared" si="314"/>
        <v>2540.2739726027376</v>
      </c>
      <c r="R1890" s="18">
        <f t="shared" si="306"/>
        <v>14186.666666666666</v>
      </c>
      <c r="S1890" s="18">
        <f t="shared" si="307"/>
        <v>1813.3333333333339</v>
      </c>
    </row>
    <row r="1891" spans="1:19" ht="18.75" customHeight="1" x14ac:dyDescent="0.25">
      <c r="A1891" s="14">
        <f t="shared" si="311"/>
        <v>1885</v>
      </c>
      <c r="B1891" s="21" t="s">
        <v>1631</v>
      </c>
      <c r="C1891" s="15" t="s">
        <v>3</v>
      </c>
      <c r="D1891" s="21" t="s">
        <v>1200</v>
      </c>
      <c r="E1891" s="21"/>
      <c r="F1891" s="69" t="s">
        <v>4</v>
      </c>
      <c r="G1891" s="9">
        <v>43449</v>
      </c>
      <c r="H1891" s="22">
        <v>23728.81</v>
      </c>
      <c r="I1891" s="17">
        <v>0</v>
      </c>
      <c r="J1891" s="17">
        <v>0</v>
      </c>
      <c r="K1891" s="17">
        <f t="shared" si="308"/>
        <v>23728.81</v>
      </c>
      <c r="L1891" s="23">
        <f t="shared" si="313"/>
        <v>1186.4405000000002</v>
      </c>
      <c r="M1891" s="23">
        <v>5</v>
      </c>
      <c r="N1891" s="18">
        <f t="shared" si="309"/>
        <v>2.2986301369863016</v>
      </c>
      <c r="O1891" s="23">
        <v>10363.313978356166</v>
      </c>
      <c r="P1891" s="18">
        <f t="shared" si="310"/>
        <v>2.8</v>
      </c>
      <c r="Q1891" s="18">
        <f t="shared" si="314"/>
        <v>2260.4129416438341</v>
      </c>
      <c r="R1891" s="18">
        <f t="shared" si="306"/>
        <v>12623.726919999999</v>
      </c>
      <c r="S1891" s="18">
        <f t="shared" si="307"/>
        <v>11105.083080000002</v>
      </c>
    </row>
    <row r="1892" spans="1:19" ht="18.75" customHeight="1" x14ac:dyDescent="0.25">
      <c r="A1892" s="14">
        <f t="shared" si="311"/>
        <v>1886</v>
      </c>
      <c r="B1892" s="21" t="s">
        <v>1632</v>
      </c>
      <c r="C1892" s="15" t="s">
        <v>3</v>
      </c>
      <c r="D1892" s="21" t="s">
        <v>1200</v>
      </c>
      <c r="E1892" s="21"/>
      <c r="F1892" s="69" t="s">
        <v>4</v>
      </c>
      <c r="G1892" s="9">
        <v>43449</v>
      </c>
      <c r="H1892" s="22">
        <v>50847.46</v>
      </c>
      <c r="I1892" s="17">
        <v>0</v>
      </c>
      <c r="J1892" s="17">
        <v>0</v>
      </c>
      <c r="K1892" s="17">
        <f t="shared" si="308"/>
        <v>50847.46</v>
      </c>
      <c r="L1892" s="23">
        <f t="shared" si="313"/>
        <v>2542.373</v>
      </c>
      <c r="M1892" s="23">
        <v>5</v>
      </c>
      <c r="N1892" s="18">
        <f t="shared" si="309"/>
        <v>2.2986301369863016</v>
      </c>
      <c r="O1892" s="23">
        <v>22207.105749589042</v>
      </c>
      <c r="P1892" s="18">
        <f t="shared" si="310"/>
        <v>2.8</v>
      </c>
      <c r="Q1892" s="18">
        <f t="shared" si="314"/>
        <v>4843.7429704109554</v>
      </c>
      <c r="R1892" s="18">
        <f t="shared" si="306"/>
        <v>27050.848719999998</v>
      </c>
      <c r="S1892" s="18">
        <f t="shared" si="307"/>
        <v>23796.611280000001</v>
      </c>
    </row>
    <row r="1893" spans="1:19" ht="18.75" customHeight="1" x14ac:dyDescent="0.25">
      <c r="A1893" s="14">
        <f t="shared" si="311"/>
        <v>1887</v>
      </c>
      <c r="B1893" s="21" t="s">
        <v>1633</v>
      </c>
      <c r="C1893" s="15" t="s">
        <v>3</v>
      </c>
      <c r="D1893" s="21" t="s">
        <v>1200</v>
      </c>
      <c r="E1893" s="21"/>
      <c r="F1893" s="69" t="s">
        <v>4</v>
      </c>
      <c r="G1893" s="9">
        <v>43480</v>
      </c>
      <c r="H1893" s="22">
        <v>14999</v>
      </c>
      <c r="I1893" s="17">
        <v>0</v>
      </c>
      <c r="J1893" s="17">
        <v>0</v>
      </c>
      <c r="K1893" s="17">
        <f t="shared" si="308"/>
        <v>14999</v>
      </c>
      <c r="L1893" s="23">
        <f t="shared" si="313"/>
        <v>749.95</v>
      </c>
      <c r="M1893" s="23">
        <v>3</v>
      </c>
      <c r="N1893" s="18">
        <f t="shared" si="309"/>
        <v>2.2136986301369861</v>
      </c>
      <c r="O1893" s="23">
        <v>10514.367488584474</v>
      </c>
      <c r="P1893" s="18">
        <f t="shared" si="310"/>
        <v>2.7150684931506848</v>
      </c>
      <c r="Q1893" s="18">
        <f t="shared" si="314"/>
        <v>2381.348082191781</v>
      </c>
      <c r="R1893" s="18">
        <f t="shared" si="306"/>
        <v>12895.715570776254</v>
      </c>
      <c r="S1893" s="18">
        <f t="shared" si="307"/>
        <v>2103.284429223746</v>
      </c>
    </row>
    <row r="1894" spans="1:19" ht="18.75" customHeight="1" x14ac:dyDescent="0.25">
      <c r="A1894" s="14">
        <f t="shared" si="311"/>
        <v>1888</v>
      </c>
      <c r="B1894" s="21" t="s">
        <v>1634</v>
      </c>
      <c r="C1894" s="15" t="s">
        <v>3</v>
      </c>
      <c r="D1894" s="21" t="s">
        <v>1200</v>
      </c>
      <c r="E1894" s="21"/>
      <c r="F1894" s="69" t="s">
        <v>4</v>
      </c>
      <c r="G1894" s="9">
        <v>43480</v>
      </c>
      <c r="H1894" s="22">
        <v>5000</v>
      </c>
      <c r="I1894" s="17">
        <v>0</v>
      </c>
      <c r="J1894" s="17">
        <v>0</v>
      </c>
      <c r="K1894" s="17">
        <f t="shared" si="308"/>
        <v>5000</v>
      </c>
      <c r="L1894" s="23">
        <f t="shared" si="313"/>
        <v>250</v>
      </c>
      <c r="M1894" s="23">
        <v>3</v>
      </c>
      <c r="N1894" s="18">
        <f t="shared" si="309"/>
        <v>2.2136986301369861</v>
      </c>
      <c r="O1894" s="23">
        <v>3505.022831050228</v>
      </c>
      <c r="P1894" s="18">
        <f t="shared" si="310"/>
        <v>2.7150684931506848</v>
      </c>
      <c r="Q1894" s="18">
        <f t="shared" si="314"/>
        <v>793.83561643835617</v>
      </c>
      <c r="R1894" s="18">
        <f t="shared" si="306"/>
        <v>4298.8584474885838</v>
      </c>
      <c r="S1894" s="18">
        <f t="shared" si="307"/>
        <v>701.14155251141619</v>
      </c>
    </row>
    <row r="1895" spans="1:19" ht="18.75" customHeight="1" x14ac:dyDescent="0.25">
      <c r="A1895" s="14">
        <f t="shared" si="311"/>
        <v>1889</v>
      </c>
      <c r="B1895" s="21" t="s">
        <v>1635</v>
      </c>
      <c r="C1895" s="15" t="s">
        <v>3</v>
      </c>
      <c r="D1895" s="21" t="s">
        <v>1200</v>
      </c>
      <c r="E1895" s="21"/>
      <c r="F1895" s="69" t="s">
        <v>4</v>
      </c>
      <c r="G1895" s="9">
        <v>43480</v>
      </c>
      <c r="H1895" s="22">
        <v>74766.039999999994</v>
      </c>
      <c r="I1895" s="17">
        <v>0</v>
      </c>
      <c r="J1895" s="17">
        <v>0</v>
      </c>
      <c r="K1895" s="17">
        <f t="shared" si="308"/>
        <v>74766.039999999994</v>
      </c>
      <c r="L1895" s="23">
        <f t="shared" si="313"/>
        <v>3738.3019999999997</v>
      </c>
      <c r="M1895" s="23">
        <v>3</v>
      </c>
      <c r="N1895" s="18">
        <f t="shared" si="309"/>
        <v>2.2136986301369861</v>
      </c>
      <c r="O1895" s="23">
        <v>52411.335437442918</v>
      </c>
      <c r="P1895" s="18">
        <f t="shared" si="310"/>
        <v>2.7150684931506848</v>
      </c>
      <c r="Q1895" s="18">
        <f t="shared" si="314"/>
        <v>11870.389090410959</v>
      </c>
      <c r="R1895" s="18">
        <f t="shared" si="306"/>
        <v>64281.724527853876</v>
      </c>
      <c r="S1895" s="18">
        <f t="shared" si="307"/>
        <v>10484.315472146118</v>
      </c>
    </row>
    <row r="1896" spans="1:19" ht="18.75" customHeight="1" x14ac:dyDescent="0.25">
      <c r="A1896" s="14">
        <f t="shared" si="311"/>
        <v>1890</v>
      </c>
      <c r="B1896" s="21" t="s">
        <v>1636</v>
      </c>
      <c r="C1896" s="15" t="s">
        <v>3</v>
      </c>
      <c r="D1896" s="21" t="s">
        <v>1200</v>
      </c>
      <c r="E1896" s="21"/>
      <c r="F1896" s="69" t="s">
        <v>4</v>
      </c>
      <c r="G1896" s="9">
        <v>43511</v>
      </c>
      <c r="H1896" s="22">
        <v>0</v>
      </c>
      <c r="I1896" s="17">
        <v>0</v>
      </c>
      <c r="J1896" s="17">
        <v>0</v>
      </c>
      <c r="K1896" s="17">
        <f t="shared" si="308"/>
        <v>0</v>
      </c>
      <c r="L1896" s="23">
        <v>0</v>
      </c>
      <c r="M1896" s="23">
        <v>3</v>
      </c>
      <c r="N1896" s="18">
        <f t="shared" si="309"/>
        <v>2.128767123287671</v>
      </c>
      <c r="O1896" s="23">
        <v>0</v>
      </c>
      <c r="P1896" s="18">
        <f t="shared" si="310"/>
        <v>2.6301369863013697</v>
      </c>
      <c r="Q1896" s="18">
        <f t="shared" si="314"/>
        <v>0</v>
      </c>
      <c r="R1896" s="18">
        <f t="shared" si="306"/>
        <v>0</v>
      </c>
      <c r="S1896" s="18">
        <f>L1896</f>
        <v>0</v>
      </c>
    </row>
    <row r="1897" spans="1:19" ht="18.75" customHeight="1" x14ac:dyDescent="0.25">
      <c r="A1897" s="14">
        <f t="shared" si="311"/>
        <v>1891</v>
      </c>
      <c r="B1897" s="21" t="s">
        <v>1637</v>
      </c>
      <c r="C1897" s="15" t="s">
        <v>3</v>
      </c>
      <c r="D1897" s="21" t="s">
        <v>1200</v>
      </c>
      <c r="E1897" s="21"/>
      <c r="F1897" s="69" t="s">
        <v>4</v>
      </c>
      <c r="G1897" s="9">
        <v>43511</v>
      </c>
      <c r="H1897" s="22">
        <v>63801</v>
      </c>
      <c r="I1897" s="17">
        <v>0</v>
      </c>
      <c r="J1897" s="17">
        <v>0</v>
      </c>
      <c r="K1897" s="17">
        <f t="shared" si="308"/>
        <v>63801</v>
      </c>
      <c r="L1897" s="23">
        <f t="shared" si="313"/>
        <v>3190.05</v>
      </c>
      <c r="M1897" s="23">
        <v>3</v>
      </c>
      <c r="N1897" s="18">
        <f t="shared" si="309"/>
        <v>2.128767123287671</v>
      </c>
      <c r="O1897" s="23">
        <v>43008.865890410947</v>
      </c>
      <c r="P1897" s="18">
        <f t="shared" si="310"/>
        <v>2.6301369863013697</v>
      </c>
      <c r="Q1897" s="18">
        <f t="shared" si="314"/>
        <v>10129.501232876712</v>
      </c>
      <c r="R1897" s="18">
        <f t="shared" si="306"/>
        <v>53138.367123287659</v>
      </c>
      <c r="S1897" s="18">
        <f t="shared" si="307"/>
        <v>10662.632876712341</v>
      </c>
    </row>
    <row r="1898" spans="1:19" ht="18.75" customHeight="1" x14ac:dyDescent="0.25">
      <c r="A1898" s="14">
        <f t="shared" si="311"/>
        <v>1892</v>
      </c>
      <c r="B1898" s="21" t="s">
        <v>1638</v>
      </c>
      <c r="C1898" s="15" t="s">
        <v>3</v>
      </c>
      <c r="D1898" s="21" t="s">
        <v>1200</v>
      </c>
      <c r="E1898" s="21"/>
      <c r="F1898" s="69" t="s">
        <v>4</v>
      </c>
      <c r="G1898" s="9">
        <v>43539</v>
      </c>
      <c r="H1898" s="22">
        <v>8200</v>
      </c>
      <c r="I1898" s="17">
        <v>0</v>
      </c>
      <c r="J1898" s="17">
        <v>0</v>
      </c>
      <c r="K1898" s="17">
        <f t="shared" si="308"/>
        <v>8200</v>
      </c>
      <c r="L1898" s="23">
        <f t="shared" si="313"/>
        <v>410</v>
      </c>
      <c r="M1898" s="23">
        <v>3</v>
      </c>
      <c r="N1898" s="18">
        <f t="shared" si="309"/>
        <v>2.0520547945205481</v>
      </c>
      <c r="O1898" s="23">
        <v>5328.5022831050228</v>
      </c>
      <c r="P1898" s="18">
        <f t="shared" si="310"/>
        <v>2.5534246575342467</v>
      </c>
      <c r="Q1898" s="18">
        <f t="shared" si="314"/>
        <v>1301.8904109589041</v>
      </c>
      <c r="R1898" s="18">
        <f t="shared" si="306"/>
        <v>6630.3926940639267</v>
      </c>
      <c r="S1898" s="18">
        <f t="shared" si="307"/>
        <v>1569.6073059360733</v>
      </c>
    </row>
    <row r="1899" spans="1:19" ht="18.75" customHeight="1" x14ac:dyDescent="0.25">
      <c r="A1899" s="14">
        <f t="shared" si="311"/>
        <v>1893</v>
      </c>
      <c r="B1899" s="21" t="s">
        <v>1639</v>
      </c>
      <c r="C1899" s="15" t="s">
        <v>3</v>
      </c>
      <c r="D1899" s="21" t="s">
        <v>1200</v>
      </c>
      <c r="E1899" s="21"/>
      <c r="F1899" s="69" t="s">
        <v>4</v>
      </c>
      <c r="G1899" s="9">
        <v>43539</v>
      </c>
      <c r="H1899" s="22">
        <v>25593.22</v>
      </c>
      <c r="I1899" s="17">
        <v>0</v>
      </c>
      <c r="J1899" s="17">
        <v>0</v>
      </c>
      <c r="K1899" s="17">
        <f t="shared" si="308"/>
        <v>25593.22</v>
      </c>
      <c r="L1899" s="23">
        <f t="shared" si="313"/>
        <v>1279.6610000000001</v>
      </c>
      <c r="M1899" s="23">
        <v>5</v>
      </c>
      <c r="N1899" s="18">
        <f t="shared" si="309"/>
        <v>2.0520547945205481</v>
      </c>
      <c r="O1899" s="23">
        <v>9978.5510635616447</v>
      </c>
      <c r="P1899" s="18">
        <f t="shared" si="310"/>
        <v>2.5534246575342467</v>
      </c>
      <c r="Q1899" s="18">
        <f t="shared" si="314"/>
        <v>2438.0171490410962</v>
      </c>
      <c r="R1899" s="18">
        <f t="shared" si="306"/>
        <v>12416.56821260274</v>
      </c>
      <c r="S1899" s="18">
        <f t="shared" si="307"/>
        <v>13176.651787397261</v>
      </c>
    </row>
    <row r="1900" spans="1:19" ht="18.75" customHeight="1" x14ac:dyDescent="0.25">
      <c r="A1900" s="14">
        <f t="shared" si="311"/>
        <v>1894</v>
      </c>
      <c r="B1900" s="21" t="s">
        <v>1640</v>
      </c>
      <c r="C1900" s="15" t="s">
        <v>3</v>
      </c>
      <c r="D1900" s="21" t="s">
        <v>1200</v>
      </c>
      <c r="E1900" s="21"/>
      <c r="F1900" s="69" t="s">
        <v>4</v>
      </c>
      <c r="G1900" s="9">
        <v>43539</v>
      </c>
      <c r="H1900" s="22">
        <v>28566.67</v>
      </c>
      <c r="I1900" s="17">
        <v>0</v>
      </c>
      <c r="J1900" s="17">
        <v>0</v>
      </c>
      <c r="K1900" s="17">
        <f t="shared" si="308"/>
        <v>28566.67</v>
      </c>
      <c r="L1900" s="23">
        <f t="shared" si="313"/>
        <v>1428.3335</v>
      </c>
      <c r="M1900" s="23">
        <v>5</v>
      </c>
      <c r="N1900" s="18">
        <f t="shared" si="309"/>
        <v>2.0520547945205481</v>
      </c>
      <c r="O1900" s="23">
        <v>11137.870706027395</v>
      </c>
      <c r="P1900" s="18">
        <f t="shared" si="310"/>
        <v>2.5534246575342467</v>
      </c>
      <c r="Q1900" s="18">
        <f t="shared" si="314"/>
        <v>2721.2688106849314</v>
      </c>
      <c r="R1900" s="18">
        <f t="shared" si="306"/>
        <v>13859.139516712326</v>
      </c>
      <c r="S1900" s="18">
        <f t="shared" si="307"/>
        <v>14707.530483287672</v>
      </c>
    </row>
    <row r="1901" spans="1:19" ht="18.75" customHeight="1" x14ac:dyDescent="0.25">
      <c r="A1901" s="14">
        <f t="shared" si="311"/>
        <v>1895</v>
      </c>
      <c r="B1901" s="28" t="s">
        <v>1322</v>
      </c>
      <c r="C1901" s="15" t="s">
        <v>3</v>
      </c>
      <c r="D1901" s="21" t="s">
        <v>1200</v>
      </c>
      <c r="E1901" s="21"/>
      <c r="F1901" s="69" t="s">
        <v>4</v>
      </c>
      <c r="G1901" s="25">
        <v>43631</v>
      </c>
      <c r="H1901" s="26">
        <v>8100</v>
      </c>
      <c r="I1901" s="17">
        <v>0</v>
      </c>
      <c r="J1901" s="17">
        <v>0</v>
      </c>
      <c r="K1901" s="17">
        <f t="shared" si="308"/>
        <v>8100</v>
      </c>
      <c r="L1901" s="23">
        <f t="shared" si="313"/>
        <v>405</v>
      </c>
      <c r="M1901" s="34">
        <v>5</v>
      </c>
      <c r="N1901" s="18">
        <f t="shared" si="309"/>
        <v>1.8</v>
      </c>
      <c r="O1901" s="23">
        <v>2770.2</v>
      </c>
      <c r="P1901" s="18">
        <f t="shared" si="310"/>
        <v>2.3013698630136985</v>
      </c>
      <c r="Q1901" s="18">
        <f t="shared" si="314"/>
        <v>771.60821917808198</v>
      </c>
      <c r="R1901" s="18">
        <f t="shared" si="306"/>
        <v>3541.8082191780818</v>
      </c>
      <c r="S1901" s="18">
        <f t="shared" si="307"/>
        <v>4558.1917808219187</v>
      </c>
    </row>
    <row r="1902" spans="1:19" ht="18.75" customHeight="1" x14ac:dyDescent="0.25">
      <c r="A1902" s="14">
        <f t="shared" si="311"/>
        <v>1896</v>
      </c>
      <c r="B1902" s="28" t="s">
        <v>1208</v>
      </c>
      <c r="C1902" s="15" t="s">
        <v>3</v>
      </c>
      <c r="D1902" s="21" t="s">
        <v>1200</v>
      </c>
      <c r="E1902" s="21"/>
      <c r="F1902" s="69" t="s">
        <v>4</v>
      </c>
      <c r="G1902" s="25">
        <v>43570</v>
      </c>
      <c r="H1902" s="26">
        <v>5000</v>
      </c>
      <c r="I1902" s="17">
        <v>0</v>
      </c>
      <c r="J1902" s="17">
        <v>0</v>
      </c>
      <c r="K1902" s="17">
        <f t="shared" si="308"/>
        <v>5000</v>
      </c>
      <c r="L1902" s="23">
        <f t="shared" si="313"/>
        <v>250</v>
      </c>
      <c r="M1902" s="34">
        <v>3</v>
      </c>
      <c r="N1902" s="18">
        <f t="shared" si="309"/>
        <v>1.9671232876712328</v>
      </c>
      <c r="O1902" s="23">
        <v>3114.6118721461189</v>
      </c>
      <c r="P1902" s="18">
        <f t="shared" si="310"/>
        <v>2.4684931506849317</v>
      </c>
      <c r="Q1902" s="18">
        <f t="shared" si="314"/>
        <v>793.83561643835662</v>
      </c>
      <c r="R1902" s="18">
        <f t="shared" si="306"/>
        <v>3908.4474885844756</v>
      </c>
      <c r="S1902" s="18">
        <f t="shared" si="307"/>
        <v>1091.5525114155244</v>
      </c>
    </row>
    <row r="1903" spans="1:19" ht="18.75" customHeight="1" x14ac:dyDescent="0.25">
      <c r="A1903" s="14">
        <f t="shared" si="311"/>
        <v>1897</v>
      </c>
      <c r="B1903" s="28" t="s">
        <v>1641</v>
      </c>
      <c r="C1903" s="15" t="s">
        <v>3</v>
      </c>
      <c r="D1903" s="21" t="s">
        <v>1200</v>
      </c>
      <c r="E1903" s="21"/>
      <c r="F1903" s="69" t="s">
        <v>4</v>
      </c>
      <c r="G1903" s="25">
        <v>43570</v>
      </c>
      <c r="H1903" s="26">
        <v>12457.63</v>
      </c>
      <c r="I1903" s="17">
        <v>0</v>
      </c>
      <c r="J1903" s="17">
        <v>0</v>
      </c>
      <c r="K1903" s="17">
        <f t="shared" si="308"/>
        <v>12457.63</v>
      </c>
      <c r="L1903" s="23">
        <f t="shared" si="313"/>
        <v>622.88149999999996</v>
      </c>
      <c r="M1903" s="34">
        <v>5</v>
      </c>
      <c r="N1903" s="18">
        <f t="shared" si="309"/>
        <v>1.9671232876712328</v>
      </c>
      <c r="O1903" s="23">
        <v>4656.0818756164381</v>
      </c>
      <c r="P1903" s="18">
        <f t="shared" si="310"/>
        <v>2.4684931506849317</v>
      </c>
      <c r="Q1903" s="18">
        <f t="shared" si="314"/>
        <v>1186.7172468493156</v>
      </c>
      <c r="R1903" s="18">
        <f t="shared" si="306"/>
        <v>5842.7991224657535</v>
      </c>
      <c r="S1903" s="18">
        <f t="shared" si="307"/>
        <v>6614.8308775342457</v>
      </c>
    </row>
    <row r="1904" spans="1:19" ht="18.75" customHeight="1" x14ac:dyDescent="0.25">
      <c r="A1904" s="14">
        <f t="shared" si="311"/>
        <v>1898</v>
      </c>
      <c r="B1904" s="28" t="s">
        <v>1642</v>
      </c>
      <c r="C1904" s="15" t="s">
        <v>3</v>
      </c>
      <c r="D1904" s="21" t="s">
        <v>1200</v>
      </c>
      <c r="E1904" s="21"/>
      <c r="F1904" s="69" t="s">
        <v>4</v>
      </c>
      <c r="G1904" s="25">
        <v>43570</v>
      </c>
      <c r="H1904" s="26">
        <v>1822.03</v>
      </c>
      <c r="I1904" s="17">
        <v>0</v>
      </c>
      <c r="J1904" s="17">
        <v>0</v>
      </c>
      <c r="K1904" s="17">
        <f t="shared" si="308"/>
        <v>1822.03</v>
      </c>
      <c r="L1904" s="23">
        <f t="shared" si="313"/>
        <v>91.101500000000001</v>
      </c>
      <c r="M1904" s="34">
        <v>5</v>
      </c>
      <c r="N1904" s="18">
        <f t="shared" si="309"/>
        <v>1.9671232876712328</v>
      </c>
      <c r="O1904" s="23">
        <v>680.989952328767</v>
      </c>
      <c r="P1904" s="18">
        <f t="shared" si="310"/>
        <v>2.4684931506849317</v>
      </c>
      <c r="Q1904" s="18">
        <f t="shared" si="314"/>
        <v>173.56707698630146</v>
      </c>
      <c r="R1904" s="18">
        <f t="shared" si="306"/>
        <v>854.55702931506846</v>
      </c>
      <c r="S1904" s="18">
        <f t="shared" si="307"/>
        <v>967.47297068493151</v>
      </c>
    </row>
    <row r="1905" spans="1:19" ht="18.75" customHeight="1" x14ac:dyDescent="0.25">
      <c r="A1905" s="14">
        <f t="shared" si="311"/>
        <v>1899</v>
      </c>
      <c r="B1905" s="28" t="s">
        <v>1643</v>
      </c>
      <c r="C1905" s="15" t="s">
        <v>3</v>
      </c>
      <c r="D1905" s="21" t="s">
        <v>1200</v>
      </c>
      <c r="E1905" s="21"/>
      <c r="F1905" s="69" t="s">
        <v>4</v>
      </c>
      <c r="G1905" s="25">
        <v>43570</v>
      </c>
      <c r="H1905" s="26">
        <v>108054.23</v>
      </c>
      <c r="I1905" s="17">
        <v>0</v>
      </c>
      <c r="J1905" s="17">
        <v>0</v>
      </c>
      <c r="K1905" s="17">
        <f t="shared" si="308"/>
        <v>108054.23</v>
      </c>
      <c r="L1905" s="23">
        <f t="shared" si="313"/>
        <v>5402.7115000000003</v>
      </c>
      <c r="M1905" s="34">
        <v>5</v>
      </c>
      <c r="N1905" s="18">
        <f t="shared" si="309"/>
        <v>1.9671232876712328</v>
      </c>
      <c r="O1905" s="23">
        <v>40385.638511232872</v>
      </c>
      <c r="P1905" s="18">
        <f t="shared" si="310"/>
        <v>2.4684931506849317</v>
      </c>
      <c r="Q1905" s="18">
        <f t="shared" si="314"/>
        <v>10293.275553698635</v>
      </c>
      <c r="R1905" s="18">
        <f t="shared" si="306"/>
        <v>50678.914064931509</v>
      </c>
      <c r="S1905" s="18">
        <f t="shared" si="307"/>
        <v>57375.315935068487</v>
      </c>
    </row>
    <row r="1906" spans="1:19" ht="18.75" customHeight="1" x14ac:dyDescent="0.25">
      <c r="A1906" s="14">
        <f t="shared" si="311"/>
        <v>1900</v>
      </c>
      <c r="B1906" s="28" t="s">
        <v>1644</v>
      </c>
      <c r="C1906" s="15" t="s">
        <v>3</v>
      </c>
      <c r="D1906" s="21" t="s">
        <v>1200</v>
      </c>
      <c r="E1906" s="21"/>
      <c r="F1906" s="69" t="s">
        <v>4</v>
      </c>
      <c r="G1906" s="25">
        <v>43570</v>
      </c>
      <c r="H1906" s="26">
        <v>12904</v>
      </c>
      <c r="I1906" s="17">
        <v>0</v>
      </c>
      <c r="J1906" s="17">
        <v>0</v>
      </c>
      <c r="K1906" s="17">
        <f t="shared" si="308"/>
        <v>12904</v>
      </c>
      <c r="L1906" s="23">
        <f t="shared" si="313"/>
        <v>645.20000000000005</v>
      </c>
      <c r="M1906" s="34">
        <v>5</v>
      </c>
      <c r="N1906" s="18">
        <f t="shared" si="309"/>
        <v>1.9671232876712328</v>
      </c>
      <c r="O1906" s="23">
        <v>4822.9141917808211</v>
      </c>
      <c r="P1906" s="18">
        <f t="shared" si="310"/>
        <v>2.4684931506849317</v>
      </c>
      <c r="Q1906" s="18">
        <f t="shared" si="314"/>
        <v>1229.2385753424662</v>
      </c>
      <c r="R1906" s="18">
        <f t="shared" si="306"/>
        <v>6052.152767123287</v>
      </c>
      <c r="S1906" s="18">
        <f t="shared" si="307"/>
        <v>6851.847232876713</v>
      </c>
    </row>
    <row r="1907" spans="1:19" ht="18.75" customHeight="1" x14ac:dyDescent="0.25">
      <c r="A1907" s="14">
        <f t="shared" si="311"/>
        <v>1901</v>
      </c>
      <c r="B1907" s="28" t="s">
        <v>1645</v>
      </c>
      <c r="C1907" s="15" t="s">
        <v>3</v>
      </c>
      <c r="D1907" s="21" t="s">
        <v>1200</v>
      </c>
      <c r="E1907" s="21"/>
      <c r="F1907" s="69" t="s">
        <v>4</v>
      </c>
      <c r="G1907" s="25">
        <v>43600</v>
      </c>
      <c r="H1907" s="26">
        <v>4955</v>
      </c>
      <c r="I1907" s="17">
        <v>0</v>
      </c>
      <c r="J1907" s="17">
        <v>0</v>
      </c>
      <c r="K1907" s="17">
        <f t="shared" si="308"/>
        <v>4955</v>
      </c>
      <c r="L1907" s="23">
        <f t="shared" si="313"/>
        <v>247.75</v>
      </c>
      <c r="M1907" s="34">
        <v>5</v>
      </c>
      <c r="N1907" s="18">
        <f t="shared" si="309"/>
        <v>1.8849315068493151</v>
      </c>
      <c r="O1907" s="23">
        <v>1774.5687671232877</v>
      </c>
      <c r="P1907" s="18">
        <f t="shared" si="310"/>
        <v>2.3863013698630136</v>
      </c>
      <c r="Q1907" s="18">
        <f t="shared" si="314"/>
        <v>472.01465753424645</v>
      </c>
      <c r="R1907" s="18">
        <f t="shared" si="306"/>
        <v>2246.5834246575341</v>
      </c>
      <c r="S1907" s="18">
        <f t="shared" si="307"/>
        <v>2708.4165753424659</v>
      </c>
    </row>
    <row r="1908" spans="1:19" ht="18.75" customHeight="1" x14ac:dyDescent="0.25">
      <c r="A1908" s="14">
        <f t="shared" si="311"/>
        <v>1902</v>
      </c>
      <c r="B1908" s="28" t="s">
        <v>1646</v>
      </c>
      <c r="C1908" s="15" t="s">
        <v>3</v>
      </c>
      <c r="D1908" s="21" t="s">
        <v>1200</v>
      </c>
      <c r="E1908" s="21"/>
      <c r="F1908" s="69" t="s">
        <v>4</v>
      </c>
      <c r="G1908" s="25">
        <v>43600</v>
      </c>
      <c r="H1908" s="26">
        <v>27343.74</v>
      </c>
      <c r="I1908" s="17">
        <v>0</v>
      </c>
      <c r="J1908" s="17">
        <v>0</v>
      </c>
      <c r="K1908" s="17">
        <f t="shared" si="308"/>
        <v>27343.74</v>
      </c>
      <c r="L1908" s="23">
        <f t="shared" si="313"/>
        <v>1367.1870000000001</v>
      </c>
      <c r="M1908" s="34">
        <v>5</v>
      </c>
      <c r="N1908" s="18">
        <f t="shared" si="309"/>
        <v>1.8849315068493151</v>
      </c>
      <c r="O1908" s="23">
        <v>9792.8046378082199</v>
      </c>
      <c r="P1908" s="18">
        <f t="shared" si="310"/>
        <v>2.3863013698630136</v>
      </c>
      <c r="Q1908" s="18">
        <f t="shared" si="314"/>
        <v>2604.7721638356156</v>
      </c>
      <c r="R1908" s="18">
        <f t="shared" si="306"/>
        <v>12397.576801643836</v>
      </c>
      <c r="S1908" s="18">
        <f t="shared" si="307"/>
        <v>14946.163198356166</v>
      </c>
    </row>
    <row r="1909" spans="1:19" ht="18.75" customHeight="1" x14ac:dyDescent="0.25">
      <c r="A1909" s="14">
        <f t="shared" si="311"/>
        <v>1903</v>
      </c>
      <c r="B1909" s="28" t="s">
        <v>1647</v>
      </c>
      <c r="C1909" s="15" t="s">
        <v>3</v>
      </c>
      <c r="D1909" s="21" t="s">
        <v>1200</v>
      </c>
      <c r="E1909" s="21"/>
      <c r="F1909" s="69" t="s">
        <v>4</v>
      </c>
      <c r="G1909" s="25">
        <v>43631</v>
      </c>
      <c r="H1909" s="26">
        <v>14000</v>
      </c>
      <c r="I1909" s="17">
        <v>0</v>
      </c>
      <c r="J1909" s="17">
        <v>0</v>
      </c>
      <c r="K1909" s="17">
        <f t="shared" si="308"/>
        <v>14000</v>
      </c>
      <c r="L1909" s="23">
        <f t="shared" si="313"/>
        <v>700</v>
      </c>
      <c r="M1909" s="34">
        <v>3</v>
      </c>
      <c r="N1909" s="18">
        <f t="shared" si="309"/>
        <v>1.8</v>
      </c>
      <c r="O1909" s="23">
        <v>7980</v>
      </c>
      <c r="P1909" s="18">
        <f t="shared" si="310"/>
        <v>2.3013698630136985</v>
      </c>
      <c r="Q1909" s="18">
        <f t="shared" si="314"/>
        <v>2222.7397260273965</v>
      </c>
      <c r="R1909" s="18">
        <f t="shared" si="306"/>
        <v>10202.739726027397</v>
      </c>
      <c r="S1909" s="18">
        <f t="shared" si="307"/>
        <v>3797.2602739726026</v>
      </c>
    </row>
    <row r="1910" spans="1:19" ht="18.75" customHeight="1" x14ac:dyDescent="0.25">
      <c r="A1910" s="14">
        <f t="shared" si="311"/>
        <v>1904</v>
      </c>
      <c r="B1910" s="28" t="s">
        <v>1648</v>
      </c>
      <c r="C1910" s="15" t="s">
        <v>3</v>
      </c>
      <c r="D1910" s="21" t="s">
        <v>1200</v>
      </c>
      <c r="E1910" s="21"/>
      <c r="F1910" s="69" t="s">
        <v>4</v>
      </c>
      <c r="G1910" s="25">
        <v>43631</v>
      </c>
      <c r="H1910" s="26">
        <v>106500</v>
      </c>
      <c r="I1910" s="17">
        <v>0</v>
      </c>
      <c r="J1910" s="17">
        <v>0</v>
      </c>
      <c r="K1910" s="17">
        <f t="shared" si="308"/>
        <v>106500</v>
      </c>
      <c r="L1910" s="23">
        <f t="shared" si="313"/>
        <v>5325</v>
      </c>
      <c r="M1910" s="34">
        <v>3</v>
      </c>
      <c r="N1910" s="18">
        <f t="shared" si="309"/>
        <v>1.8</v>
      </c>
      <c r="O1910" s="23">
        <v>60705</v>
      </c>
      <c r="P1910" s="18">
        <f t="shared" si="310"/>
        <v>2.3013698630136985</v>
      </c>
      <c r="Q1910" s="18">
        <f t="shared" si="314"/>
        <v>16908.69863013698</v>
      </c>
      <c r="R1910" s="18">
        <f t="shared" si="306"/>
        <v>77613.698630136976</v>
      </c>
      <c r="S1910" s="18">
        <f t="shared" si="307"/>
        <v>28886.301369863024</v>
      </c>
    </row>
    <row r="1911" spans="1:19" ht="18.75" customHeight="1" x14ac:dyDescent="0.25">
      <c r="A1911" s="14">
        <f t="shared" si="311"/>
        <v>1905</v>
      </c>
      <c r="B1911" s="28" t="s">
        <v>1649</v>
      </c>
      <c r="C1911" s="15" t="s">
        <v>3</v>
      </c>
      <c r="D1911" s="21" t="s">
        <v>1200</v>
      </c>
      <c r="E1911" s="21"/>
      <c r="F1911" s="69" t="s">
        <v>4</v>
      </c>
      <c r="G1911" s="25">
        <v>43661</v>
      </c>
      <c r="H1911" s="26">
        <v>11990</v>
      </c>
      <c r="I1911" s="17">
        <v>0</v>
      </c>
      <c r="J1911" s="17">
        <v>0</v>
      </c>
      <c r="K1911" s="17">
        <f t="shared" si="308"/>
        <v>11990</v>
      </c>
      <c r="L1911" s="23">
        <f t="shared" si="313"/>
        <v>599.5</v>
      </c>
      <c r="M1911" s="34">
        <v>3</v>
      </c>
      <c r="N1911" s="18">
        <f t="shared" si="309"/>
        <v>1.7178082191780821</v>
      </c>
      <c r="O1911" s="23">
        <v>6522.2315068493153</v>
      </c>
      <c r="P1911" s="18">
        <f t="shared" si="310"/>
        <v>2.2191780821917808</v>
      </c>
      <c r="Q1911" s="18">
        <f t="shared" si="314"/>
        <v>1903.6178082191782</v>
      </c>
      <c r="R1911" s="18">
        <f t="shared" si="306"/>
        <v>8425.8493150684935</v>
      </c>
      <c r="S1911" s="18">
        <f t="shared" si="307"/>
        <v>3564.1506849315065</v>
      </c>
    </row>
    <row r="1912" spans="1:19" ht="18.75" customHeight="1" x14ac:dyDescent="0.25">
      <c r="A1912" s="14">
        <f t="shared" si="311"/>
        <v>1906</v>
      </c>
      <c r="B1912" s="28" t="s">
        <v>1650</v>
      </c>
      <c r="C1912" s="15" t="s">
        <v>3</v>
      </c>
      <c r="D1912" s="21" t="s">
        <v>1200</v>
      </c>
      <c r="E1912" s="21"/>
      <c r="F1912" s="69" t="s">
        <v>4</v>
      </c>
      <c r="G1912" s="25">
        <v>43661</v>
      </c>
      <c r="H1912" s="26">
        <v>62033.9</v>
      </c>
      <c r="I1912" s="17">
        <v>0</v>
      </c>
      <c r="J1912" s="17">
        <v>0</v>
      </c>
      <c r="K1912" s="17">
        <f t="shared" si="308"/>
        <v>62033.9</v>
      </c>
      <c r="L1912" s="23">
        <f t="shared" si="313"/>
        <v>3101.6950000000002</v>
      </c>
      <c r="M1912" s="34">
        <v>3</v>
      </c>
      <c r="N1912" s="18">
        <f t="shared" si="309"/>
        <v>1.7178082191780821</v>
      </c>
      <c r="O1912" s="23">
        <v>33744.742041095888</v>
      </c>
      <c r="P1912" s="18">
        <f t="shared" si="310"/>
        <v>2.2191780821917808</v>
      </c>
      <c r="Q1912" s="18">
        <f t="shared" si="314"/>
        <v>9848.9438493150701</v>
      </c>
      <c r="R1912" s="18">
        <f t="shared" si="306"/>
        <v>43593.685890410954</v>
      </c>
      <c r="S1912" s="18">
        <f t="shared" si="307"/>
        <v>18440.214109589047</v>
      </c>
    </row>
    <row r="1913" spans="1:19" ht="18.75" customHeight="1" x14ac:dyDescent="0.25">
      <c r="A1913" s="14">
        <f t="shared" si="311"/>
        <v>1907</v>
      </c>
      <c r="B1913" s="28" t="s">
        <v>1651</v>
      </c>
      <c r="C1913" s="15" t="s">
        <v>3</v>
      </c>
      <c r="D1913" s="21" t="s">
        <v>1200</v>
      </c>
      <c r="E1913" s="21"/>
      <c r="F1913" s="69" t="s">
        <v>4</v>
      </c>
      <c r="G1913" s="25">
        <v>43661</v>
      </c>
      <c r="H1913" s="26">
        <v>57810.240000000005</v>
      </c>
      <c r="I1913" s="17">
        <v>0</v>
      </c>
      <c r="J1913" s="17">
        <v>0</v>
      </c>
      <c r="K1913" s="17">
        <f t="shared" si="308"/>
        <v>57810.240000000005</v>
      </c>
      <c r="L1913" s="23">
        <f t="shared" si="313"/>
        <v>2890.5120000000006</v>
      </c>
      <c r="M1913" s="34">
        <v>3</v>
      </c>
      <c r="N1913" s="18">
        <f t="shared" si="309"/>
        <v>1.7178082191780821</v>
      </c>
      <c r="O1913" s="23">
        <v>31447.186717808221</v>
      </c>
      <c r="P1913" s="18">
        <f t="shared" si="310"/>
        <v>2.2191780821917808</v>
      </c>
      <c r="Q1913" s="18">
        <f t="shared" si="314"/>
        <v>9178.3655013698644</v>
      </c>
      <c r="R1913" s="18">
        <f t="shared" si="306"/>
        <v>40625.552219178084</v>
      </c>
      <c r="S1913" s="18">
        <f t="shared" si="307"/>
        <v>17184.687780821921</v>
      </c>
    </row>
    <row r="1914" spans="1:19" ht="18.75" customHeight="1" x14ac:dyDescent="0.25">
      <c r="A1914" s="14">
        <f t="shared" si="311"/>
        <v>1908</v>
      </c>
      <c r="B1914" s="28" t="s">
        <v>1652</v>
      </c>
      <c r="C1914" s="15" t="s">
        <v>3</v>
      </c>
      <c r="D1914" s="21" t="s">
        <v>1200</v>
      </c>
      <c r="E1914" s="21"/>
      <c r="F1914" s="69" t="s">
        <v>4</v>
      </c>
      <c r="G1914" s="25">
        <v>43661</v>
      </c>
      <c r="H1914" s="26">
        <v>2966.1</v>
      </c>
      <c r="I1914" s="17">
        <v>0</v>
      </c>
      <c r="J1914" s="17">
        <v>0</v>
      </c>
      <c r="K1914" s="17">
        <f t="shared" si="308"/>
        <v>2966.1</v>
      </c>
      <c r="L1914" s="23">
        <f t="shared" si="313"/>
        <v>148.30500000000001</v>
      </c>
      <c r="M1914" s="34">
        <v>5</v>
      </c>
      <c r="N1914" s="18">
        <f t="shared" si="309"/>
        <v>1.7178082191780821</v>
      </c>
      <c r="O1914" s="23">
        <v>968.08628219178081</v>
      </c>
      <c r="P1914" s="18">
        <f t="shared" si="310"/>
        <v>2.2191780821917808</v>
      </c>
      <c r="Q1914" s="18">
        <f t="shared" si="314"/>
        <v>282.55149863013702</v>
      </c>
      <c r="R1914" s="18">
        <f t="shared" si="306"/>
        <v>1250.6377808219179</v>
      </c>
      <c r="S1914" s="18">
        <f t="shared" si="307"/>
        <v>1715.462219178082</v>
      </c>
    </row>
    <row r="1915" spans="1:19" ht="18.75" customHeight="1" x14ac:dyDescent="0.25">
      <c r="A1915" s="14">
        <f t="shared" si="311"/>
        <v>1909</v>
      </c>
      <c r="B1915" s="28" t="s">
        <v>1653</v>
      </c>
      <c r="C1915" s="15" t="s">
        <v>3</v>
      </c>
      <c r="D1915" s="21" t="s">
        <v>1200</v>
      </c>
      <c r="E1915" s="21"/>
      <c r="F1915" s="69" t="s">
        <v>4</v>
      </c>
      <c r="G1915" s="25">
        <v>43661</v>
      </c>
      <c r="H1915" s="26">
        <v>24609.38</v>
      </c>
      <c r="I1915" s="17">
        <v>0</v>
      </c>
      <c r="J1915" s="17">
        <v>0</v>
      </c>
      <c r="K1915" s="17">
        <f t="shared" si="308"/>
        <v>24609.38</v>
      </c>
      <c r="L1915" s="23">
        <f t="shared" si="313"/>
        <v>1230.4690000000001</v>
      </c>
      <c r="M1915" s="34">
        <v>5</v>
      </c>
      <c r="N1915" s="18">
        <f t="shared" si="309"/>
        <v>1.7178082191780821</v>
      </c>
      <c r="O1915" s="23">
        <v>8032.0970942465756</v>
      </c>
      <c r="P1915" s="18">
        <f t="shared" si="310"/>
        <v>2.2191780821917808</v>
      </c>
      <c r="Q1915" s="18">
        <f t="shared" si="314"/>
        <v>2344.2962810958907</v>
      </c>
      <c r="R1915" s="18">
        <f t="shared" si="306"/>
        <v>10376.393375342466</v>
      </c>
      <c r="S1915" s="18">
        <f t="shared" si="307"/>
        <v>14232.986624657535</v>
      </c>
    </row>
    <row r="1916" spans="1:19" ht="18.75" customHeight="1" x14ac:dyDescent="0.25">
      <c r="A1916" s="14">
        <f t="shared" si="311"/>
        <v>1910</v>
      </c>
      <c r="B1916" s="28" t="s">
        <v>1654</v>
      </c>
      <c r="C1916" s="15" t="s">
        <v>3</v>
      </c>
      <c r="D1916" s="21" t="s">
        <v>1200</v>
      </c>
      <c r="E1916" s="21"/>
      <c r="F1916" s="69" t="s">
        <v>4</v>
      </c>
      <c r="G1916" s="25">
        <v>43692</v>
      </c>
      <c r="H1916" s="26">
        <v>60084.75</v>
      </c>
      <c r="I1916" s="17">
        <v>0</v>
      </c>
      <c r="J1916" s="17">
        <v>0</v>
      </c>
      <c r="K1916" s="17">
        <f t="shared" si="308"/>
        <v>60084.75</v>
      </c>
      <c r="L1916" s="23">
        <f t="shared" si="313"/>
        <v>3004.2375000000002</v>
      </c>
      <c r="M1916" s="34">
        <v>3</v>
      </c>
      <c r="N1916" s="18">
        <f t="shared" si="309"/>
        <v>1.6328767123287671</v>
      </c>
      <c r="O1916" s="23">
        <v>31068.479863013694</v>
      </c>
      <c r="P1916" s="18">
        <f t="shared" si="310"/>
        <v>2.1342465753424658</v>
      </c>
      <c r="Q1916" s="18">
        <f t="shared" si="314"/>
        <v>9539.4829109589045</v>
      </c>
      <c r="R1916" s="18">
        <f t="shared" si="306"/>
        <v>40607.962773972598</v>
      </c>
      <c r="S1916" s="18">
        <f t="shared" si="307"/>
        <v>19476.787226027402</v>
      </c>
    </row>
    <row r="1917" spans="1:19" ht="18.75" customHeight="1" x14ac:dyDescent="0.25">
      <c r="A1917" s="14">
        <f t="shared" si="311"/>
        <v>1911</v>
      </c>
      <c r="B1917" s="28" t="s">
        <v>1655</v>
      </c>
      <c r="C1917" s="15" t="s">
        <v>3</v>
      </c>
      <c r="D1917" s="21" t="s">
        <v>1200</v>
      </c>
      <c r="E1917" s="21"/>
      <c r="F1917" s="69" t="s">
        <v>4</v>
      </c>
      <c r="G1917" s="25">
        <v>43692</v>
      </c>
      <c r="H1917" s="26">
        <v>0</v>
      </c>
      <c r="I1917" s="17">
        <v>0</v>
      </c>
      <c r="J1917" s="17">
        <v>0</v>
      </c>
      <c r="K1917" s="17">
        <f t="shared" si="308"/>
        <v>0</v>
      </c>
      <c r="L1917" s="23">
        <v>0</v>
      </c>
      <c r="M1917" s="34">
        <v>3</v>
      </c>
      <c r="N1917" s="18">
        <f t="shared" si="309"/>
        <v>1.6328767123287671</v>
      </c>
      <c r="O1917" s="23">
        <v>0</v>
      </c>
      <c r="P1917" s="18">
        <f t="shared" si="310"/>
        <v>2.1342465753424658</v>
      </c>
      <c r="Q1917" s="18">
        <f t="shared" si="314"/>
        <v>0</v>
      </c>
      <c r="R1917" s="18">
        <f t="shared" si="306"/>
        <v>0</v>
      </c>
      <c r="S1917" s="18">
        <f>L1917</f>
        <v>0</v>
      </c>
    </row>
    <row r="1918" spans="1:19" ht="18.75" customHeight="1" x14ac:dyDescent="0.25">
      <c r="A1918" s="14">
        <f t="shared" si="311"/>
        <v>1912</v>
      </c>
      <c r="B1918" s="28" t="s">
        <v>1656</v>
      </c>
      <c r="C1918" s="15" t="s">
        <v>3</v>
      </c>
      <c r="D1918" s="21" t="s">
        <v>1200</v>
      </c>
      <c r="E1918" s="21"/>
      <c r="F1918" s="69" t="s">
        <v>4</v>
      </c>
      <c r="G1918" s="25">
        <v>43692</v>
      </c>
      <c r="H1918" s="26">
        <v>8000</v>
      </c>
      <c r="I1918" s="17">
        <v>0</v>
      </c>
      <c r="J1918" s="17">
        <v>0</v>
      </c>
      <c r="K1918" s="17">
        <f t="shared" si="308"/>
        <v>8000</v>
      </c>
      <c r="L1918" s="23">
        <f t="shared" si="313"/>
        <v>400</v>
      </c>
      <c r="M1918" s="34">
        <v>3</v>
      </c>
      <c r="N1918" s="18">
        <f t="shared" si="309"/>
        <v>1.6328767123287671</v>
      </c>
      <c r="O1918" s="23">
        <v>4136.6210045662101</v>
      </c>
      <c r="P1918" s="18">
        <f t="shared" si="310"/>
        <v>2.1342465753424658</v>
      </c>
      <c r="Q1918" s="18">
        <f t="shared" si="314"/>
        <v>1270.1369863013699</v>
      </c>
      <c r="R1918" s="18">
        <f t="shared" si="306"/>
        <v>5406.7579908675798</v>
      </c>
      <c r="S1918" s="18">
        <f t="shared" si="307"/>
        <v>2593.2420091324202</v>
      </c>
    </row>
    <row r="1919" spans="1:19" ht="18.75" customHeight="1" x14ac:dyDescent="0.25">
      <c r="A1919" s="14">
        <f t="shared" si="311"/>
        <v>1913</v>
      </c>
      <c r="B1919" s="28" t="s">
        <v>1657</v>
      </c>
      <c r="C1919" s="15" t="s">
        <v>3</v>
      </c>
      <c r="D1919" s="21" t="s">
        <v>1200</v>
      </c>
      <c r="E1919" s="21"/>
      <c r="F1919" s="69" t="s">
        <v>4</v>
      </c>
      <c r="G1919" s="25">
        <v>43753</v>
      </c>
      <c r="H1919" s="26">
        <v>5000</v>
      </c>
      <c r="I1919" s="17">
        <v>0</v>
      </c>
      <c r="J1919" s="17">
        <v>0</v>
      </c>
      <c r="K1919" s="17">
        <f t="shared" si="308"/>
        <v>5000</v>
      </c>
      <c r="L1919" s="23">
        <f t="shared" si="313"/>
        <v>250</v>
      </c>
      <c r="M1919" s="34">
        <v>3</v>
      </c>
      <c r="N1919" s="18">
        <f t="shared" si="309"/>
        <v>1.4657534246575343</v>
      </c>
      <c r="O1919" s="23">
        <v>2320.7762557077622</v>
      </c>
      <c r="P1919" s="18">
        <f t="shared" si="310"/>
        <v>1.9671232876712328</v>
      </c>
      <c r="Q1919" s="18">
        <f t="shared" si="314"/>
        <v>793.83561643835594</v>
      </c>
      <c r="R1919" s="18">
        <f t="shared" si="306"/>
        <v>3114.611872146118</v>
      </c>
      <c r="S1919" s="18">
        <f t="shared" si="307"/>
        <v>1885.388127853882</v>
      </c>
    </row>
    <row r="1920" spans="1:19" ht="18.75" customHeight="1" x14ac:dyDescent="0.25">
      <c r="A1920" s="14">
        <f t="shared" si="311"/>
        <v>1914</v>
      </c>
      <c r="B1920" s="28" t="s">
        <v>1658</v>
      </c>
      <c r="C1920" s="15" t="s">
        <v>3</v>
      </c>
      <c r="D1920" s="21" t="s">
        <v>1200</v>
      </c>
      <c r="E1920" s="21"/>
      <c r="F1920" s="69" t="s">
        <v>4</v>
      </c>
      <c r="G1920" s="25">
        <v>43753</v>
      </c>
      <c r="H1920" s="26">
        <v>29999</v>
      </c>
      <c r="I1920" s="17">
        <v>0</v>
      </c>
      <c r="J1920" s="17">
        <v>0</v>
      </c>
      <c r="K1920" s="17">
        <f t="shared" si="308"/>
        <v>29999</v>
      </c>
      <c r="L1920" s="23">
        <f t="shared" si="313"/>
        <v>1499.95</v>
      </c>
      <c r="M1920" s="34">
        <v>3</v>
      </c>
      <c r="N1920" s="18">
        <f t="shared" si="309"/>
        <v>1.4657534246575343</v>
      </c>
      <c r="O1920" s="23">
        <v>13924.193378995431</v>
      </c>
      <c r="P1920" s="18">
        <f t="shared" si="310"/>
        <v>1.9671232876712328</v>
      </c>
      <c r="Q1920" s="18">
        <f t="shared" si="314"/>
        <v>4762.8549315068476</v>
      </c>
      <c r="R1920" s="18">
        <f t="shared" si="306"/>
        <v>18687.048310502279</v>
      </c>
      <c r="S1920" s="18">
        <f t="shared" si="307"/>
        <v>11311.951689497721</v>
      </c>
    </row>
    <row r="1921" spans="1:19" ht="18.75" customHeight="1" x14ac:dyDescent="0.25">
      <c r="A1921" s="14">
        <f t="shared" si="311"/>
        <v>1915</v>
      </c>
      <c r="B1921" s="28" t="s">
        <v>1659</v>
      </c>
      <c r="C1921" s="15" t="s">
        <v>3</v>
      </c>
      <c r="D1921" s="21" t="s">
        <v>1200</v>
      </c>
      <c r="E1921" s="21"/>
      <c r="F1921" s="69" t="s">
        <v>4</v>
      </c>
      <c r="G1921" s="25">
        <v>43784</v>
      </c>
      <c r="H1921" s="26">
        <v>5000</v>
      </c>
      <c r="I1921" s="17">
        <v>0</v>
      </c>
      <c r="J1921" s="17">
        <v>0</v>
      </c>
      <c r="K1921" s="17">
        <f t="shared" si="308"/>
        <v>5000</v>
      </c>
      <c r="L1921" s="23">
        <f t="shared" si="313"/>
        <v>250</v>
      </c>
      <c r="M1921" s="34">
        <v>3</v>
      </c>
      <c r="N1921" s="18">
        <f t="shared" si="309"/>
        <v>1.3808219178082193</v>
      </c>
      <c r="O1921" s="23">
        <v>2186.3013698630139</v>
      </c>
      <c r="P1921" s="18">
        <f t="shared" si="310"/>
        <v>1.8821917808219177</v>
      </c>
      <c r="Q1921" s="18">
        <f t="shared" si="314"/>
        <v>793.83561643835594</v>
      </c>
      <c r="R1921" s="18">
        <f t="shared" si="306"/>
        <v>2980.1369863013697</v>
      </c>
      <c r="S1921" s="18">
        <f t="shared" si="307"/>
        <v>2019.8630136986303</v>
      </c>
    </row>
    <row r="1922" spans="1:19" ht="18.75" customHeight="1" x14ac:dyDescent="0.25">
      <c r="A1922" s="14">
        <f t="shared" si="311"/>
        <v>1916</v>
      </c>
      <c r="B1922" s="28" t="s">
        <v>1660</v>
      </c>
      <c r="C1922" s="15" t="s">
        <v>3</v>
      </c>
      <c r="D1922" s="21" t="s">
        <v>1200</v>
      </c>
      <c r="E1922" s="21"/>
      <c r="F1922" s="69" t="s">
        <v>4</v>
      </c>
      <c r="G1922" s="25">
        <v>43784</v>
      </c>
      <c r="H1922" s="26">
        <v>5000</v>
      </c>
      <c r="I1922" s="17">
        <v>0</v>
      </c>
      <c r="J1922" s="17">
        <v>0</v>
      </c>
      <c r="K1922" s="17">
        <f t="shared" si="308"/>
        <v>5000</v>
      </c>
      <c r="L1922" s="23">
        <f t="shared" si="313"/>
        <v>250</v>
      </c>
      <c r="M1922" s="34">
        <v>3</v>
      </c>
      <c r="N1922" s="18">
        <f t="shared" si="309"/>
        <v>1.3808219178082193</v>
      </c>
      <c r="O1922" s="23">
        <v>2186.3013698630139</v>
      </c>
      <c r="P1922" s="18">
        <f t="shared" si="310"/>
        <v>1.8821917808219177</v>
      </c>
      <c r="Q1922" s="18">
        <f t="shared" si="314"/>
        <v>793.83561643835594</v>
      </c>
      <c r="R1922" s="18">
        <f t="shared" si="306"/>
        <v>2980.1369863013697</v>
      </c>
      <c r="S1922" s="18">
        <f t="shared" si="307"/>
        <v>2019.8630136986303</v>
      </c>
    </row>
    <row r="1923" spans="1:19" ht="18.75" customHeight="1" x14ac:dyDescent="0.25">
      <c r="A1923" s="14">
        <f t="shared" si="311"/>
        <v>1917</v>
      </c>
      <c r="B1923" s="28" t="s">
        <v>1661</v>
      </c>
      <c r="C1923" s="15" t="s">
        <v>3</v>
      </c>
      <c r="D1923" s="21" t="s">
        <v>1200</v>
      </c>
      <c r="E1923" s="21"/>
      <c r="F1923" s="69" t="s">
        <v>4</v>
      </c>
      <c r="G1923" s="25">
        <v>43784</v>
      </c>
      <c r="H1923" s="26">
        <v>50000</v>
      </c>
      <c r="I1923" s="17">
        <v>0</v>
      </c>
      <c r="J1923" s="17">
        <v>0</v>
      </c>
      <c r="K1923" s="17">
        <f t="shared" si="308"/>
        <v>50000</v>
      </c>
      <c r="L1923" s="23">
        <f t="shared" si="313"/>
        <v>2500</v>
      </c>
      <c r="M1923" s="34">
        <v>5</v>
      </c>
      <c r="N1923" s="18">
        <f t="shared" si="309"/>
        <v>1.3808219178082193</v>
      </c>
      <c r="O1923" s="23">
        <v>13117.808219178081</v>
      </c>
      <c r="P1923" s="18">
        <f t="shared" si="310"/>
        <v>1.8821917808219177</v>
      </c>
      <c r="Q1923" s="18">
        <f t="shared" si="314"/>
        <v>4763.0136986301359</v>
      </c>
      <c r="R1923" s="18">
        <f t="shared" si="306"/>
        <v>17880.821917808218</v>
      </c>
      <c r="S1923" s="18">
        <f t="shared" si="307"/>
        <v>32119.178082191782</v>
      </c>
    </row>
    <row r="1924" spans="1:19" ht="18.75" customHeight="1" x14ac:dyDescent="0.25">
      <c r="A1924" s="14">
        <f t="shared" si="311"/>
        <v>1918</v>
      </c>
      <c r="B1924" s="28" t="s">
        <v>1662</v>
      </c>
      <c r="C1924" s="15" t="s">
        <v>3</v>
      </c>
      <c r="D1924" s="21" t="s">
        <v>1200</v>
      </c>
      <c r="E1924" s="21"/>
      <c r="F1924" s="69" t="s">
        <v>4</v>
      </c>
      <c r="G1924" s="25">
        <v>43814</v>
      </c>
      <c r="H1924" s="26">
        <v>32100</v>
      </c>
      <c r="I1924" s="17">
        <v>0</v>
      </c>
      <c r="J1924" s="17">
        <v>0</v>
      </c>
      <c r="K1924" s="17">
        <f t="shared" si="308"/>
        <v>32100</v>
      </c>
      <c r="L1924" s="23">
        <f t="shared" si="313"/>
        <v>1605</v>
      </c>
      <c r="M1924" s="34">
        <v>5</v>
      </c>
      <c r="N1924" s="18">
        <f t="shared" si="309"/>
        <v>1.2986301369863014</v>
      </c>
      <c r="O1924" s="23">
        <v>7920.3452054794525</v>
      </c>
      <c r="P1924" s="18">
        <f t="shared" si="310"/>
        <v>1.8</v>
      </c>
      <c r="Q1924" s="18">
        <f t="shared" si="314"/>
        <v>3057.8547945205482</v>
      </c>
      <c r="R1924" s="18">
        <f t="shared" ref="R1924:R1987" si="315">Q1924+O1924</f>
        <v>10978.2</v>
      </c>
      <c r="S1924" s="18">
        <f t="shared" ref="S1924:S1987" si="316">K1924-R1924</f>
        <v>21121.8</v>
      </c>
    </row>
    <row r="1925" spans="1:19" ht="18.75" customHeight="1" x14ac:dyDescent="0.25">
      <c r="A1925" s="14">
        <f t="shared" si="311"/>
        <v>1919</v>
      </c>
      <c r="B1925" s="28" t="s">
        <v>1663</v>
      </c>
      <c r="C1925" s="15" t="s">
        <v>3</v>
      </c>
      <c r="D1925" s="21" t="s">
        <v>1200</v>
      </c>
      <c r="E1925" s="21"/>
      <c r="F1925" s="69" t="s">
        <v>4</v>
      </c>
      <c r="G1925" s="25">
        <v>43845</v>
      </c>
      <c r="H1925" s="26">
        <v>10000</v>
      </c>
      <c r="I1925" s="17">
        <v>0</v>
      </c>
      <c r="J1925" s="17">
        <v>0</v>
      </c>
      <c r="K1925" s="17">
        <f t="shared" ref="K1925:K1988" si="317">H1925+I1925-J1925</f>
        <v>10000</v>
      </c>
      <c r="L1925" s="23">
        <f t="shared" si="313"/>
        <v>500</v>
      </c>
      <c r="M1925" s="34">
        <v>3</v>
      </c>
      <c r="N1925" s="18">
        <f t="shared" ref="N1925:N1988" si="318">IF(($N$2-G1925+1)/365&gt;0,($N$2-G1925+1)/365,0)</f>
        <v>1.2136986301369863</v>
      </c>
      <c r="O1925" s="23">
        <v>3843.3789954337899</v>
      </c>
      <c r="P1925" s="18">
        <f t="shared" ref="P1925:P1988" si="319">($P$2-G1925+1)/365</f>
        <v>1.715068493150685</v>
      </c>
      <c r="Q1925" s="18">
        <f t="shared" si="314"/>
        <v>1587.6712328767123</v>
      </c>
      <c r="R1925" s="18">
        <f t="shared" si="315"/>
        <v>5431.0502283105025</v>
      </c>
      <c r="S1925" s="18">
        <f t="shared" si="316"/>
        <v>4568.9497716894975</v>
      </c>
    </row>
    <row r="1926" spans="1:19" ht="18.75" customHeight="1" x14ac:dyDescent="0.25">
      <c r="A1926" s="14">
        <f t="shared" ref="A1926:A1989" si="320">+A1925+1</f>
        <v>1920</v>
      </c>
      <c r="B1926" s="28" t="s">
        <v>1664</v>
      </c>
      <c r="C1926" s="15" t="s">
        <v>3</v>
      </c>
      <c r="D1926" s="21" t="s">
        <v>1200</v>
      </c>
      <c r="E1926" s="21"/>
      <c r="F1926" s="69" t="s">
        <v>4</v>
      </c>
      <c r="G1926" s="25">
        <v>43845</v>
      </c>
      <c r="H1926" s="26">
        <v>10700</v>
      </c>
      <c r="I1926" s="17">
        <v>0</v>
      </c>
      <c r="J1926" s="17">
        <v>0</v>
      </c>
      <c r="K1926" s="17">
        <f t="shared" si="317"/>
        <v>10700</v>
      </c>
      <c r="L1926" s="23">
        <f t="shared" si="313"/>
        <v>535</v>
      </c>
      <c r="M1926" s="34">
        <v>5</v>
      </c>
      <c r="N1926" s="18">
        <f t="shared" si="318"/>
        <v>1.2136986301369863</v>
      </c>
      <c r="O1926" s="23">
        <v>2467.449315068493</v>
      </c>
      <c r="P1926" s="18">
        <f t="shared" si="319"/>
        <v>1.715068493150685</v>
      </c>
      <c r="Q1926" s="18">
        <f t="shared" si="314"/>
        <v>1019.2849315068494</v>
      </c>
      <c r="R1926" s="18">
        <f t="shared" si="315"/>
        <v>3486.7342465753422</v>
      </c>
      <c r="S1926" s="18">
        <f t="shared" si="316"/>
        <v>7213.2657534246573</v>
      </c>
    </row>
    <row r="1927" spans="1:19" ht="18.75" customHeight="1" x14ac:dyDescent="0.25">
      <c r="A1927" s="14">
        <f t="shared" si="320"/>
        <v>1921</v>
      </c>
      <c r="B1927" s="28" t="s">
        <v>1665</v>
      </c>
      <c r="C1927" s="15" t="s">
        <v>3</v>
      </c>
      <c r="D1927" s="21" t="s">
        <v>1200</v>
      </c>
      <c r="E1927" s="21"/>
      <c r="F1927" s="69" t="s">
        <v>4</v>
      </c>
      <c r="G1927" s="25">
        <v>43845</v>
      </c>
      <c r="H1927" s="26">
        <v>28566.66</v>
      </c>
      <c r="I1927" s="17">
        <v>0</v>
      </c>
      <c r="J1927" s="17">
        <v>0</v>
      </c>
      <c r="K1927" s="17">
        <f t="shared" si="317"/>
        <v>28566.66</v>
      </c>
      <c r="L1927" s="23">
        <f t="shared" si="313"/>
        <v>1428.3330000000001</v>
      </c>
      <c r="M1927" s="34">
        <v>5</v>
      </c>
      <c r="N1927" s="18">
        <f t="shared" si="318"/>
        <v>1.2136986301369863</v>
      </c>
      <c r="O1927" s="23">
        <v>6587.550060821919</v>
      </c>
      <c r="P1927" s="18">
        <f t="shared" si="319"/>
        <v>1.715068493150685</v>
      </c>
      <c r="Q1927" s="18">
        <f t="shared" si="314"/>
        <v>2721.2678580821921</v>
      </c>
      <c r="R1927" s="18">
        <f t="shared" si="315"/>
        <v>9308.8179189041111</v>
      </c>
      <c r="S1927" s="18">
        <f t="shared" si="316"/>
        <v>19257.842081095889</v>
      </c>
    </row>
    <row r="1928" spans="1:19" ht="18.75" customHeight="1" x14ac:dyDescent="0.25">
      <c r="A1928" s="14">
        <f t="shared" si="320"/>
        <v>1922</v>
      </c>
      <c r="B1928" s="28" t="s">
        <v>1666</v>
      </c>
      <c r="C1928" s="15" t="s">
        <v>3</v>
      </c>
      <c r="D1928" s="21" t="s">
        <v>1200</v>
      </c>
      <c r="E1928" s="21"/>
      <c r="F1928" s="69" t="s">
        <v>4</v>
      </c>
      <c r="G1928" s="25">
        <v>43876</v>
      </c>
      <c r="H1928" s="26">
        <v>14999</v>
      </c>
      <c r="I1928" s="17">
        <v>0</v>
      </c>
      <c r="J1928" s="17">
        <v>0</v>
      </c>
      <c r="K1928" s="17">
        <f t="shared" si="317"/>
        <v>14999</v>
      </c>
      <c r="L1928" s="23">
        <f t="shared" si="313"/>
        <v>749.95</v>
      </c>
      <c r="M1928" s="34">
        <v>3</v>
      </c>
      <c r="N1928" s="18">
        <f t="shared" si="318"/>
        <v>1.1287671232876713</v>
      </c>
      <c r="O1928" s="23">
        <v>5361.2863926940627</v>
      </c>
      <c r="P1928" s="18">
        <f t="shared" si="319"/>
        <v>1.6301369863013699</v>
      </c>
      <c r="Q1928" s="18">
        <f t="shared" si="314"/>
        <v>2381.348082191781</v>
      </c>
      <c r="R1928" s="18">
        <f t="shared" si="315"/>
        <v>7742.6344748858437</v>
      </c>
      <c r="S1928" s="18">
        <f t="shared" si="316"/>
        <v>7256.3655251141563</v>
      </c>
    </row>
    <row r="1929" spans="1:19" ht="18.75" customHeight="1" x14ac:dyDescent="0.25">
      <c r="A1929" s="14">
        <f t="shared" si="320"/>
        <v>1923</v>
      </c>
      <c r="B1929" s="28" t="s">
        <v>1667</v>
      </c>
      <c r="C1929" s="15" t="s">
        <v>3</v>
      </c>
      <c r="D1929" s="21" t="s">
        <v>1200</v>
      </c>
      <c r="E1929" s="21"/>
      <c r="F1929" s="69" t="s">
        <v>4</v>
      </c>
      <c r="G1929" s="25">
        <v>43876</v>
      </c>
      <c r="H1929" s="26">
        <v>6000</v>
      </c>
      <c r="I1929" s="17">
        <v>0</v>
      </c>
      <c r="J1929" s="17">
        <v>0</v>
      </c>
      <c r="K1929" s="17">
        <f t="shared" si="317"/>
        <v>6000</v>
      </c>
      <c r="L1929" s="23">
        <f t="shared" si="313"/>
        <v>300</v>
      </c>
      <c r="M1929" s="34">
        <v>3</v>
      </c>
      <c r="N1929" s="18">
        <f t="shared" si="318"/>
        <v>1.1287671232876713</v>
      </c>
      <c r="O1929" s="23">
        <v>2144.6575342465753</v>
      </c>
      <c r="P1929" s="18">
        <f t="shared" si="319"/>
        <v>1.6301369863013699</v>
      </c>
      <c r="Q1929" s="18">
        <f t="shared" si="314"/>
        <v>952.60273972602749</v>
      </c>
      <c r="R1929" s="18">
        <f t="shared" si="315"/>
        <v>3097.2602739726026</v>
      </c>
      <c r="S1929" s="18">
        <f t="shared" si="316"/>
        <v>2902.7397260273974</v>
      </c>
    </row>
    <row r="1930" spans="1:19" ht="18.75" customHeight="1" x14ac:dyDescent="0.25">
      <c r="A1930" s="14">
        <f t="shared" si="320"/>
        <v>1924</v>
      </c>
      <c r="B1930" s="28" t="s">
        <v>1668</v>
      </c>
      <c r="C1930" s="15" t="s">
        <v>3</v>
      </c>
      <c r="D1930" s="21" t="s">
        <v>1200</v>
      </c>
      <c r="E1930" s="21"/>
      <c r="F1930" s="69" t="s">
        <v>4</v>
      </c>
      <c r="G1930" s="25">
        <v>43876</v>
      </c>
      <c r="H1930" s="26">
        <v>130000</v>
      </c>
      <c r="I1930" s="17">
        <v>0</v>
      </c>
      <c r="J1930" s="17">
        <v>0</v>
      </c>
      <c r="K1930" s="17">
        <f t="shared" si="317"/>
        <v>130000</v>
      </c>
      <c r="L1930" s="23">
        <f t="shared" si="313"/>
        <v>6500</v>
      </c>
      <c r="M1930" s="34">
        <v>3</v>
      </c>
      <c r="N1930" s="18">
        <f t="shared" si="318"/>
        <v>1.1287671232876713</v>
      </c>
      <c r="O1930" s="23">
        <v>46467.579908675798</v>
      </c>
      <c r="P1930" s="18">
        <f t="shared" si="319"/>
        <v>1.6301369863013699</v>
      </c>
      <c r="Q1930" s="18">
        <f t="shared" si="314"/>
        <v>20639.726027397261</v>
      </c>
      <c r="R1930" s="18">
        <f t="shared" si="315"/>
        <v>67107.305936073055</v>
      </c>
      <c r="S1930" s="18">
        <f t="shared" si="316"/>
        <v>62892.694063926945</v>
      </c>
    </row>
    <row r="1931" spans="1:19" ht="18.75" customHeight="1" x14ac:dyDescent="0.25">
      <c r="A1931" s="14">
        <f t="shared" si="320"/>
        <v>1925</v>
      </c>
      <c r="B1931" s="28" t="s">
        <v>1669</v>
      </c>
      <c r="C1931" s="15" t="s">
        <v>3</v>
      </c>
      <c r="D1931" s="21" t="s">
        <v>1200</v>
      </c>
      <c r="E1931" s="21"/>
      <c r="F1931" s="69" t="s">
        <v>4</v>
      </c>
      <c r="G1931" s="25">
        <v>43876</v>
      </c>
      <c r="H1931" s="26">
        <v>28000</v>
      </c>
      <c r="I1931" s="17">
        <v>0</v>
      </c>
      <c r="J1931" s="17">
        <v>0</v>
      </c>
      <c r="K1931" s="17">
        <f t="shared" si="317"/>
        <v>28000</v>
      </c>
      <c r="L1931" s="23">
        <f t="shared" si="313"/>
        <v>1400</v>
      </c>
      <c r="M1931" s="34">
        <v>5</v>
      </c>
      <c r="N1931" s="18">
        <f t="shared" si="318"/>
        <v>1.1287671232876713</v>
      </c>
      <c r="O1931" s="23">
        <v>6005.0410958904113</v>
      </c>
      <c r="P1931" s="18">
        <f t="shared" si="319"/>
        <v>1.6301369863013699</v>
      </c>
      <c r="Q1931" s="18">
        <f t="shared" si="314"/>
        <v>2667.2876712328771</v>
      </c>
      <c r="R1931" s="18">
        <f t="shared" si="315"/>
        <v>8672.3287671232883</v>
      </c>
      <c r="S1931" s="18">
        <f t="shared" si="316"/>
        <v>19327.67123287671</v>
      </c>
    </row>
    <row r="1932" spans="1:19" ht="18.75" customHeight="1" x14ac:dyDescent="0.25">
      <c r="A1932" s="14">
        <f t="shared" si="320"/>
        <v>1926</v>
      </c>
      <c r="B1932" s="28" t="s">
        <v>1670</v>
      </c>
      <c r="C1932" s="15" t="s">
        <v>3</v>
      </c>
      <c r="D1932" s="21" t="s">
        <v>1200</v>
      </c>
      <c r="E1932" s="21"/>
      <c r="F1932" s="69" t="s">
        <v>4</v>
      </c>
      <c r="G1932" s="25">
        <v>43876</v>
      </c>
      <c r="H1932" s="26">
        <v>16260</v>
      </c>
      <c r="I1932" s="17">
        <v>0</v>
      </c>
      <c r="J1932" s="17">
        <v>0</v>
      </c>
      <c r="K1932" s="17">
        <f t="shared" si="317"/>
        <v>16260</v>
      </c>
      <c r="L1932" s="23">
        <f t="shared" si="313"/>
        <v>813</v>
      </c>
      <c r="M1932" s="34">
        <v>5</v>
      </c>
      <c r="N1932" s="18">
        <f t="shared" si="318"/>
        <v>1.1287671232876713</v>
      </c>
      <c r="O1932" s="23">
        <v>3487.2131506849314</v>
      </c>
      <c r="P1932" s="18">
        <f t="shared" si="319"/>
        <v>1.6301369863013699</v>
      </c>
      <c r="Q1932" s="18">
        <f t="shared" si="314"/>
        <v>1548.9320547945208</v>
      </c>
      <c r="R1932" s="18">
        <f t="shared" si="315"/>
        <v>5036.1452054794518</v>
      </c>
      <c r="S1932" s="18">
        <f t="shared" si="316"/>
        <v>11223.854794520548</v>
      </c>
    </row>
    <row r="1933" spans="1:19" ht="18.75" customHeight="1" x14ac:dyDescent="0.25">
      <c r="A1933" s="14">
        <f t="shared" si="320"/>
        <v>1927</v>
      </c>
      <c r="B1933" s="28" t="s">
        <v>1671</v>
      </c>
      <c r="C1933" s="15" t="s">
        <v>3</v>
      </c>
      <c r="D1933" s="21" t="s">
        <v>1200</v>
      </c>
      <c r="E1933" s="21"/>
      <c r="F1933" s="69" t="s">
        <v>4</v>
      </c>
      <c r="G1933" s="25">
        <v>43876</v>
      </c>
      <c r="H1933" s="26">
        <v>63880</v>
      </c>
      <c r="I1933" s="17">
        <v>0</v>
      </c>
      <c r="J1933" s="17">
        <v>0</v>
      </c>
      <c r="K1933" s="17">
        <f t="shared" si="317"/>
        <v>63880</v>
      </c>
      <c r="L1933" s="23">
        <f t="shared" si="313"/>
        <v>3194</v>
      </c>
      <c r="M1933" s="34">
        <v>5</v>
      </c>
      <c r="N1933" s="18">
        <f t="shared" si="318"/>
        <v>1.1287671232876713</v>
      </c>
      <c r="O1933" s="23">
        <v>13700.072328767124</v>
      </c>
      <c r="P1933" s="18">
        <f t="shared" si="319"/>
        <v>1.6301369863013699</v>
      </c>
      <c r="Q1933" s="18">
        <f t="shared" si="314"/>
        <v>6085.2263013698639</v>
      </c>
      <c r="R1933" s="18">
        <f t="shared" si="315"/>
        <v>19785.298630136989</v>
      </c>
      <c r="S1933" s="18">
        <f t="shared" si="316"/>
        <v>44094.701369863011</v>
      </c>
    </row>
    <row r="1934" spans="1:19" ht="18.75" customHeight="1" x14ac:dyDescent="0.25">
      <c r="A1934" s="14">
        <f t="shared" si="320"/>
        <v>1928</v>
      </c>
      <c r="B1934" s="28" t="s">
        <v>1672</v>
      </c>
      <c r="C1934" s="15" t="s">
        <v>3</v>
      </c>
      <c r="D1934" s="21" t="s">
        <v>1200</v>
      </c>
      <c r="E1934" s="21"/>
      <c r="F1934" s="69" t="s">
        <v>4</v>
      </c>
      <c r="G1934" s="25">
        <v>43876</v>
      </c>
      <c r="H1934" s="26">
        <v>74000</v>
      </c>
      <c r="I1934" s="17">
        <v>0</v>
      </c>
      <c r="J1934" s="17">
        <v>0</v>
      </c>
      <c r="K1934" s="17">
        <f t="shared" si="317"/>
        <v>74000</v>
      </c>
      <c r="L1934" s="23">
        <f t="shared" si="313"/>
        <v>3700</v>
      </c>
      <c r="M1934" s="34">
        <v>5</v>
      </c>
      <c r="N1934" s="18">
        <f t="shared" si="318"/>
        <v>1.1287671232876713</v>
      </c>
      <c r="O1934" s="23">
        <v>15870.465753424658</v>
      </c>
      <c r="P1934" s="18">
        <f t="shared" si="319"/>
        <v>1.6301369863013699</v>
      </c>
      <c r="Q1934" s="18">
        <f t="shared" si="314"/>
        <v>7049.2602739726035</v>
      </c>
      <c r="R1934" s="18">
        <f t="shared" si="315"/>
        <v>22919.726027397261</v>
      </c>
      <c r="S1934" s="18">
        <f t="shared" si="316"/>
        <v>51080.273972602736</v>
      </c>
    </row>
    <row r="1935" spans="1:19" ht="18.75" customHeight="1" x14ac:dyDescent="0.25">
      <c r="A1935" s="14">
        <f t="shared" si="320"/>
        <v>1929</v>
      </c>
      <c r="B1935" s="28" t="s">
        <v>1673</v>
      </c>
      <c r="C1935" s="15" t="s">
        <v>3</v>
      </c>
      <c r="D1935" s="21" t="s">
        <v>1200</v>
      </c>
      <c r="E1935" s="21"/>
      <c r="F1935" s="69" t="s">
        <v>4</v>
      </c>
      <c r="G1935" s="25">
        <v>43966</v>
      </c>
      <c r="H1935" s="27">
        <v>24800</v>
      </c>
      <c r="I1935" s="17">
        <v>0</v>
      </c>
      <c r="J1935" s="17">
        <v>0</v>
      </c>
      <c r="K1935" s="17">
        <f t="shared" si="317"/>
        <v>24800</v>
      </c>
      <c r="L1935" s="23">
        <f t="shared" si="313"/>
        <v>1240</v>
      </c>
      <c r="M1935" s="34">
        <v>3</v>
      </c>
      <c r="N1935" s="18">
        <f t="shared" si="318"/>
        <v>0.88219178082191785</v>
      </c>
      <c r="O1935" s="23">
        <v>6928.1461187214609</v>
      </c>
      <c r="P1935" s="18">
        <f t="shared" si="319"/>
        <v>1.3835616438356164</v>
      </c>
      <c r="Q1935" s="18">
        <f t="shared" si="314"/>
        <v>3937.4246575342463</v>
      </c>
      <c r="R1935" s="18">
        <f t="shared" si="315"/>
        <v>10865.570776255707</v>
      </c>
      <c r="S1935" s="18">
        <f t="shared" si="316"/>
        <v>13934.429223744293</v>
      </c>
    </row>
    <row r="1936" spans="1:19" ht="18.75" customHeight="1" x14ac:dyDescent="0.25">
      <c r="A1936" s="14">
        <f t="shared" si="320"/>
        <v>1930</v>
      </c>
      <c r="B1936" s="28" t="s">
        <v>1674</v>
      </c>
      <c r="C1936" s="15" t="s">
        <v>3</v>
      </c>
      <c r="D1936" s="21" t="s">
        <v>1200</v>
      </c>
      <c r="E1936" s="21"/>
      <c r="F1936" s="69" t="s">
        <v>4</v>
      </c>
      <c r="G1936" s="25">
        <v>43966</v>
      </c>
      <c r="H1936" s="27">
        <v>2000</v>
      </c>
      <c r="I1936" s="17">
        <v>0</v>
      </c>
      <c r="J1936" s="17">
        <v>0</v>
      </c>
      <c r="K1936" s="17">
        <f t="shared" si="317"/>
        <v>2000</v>
      </c>
      <c r="L1936" s="23">
        <f t="shared" si="313"/>
        <v>100</v>
      </c>
      <c r="M1936" s="34">
        <v>3</v>
      </c>
      <c r="N1936" s="18">
        <f t="shared" si="318"/>
        <v>0.88219178082191785</v>
      </c>
      <c r="O1936" s="23">
        <v>558.72146118721457</v>
      </c>
      <c r="P1936" s="18">
        <f t="shared" si="319"/>
        <v>1.3835616438356164</v>
      </c>
      <c r="Q1936" s="18">
        <f t="shared" si="314"/>
        <v>317.53424657534242</v>
      </c>
      <c r="R1936" s="18">
        <f t="shared" si="315"/>
        <v>876.25570776255699</v>
      </c>
      <c r="S1936" s="18">
        <f t="shared" si="316"/>
        <v>1123.744292237443</v>
      </c>
    </row>
    <row r="1937" spans="1:19" ht="18.75" customHeight="1" x14ac:dyDescent="0.25">
      <c r="A1937" s="14">
        <f t="shared" si="320"/>
        <v>1931</v>
      </c>
      <c r="B1937" s="28" t="s">
        <v>1675</v>
      </c>
      <c r="C1937" s="15" t="s">
        <v>3</v>
      </c>
      <c r="D1937" s="21" t="s">
        <v>1200</v>
      </c>
      <c r="E1937" s="21"/>
      <c r="F1937" s="69" t="s">
        <v>4</v>
      </c>
      <c r="G1937" s="25">
        <v>44027</v>
      </c>
      <c r="H1937" s="27">
        <v>14350</v>
      </c>
      <c r="I1937" s="17">
        <v>0</v>
      </c>
      <c r="J1937" s="17">
        <v>0</v>
      </c>
      <c r="K1937" s="17">
        <f t="shared" si="317"/>
        <v>14350</v>
      </c>
      <c r="L1937" s="23">
        <f t="shared" si="313"/>
        <v>717.5</v>
      </c>
      <c r="M1937" s="34">
        <v>5</v>
      </c>
      <c r="N1937" s="18">
        <f t="shared" si="318"/>
        <v>0.71506849315068488</v>
      </c>
      <c r="O1937" s="23">
        <v>1949.6342465753421</v>
      </c>
      <c r="P1937" s="18">
        <f t="shared" si="319"/>
        <v>1.2164383561643837</v>
      </c>
      <c r="Q1937" s="18">
        <f t="shared" si="314"/>
        <v>1366.9849315068498</v>
      </c>
      <c r="R1937" s="18">
        <f t="shared" si="315"/>
        <v>3316.6191780821919</v>
      </c>
      <c r="S1937" s="18">
        <f t="shared" si="316"/>
        <v>11033.380821917808</v>
      </c>
    </row>
    <row r="1938" spans="1:19" ht="18.75" customHeight="1" x14ac:dyDescent="0.25">
      <c r="A1938" s="14">
        <f t="shared" si="320"/>
        <v>1932</v>
      </c>
      <c r="B1938" s="28" t="s">
        <v>1676</v>
      </c>
      <c r="C1938" s="15" t="s">
        <v>3</v>
      </c>
      <c r="D1938" s="21" t="s">
        <v>1200</v>
      </c>
      <c r="E1938" s="21"/>
      <c r="F1938" s="69" t="s">
        <v>4</v>
      </c>
      <c r="G1938" s="25">
        <v>44027</v>
      </c>
      <c r="H1938" s="27">
        <v>41600</v>
      </c>
      <c r="I1938" s="17">
        <v>0</v>
      </c>
      <c r="J1938" s="17">
        <v>0</v>
      </c>
      <c r="K1938" s="17">
        <f t="shared" si="317"/>
        <v>41600</v>
      </c>
      <c r="L1938" s="23">
        <f t="shared" si="313"/>
        <v>2080</v>
      </c>
      <c r="M1938" s="34">
        <v>5</v>
      </c>
      <c r="N1938" s="18">
        <f t="shared" si="318"/>
        <v>0.71506849315068488</v>
      </c>
      <c r="O1938" s="23">
        <v>5651.9013698630124</v>
      </c>
      <c r="P1938" s="18">
        <f t="shared" si="319"/>
        <v>1.2164383561643837</v>
      </c>
      <c r="Q1938" s="18">
        <f t="shared" si="314"/>
        <v>3962.8273972602756</v>
      </c>
      <c r="R1938" s="18">
        <f t="shared" si="315"/>
        <v>9614.728767123288</v>
      </c>
      <c r="S1938" s="18">
        <f t="shared" si="316"/>
        <v>31985.271232876712</v>
      </c>
    </row>
    <row r="1939" spans="1:19" ht="18.75" customHeight="1" x14ac:dyDescent="0.25">
      <c r="A1939" s="14">
        <f t="shared" si="320"/>
        <v>1933</v>
      </c>
      <c r="B1939" s="28" t="s">
        <v>1677</v>
      </c>
      <c r="C1939" s="15" t="s">
        <v>3</v>
      </c>
      <c r="D1939" s="21" t="s">
        <v>1200</v>
      </c>
      <c r="E1939" s="21"/>
      <c r="F1939" s="69" t="s">
        <v>4</v>
      </c>
      <c r="G1939" s="25">
        <v>44058</v>
      </c>
      <c r="H1939" s="27">
        <v>10000</v>
      </c>
      <c r="I1939" s="17">
        <v>0</v>
      </c>
      <c r="J1939" s="17">
        <v>0</v>
      </c>
      <c r="K1939" s="17">
        <f t="shared" si="317"/>
        <v>10000</v>
      </c>
      <c r="L1939" s="23">
        <f t="shared" si="313"/>
        <v>500</v>
      </c>
      <c r="M1939" s="34">
        <v>3</v>
      </c>
      <c r="N1939" s="18">
        <f t="shared" si="318"/>
        <v>0.63013698630136983</v>
      </c>
      <c r="O1939" s="23">
        <v>1995.4337899543377</v>
      </c>
      <c r="P1939" s="18">
        <f t="shared" si="319"/>
        <v>1.1315068493150684</v>
      </c>
      <c r="Q1939" s="18">
        <f t="shared" si="314"/>
        <v>1587.6712328767121</v>
      </c>
      <c r="R1939" s="18">
        <f t="shared" si="315"/>
        <v>3583.1050228310496</v>
      </c>
      <c r="S1939" s="18">
        <f t="shared" si="316"/>
        <v>6416.8949771689504</v>
      </c>
    </row>
    <row r="1940" spans="1:19" ht="18.75" customHeight="1" x14ac:dyDescent="0.25">
      <c r="A1940" s="14">
        <f t="shared" si="320"/>
        <v>1934</v>
      </c>
      <c r="B1940" s="28" t="s">
        <v>1678</v>
      </c>
      <c r="C1940" s="15" t="s">
        <v>3</v>
      </c>
      <c r="D1940" s="21" t="s">
        <v>1200</v>
      </c>
      <c r="E1940" s="21"/>
      <c r="F1940" s="69" t="s">
        <v>4</v>
      </c>
      <c r="G1940" s="25">
        <v>44078</v>
      </c>
      <c r="H1940" s="27">
        <v>5000</v>
      </c>
      <c r="I1940" s="17">
        <v>0</v>
      </c>
      <c r="J1940" s="17">
        <v>0</v>
      </c>
      <c r="K1940" s="17">
        <f t="shared" si="317"/>
        <v>5000</v>
      </c>
      <c r="L1940" s="23">
        <f t="shared" si="313"/>
        <v>250</v>
      </c>
      <c r="M1940" s="34">
        <v>3</v>
      </c>
      <c r="N1940" s="18">
        <f t="shared" si="318"/>
        <v>0.57534246575342463</v>
      </c>
      <c r="O1940" s="23">
        <v>910.95890410958896</v>
      </c>
      <c r="P1940" s="18">
        <f t="shared" si="319"/>
        <v>1.0767123287671232</v>
      </c>
      <c r="Q1940" s="18">
        <f t="shared" si="314"/>
        <v>793.83561643835606</v>
      </c>
      <c r="R1940" s="18">
        <f t="shared" si="315"/>
        <v>1704.794520547945</v>
      </c>
      <c r="S1940" s="18">
        <f t="shared" si="316"/>
        <v>3295.205479452055</v>
      </c>
    </row>
    <row r="1941" spans="1:19" ht="18.75" customHeight="1" x14ac:dyDescent="0.25">
      <c r="A1941" s="14">
        <f t="shared" si="320"/>
        <v>1935</v>
      </c>
      <c r="B1941" s="28" t="s">
        <v>1679</v>
      </c>
      <c r="C1941" s="15" t="s">
        <v>3</v>
      </c>
      <c r="D1941" s="21" t="s">
        <v>1200</v>
      </c>
      <c r="E1941" s="21"/>
      <c r="F1941" s="69" t="s">
        <v>4</v>
      </c>
      <c r="G1941" s="25">
        <v>44088</v>
      </c>
      <c r="H1941" s="27">
        <v>125700</v>
      </c>
      <c r="I1941" s="17">
        <v>0</v>
      </c>
      <c r="J1941" s="17">
        <v>0</v>
      </c>
      <c r="K1941" s="17">
        <f t="shared" si="317"/>
        <v>125700</v>
      </c>
      <c r="L1941" s="23">
        <f t="shared" si="313"/>
        <v>6285</v>
      </c>
      <c r="M1941" s="34">
        <v>3</v>
      </c>
      <c r="N1941" s="18">
        <f t="shared" si="318"/>
        <v>0.54794520547945202</v>
      </c>
      <c r="O1941" s="23">
        <v>21810.95890410959</v>
      </c>
      <c r="P1941" s="18">
        <f t="shared" si="319"/>
        <v>1.0493150684931507</v>
      </c>
      <c r="Q1941" s="18">
        <f t="shared" si="314"/>
        <v>19957.027397260274</v>
      </c>
      <c r="R1941" s="18">
        <f t="shared" si="315"/>
        <v>41767.986301369863</v>
      </c>
      <c r="S1941" s="18">
        <f t="shared" si="316"/>
        <v>83932.013698630137</v>
      </c>
    </row>
    <row r="1942" spans="1:19" ht="18.75" customHeight="1" x14ac:dyDescent="0.25">
      <c r="A1942" s="14">
        <f t="shared" si="320"/>
        <v>1936</v>
      </c>
      <c r="B1942" s="28" t="s">
        <v>1680</v>
      </c>
      <c r="C1942" s="15" t="s">
        <v>3</v>
      </c>
      <c r="D1942" s="21" t="s">
        <v>1200</v>
      </c>
      <c r="E1942" s="21"/>
      <c r="F1942" s="69" t="s">
        <v>4</v>
      </c>
      <c r="G1942" s="25">
        <v>44088</v>
      </c>
      <c r="H1942" s="27">
        <v>5000</v>
      </c>
      <c r="I1942" s="17">
        <v>0</v>
      </c>
      <c r="J1942" s="17">
        <v>0</v>
      </c>
      <c r="K1942" s="17">
        <f t="shared" si="317"/>
        <v>5000</v>
      </c>
      <c r="L1942" s="23">
        <f t="shared" si="313"/>
        <v>250</v>
      </c>
      <c r="M1942" s="34">
        <v>3</v>
      </c>
      <c r="N1942" s="18">
        <f t="shared" si="318"/>
        <v>0.54794520547945202</v>
      </c>
      <c r="O1942" s="23">
        <v>867.57990867579906</v>
      </c>
      <c r="P1942" s="18">
        <f t="shared" si="319"/>
        <v>1.0493150684931507</v>
      </c>
      <c r="Q1942" s="18">
        <f t="shared" ref="Q1942:Q2005" si="321">(P1942-N1942)/M1942*(K1942-L1942)</f>
        <v>793.83561643835617</v>
      </c>
      <c r="R1942" s="18">
        <f t="shared" si="315"/>
        <v>1661.4155251141551</v>
      </c>
      <c r="S1942" s="18">
        <f t="shared" si="316"/>
        <v>3338.5844748858449</v>
      </c>
    </row>
    <row r="1943" spans="1:19" ht="18.75" customHeight="1" x14ac:dyDescent="0.25">
      <c r="A1943" s="14">
        <f t="shared" si="320"/>
        <v>1937</v>
      </c>
      <c r="B1943" s="28" t="s">
        <v>1681</v>
      </c>
      <c r="C1943" s="15" t="s">
        <v>3</v>
      </c>
      <c r="D1943" s="21" t="s">
        <v>1200</v>
      </c>
      <c r="E1943" s="21"/>
      <c r="F1943" s="69" t="s">
        <v>4</v>
      </c>
      <c r="G1943" s="25">
        <v>44013</v>
      </c>
      <c r="H1943" s="27">
        <v>15000</v>
      </c>
      <c r="I1943" s="17">
        <v>0</v>
      </c>
      <c r="J1943" s="17">
        <v>0</v>
      </c>
      <c r="K1943" s="17">
        <f t="shared" si="317"/>
        <v>15000</v>
      </c>
      <c r="L1943" s="23">
        <f t="shared" ref="L1943:L2006" si="322">H1943*0.05</f>
        <v>750</v>
      </c>
      <c r="M1943" s="34">
        <v>3</v>
      </c>
      <c r="N1943" s="18">
        <f t="shared" si="318"/>
        <v>0.75342465753424659</v>
      </c>
      <c r="O1943" s="23">
        <v>3578.767123287671</v>
      </c>
      <c r="P1943" s="18">
        <f t="shared" si="319"/>
        <v>1.2547945205479452</v>
      </c>
      <c r="Q1943" s="18">
        <f t="shared" si="321"/>
        <v>2381.5068493150684</v>
      </c>
      <c r="R1943" s="18">
        <f t="shared" si="315"/>
        <v>5960.2739726027394</v>
      </c>
      <c r="S1943" s="18">
        <f t="shared" si="316"/>
        <v>9039.7260273972606</v>
      </c>
    </row>
    <row r="1944" spans="1:19" ht="18.75" customHeight="1" x14ac:dyDescent="0.25">
      <c r="A1944" s="14">
        <f t="shared" si="320"/>
        <v>1938</v>
      </c>
      <c r="B1944" s="28" t="s">
        <v>1682</v>
      </c>
      <c r="C1944" s="15" t="s">
        <v>3</v>
      </c>
      <c r="D1944" s="21" t="s">
        <v>1200</v>
      </c>
      <c r="E1944" s="21"/>
      <c r="F1944" s="69" t="s">
        <v>4</v>
      </c>
      <c r="G1944" s="25">
        <v>44097</v>
      </c>
      <c r="H1944" s="27">
        <v>14450</v>
      </c>
      <c r="I1944" s="17">
        <v>0</v>
      </c>
      <c r="J1944" s="17">
        <v>0</v>
      </c>
      <c r="K1944" s="17">
        <f t="shared" si="317"/>
        <v>14450</v>
      </c>
      <c r="L1944" s="23">
        <f t="shared" si="322"/>
        <v>722.5</v>
      </c>
      <c r="M1944" s="34">
        <v>3</v>
      </c>
      <c r="N1944" s="18">
        <f t="shared" si="318"/>
        <v>0.52328767123287667</v>
      </c>
      <c r="O1944" s="23">
        <v>2394.4771689497716</v>
      </c>
      <c r="P1944" s="18">
        <f t="shared" si="319"/>
        <v>1.0246575342465754</v>
      </c>
      <c r="Q1944" s="18">
        <f t="shared" si="321"/>
        <v>2294.1849315068494</v>
      </c>
      <c r="R1944" s="18">
        <f t="shared" si="315"/>
        <v>4688.6621004566205</v>
      </c>
      <c r="S1944" s="18">
        <f t="shared" si="316"/>
        <v>9761.3378995433795</v>
      </c>
    </row>
    <row r="1945" spans="1:19" ht="18.75" customHeight="1" x14ac:dyDescent="0.25">
      <c r="A1945" s="14">
        <f t="shared" si="320"/>
        <v>1939</v>
      </c>
      <c r="B1945" s="28" t="s">
        <v>1683</v>
      </c>
      <c r="C1945" s="15" t="s">
        <v>3</v>
      </c>
      <c r="D1945" s="21" t="s">
        <v>1200</v>
      </c>
      <c r="E1945" s="21"/>
      <c r="F1945" s="69" t="s">
        <v>4</v>
      </c>
      <c r="G1945" s="25">
        <v>44089</v>
      </c>
      <c r="H1945" s="27">
        <v>1867</v>
      </c>
      <c r="I1945" s="17">
        <v>0</v>
      </c>
      <c r="J1945" s="17">
        <v>0</v>
      </c>
      <c r="K1945" s="17">
        <f t="shared" si="317"/>
        <v>1867</v>
      </c>
      <c r="L1945" s="23">
        <f t="shared" si="322"/>
        <v>93.350000000000009</v>
      </c>
      <c r="M1945" s="34">
        <v>3</v>
      </c>
      <c r="N1945" s="18">
        <f t="shared" si="318"/>
        <v>0.54520547945205478</v>
      </c>
      <c r="O1945" s="23">
        <v>322.33456621004564</v>
      </c>
      <c r="P1945" s="18">
        <f t="shared" si="319"/>
        <v>1.0465753424657533</v>
      </c>
      <c r="Q1945" s="18">
        <f t="shared" si="321"/>
        <v>296.41821917808215</v>
      </c>
      <c r="R1945" s="18">
        <f t="shared" si="315"/>
        <v>618.75278538812779</v>
      </c>
      <c r="S1945" s="18">
        <f t="shared" si="316"/>
        <v>1248.2472146118721</v>
      </c>
    </row>
    <row r="1946" spans="1:19" ht="18.75" customHeight="1" x14ac:dyDescent="0.25">
      <c r="A1946" s="14">
        <f t="shared" si="320"/>
        <v>1940</v>
      </c>
      <c r="B1946" s="28" t="s">
        <v>1684</v>
      </c>
      <c r="C1946" s="15" t="s">
        <v>3</v>
      </c>
      <c r="D1946" s="21" t="s">
        <v>1200</v>
      </c>
      <c r="E1946" s="21"/>
      <c r="F1946" s="69" t="s">
        <v>4</v>
      </c>
      <c r="G1946" s="25">
        <v>44115</v>
      </c>
      <c r="H1946" s="27">
        <v>10000</v>
      </c>
      <c r="I1946" s="17">
        <v>0</v>
      </c>
      <c r="J1946" s="17">
        <v>0</v>
      </c>
      <c r="K1946" s="17">
        <f t="shared" si="317"/>
        <v>10000</v>
      </c>
      <c r="L1946" s="23">
        <f t="shared" si="322"/>
        <v>500</v>
      </c>
      <c r="M1946" s="34">
        <v>3</v>
      </c>
      <c r="N1946" s="18">
        <f t="shared" si="318"/>
        <v>0.47397260273972602</v>
      </c>
      <c r="O1946" s="23">
        <v>1500.9132420091325</v>
      </c>
      <c r="P1946" s="18">
        <f t="shared" si="319"/>
        <v>0.97534246575342465</v>
      </c>
      <c r="Q1946" s="18">
        <f t="shared" si="321"/>
        <v>1587.6712328767123</v>
      </c>
      <c r="R1946" s="18">
        <f t="shared" si="315"/>
        <v>3088.5844748858449</v>
      </c>
      <c r="S1946" s="18">
        <f t="shared" si="316"/>
        <v>6911.4155251141547</v>
      </c>
    </row>
    <row r="1947" spans="1:19" ht="18.75" customHeight="1" x14ac:dyDescent="0.25">
      <c r="A1947" s="14">
        <f t="shared" si="320"/>
        <v>1941</v>
      </c>
      <c r="B1947" s="28" t="s">
        <v>1685</v>
      </c>
      <c r="C1947" s="15" t="s">
        <v>3</v>
      </c>
      <c r="D1947" s="21" t="s">
        <v>1200</v>
      </c>
      <c r="E1947" s="21"/>
      <c r="F1947" s="69" t="s">
        <v>4</v>
      </c>
      <c r="G1947" s="25">
        <v>44120</v>
      </c>
      <c r="H1947" s="27">
        <v>125700</v>
      </c>
      <c r="I1947" s="17">
        <v>0</v>
      </c>
      <c r="J1947" s="17">
        <v>0</v>
      </c>
      <c r="K1947" s="17">
        <f t="shared" si="317"/>
        <v>125700</v>
      </c>
      <c r="L1947" s="23">
        <f t="shared" si="322"/>
        <v>6285</v>
      </c>
      <c r="M1947" s="34">
        <v>3</v>
      </c>
      <c r="N1947" s="18">
        <f t="shared" si="318"/>
        <v>0.46027397260273972</v>
      </c>
      <c r="O1947" s="23">
        <v>18321.205479452055</v>
      </c>
      <c r="P1947" s="18">
        <f t="shared" si="319"/>
        <v>0.9616438356164384</v>
      </c>
      <c r="Q1947" s="18">
        <f t="shared" si="321"/>
        <v>19957.027397260274</v>
      </c>
      <c r="R1947" s="18">
        <f t="shared" si="315"/>
        <v>38278.232876712325</v>
      </c>
      <c r="S1947" s="18">
        <f t="shared" si="316"/>
        <v>87421.767123287675</v>
      </c>
    </row>
    <row r="1948" spans="1:19" ht="18.75" customHeight="1" x14ac:dyDescent="0.25">
      <c r="A1948" s="14">
        <f t="shared" si="320"/>
        <v>1942</v>
      </c>
      <c r="B1948" s="28" t="s">
        <v>1686</v>
      </c>
      <c r="C1948" s="15" t="s">
        <v>3</v>
      </c>
      <c r="D1948" s="21" t="s">
        <v>1200</v>
      </c>
      <c r="E1948" s="21"/>
      <c r="F1948" s="69" t="s">
        <v>4</v>
      </c>
      <c r="G1948" s="25">
        <v>44079</v>
      </c>
      <c r="H1948" s="27">
        <v>8300</v>
      </c>
      <c r="I1948" s="17">
        <v>0</v>
      </c>
      <c r="J1948" s="17">
        <v>0</v>
      </c>
      <c r="K1948" s="17">
        <f t="shared" si="317"/>
        <v>8300</v>
      </c>
      <c r="L1948" s="23">
        <f t="shared" si="322"/>
        <v>415</v>
      </c>
      <c r="M1948" s="34">
        <v>3</v>
      </c>
      <c r="N1948" s="18">
        <f t="shared" si="318"/>
        <v>0.57260273972602738</v>
      </c>
      <c r="O1948" s="23">
        <v>1504.9908675799086</v>
      </c>
      <c r="P1948" s="18">
        <f t="shared" si="319"/>
        <v>1.0739726027397261</v>
      </c>
      <c r="Q1948" s="18">
        <f t="shared" si="321"/>
        <v>1317.7671232876712</v>
      </c>
      <c r="R1948" s="18">
        <f t="shared" si="315"/>
        <v>2822.7579908675798</v>
      </c>
      <c r="S1948" s="18">
        <f t="shared" si="316"/>
        <v>5477.2420091324202</v>
      </c>
    </row>
    <row r="1949" spans="1:19" ht="18.75" customHeight="1" x14ac:dyDescent="0.25">
      <c r="A1949" s="14">
        <f t="shared" si="320"/>
        <v>1943</v>
      </c>
      <c r="B1949" s="28" t="s">
        <v>1687</v>
      </c>
      <c r="C1949" s="15" t="s">
        <v>3</v>
      </c>
      <c r="D1949" s="21" t="s">
        <v>1200</v>
      </c>
      <c r="E1949" s="21"/>
      <c r="F1949" s="69" t="s">
        <v>4</v>
      </c>
      <c r="G1949" s="25">
        <v>44129</v>
      </c>
      <c r="H1949" s="27">
        <v>7199</v>
      </c>
      <c r="I1949" s="17">
        <v>0</v>
      </c>
      <c r="J1949" s="17">
        <v>0</v>
      </c>
      <c r="K1949" s="17">
        <f t="shared" si="317"/>
        <v>7199</v>
      </c>
      <c r="L1949" s="23">
        <f t="shared" si="322"/>
        <v>359.95000000000005</v>
      </c>
      <c r="M1949" s="34">
        <v>3</v>
      </c>
      <c r="N1949" s="18">
        <f t="shared" si="318"/>
        <v>0.43561643835616437</v>
      </c>
      <c r="O1949" s="23">
        <v>993.06753424657529</v>
      </c>
      <c r="P1949" s="18">
        <f t="shared" si="319"/>
        <v>0.93698630136986305</v>
      </c>
      <c r="Q1949" s="18">
        <f t="shared" si="321"/>
        <v>1142.9645205479453</v>
      </c>
      <c r="R1949" s="18">
        <f t="shared" si="315"/>
        <v>2136.0320547945207</v>
      </c>
      <c r="S1949" s="18">
        <f t="shared" si="316"/>
        <v>5062.9679452054788</v>
      </c>
    </row>
    <row r="1950" spans="1:19" ht="18.75" customHeight="1" x14ac:dyDescent="0.25">
      <c r="A1950" s="14">
        <f t="shared" si="320"/>
        <v>1944</v>
      </c>
      <c r="B1950" s="28" t="s">
        <v>1688</v>
      </c>
      <c r="C1950" s="15" t="s">
        <v>3</v>
      </c>
      <c r="D1950" s="21" t="s">
        <v>1200</v>
      </c>
      <c r="E1950" s="21"/>
      <c r="F1950" s="69" t="s">
        <v>4</v>
      </c>
      <c r="G1950" s="25">
        <v>44111</v>
      </c>
      <c r="H1950" s="27">
        <v>14350</v>
      </c>
      <c r="I1950" s="17">
        <v>0</v>
      </c>
      <c r="J1950" s="17">
        <v>0</v>
      </c>
      <c r="K1950" s="17">
        <f t="shared" si="317"/>
        <v>14350</v>
      </c>
      <c r="L1950" s="23">
        <f t="shared" si="322"/>
        <v>717.5</v>
      </c>
      <c r="M1950" s="34">
        <v>5</v>
      </c>
      <c r="N1950" s="18">
        <f t="shared" si="318"/>
        <v>0.48493150684931507</v>
      </c>
      <c r="O1950" s="23">
        <v>1322.1657534246576</v>
      </c>
      <c r="P1950" s="18">
        <f t="shared" si="319"/>
        <v>0.98630136986301364</v>
      </c>
      <c r="Q1950" s="18">
        <f t="shared" si="321"/>
        <v>1366.9849315068491</v>
      </c>
      <c r="R1950" s="18">
        <f t="shared" si="315"/>
        <v>2689.1506849315065</v>
      </c>
      <c r="S1950" s="18">
        <f t="shared" si="316"/>
        <v>11660.849315068494</v>
      </c>
    </row>
    <row r="1951" spans="1:19" ht="18.75" customHeight="1" x14ac:dyDescent="0.25">
      <c r="A1951" s="14">
        <f t="shared" si="320"/>
        <v>1945</v>
      </c>
      <c r="B1951" s="28" t="s">
        <v>1689</v>
      </c>
      <c r="C1951" s="15" t="s">
        <v>3</v>
      </c>
      <c r="D1951" s="21" t="s">
        <v>1200</v>
      </c>
      <c r="E1951" s="21"/>
      <c r="F1951" s="69" t="s">
        <v>4</v>
      </c>
      <c r="G1951" s="25">
        <v>44134</v>
      </c>
      <c r="H1951" s="27">
        <v>15000</v>
      </c>
      <c r="I1951" s="17">
        <v>0</v>
      </c>
      <c r="J1951" s="17">
        <v>0</v>
      </c>
      <c r="K1951" s="17">
        <f t="shared" si="317"/>
        <v>15000</v>
      </c>
      <c r="L1951" s="23">
        <f t="shared" si="322"/>
        <v>750</v>
      </c>
      <c r="M1951" s="34">
        <v>3</v>
      </c>
      <c r="N1951" s="18">
        <f t="shared" si="318"/>
        <v>0.42191780821917807</v>
      </c>
      <c r="O1951" s="23">
        <v>2004.1095890410957</v>
      </c>
      <c r="P1951" s="18">
        <f t="shared" si="319"/>
        <v>0.92328767123287669</v>
      </c>
      <c r="Q1951" s="18">
        <f t="shared" si="321"/>
        <v>2381.5068493150684</v>
      </c>
      <c r="R1951" s="18">
        <f t="shared" si="315"/>
        <v>4385.6164383561645</v>
      </c>
      <c r="S1951" s="18">
        <f t="shared" si="316"/>
        <v>10614.383561643835</v>
      </c>
    </row>
    <row r="1952" spans="1:19" ht="18.75" customHeight="1" x14ac:dyDescent="0.25">
      <c r="A1952" s="14">
        <f t="shared" si="320"/>
        <v>1946</v>
      </c>
      <c r="B1952" s="28" t="s">
        <v>1690</v>
      </c>
      <c r="C1952" s="15" t="s">
        <v>3</v>
      </c>
      <c r="D1952" s="21" t="s">
        <v>1200</v>
      </c>
      <c r="E1952" s="21"/>
      <c r="F1952" s="69" t="s">
        <v>4</v>
      </c>
      <c r="G1952" s="25">
        <v>44161</v>
      </c>
      <c r="H1952" s="27">
        <v>15000</v>
      </c>
      <c r="I1952" s="17">
        <v>0</v>
      </c>
      <c r="J1952" s="17">
        <v>0</v>
      </c>
      <c r="K1952" s="17">
        <f t="shared" si="317"/>
        <v>15000</v>
      </c>
      <c r="L1952" s="23">
        <f t="shared" si="322"/>
        <v>750</v>
      </c>
      <c r="M1952" s="34">
        <v>3</v>
      </c>
      <c r="N1952" s="18">
        <f t="shared" si="318"/>
        <v>0.34794520547945207</v>
      </c>
      <c r="O1952" s="23">
        <v>1652.7397260273974</v>
      </c>
      <c r="P1952" s="18">
        <f t="shared" si="319"/>
        <v>0.84931506849315064</v>
      </c>
      <c r="Q1952" s="18">
        <f t="shared" si="321"/>
        <v>2381.5068493150684</v>
      </c>
      <c r="R1952" s="18">
        <f t="shared" si="315"/>
        <v>4034.2465753424658</v>
      </c>
      <c r="S1952" s="18">
        <f t="shared" si="316"/>
        <v>10965.753424657534</v>
      </c>
    </row>
    <row r="1953" spans="1:19" ht="18.75" customHeight="1" x14ac:dyDescent="0.25">
      <c r="A1953" s="14">
        <f t="shared" si="320"/>
        <v>1947</v>
      </c>
      <c r="B1953" s="28" t="s">
        <v>1691</v>
      </c>
      <c r="C1953" s="15" t="s">
        <v>3</v>
      </c>
      <c r="D1953" s="21" t="s">
        <v>1200</v>
      </c>
      <c r="E1953" s="21"/>
      <c r="F1953" s="69" t="s">
        <v>4</v>
      </c>
      <c r="G1953" s="25">
        <v>44145</v>
      </c>
      <c r="H1953" s="27">
        <v>60624.85</v>
      </c>
      <c r="I1953" s="17">
        <v>0</v>
      </c>
      <c r="J1953" s="17">
        <v>0</v>
      </c>
      <c r="K1953" s="17">
        <f t="shared" si="317"/>
        <v>60624.85</v>
      </c>
      <c r="L1953" s="23">
        <f t="shared" si="322"/>
        <v>3031.2425000000003</v>
      </c>
      <c r="M1953" s="34">
        <v>3</v>
      </c>
      <c r="N1953" s="18">
        <f t="shared" si="318"/>
        <v>0.39178082191780822</v>
      </c>
      <c r="O1953" s="23">
        <v>7521.3569611872153</v>
      </c>
      <c r="P1953" s="18">
        <f t="shared" si="319"/>
        <v>0.89315068493150684</v>
      </c>
      <c r="Q1953" s="18">
        <f t="shared" si="321"/>
        <v>9625.2330342465757</v>
      </c>
      <c r="R1953" s="18">
        <f t="shared" si="315"/>
        <v>17146.589995433791</v>
      </c>
      <c r="S1953" s="18">
        <f t="shared" si="316"/>
        <v>43478.260004566211</v>
      </c>
    </row>
    <row r="1954" spans="1:19" ht="18.75" customHeight="1" x14ac:dyDescent="0.25">
      <c r="A1954" s="14">
        <f t="shared" si="320"/>
        <v>1948</v>
      </c>
      <c r="B1954" s="28" t="s">
        <v>1692</v>
      </c>
      <c r="C1954" s="15" t="s">
        <v>3</v>
      </c>
      <c r="D1954" s="21" t="s">
        <v>1200</v>
      </c>
      <c r="E1954" s="21"/>
      <c r="F1954" s="69" t="s">
        <v>4</v>
      </c>
      <c r="G1954" s="25">
        <v>44150</v>
      </c>
      <c r="H1954" s="27">
        <v>10700</v>
      </c>
      <c r="I1954" s="17">
        <v>0</v>
      </c>
      <c r="J1954" s="17">
        <v>0</v>
      </c>
      <c r="K1954" s="17">
        <f t="shared" si="317"/>
        <v>10700</v>
      </c>
      <c r="L1954" s="23">
        <f t="shared" si="322"/>
        <v>535</v>
      </c>
      <c r="M1954" s="34">
        <v>5</v>
      </c>
      <c r="N1954" s="18">
        <f t="shared" si="318"/>
        <v>0.37808219178082192</v>
      </c>
      <c r="O1954" s="23">
        <v>768.64109589041095</v>
      </c>
      <c r="P1954" s="18">
        <f t="shared" si="319"/>
        <v>0.8794520547945206</v>
      </c>
      <c r="Q1954" s="18">
        <f t="shared" si="321"/>
        <v>1019.2849315068494</v>
      </c>
      <c r="R1954" s="18">
        <f t="shared" si="315"/>
        <v>1787.9260273972604</v>
      </c>
      <c r="S1954" s="18">
        <f t="shared" si="316"/>
        <v>8912.0739726027386</v>
      </c>
    </row>
    <row r="1955" spans="1:19" ht="18.75" customHeight="1" x14ac:dyDescent="0.25">
      <c r="A1955" s="14">
        <f t="shared" si="320"/>
        <v>1949</v>
      </c>
      <c r="B1955" s="28" t="s">
        <v>1693</v>
      </c>
      <c r="C1955" s="15" t="s">
        <v>3</v>
      </c>
      <c r="D1955" s="21" t="s">
        <v>1200</v>
      </c>
      <c r="E1955" s="21"/>
      <c r="F1955" s="69" t="s">
        <v>4</v>
      </c>
      <c r="G1955" s="25">
        <v>44182</v>
      </c>
      <c r="H1955" s="27">
        <v>66949.149999999994</v>
      </c>
      <c r="I1955" s="17">
        <v>0</v>
      </c>
      <c r="J1955" s="17">
        <v>0</v>
      </c>
      <c r="K1955" s="17">
        <f t="shared" si="317"/>
        <v>66949.149999999994</v>
      </c>
      <c r="L1955" s="23">
        <f t="shared" si="322"/>
        <v>3347.4575</v>
      </c>
      <c r="M1955" s="34">
        <v>3</v>
      </c>
      <c r="N1955" s="18">
        <f t="shared" si="318"/>
        <v>0.29041095890410956</v>
      </c>
      <c r="O1955" s="23">
        <v>6156.8761689497705</v>
      </c>
      <c r="P1955" s="18">
        <f t="shared" si="319"/>
        <v>0.79178082191780819</v>
      </c>
      <c r="Q1955" s="18">
        <f t="shared" si="321"/>
        <v>10629.323952054794</v>
      </c>
      <c r="R1955" s="18">
        <f t="shared" si="315"/>
        <v>16786.200121004564</v>
      </c>
      <c r="S1955" s="18">
        <f t="shared" si="316"/>
        <v>50162.94987899543</v>
      </c>
    </row>
    <row r="1956" spans="1:19" ht="18.75" customHeight="1" x14ac:dyDescent="0.25">
      <c r="A1956" s="14">
        <f t="shared" si="320"/>
        <v>1950</v>
      </c>
      <c r="B1956" s="28" t="s">
        <v>1694</v>
      </c>
      <c r="C1956" s="15" t="s">
        <v>3</v>
      </c>
      <c r="D1956" s="21" t="s">
        <v>1200</v>
      </c>
      <c r="E1956" s="21"/>
      <c r="F1956" s="69" t="s">
        <v>4</v>
      </c>
      <c r="G1956" s="25">
        <v>44184</v>
      </c>
      <c r="H1956" s="27">
        <v>29234</v>
      </c>
      <c r="I1956" s="17">
        <v>0</v>
      </c>
      <c r="J1956" s="17">
        <v>0</v>
      </c>
      <c r="K1956" s="17">
        <f t="shared" si="317"/>
        <v>29234</v>
      </c>
      <c r="L1956" s="23">
        <f t="shared" si="322"/>
        <v>1461.7</v>
      </c>
      <c r="M1956" s="34">
        <v>5</v>
      </c>
      <c r="N1956" s="18">
        <f t="shared" si="318"/>
        <v>0.28493150684931506</v>
      </c>
      <c r="O1956" s="23">
        <v>1582.6406575342464</v>
      </c>
      <c r="P1956" s="18">
        <f t="shared" si="319"/>
        <v>0.78630136986301369</v>
      </c>
      <c r="Q1956" s="18">
        <f t="shared" si="321"/>
        <v>2784.8388493150687</v>
      </c>
      <c r="R1956" s="18">
        <f t="shared" si="315"/>
        <v>4367.4795068493149</v>
      </c>
      <c r="S1956" s="18">
        <f t="shared" si="316"/>
        <v>24866.520493150685</v>
      </c>
    </row>
    <row r="1957" spans="1:19" ht="18.75" customHeight="1" x14ac:dyDescent="0.25">
      <c r="A1957" s="14">
        <f t="shared" si="320"/>
        <v>1951</v>
      </c>
      <c r="B1957" s="28" t="s">
        <v>1695</v>
      </c>
      <c r="C1957" s="15" t="s">
        <v>3</v>
      </c>
      <c r="D1957" s="21" t="s">
        <v>1200</v>
      </c>
      <c r="E1957" s="21"/>
      <c r="F1957" s="69" t="s">
        <v>4</v>
      </c>
      <c r="G1957" s="25">
        <v>44180</v>
      </c>
      <c r="H1957" s="27">
        <v>4466</v>
      </c>
      <c r="I1957" s="17">
        <v>0</v>
      </c>
      <c r="J1957" s="17">
        <v>0</v>
      </c>
      <c r="K1957" s="17">
        <f t="shared" si="317"/>
        <v>4466</v>
      </c>
      <c r="L1957" s="23">
        <f t="shared" si="322"/>
        <v>223.3</v>
      </c>
      <c r="M1957" s="34">
        <v>5</v>
      </c>
      <c r="N1957" s="18">
        <f t="shared" si="318"/>
        <v>0.29589041095890412</v>
      </c>
      <c r="O1957" s="23">
        <v>251.07484931506846</v>
      </c>
      <c r="P1957" s="18">
        <f t="shared" si="319"/>
        <v>0.79726027397260268</v>
      </c>
      <c r="Q1957" s="18">
        <f t="shared" si="321"/>
        <v>425.43238356164375</v>
      </c>
      <c r="R1957" s="18">
        <f t="shared" si="315"/>
        <v>676.50723287671224</v>
      </c>
      <c r="S1957" s="18">
        <f t="shared" si="316"/>
        <v>3789.4927671232876</v>
      </c>
    </row>
    <row r="1958" spans="1:19" ht="18.75" customHeight="1" x14ac:dyDescent="0.25">
      <c r="A1958" s="14">
        <f t="shared" si="320"/>
        <v>1952</v>
      </c>
      <c r="B1958" s="28" t="s">
        <v>1696</v>
      </c>
      <c r="C1958" s="15" t="s">
        <v>3</v>
      </c>
      <c r="D1958" s="21" t="s">
        <v>1200</v>
      </c>
      <c r="E1958" s="21"/>
      <c r="F1958" s="70" t="s">
        <v>7</v>
      </c>
      <c r="G1958" s="25">
        <v>44180</v>
      </c>
      <c r="H1958" s="27">
        <v>215000</v>
      </c>
      <c r="I1958" s="17">
        <v>0</v>
      </c>
      <c r="J1958" s="17">
        <v>0</v>
      </c>
      <c r="K1958" s="17">
        <f t="shared" si="317"/>
        <v>215000</v>
      </c>
      <c r="L1958" s="23">
        <f t="shared" si="322"/>
        <v>10750</v>
      </c>
      <c r="M1958" s="34">
        <v>5</v>
      </c>
      <c r="N1958" s="18">
        <f t="shared" si="318"/>
        <v>0.29589041095890412</v>
      </c>
      <c r="O1958" s="23">
        <v>12087.123287671233</v>
      </c>
      <c r="P1958" s="18">
        <f t="shared" si="319"/>
        <v>0.79726027397260268</v>
      </c>
      <c r="Q1958" s="18">
        <f t="shared" si="321"/>
        <v>20480.958904109586</v>
      </c>
      <c r="R1958" s="18">
        <f t="shared" si="315"/>
        <v>32568.082191780821</v>
      </c>
      <c r="S1958" s="18">
        <f t="shared" si="316"/>
        <v>182431.91780821918</v>
      </c>
    </row>
    <row r="1959" spans="1:19" ht="18.75" customHeight="1" x14ac:dyDescent="0.25">
      <c r="A1959" s="14">
        <f t="shared" si="320"/>
        <v>1953</v>
      </c>
      <c r="B1959" s="28" t="s">
        <v>1697</v>
      </c>
      <c r="C1959" s="15" t="s">
        <v>3</v>
      </c>
      <c r="D1959" s="21" t="s">
        <v>1200</v>
      </c>
      <c r="E1959" s="21"/>
      <c r="F1959" s="69" t="s">
        <v>4</v>
      </c>
      <c r="G1959" s="25">
        <v>44223</v>
      </c>
      <c r="H1959" s="27">
        <v>101118.64</v>
      </c>
      <c r="I1959" s="17">
        <v>0</v>
      </c>
      <c r="J1959" s="17">
        <v>0</v>
      </c>
      <c r="K1959" s="17">
        <f t="shared" si="317"/>
        <v>101118.64</v>
      </c>
      <c r="L1959" s="23">
        <f t="shared" si="322"/>
        <v>5055.9320000000007</v>
      </c>
      <c r="M1959" s="34">
        <v>3</v>
      </c>
      <c r="N1959" s="18">
        <f t="shared" si="318"/>
        <v>0.17808219178082191</v>
      </c>
      <c r="O1959" s="23">
        <v>5702.3525296803646</v>
      </c>
      <c r="P1959" s="18">
        <f t="shared" si="319"/>
        <v>0.67945205479452053</v>
      </c>
      <c r="Q1959" s="18">
        <f t="shared" si="321"/>
        <v>16054.315583561644</v>
      </c>
      <c r="R1959" s="18">
        <f t="shared" si="315"/>
        <v>21756.668113242009</v>
      </c>
      <c r="S1959" s="18">
        <f t="shared" si="316"/>
        <v>79361.971886757994</v>
      </c>
    </row>
    <row r="1960" spans="1:19" ht="18.75" customHeight="1" x14ac:dyDescent="0.25">
      <c r="A1960" s="14">
        <f t="shared" si="320"/>
        <v>1954</v>
      </c>
      <c r="B1960" s="28" t="s">
        <v>1692</v>
      </c>
      <c r="C1960" s="15" t="s">
        <v>3</v>
      </c>
      <c r="D1960" s="21" t="s">
        <v>1200</v>
      </c>
      <c r="E1960" s="21"/>
      <c r="F1960" s="69" t="s">
        <v>4</v>
      </c>
      <c r="G1960" s="25">
        <v>44211</v>
      </c>
      <c r="H1960" s="27">
        <v>10700</v>
      </c>
      <c r="I1960" s="17">
        <v>0</v>
      </c>
      <c r="J1960" s="17">
        <v>0</v>
      </c>
      <c r="K1960" s="17">
        <f t="shared" si="317"/>
        <v>10700</v>
      </c>
      <c r="L1960" s="23">
        <f t="shared" si="322"/>
        <v>535</v>
      </c>
      <c r="M1960" s="34">
        <v>5</v>
      </c>
      <c r="N1960" s="18">
        <f t="shared" si="318"/>
        <v>0.21095890410958903</v>
      </c>
      <c r="O1960" s="23">
        <v>428.87945205479451</v>
      </c>
      <c r="P1960" s="18">
        <f t="shared" si="319"/>
        <v>0.71232876712328763</v>
      </c>
      <c r="Q1960" s="18">
        <f t="shared" si="321"/>
        <v>1019.2849315068491</v>
      </c>
      <c r="R1960" s="18">
        <f t="shared" si="315"/>
        <v>1448.1643835616437</v>
      </c>
      <c r="S1960" s="18">
        <f t="shared" si="316"/>
        <v>9251.8356164383567</v>
      </c>
    </row>
    <row r="1961" spans="1:19" ht="18.75" customHeight="1" x14ac:dyDescent="0.25">
      <c r="A1961" s="14">
        <f t="shared" si="320"/>
        <v>1955</v>
      </c>
      <c r="B1961" s="28" t="s">
        <v>1698</v>
      </c>
      <c r="C1961" s="15" t="s">
        <v>3</v>
      </c>
      <c r="D1961" s="21" t="s">
        <v>1200</v>
      </c>
      <c r="E1961" s="21"/>
      <c r="F1961" s="69" t="s">
        <v>4</v>
      </c>
      <c r="G1961" s="25">
        <v>44211</v>
      </c>
      <c r="H1961" s="27">
        <v>66000</v>
      </c>
      <c r="I1961" s="17">
        <v>0</v>
      </c>
      <c r="J1961" s="17">
        <v>0</v>
      </c>
      <c r="K1961" s="17">
        <f t="shared" si="317"/>
        <v>66000</v>
      </c>
      <c r="L1961" s="23">
        <f t="shared" si="322"/>
        <v>3300</v>
      </c>
      <c r="M1961" s="34">
        <v>5</v>
      </c>
      <c r="N1961" s="18">
        <f t="shared" si="318"/>
        <v>0.21095890410958903</v>
      </c>
      <c r="O1961" s="23">
        <v>2645.4246575342468</v>
      </c>
      <c r="P1961" s="18">
        <f t="shared" si="319"/>
        <v>0.71232876712328763</v>
      </c>
      <c r="Q1961" s="18">
        <f t="shared" si="321"/>
        <v>6287.17808219178</v>
      </c>
      <c r="R1961" s="18">
        <f t="shared" si="315"/>
        <v>8932.6027397260259</v>
      </c>
      <c r="S1961" s="18">
        <f t="shared" si="316"/>
        <v>57067.397260273974</v>
      </c>
    </row>
    <row r="1962" spans="1:19" ht="18.75" customHeight="1" x14ac:dyDescent="0.25">
      <c r="A1962" s="14">
        <f t="shared" si="320"/>
        <v>1956</v>
      </c>
      <c r="B1962" s="28" t="s">
        <v>1675</v>
      </c>
      <c r="C1962" s="15" t="s">
        <v>3</v>
      </c>
      <c r="D1962" s="21" t="s">
        <v>1200</v>
      </c>
      <c r="E1962" s="21"/>
      <c r="F1962" s="69" t="s">
        <v>4</v>
      </c>
      <c r="G1962" s="25">
        <v>44211</v>
      </c>
      <c r="H1962" s="27">
        <v>15500</v>
      </c>
      <c r="I1962" s="17">
        <v>0</v>
      </c>
      <c r="J1962" s="17">
        <v>0</v>
      </c>
      <c r="K1962" s="17">
        <f t="shared" si="317"/>
        <v>15500</v>
      </c>
      <c r="L1962" s="23">
        <f t="shared" si="322"/>
        <v>775</v>
      </c>
      <c r="M1962" s="34">
        <v>5</v>
      </c>
      <c r="N1962" s="18">
        <f t="shared" si="318"/>
        <v>0.21095890410958903</v>
      </c>
      <c r="O1962" s="23">
        <v>621.27397260273972</v>
      </c>
      <c r="P1962" s="18">
        <f t="shared" si="319"/>
        <v>0.71232876712328763</v>
      </c>
      <c r="Q1962" s="18">
        <f t="shared" si="321"/>
        <v>1476.5342465753422</v>
      </c>
      <c r="R1962" s="18">
        <f t="shared" si="315"/>
        <v>2097.8082191780818</v>
      </c>
      <c r="S1962" s="18">
        <f t="shared" si="316"/>
        <v>13402.191780821919</v>
      </c>
    </row>
    <row r="1963" spans="1:19" ht="18.75" customHeight="1" x14ac:dyDescent="0.25">
      <c r="A1963" s="14">
        <f t="shared" si="320"/>
        <v>1957</v>
      </c>
      <c r="B1963" s="28" t="s">
        <v>1699</v>
      </c>
      <c r="C1963" s="15" t="s">
        <v>3</v>
      </c>
      <c r="D1963" s="21" t="s">
        <v>1200</v>
      </c>
      <c r="E1963" s="21"/>
      <c r="F1963" s="69" t="s">
        <v>4</v>
      </c>
      <c r="G1963" s="25">
        <v>44211</v>
      </c>
      <c r="H1963" s="27">
        <v>4695.1499999999996</v>
      </c>
      <c r="I1963" s="17">
        <v>0</v>
      </c>
      <c r="J1963" s="17">
        <v>0</v>
      </c>
      <c r="K1963" s="17">
        <f t="shared" si="317"/>
        <v>4695.1499999999996</v>
      </c>
      <c r="L1963" s="23">
        <f t="shared" si="322"/>
        <v>234.75749999999999</v>
      </c>
      <c r="M1963" s="34">
        <v>5</v>
      </c>
      <c r="N1963" s="18">
        <f t="shared" si="318"/>
        <v>0.21095890410958903</v>
      </c>
      <c r="O1963" s="23">
        <v>188.19190273972603</v>
      </c>
      <c r="P1963" s="18">
        <f t="shared" si="319"/>
        <v>0.71232876712328763</v>
      </c>
      <c r="Q1963" s="18">
        <f t="shared" si="321"/>
        <v>447.26127534246569</v>
      </c>
      <c r="R1963" s="18">
        <f t="shared" si="315"/>
        <v>635.4531780821917</v>
      </c>
      <c r="S1963" s="18">
        <f t="shared" si="316"/>
        <v>4059.6968219178079</v>
      </c>
    </row>
    <row r="1964" spans="1:19" ht="18.75" customHeight="1" x14ac:dyDescent="0.25">
      <c r="A1964" s="14">
        <f t="shared" si="320"/>
        <v>1958</v>
      </c>
      <c r="B1964" s="28" t="s">
        <v>1700</v>
      </c>
      <c r="C1964" s="15" t="s">
        <v>3</v>
      </c>
      <c r="D1964" s="21" t="s">
        <v>1200</v>
      </c>
      <c r="E1964" s="21"/>
      <c r="F1964" s="70" t="s">
        <v>7</v>
      </c>
      <c r="G1964" s="25">
        <v>44211</v>
      </c>
      <c r="H1964" s="27">
        <v>215000</v>
      </c>
      <c r="I1964" s="17">
        <v>0</v>
      </c>
      <c r="J1964" s="17">
        <v>0</v>
      </c>
      <c r="K1964" s="17">
        <f t="shared" si="317"/>
        <v>215000</v>
      </c>
      <c r="L1964" s="23">
        <f t="shared" si="322"/>
        <v>10750</v>
      </c>
      <c r="M1964" s="34">
        <v>5</v>
      </c>
      <c r="N1964" s="18">
        <f t="shared" si="318"/>
        <v>0.21095890410958903</v>
      </c>
      <c r="O1964" s="23">
        <v>8617.6712328767135</v>
      </c>
      <c r="P1964" s="18">
        <f t="shared" si="319"/>
        <v>0.71232876712328763</v>
      </c>
      <c r="Q1964" s="18">
        <f t="shared" si="321"/>
        <v>20480.958904109586</v>
      </c>
      <c r="R1964" s="18">
        <f t="shared" si="315"/>
        <v>29098.630136986299</v>
      </c>
      <c r="S1964" s="18">
        <f t="shared" si="316"/>
        <v>185901.36986301371</v>
      </c>
    </row>
    <row r="1965" spans="1:19" ht="18.75" customHeight="1" x14ac:dyDescent="0.25">
      <c r="A1965" s="14">
        <f t="shared" si="320"/>
        <v>1959</v>
      </c>
      <c r="B1965" s="28" t="s">
        <v>1701</v>
      </c>
      <c r="C1965" s="15" t="s">
        <v>3</v>
      </c>
      <c r="D1965" s="21" t="s">
        <v>1200</v>
      </c>
      <c r="E1965" s="21"/>
      <c r="F1965" s="69" t="s">
        <v>4</v>
      </c>
      <c r="G1965" s="25">
        <v>44211</v>
      </c>
      <c r="H1965" s="27">
        <v>2507.52</v>
      </c>
      <c r="I1965" s="17">
        <v>0</v>
      </c>
      <c r="J1965" s="17">
        <v>0</v>
      </c>
      <c r="K1965" s="17">
        <f t="shared" si="317"/>
        <v>2507.52</v>
      </c>
      <c r="L1965" s="23">
        <f t="shared" si="322"/>
        <v>125.376</v>
      </c>
      <c r="M1965" s="34">
        <v>5</v>
      </c>
      <c r="N1965" s="18">
        <f t="shared" si="318"/>
        <v>0.21095890410958903</v>
      </c>
      <c r="O1965" s="23">
        <v>100.50689753424658</v>
      </c>
      <c r="P1965" s="18">
        <f t="shared" si="319"/>
        <v>0.71232876712328763</v>
      </c>
      <c r="Q1965" s="18">
        <f t="shared" si="321"/>
        <v>238.86704219178077</v>
      </c>
      <c r="R1965" s="18">
        <f t="shared" si="315"/>
        <v>339.37393972602734</v>
      </c>
      <c r="S1965" s="18">
        <f t="shared" si="316"/>
        <v>2168.1460602739726</v>
      </c>
    </row>
    <row r="1966" spans="1:19" ht="18.75" customHeight="1" x14ac:dyDescent="0.25">
      <c r="A1966" s="14">
        <f t="shared" si="320"/>
        <v>1960</v>
      </c>
      <c r="B1966" s="28" t="s">
        <v>1702</v>
      </c>
      <c r="C1966" s="15" t="s">
        <v>3</v>
      </c>
      <c r="D1966" s="21" t="s">
        <v>1200</v>
      </c>
      <c r="E1966" s="21"/>
      <c r="F1966" s="69" t="s">
        <v>4</v>
      </c>
      <c r="G1966" s="25">
        <v>44242</v>
      </c>
      <c r="H1966" s="27">
        <v>5000</v>
      </c>
      <c r="I1966" s="17">
        <v>0</v>
      </c>
      <c r="J1966" s="17">
        <v>0</v>
      </c>
      <c r="K1966" s="17">
        <f t="shared" si="317"/>
        <v>5000</v>
      </c>
      <c r="L1966" s="23">
        <f t="shared" si="322"/>
        <v>250</v>
      </c>
      <c r="M1966" s="34">
        <v>3</v>
      </c>
      <c r="N1966" s="18">
        <f t="shared" si="318"/>
        <v>0.12602739726027398</v>
      </c>
      <c r="O1966" s="23">
        <v>199.54337899543381</v>
      </c>
      <c r="P1966" s="18">
        <f t="shared" si="319"/>
        <v>0.62739726027397258</v>
      </c>
      <c r="Q1966" s="18">
        <f t="shared" si="321"/>
        <v>793.83561643835606</v>
      </c>
      <c r="R1966" s="18">
        <f t="shared" si="315"/>
        <v>993.3789954337899</v>
      </c>
      <c r="S1966" s="18">
        <f t="shared" si="316"/>
        <v>4006.6210045662101</v>
      </c>
    </row>
    <row r="1967" spans="1:19" ht="18.75" customHeight="1" x14ac:dyDescent="0.25">
      <c r="A1967" s="14">
        <f t="shared" si="320"/>
        <v>1961</v>
      </c>
      <c r="B1967" s="28" t="s">
        <v>1703</v>
      </c>
      <c r="C1967" s="15" t="s">
        <v>3</v>
      </c>
      <c r="D1967" s="21" t="s">
        <v>1200</v>
      </c>
      <c r="E1967" s="21"/>
      <c r="F1967" s="70" t="s">
        <v>7</v>
      </c>
      <c r="G1967" s="25">
        <v>44242</v>
      </c>
      <c r="H1967" s="27">
        <v>7500</v>
      </c>
      <c r="I1967" s="17">
        <v>0</v>
      </c>
      <c r="J1967" s="17">
        <v>0</v>
      </c>
      <c r="K1967" s="17">
        <f t="shared" si="317"/>
        <v>7500</v>
      </c>
      <c r="L1967" s="23">
        <f t="shared" si="322"/>
        <v>375</v>
      </c>
      <c r="M1967" s="34">
        <v>5</v>
      </c>
      <c r="N1967" s="18">
        <f t="shared" si="318"/>
        <v>0.12602739726027398</v>
      </c>
      <c r="O1967" s="23">
        <v>179.58904109589042</v>
      </c>
      <c r="P1967" s="18">
        <f t="shared" si="319"/>
        <v>0.62739726027397258</v>
      </c>
      <c r="Q1967" s="18">
        <f t="shared" si="321"/>
        <v>714.45205479452045</v>
      </c>
      <c r="R1967" s="18">
        <f t="shared" si="315"/>
        <v>894.04109589041082</v>
      </c>
      <c r="S1967" s="18">
        <f t="shared" si="316"/>
        <v>6605.9589041095896</v>
      </c>
    </row>
    <row r="1968" spans="1:19" ht="18.75" customHeight="1" x14ac:dyDescent="0.25">
      <c r="A1968" s="14">
        <f t="shared" si="320"/>
        <v>1962</v>
      </c>
      <c r="B1968" s="28" t="s">
        <v>1704</v>
      </c>
      <c r="C1968" s="15" t="s">
        <v>3</v>
      </c>
      <c r="D1968" s="21" t="s">
        <v>1200</v>
      </c>
      <c r="E1968" s="21"/>
      <c r="F1968" s="69" t="s">
        <v>4</v>
      </c>
      <c r="G1968" s="25">
        <v>44270</v>
      </c>
      <c r="H1968" s="27">
        <v>5000</v>
      </c>
      <c r="I1968" s="17">
        <v>0</v>
      </c>
      <c r="J1968" s="17">
        <v>0</v>
      </c>
      <c r="K1968" s="17">
        <f t="shared" si="317"/>
        <v>5000</v>
      </c>
      <c r="L1968" s="23">
        <f t="shared" si="322"/>
        <v>250</v>
      </c>
      <c r="M1968" s="34">
        <v>3</v>
      </c>
      <c r="N1968" s="18">
        <f t="shared" si="318"/>
        <v>4.9315068493150684E-2</v>
      </c>
      <c r="O1968" s="23">
        <v>78.082191780821915</v>
      </c>
      <c r="P1968" s="18">
        <f t="shared" si="319"/>
        <v>0.55068493150684927</v>
      </c>
      <c r="Q1968" s="18">
        <f t="shared" si="321"/>
        <v>793.83561643835606</v>
      </c>
      <c r="R1968" s="18">
        <f t="shared" si="315"/>
        <v>871.91780821917791</v>
      </c>
      <c r="S1968" s="18">
        <f t="shared" si="316"/>
        <v>4128.0821917808225</v>
      </c>
    </row>
    <row r="1969" spans="1:19" ht="18.75" customHeight="1" x14ac:dyDescent="0.25">
      <c r="A1969" s="14">
        <f t="shared" si="320"/>
        <v>1963</v>
      </c>
      <c r="B1969" s="28" t="s">
        <v>1705</v>
      </c>
      <c r="C1969" s="15" t="s">
        <v>3</v>
      </c>
      <c r="D1969" s="21" t="s">
        <v>1200</v>
      </c>
      <c r="E1969" s="21"/>
      <c r="F1969" s="69" t="s">
        <v>4</v>
      </c>
      <c r="G1969" s="25">
        <v>44270</v>
      </c>
      <c r="H1969" s="27">
        <v>10000</v>
      </c>
      <c r="I1969" s="17">
        <v>0</v>
      </c>
      <c r="J1969" s="17">
        <v>0</v>
      </c>
      <c r="K1969" s="17">
        <f t="shared" si="317"/>
        <v>10000</v>
      </c>
      <c r="L1969" s="23">
        <f t="shared" si="322"/>
        <v>500</v>
      </c>
      <c r="M1969" s="34">
        <v>3</v>
      </c>
      <c r="N1969" s="18">
        <f t="shared" si="318"/>
        <v>4.9315068493150684E-2</v>
      </c>
      <c r="O1969" s="23">
        <v>156.16438356164383</v>
      </c>
      <c r="P1969" s="18">
        <f t="shared" si="319"/>
        <v>0.55068493150684927</v>
      </c>
      <c r="Q1969" s="18">
        <f t="shared" si="321"/>
        <v>1587.6712328767121</v>
      </c>
      <c r="R1969" s="18">
        <f t="shared" si="315"/>
        <v>1743.8356164383558</v>
      </c>
      <c r="S1969" s="18">
        <f t="shared" si="316"/>
        <v>8256.1643835616451</v>
      </c>
    </row>
    <row r="1970" spans="1:19" ht="18.75" customHeight="1" x14ac:dyDescent="0.25">
      <c r="A1970" s="14">
        <f t="shared" si="320"/>
        <v>1964</v>
      </c>
      <c r="B1970" s="28" t="s">
        <v>1706</v>
      </c>
      <c r="C1970" s="15" t="s">
        <v>3</v>
      </c>
      <c r="D1970" s="21" t="s">
        <v>1200</v>
      </c>
      <c r="E1970" s="21"/>
      <c r="F1970" s="69" t="s">
        <v>4</v>
      </c>
      <c r="G1970" s="25">
        <v>44270</v>
      </c>
      <c r="H1970" s="27">
        <v>10700</v>
      </c>
      <c r="I1970" s="17">
        <v>0</v>
      </c>
      <c r="J1970" s="17">
        <v>0</v>
      </c>
      <c r="K1970" s="17">
        <f t="shared" si="317"/>
        <v>10700</v>
      </c>
      <c r="L1970" s="23">
        <f t="shared" si="322"/>
        <v>535</v>
      </c>
      <c r="M1970" s="34">
        <v>5</v>
      </c>
      <c r="N1970" s="18">
        <f t="shared" si="318"/>
        <v>4.9315068493150684E-2</v>
      </c>
      <c r="O1970" s="23">
        <v>100.25753424657535</v>
      </c>
      <c r="P1970" s="18">
        <f t="shared" si="319"/>
        <v>0.55068493150684927</v>
      </c>
      <c r="Q1970" s="18">
        <f t="shared" si="321"/>
        <v>1019.2849315068491</v>
      </c>
      <c r="R1970" s="18">
        <f t="shared" si="315"/>
        <v>1119.5424657534245</v>
      </c>
      <c r="S1970" s="18">
        <f t="shared" si="316"/>
        <v>9580.457534246576</v>
      </c>
    </row>
    <row r="1971" spans="1:19" ht="18.75" customHeight="1" x14ac:dyDescent="0.25">
      <c r="A1971" s="14">
        <f t="shared" si="320"/>
        <v>1965</v>
      </c>
      <c r="B1971" s="31" t="s">
        <v>1707</v>
      </c>
      <c r="C1971" s="15" t="s">
        <v>3</v>
      </c>
      <c r="D1971" s="31" t="s">
        <v>1708</v>
      </c>
      <c r="E1971" s="31"/>
      <c r="F1971" s="73" t="s">
        <v>4</v>
      </c>
      <c r="G1971" s="32">
        <v>42109</v>
      </c>
      <c r="H1971" s="29">
        <v>5021.6765875342462</v>
      </c>
      <c r="I1971" s="17">
        <v>0</v>
      </c>
      <c r="J1971" s="17">
        <v>0</v>
      </c>
      <c r="K1971" s="17">
        <f t="shared" si="317"/>
        <v>5021.6765875342462</v>
      </c>
      <c r="L1971" s="23">
        <f t="shared" si="322"/>
        <v>251.08382937671232</v>
      </c>
      <c r="M1971" s="33">
        <v>10</v>
      </c>
      <c r="N1971" s="18">
        <f t="shared" si="318"/>
        <v>5.9698630136986299</v>
      </c>
      <c r="O1971" s="23">
        <v>2577.2556535479453</v>
      </c>
      <c r="P1971" s="18">
        <f t="shared" si="319"/>
        <v>6.4712328767123291</v>
      </c>
      <c r="Q1971" s="18">
        <f t="shared" si="321"/>
        <v>239.1831437651588</v>
      </c>
      <c r="R1971" s="18">
        <f t="shared" si="315"/>
        <v>2816.4387973131043</v>
      </c>
      <c r="S1971" s="18">
        <f t="shared" si="316"/>
        <v>2205.2377902211419</v>
      </c>
    </row>
    <row r="1972" spans="1:19" ht="18.75" customHeight="1" x14ac:dyDescent="0.25">
      <c r="A1972" s="14">
        <f t="shared" si="320"/>
        <v>1966</v>
      </c>
      <c r="B1972" s="31" t="s">
        <v>1707</v>
      </c>
      <c r="C1972" s="15" t="s">
        <v>3</v>
      </c>
      <c r="D1972" s="31" t="s">
        <v>1708</v>
      </c>
      <c r="E1972" s="31"/>
      <c r="F1972" s="73" t="s">
        <v>4</v>
      </c>
      <c r="G1972" s="32">
        <v>42139</v>
      </c>
      <c r="H1972" s="29">
        <v>3609.4845635616434</v>
      </c>
      <c r="I1972" s="17">
        <v>0</v>
      </c>
      <c r="J1972" s="17">
        <v>0</v>
      </c>
      <c r="K1972" s="17">
        <f t="shared" si="317"/>
        <v>3609.4845635616434</v>
      </c>
      <c r="L1972" s="23">
        <f t="shared" si="322"/>
        <v>180.47422817808217</v>
      </c>
      <c r="M1972" s="33">
        <v>10</v>
      </c>
      <c r="N1972" s="18">
        <f t="shared" si="318"/>
        <v>5.8876712328767127</v>
      </c>
      <c r="O1972" s="23">
        <v>1839.7666388219179</v>
      </c>
      <c r="P1972" s="18">
        <f t="shared" si="319"/>
        <v>6.3890410958904109</v>
      </c>
      <c r="Q1972" s="18">
        <f t="shared" si="321"/>
        <v>171.92024421238116</v>
      </c>
      <c r="R1972" s="18">
        <f t="shared" si="315"/>
        <v>2011.6868830342992</v>
      </c>
      <c r="S1972" s="18">
        <f t="shared" si="316"/>
        <v>1597.7976805273443</v>
      </c>
    </row>
    <row r="1973" spans="1:19" ht="18.75" customHeight="1" x14ac:dyDescent="0.25">
      <c r="A1973" s="14">
        <f t="shared" si="320"/>
        <v>1967</v>
      </c>
      <c r="B1973" s="31" t="s">
        <v>1709</v>
      </c>
      <c r="C1973" s="15" t="s">
        <v>3</v>
      </c>
      <c r="D1973" s="31" t="s">
        <v>1708</v>
      </c>
      <c r="E1973" s="31"/>
      <c r="F1973" s="73" t="s">
        <v>4</v>
      </c>
      <c r="G1973" s="32">
        <v>42139</v>
      </c>
      <c r="H1973" s="29">
        <v>622.83342465753424</v>
      </c>
      <c r="I1973" s="17">
        <v>0</v>
      </c>
      <c r="J1973" s="17">
        <v>0</v>
      </c>
      <c r="K1973" s="17">
        <f t="shared" si="317"/>
        <v>622.83342465753424</v>
      </c>
      <c r="L1973" s="23">
        <f t="shared" si="322"/>
        <v>31.141671232876714</v>
      </c>
      <c r="M1973" s="33">
        <v>10</v>
      </c>
      <c r="N1973" s="18">
        <f t="shared" si="318"/>
        <v>5.8876712328767127</v>
      </c>
      <c r="O1973" s="23">
        <v>317.46032876712331</v>
      </c>
      <c r="P1973" s="18">
        <f t="shared" si="319"/>
        <v>6.3890410958904109</v>
      </c>
      <c r="Q1973" s="18">
        <f t="shared" si="321"/>
        <v>29.66564133608555</v>
      </c>
      <c r="R1973" s="18">
        <f t="shared" si="315"/>
        <v>347.12597010320889</v>
      </c>
      <c r="S1973" s="18">
        <f t="shared" si="316"/>
        <v>275.70745455432535</v>
      </c>
    </row>
    <row r="1974" spans="1:19" ht="18.75" customHeight="1" x14ac:dyDescent="0.25">
      <c r="A1974" s="14">
        <f t="shared" si="320"/>
        <v>1968</v>
      </c>
      <c r="B1974" s="31" t="s">
        <v>1322</v>
      </c>
      <c r="C1974" s="15" t="s">
        <v>3</v>
      </c>
      <c r="D1974" s="31" t="s">
        <v>1708</v>
      </c>
      <c r="E1974" s="31"/>
      <c r="F1974" s="73" t="s">
        <v>4</v>
      </c>
      <c r="G1974" s="32">
        <v>42139</v>
      </c>
      <c r="H1974" s="29">
        <v>7819.5123287671231</v>
      </c>
      <c r="I1974" s="17">
        <v>0</v>
      </c>
      <c r="J1974" s="17">
        <v>0</v>
      </c>
      <c r="K1974" s="17">
        <f t="shared" si="317"/>
        <v>7819.5123287671231</v>
      </c>
      <c r="L1974" s="23">
        <f t="shared" si="322"/>
        <v>390.97561643835616</v>
      </c>
      <c r="M1974" s="33">
        <v>5</v>
      </c>
      <c r="N1974" s="18">
        <f t="shared" si="318"/>
        <v>5.8876712328767127</v>
      </c>
      <c r="O1974" s="23">
        <v>8618.7956164383559</v>
      </c>
      <c r="P1974" s="18">
        <f t="shared" si="319"/>
        <v>6.3890410958904109</v>
      </c>
      <c r="Q1974" s="18">
        <v>0</v>
      </c>
      <c r="R1974" s="18">
        <f t="shared" si="315"/>
        <v>8618.7956164383559</v>
      </c>
      <c r="S1974" s="18">
        <f>L1974</f>
        <v>390.97561643835616</v>
      </c>
    </row>
    <row r="1975" spans="1:19" ht="18.75" customHeight="1" x14ac:dyDescent="0.25">
      <c r="A1975" s="14">
        <f t="shared" si="320"/>
        <v>1969</v>
      </c>
      <c r="B1975" s="31" t="s">
        <v>1710</v>
      </c>
      <c r="C1975" s="15" t="s">
        <v>3</v>
      </c>
      <c r="D1975" s="31" t="s">
        <v>1708</v>
      </c>
      <c r="E1975" s="31"/>
      <c r="F1975" s="73" t="s">
        <v>4</v>
      </c>
      <c r="G1975" s="32">
        <v>42139</v>
      </c>
      <c r="H1975" s="29">
        <v>2956.6269041095893</v>
      </c>
      <c r="I1975" s="17">
        <v>0</v>
      </c>
      <c r="J1975" s="17">
        <v>0</v>
      </c>
      <c r="K1975" s="17">
        <f t="shared" si="317"/>
        <v>2956.6269041095893</v>
      </c>
      <c r="L1975" s="23">
        <f t="shared" si="322"/>
        <v>147.83134520547947</v>
      </c>
      <c r="M1975" s="33">
        <v>10</v>
      </c>
      <c r="N1975" s="18">
        <f t="shared" si="318"/>
        <v>5.8876712328767127</v>
      </c>
      <c r="O1975" s="23">
        <v>1507.0028547945208</v>
      </c>
      <c r="P1975" s="18">
        <f t="shared" si="319"/>
        <v>6.3890410958904109</v>
      </c>
      <c r="Q1975" s="18">
        <f t="shared" si="321"/>
        <v>140.82454446012375</v>
      </c>
      <c r="R1975" s="18">
        <f t="shared" si="315"/>
        <v>1647.8273992546444</v>
      </c>
      <c r="S1975" s="18">
        <f t="shared" si="316"/>
        <v>1308.7995048549449</v>
      </c>
    </row>
    <row r="1976" spans="1:19" ht="18.75" customHeight="1" x14ac:dyDescent="0.25">
      <c r="A1976" s="14">
        <f t="shared" si="320"/>
        <v>1970</v>
      </c>
      <c r="B1976" s="31" t="s">
        <v>1711</v>
      </c>
      <c r="C1976" s="15" t="s">
        <v>3</v>
      </c>
      <c r="D1976" s="31" t="s">
        <v>1708</v>
      </c>
      <c r="E1976" s="31"/>
      <c r="F1976" s="73" t="s">
        <v>4</v>
      </c>
      <c r="G1976" s="32">
        <v>42139</v>
      </c>
      <c r="H1976" s="29">
        <v>552.76466438356169</v>
      </c>
      <c r="I1976" s="17">
        <v>0</v>
      </c>
      <c r="J1976" s="17">
        <v>0</v>
      </c>
      <c r="K1976" s="17">
        <f t="shared" si="317"/>
        <v>552.76466438356169</v>
      </c>
      <c r="L1976" s="23">
        <f t="shared" si="322"/>
        <v>27.638233219178087</v>
      </c>
      <c r="M1976" s="33">
        <v>10</v>
      </c>
      <c r="N1976" s="18">
        <f t="shared" si="318"/>
        <v>5.8876712328767127</v>
      </c>
      <c r="O1976" s="23">
        <v>281.746041780822</v>
      </c>
      <c r="P1976" s="18">
        <f t="shared" si="319"/>
        <v>6.3890410958904109</v>
      </c>
      <c r="Q1976" s="18">
        <f t="shared" si="321"/>
        <v>26.328256685775923</v>
      </c>
      <c r="R1976" s="18">
        <f t="shared" si="315"/>
        <v>308.0742984665979</v>
      </c>
      <c r="S1976" s="18">
        <f t="shared" si="316"/>
        <v>244.6903659169638</v>
      </c>
    </row>
    <row r="1977" spans="1:19" ht="18.75" customHeight="1" x14ac:dyDescent="0.25">
      <c r="A1977" s="14">
        <f t="shared" si="320"/>
        <v>1971</v>
      </c>
      <c r="B1977" s="31" t="s">
        <v>1707</v>
      </c>
      <c r="C1977" s="15" t="s">
        <v>3</v>
      </c>
      <c r="D1977" s="31" t="s">
        <v>1708</v>
      </c>
      <c r="E1977" s="31"/>
      <c r="F1977" s="73" t="s">
        <v>4</v>
      </c>
      <c r="G1977" s="32">
        <v>42170</v>
      </c>
      <c r="H1977" s="29">
        <v>2626.9135200000001</v>
      </c>
      <c r="I1977" s="17">
        <v>0</v>
      </c>
      <c r="J1977" s="17">
        <v>0</v>
      </c>
      <c r="K1977" s="17">
        <f t="shared" si="317"/>
        <v>2626.9135200000001</v>
      </c>
      <c r="L1977" s="23">
        <f t="shared" si="322"/>
        <v>131.345676</v>
      </c>
      <c r="M1977" s="33">
        <v>10</v>
      </c>
      <c r="N1977" s="18">
        <f t="shared" si="318"/>
        <v>5.8027397260273972</v>
      </c>
      <c r="O1977" s="23">
        <v>1329.5488056986303</v>
      </c>
      <c r="P1977" s="18">
        <f t="shared" si="319"/>
        <v>6.3041095890410963</v>
      </c>
      <c r="Q1977" s="18">
        <f t="shared" si="321"/>
        <v>125.12025080876725</v>
      </c>
      <c r="R1977" s="18">
        <f t="shared" si="315"/>
        <v>1454.6690565073975</v>
      </c>
      <c r="S1977" s="18">
        <f t="shared" si="316"/>
        <v>1172.2444634926026</v>
      </c>
    </row>
    <row r="1978" spans="1:19" ht="18.75" customHeight="1" x14ac:dyDescent="0.25">
      <c r="A1978" s="14">
        <f t="shared" si="320"/>
        <v>1972</v>
      </c>
      <c r="B1978" s="31" t="s">
        <v>1287</v>
      </c>
      <c r="C1978" s="15" t="s">
        <v>3</v>
      </c>
      <c r="D1978" s="31" t="s">
        <v>1708</v>
      </c>
      <c r="E1978" s="31"/>
      <c r="F1978" s="73" t="s">
        <v>4</v>
      </c>
      <c r="G1978" s="32">
        <v>42200</v>
      </c>
      <c r="H1978" s="29">
        <v>2046.493119452055</v>
      </c>
      <c r="I1978" s="17">
        <v>0</v>
      </c>
      <c r="J1978" s="17">
        <v>0</v>
      </c>
      <c r="K1978" s="17">
        <f t="shared" si="317"/>
        <v>2046.493119452055</v>
      </c>
      <c r="L1978" s="23">
        <f t="shared" si="322"/>
        <v>102.32465597260276</v>
      </c>
      <c r="M1978" s="33">
        <v>10</v>
      </c>
      <c r="N1978" s="18">
        <f t="shared" si="318"/>
        <v>5.720547945205479</v>
      </c>
      <c r="O1978" s="23">
        <v>1028.8184412602739</v>
      </c>
      <c r="P1978" s="18">
        <f t="shared" si="319"/>
        <v>6.2219178082191782</v>
      </c>
      <c r="Q1978" s="18">
        <f t="shared" si="321"/>
        <v>97.474747621024676</v>
      </c>
      <c r="R1978" s="18">
        <f t="shared" si="315"/>
        <v>1126.2931888812986</v>
      </c>
      <c r="S1978" s="18">
        <f t="shared" si="316"/>
        <v>920.19993057075635</v>
      </c>
    </row>
    <row r="1979" spans="1:19" ht="18.75" customHeight="1" x14ac:dyDescent="0.25">
      <c r="A1979" s="14">
        <f t="shared" si="320"/>
        <v>1973</v>
      </c>
      <c r="B1979" s="31" t="s">
        <v>1293</v>
      </c>
      <c r="C1979" s="15" t="s">
        <v>3</v>
      </c>
      <c r="D1979" s="31" t="s">
        <v>1708</v>
      </c>
      <c r="E1979" s="31"/>
      <c r="F1979" s="73" t="s">
        <v>4</v>
      </c>
      <c r="G1979" s="32">
        <v>42231</v>
      </c>
      <c r="H1979" s="29">
        <v>3912.8383361643837</v>
      </c>
      <c r="I1979" s="17">
        <v>0</v>
      </c>
      <c r="J1979" s="17">
        <v>0</v>
      </c>
      <c r="K1979" s="17">
        <f t="shared" si="317"/>
        <v>3912.8383361643837</v>
      </c>
      <c r="L1979" s="23">
        <f t="shared" si="322"/>
        <v>195.64191680821921</v>
      </c>
      <c r="M1979" s="33">
        <v>10</v>
      </c>
      <c r="N1979" s="18">
        <f t="shared" si="318"/>
        <v>5.6356164383561644</v>
      </c>
      <c r="O1979" s="23">
        <v>1953.5448906027398</v>
      </c>
      <c r="P1979" s="18">
        <f t="shared" si="319"/>
        <v>6.1369863013698627</v>
      </c>
      <c r="Q1979" s="18">
        <f t="shared" si="321"/>
        <v>186.36902595676099</v>
      </c>
      <c r="R1979" s="18">
        <f t="shared" si="315"/>
        <v>2139.9139165595006</v>
      </c>
      <c r="S1979" s="18">
        <f t="shared" si="316"/>
        <v>1772.924419604883</v>
      </c>
    </row>
    <row r="1980" spans="1:19" ht="18.75" customHeight="1" x14ac:dyDescent="0.25">
      <c r="A1980" s="14">
        <f t="shared" si="320"/>
        <v>1974</v>
      </c>
      <c r="B1980" s="31" t="s">
        <v>1287</v>
      </c>
      <c r="C1980" s="15" t="s">
        <v>3</v>
      </c>
      <c r="D1980" s="31" t="s">
        <v>1708</v>
      </c>
      <c r="E1980" s="31"/>
      <c r="F1980" s="73" t="s">
        <v>4</v>
      </c>
      <c r="G1980" s="32">
        <v>42231</v>
      </c>
      <c r="H1980" s="29">
        <v>849.74253561643843</v>
      </c>
      <c r="I1980" s="17">
        <v>0</v>
      </c>
      <c r="J1980" s="17">
        <v>0</v>
      </c>
      <c r="K1980" s="17">
        <f t="shared" si="317"/>
        <v>849.74253561643843</v>
      </c>
      <c r="L1980" s="23">
        <f t="shared" si="322"/>
        <v>42.487126780821924</v>
      </c>
      <c r="M1980" s="33">
        <v>10</v>
      </c>
      <c r="N1980" s="18">
        <f t="shared" si="318"/>
        <v>5.6356164383561644</v>
      </c>
      <c r="O1980" s="23">
        <v>424.24706726027398</v>
      </c>
      <c r="P1980" s="18">
        <f t="shared" si="319"/>
        <v>6.1369863013698627</v>
      </c>
      <c r="Q1980" s="18">
        <f t="shared" si="321"/>
        <v>40.473353374498004</v>
      </c>
      <c r="R1980" s="18">
        <f t="shared" si="315"/>
        <v>464.72042063477198</v>
      </c>
      <c r="S1980" s="18">
        <f t="shared" si="316"/>
        <v>385.02211498166645</v>
      </c>
    </row>
    <row r="1981" spans="1:19" ht="18.75" customHeight="1" x14ac:dyDescent="0.25">
      <c r="A1981" s="14">
        <f t="shared" si="320"/>
        <v>1975</v>
      </c>
      <c r="B1981" s="31" t="s">
        <v>1712</v>
      </c>
      <c r="C1981" s="15" t="s">
        <v>3</v>
      </c>
      <c r="D1981" s="31" t="s">
        <v>1708</v>
      </c>
      <c r="E1981" s="31"/>
      <c r="F1981" s="73" t="s">
        <v>4</v>
      </c>
      <c r="G1981" s="32">
        <v>42262</v>
      </c>
      <c r="H1981" s="29">
        <v>16982.438356164384</v>
      </c>
      <c r="I1981" s="17">
        <v>0</v>
      </c>
      <c r="J1981" s="17">
        <v>0</v>
      </c>
      <c r="K1981" s="17">
        <f t="shared" si="317"/>
        <v>16982.438356164384</v>
      </c>
      <c r="L1981" s="23">
        <f t="shared" si="322"/>
        <v>849.12191780821922</v>
      </c>
      <c r="M1981" s="33">
        <v>10</v>
      </c>
      <c r="N1981" s="18">
        <f t="shared" si="318"/>
        <v>5.5506849315068489</v>
      </c>
      <c r="O1981" s="23">
        <v>8421.0316438356167</v>
      </c>
      <c r="P1981" s="18">
        <f t="shared" si="319"/>
        <v>6.0520547945205481</v>
      </c>
      <c r="Q1981" s="18">
        <f t="shared" si="321"/>
        <v>808.875865265529</v>
      </c>
      <c r="R1981" s="18">
        <f t="shared" si="315"/>
        <v>9229.9075091011455</v>
      </c>
      <c r="S1981" s="18">
        <f t="shared" si="316"/>
        <v>7752.530847063239</v>
      </c>
    </row>
    <row r="1982" spans="1:19" ht="18.75" customHeight="1" x14ac:dyDescent="0.25">
      <c r="A1982" s="14">
        <f t="shared" si="320"/>
        <v>1976</v>
      </c>
      <c r="B1982" s="31" t="s">
        <v>1522</v>
      </c>
      <c r="C1982" s="15" t="s">
        <v>3</v>
      </c>
      <c r="D1982" s="31" t="s">
        <v>1708</v>
      </c>
      <c r="E1982" s="31"/>
      <c r="F1982" s="73" t="s">
        <v>4</v>
      </c>
      <c r="G1982" s="32">
        <v>42292</v>
      </c>
      <c r="H1982" s="29">
        <v>1793.0889999999999</v>
      </c>
      <c r="I1982" s="17">
        <v>0</v>
      </c>
      <c r="J1982" s="17">
        <v>0</v>
      </c>
      <c r="K1982" s="17">
        <f t="shared" si="317"/>
        <v>1793.0889999999999</v>
      </c>
      <c r="L1982" s="23">
        <f t="shared" si="322"/>
        <v>89.654449999999997</v>
      </c>
      <c r="M1982" s="33">
        <v>10</v>
      </c>
      <c r="N1982" s="18">
        <f t="shared" si="318"/>
        <v>5.4684931506849317</v>
      </c>
      <c r="O1982" s="23">
        <v>883.3347</v>
      </c>
      <c r="P1982" s="18">
        <f t="shared" si="319"/>
        <v>5.9698630136986299</v>
      </c>
      <c r="Q1982" s="18">
        <f t="shared" si="321"/>
        <v>85.405074698630074</v>
      </c>
      <c r="R1982" s="18">
        <f t="shared" si="315"/>
        <v>968.73977469863007</v>
      </c>
      <c r="S1982" s="18">
        <f t="shared" si="316"/>
        <v>824.34922530136987</v>
      </c>
    </row>
    <row r="1983" spans="1:19" ht="18.75" customHeight="1" x14ac:dyDescent="0.25">
      <c r="A1983" s="14">
        <f t="shared" si="320"/>
        <v>1977</v>
      </c>
      <c r="B1983" s="31" t="s">
        <v>1713</v>
      </c>
      <c r="C1983" s="15" t="s">
        <v>3</v>
      </c>
      <c r="D1983" s="31" t="s">
        <v>1708</v>
      </c>
      <c r="E1983" s="31"/>
      <c r="F1983" s="73" t="s">
        <v>4</v>
      </c>
      <c r="G1983" s="32">
        <v>42323</v>
      </c>
      <c r="H1983" s="29">
        <v>7517.8109589041096</v>
      </c>
      <c r="I1983" s="17">
        <v>0</v>
      </c>
      <c r="J1983" s="17">
        <v>0</v>
      </c>
      <c r="K1983" s="17">
        <f t="shared" si="317"/>
        <v>7517.8109589041096</v>
      </c>
      <c r="L1983" s="23">
        <f t="shared" si="322"/>
        <v>375.89054794520553</v>
      </c>
      <c r="M1983" s="33">
        <v>10</v>
      </c>
      <c r="N1983" s="18">
        <f t="shared" si="318"/>
        <v>5.3835616438356162</v>
      </c>
      <c r="O1983" s="23">
        <v>3678.8112328767124</v>
      </c>
      <c r="P1983" s="18">
        <f t="shared" si="319"/>
        <v>5.8849315068493153</v>
      </c>
      <c r="Q1983" s="18">
        <f t="shared" si="321"/>
        <v>358.07436580972075</v>
      </c>
      <c r="R1983" s="18">
        <f t="shared" si="315"/>
        <v>4036.8855986864332</v>
      </c>
      <c r="S1983" s="18">
        <f t="shared" si="316"/>
        <v>3480.9253602176764</v>
      </c>
    </row>
    <row r="1984" spans="1:19" ht="18.75" customHeight="1" x14ac:dyDescent="0.25">
      <c r="A1984" s="14">
        <f t="shared" si="320"/>
        <v>1978</v>
      </c>
      <c r="B1984" s="31" t="s">
        <v>1714</v>
      </c>
      <c r="C1984" s="15" t="s">
        <v>3</v>
      </c>
      <c r="D1984" s="31" t="s">
        <v>1708</v>
      </c>
      <c r="E1984" s="31"/>
      <c r="F1984" s="73" t="s">
        <v>4</v>
      </c>
      <c r="G1984" s="32">
        <v>42323</v>
      </c>
      <c r="H1984" s="29">
        <v>11928.26005479452</v>
      </c>
      <c r="I1984" s="17">
        <v>0</v>
      </c>
      <c r="J1984" s="17">
        <v>0</v>
      </c>
      <c r="K1984" s="17">
        <f t="shared" si="317"/>
        <v>11928.26005479452</v>
      </c>
      <c r="L1984" s="23">
        <f t="shared" si="322"/>
        <v>596.41300273972604</v>
      </c>
      <c r="M1984" s="33">
        <v>10</v>
      </c>
      <c r="N1984" s="18">
        <f t="shared" si="318"/>
        <v>5.3835616438356162</v>
      </c>
      <c r="O1984" s="23">
        <v>5837.0471561643826</v>
      </c>
      <c r="P1984" s="18">
        <f t="shared" si="319"/>
        <v>5.8849315068493153</v>
      </c>
      <c r="Q1984" s="18">
        <f t="shared" si="321"/>
        <v>568.14466041809021</v>
      </c>
      <c r="R1984" s="18">
        <f t="shared" si="315"/>
        <v>6405.1918165824727</v>
      </c>
      <c r="S1984" s="18">
        <f t="shared" si="316"/>
        <v>5523.0682382120476</v>
      </c>
    </row>
    <row r="1985" spans="1:19" ht="18.75" customHeight="1" x14ac:dyDescent="0.25">
      <c r="A1985" s="14">
        <f t="shared" si="320"/>
        <v>1979</v>
      </c>
      <c r="B1985" s="31" t="s">
        <v>1715</v>
      </c>
      <c r="C1985" s="15" t="s">
        <v>3</v>
      </c>
      <c r="D1985" s="31" t="s">
        <v>1708</v>
      </c>
      <c r="E1985" s="31"/>
      <c r="F1985" s="73" t="s">
        <v>4</v>
      </c>
      <c r="G1985" s="32">
        <v>42353</v>
      </c>
      <c r="H1985" s="29">
        <v>20318.729424657533</v>
      </c>
      <c r="I1985" s="17">
        <v>0</v>
      </c>
      <c r="J1985" s="17">
        <v>0</v>
      </c>
      <c r="K1985" s="17">
        <f t="shared" si="317"/>
        <v>20318.729424657533</v>
      </c>
      <c r="L1985" s="23">
        <f t="shared" si="322"/>
        <v>1015.9364712328767</v>
      </c>
      <c r="M1985" s="33">
        <v>10</v>
      </c>
      <c r="N1985" s="18">
        <f t="shared" si="318"/>
        <v>5.3013698630136989</v>
      </c>
      <c r="O1985" s="23">
        <v>9879.3157917808221</v>
      </c>
      <c r="P1985" s="18">
        <f t="shared" si="319"/>
        <v>5.8027397260273972</v>
      </c>
      <c r="Q1985" s="18">
        <f t="shared" si="321"/>
        <v>967.78386588403009</v>
      </c>
      <c r="R1985" s="18">
        <f t="shared" si="315"/>
        <v>10847.099657664852</v>
      </c>
      <c r="S1985" s="18">
        <f t="shared" si="316"/>
        <v>9471.6297669926807</v>
      </c>
    </row>
    <row r="1986" spans="1:19" ht="18.75" customHeight="1" x14ac:dyDescent="0.25">
      <c r="A1986" s="14">
        <f t="shared" si="320"/>
        <v>1980</v>
      </c>
      <c r="B1986" s="31" t="s">
        <v>1716</v>
      </c>
      <c r="C1986" s="15" t="s">
        <v>3</v>
      </c>
      <c r="D1986" s="31" t="s">
        <v>1708</v>
      </c>
      <c r="E1986" s="31"/>
      <c r="F1986" s="73" t="s">
        <v>4</v>
      </c>
      <c r="G1986" s="32">
        <v>42353</v>
      </c>
      <c r="H1986" s="29">
        <v>20549.977397260274</v>
      </c>
      <c r="I1986" s="17">
        <v>0</v>
      </c>
      <c r="J1986" s="17">
        <v>0</v>
      </c>
      <c r="K1986" s="17">
        <f t="shared" si="317"/>
        <v>20549.977397260274</v>
      </c>
      <c r="L1986" s="23">
        <f t="shared" si="322"/>
        <v>1027.4988698630139</v>
      </c>
      <c r="M1986" s="33">
        <v>10</v>
      </c>
      <c r="N1986" s="18">
        <f t="shared" si="318"/>
        <v>5.3013698630136989</v>
      </c>
      <c r="O1986" s="23">
        <v>9991.7525342465779</v>
      </c>
      <c r="P1986" s="18">
        <f t="shared" si="319"/>
        <v>5.8027397260273972</v>
      </c>
      <c r="Q1986" s="18">
        <f t="shared" si="321"/>
        <v>978.79823849690297</v>
      </c>
      <c r="R1986" s="18">
        <f t="shared" si="315"/>
        <v>10970.550772743482</v>
      </c>
      <c r="S1986" s="18">
        <f t="shared" si="316"/>
        <v>9579.4266245167928</v>
      </c>
    </row>
    <row r="1987" spans="1:19" ht="18.75" customHeight="1" x14ac:dyDescent="0.25">
      <c r="A1987" s="14">
        <f t="shared" si="320"/>
        <v>1981</v>
      </c>
      <c r="B1987" s="31" t="s">
        <v>1717</v>
      </c>
      <c r="C1987" s="15" t="s">
        <v>3</v>
      </c>
      <c r="D1987" s="31" t="s">
        <v>1708</v>
      </c>
      <c r="E1987" s="31"/>
      <c r="F1987" s="73" t="s">
        <v>4</v>
      </c>
      <c r="G1987" s="32">
        <v>42353</v>
      </c>
      <c r="H1987" s="29">
        <v>39606.073458904109</v>
      </c>
      <c r="I1987" s="17">
        <v>0</v>
      </c>
      <c r="J1987" s="17">
        <v>0</v>
      </c>
      <c r="K1987" s="17">
        <f t="shared" si="317"/>
        <v>39606.073458904109</v>
      </c>
      <c r="L1987" s="23">
        <f t="shared" si="322"/>
        <v>1980.3036729452056</v>
      </c>
      <c r="M1987" s="33">
        <v>10</v>
      </c>
      <c r="N1987" s="18">
        <f t="shared" si="318"/>
        <v>5.3013698630136989</v>
      </c>
      <c r="O1987" s="23">
        <v>19257.154263698631</v>
      </c>
      <c r="P1987" s="18">
        <f t="shared" si="319"/>
        <v>5.8027397260273972</v>
      </c>
      <c r="Q1987" s="18">
        <f t="shared" si="321"/>
        <v>1886.4427043371163</v>
      </c>
      <c r="R1987" s="18">
        <f t="shared" si="315"/>
        <v>21143.596968035748</v>
      </c>
      <c r="S1987" s="18">
        <f t="shared" si="316"/>
        <v>18462.476490868361</v>
      </c>
    </row>
    <row r="1988" spans="1:19" ht="18.75" customHeight="1" x14ac:dyDescent="0.25">
      <c r="A1988" s="14">
        <f t="shared" si="320"/>
        <v>1982</v>
      </c>
      <c r="B1988" s="31" t="s">
        <v>1718</v>
      </c>
      <c r="C1988" s="15" t="s">
        <v>3</v>
      </c>
      <c r="D1988" s="31" t="s">
        <v>1708</v>
      </c>
      <c r="E1988" s="31"/>
      <c r="F1988" s="73" t="s">
        <v>4</v>
      </c>
      <c r="G1988" s="32">
        <v>42353</v>
      </c>
      <c r="H1988" s="29">
        <v>15978.457602739725</v>
      </c>
      <c r="I1988" s="17">
        <v>0</v>
      </c>
      <c r="J1988" s="17">
        <v>0</v>
      </c>
      <c r="K1988" s="17">
        <f t="shared" si="317"/>
        <v>15978.457602739725</v>
      </c>
      <c r="L1988" s="23">
        <f t="shared" si="322"/>
        <v>798.92288013698635</v>
      </c>
      <c r="M1988" s="33">
        <v>10</v>
      </c>
      <c r="N1988" s="18">
        <f t="shared" si="318"/>
        <v>5.3013698630136989</v>
      </c>
      <c r="O1988" s="23">
        <v>7769.0009657534256</v>
      </c>
      <c r="P1988" s="18">
        <f t="shared" si="319"/>
        <v>5.8027397260273972</v>
      </c>
      <c r="Q1988" s="18">
        <f t="shared" si="321"/>
        <v>761.05612444830115</v>
      </c>
      <c r="R1988" s="18">
        <f t="shared" ref="R1988:R2051" si="323">Q1988+O1988</f>
        <v>8530.0570902017262</v>
      </c>
      <c r="S1988" s="18">
        <f t="shared" ref="S1988:S2050" si="324">K1988-R1988</f>
        <v>7448.400512537999</v>
      </c>
    </row>
    <row r="1989" spans="1:19" ht="18.75" customHeight="1" x14ac:dyDescent="0.25">
      <c r="A1989" s="14">
        <f t="shared" si="320"/>
        <v>1983</v>
      </c>
      <c r="B1989" s="31" t="s">
        <v>1719</v>
      </c>
      <c r="C1989" s="15" t="s">
        <v>3</v>
      </c>
      <c r="D1989" s="31" t="s">
        <v>1708</v>
      </c>
      <c r="E1989" s="31"/>
      <c r="F1989" s="73" t="s">
        <v>4</v>
      </c>
      <c r="G1989" s="32">
        <v>42353</v>
      </c>
      <c r="H1989" s="29">
        <v>4897.0158904109585</v>
      </c>
      <c r="I1989" s="17">
        <v>0</v>
      </c>
      <c r="J1989" s="17">
        <v>0</v>
      </c>
      <c r="K1989" s="17">
        <f t="shared" ref="K1989:K2052" si="325">H1989+I1989-J1989</f>
        <v>4897.0158904109585</v>
      </c>
      <c r="L1989" s="23">
        <f t="shared" si="322"/>
        <v>244.85079452054794</v>
      </c>
      <c r="M1989" s="33">
        <v>10</v>
      </c>
      <c r="N1989" s="18">
        <f t="shared" ref="N1989:N2052" si="326">IF(($N$2-G1989+1)/365&gt;0,($N$2-G1989+1)/365,0)</f>
        <v>5.3013698630136989</v>
      </c>
      <c r="O1989" s="23">
        <v>2381.0133698630138</v>
      </c>
      <c r="P1989" s="18">
        <f t="shared" ref="P1989:P2052" si="327">($P$2-G1989+1)/365</f>
        <v>5.8027397260273972</v>
      </c>
      <c r="Q1989" s="18">
        <f t="shared" si="321"/>
        <v>233.24553768436834</v>
      </c>
      <c r="R1989" s="18">
        <f t="shared" si="323"/>
        <v>2614.258907547382</v>
      </c>
      <c r="S1989" s="18">
        <f t="shared" si="324"/>
        <v>2282.7569828635765</v>
      </c>
    </row>
    <row r="1990" spans="1:19" ht="18.75" customHeight="1" x14ac:dyDescent="0.25">
      <c r="A1990" s="14">
        <f t="shared" ref="A1990:A2053" si="328">+A1989+1</f>
        <v>1984</v>
      </c>
      <c r="B1990" s="31" t="s">
        <v>1720</v>
      </c>
      <c r="C1990" s="15" t="s">
        <v>3</v>
      </c>
      <c r="D1990" s="31" t="s">
        <v>1708</v>
      </c>
      <c r="E1990" s="31"/>
      <c r="F1990" s="73" t="s">
        <v>4</v>
      </c>
      <c r="G1990" s="32">
        <v>42353</v>
      </c>
      <c r="H1990" s="29">
        <v>26554.651643835616</v>
      </c>
      <c r="I1990" s="17">
        <v>0</v>
      </c>
      <c r="J1990" s="17">
        <v>0</v>
      </c>
      <c r="K1990" s="17">
        <f t="shared" si="325"/>
        <v>26554.651643835616</v>
      </c>
      <c r="L1990" s="23">
        <f t="shared" si="322"/>
        <v>1327.7325821917809</v>
      </c>
      <c r="M1990" s="33">
        <v>10</v>
      </c>
      <c r="N1990" s="18">
        <f t="shared" si="326"/>
        <v>5.3013698630136989</v>
      </c>
      <c r="O1990" s="23">
        <v>12911.328452054793</v>
      </c>
      <c r="P1990" s="18">
        <f t="shared" si="327"/>
        <v>5.8027397260273972</v>
      </c>
      <c r="Q1990" s="18">
        <f t="shared" si="321"/>
        <v>1264.8016954194022</v>
      </c>
      <c r="R1990" s="18">
        <f t="shared" si="323"/>
        <v>14176.130147474196</v>
      </c>
      <c r="S1990" s="18">
        <f t="shared" si="324"/>
        <v>12378.52149636142</v>
      </c>
    </row>
    <row r="1991" spans="1:19" ht="18.75" customHeight="1" x14ac:dyDescent="0.25">
      <c r="A1991" s="14">
        <f t="shared" si="328"/>
        <v>1985</v>
      </c>
      <c r="B1991" s="31" t="s">
        <v>1721</v>
      </c>
      <c r="C1991" s="15" t="s">
        <v>3</v>
      </c>
      <c r="D1991" s="31" t="s">
        <v>1708</v>
      </c>
      <c r="E1991" s="31"/>
      <c r="F1991" s="73" t="s">
        <v>4</v>
      </c>
      <c r="G1991" s="32">
        <v>42353</v>
      </c>
      <c r="H1991" s="29">
        <v>16487.494631506852</v>
      </c>
      <c r="I1991" s="17">
        <v>0</v>
      </c>
      <c r="J1991" s="17">
        <v>0</v>
      </c>
      <c r="K1991" s="17">
        <f t="shared" si="325"/>
        <v>16487.494631506852</v>
      </c>
      <c r="L1991" s="23">
        <f t="shared" si="322"/>
        <v>824.37473157534259</v>
      </c>
      <c r="M1991" s="33">
        <v>10</v>
      </c>
      <c r="N1991" s="18">
        <f t="shared" si="326"/>
        <v>5.3013698630136989</v>
      </c>
      <c r="O1991" s="23">
        <v>8016.5035261643852</v>
      </c>
      <c r="P1991" s="18">
        <f t="shared" si="327"/>
        <v>5.8027397260273972</v>
      </c>
      <c r="Q1991" s="18">
        <f t="shared" si="321"/>
        <v>785.30162785957918</v>
      </c>
      <c r="R1991" s="18">
        <f t="shared" si="323"/>
        <v>8801.8051540239649</v>
      </c>
      <c r="S1991" s="18">
        <f t="shared" si="324"/>
        <v>7685.689477482887</v>
      </c>
    </row>
    <row r="1992" spans="1:19" ht="18.75" customHeight="1" x14ac:dyDescent="0.25">
      <c r="A1992" s="14">
        <f t="shared" si="328"/>
        <v>1986</v>
      </c>
      <c r="B1992" s="31" t="s">
        <v>1722</v>
      </c>
      <c r="C1992" s="15" t="s">
        <v>3</v>
      </c>
      <c r="D1992" s="31" t="s">
        <v>1708</v>
      </c>
      <c r="E1992" s="31"/>
      <c r="F1992" s="73" t="s">
        <v>4</v>
      </c>
      <c r="G1992" s="32">
        <v>42353</v>
      </c>
      <c r="H1992" s="29">
        <v>7578.7150684931503</v>
      </c>
      <c r="I1992" s="17">
        <v>0</v>
      </c>
      <c r="J1992" s="17">
        <v>0</v>
      </c>
      <c r="K1992" s="17">
        <f t="shared" si="325"/>
        <v>7578.7150684931503</v>
      </c>
      <c r="L1992" s="23">
        <f t="shared" si="322"/>
        <v>378.93575342465755</v>
      </c>
      <c r="M1992" s="33">
        <v>10</v>
      </c>
      <c r="N1992" s="18">
        <f t="shared" si="326"/>
        <v>5.3013698630136989</v>
      </c>
      <c r="O1992" s="23">
        <v>3684.9016438356171</v>
      </c>
      <c r="P1992" s="18">
        <f t="shared" si="327"/>
        <v>5.8027397260273972</v>
      </c>
      <c r="Q1992" s="18">
        <f t="shared" si="321"/>
        <v>360.97523689247487</v>
      </c>
      <c r="R1992" s="18">
        <f t="shared" si="323"/>
        <v>4045.8768807280921</v>
      </c>
      <c r="S1992" s="18">
        <f t="shared" si="324"/>
        <v>3532.8381877650581</v>
      </c>
    </row>
    <row r="1993" spans="1:19" ht="18.75" customHeight="1" x14ac:dyDescent="0.25">
      <c r="A1993" s="14">
        <f t="shared" si="328"/>
        <v>1987</v>
      </c>
      <c r="B1993" s="31" t="s">
        <v>1723</v>
      </c>
      <c r="C1993" s="15" t="s">
        <v>3</v>
      </c>
      <c r="D1993" s="31" t="s">
        <v>1708</v>
      </c>
      <c r="E1993" s="31"/>
      <c r="F1993" s="73" t="s">
        <v>4</v>
      </c>
      <c r="G1993" s="32">
        <v>42384</v>
      </c>
      <c r="H1993" s="29">
        <v>4319.5892301369868</v>
      </c>
      <c r="I1993" s="17">
        <v>0</v>
      </c>
      <c r="J1993" s="17">
        <v>0</v>
      </c>
      <c r="K1993" s="17">
        <f t="shared" si="325"/>
        <v>4319.5892301369868</v>
      </c>
      <c r="L1993" s="23">
        <f t="shared" si="322"/>
        <v>215.97946150684936</v>
      </c>
      <c r="M1993" s="33">
        <v>10</v>
      </c>
      <c r="N1993" s="18">
        <f t="shared" si="326"/>
        <v>5.2164383561643834</v>
      </c>
      <c r="O1993" s="23">
        <v>2086.5189969863018</v>
      </c>
      <c r="P1993" s="18">
        <f t="shared" si="327"/>
        <v>5.7178082191780826</v>
      </c>
      <c r="Q1993" s="18">
        <f t="shared" si="321"/>
        <v>205.74262675597694</v>
      </c>
      <c r="R1993" s="18">
        <f t="shared" si="323"/>
        <v>2292.2616237422785</v>
      </c>
      <c r="S1993" s="18">
        <f t="shared" si="324"/>
        <v>2027.3276063947083</v>
      </c>
    </row>
    <row r="1994" spans="1:19" ht="18.75" customHeight="1" x14ac:dyDescent="0.25">
      <c r="A1994" s="14">
        <f t="shared" si="328"/>
        <v>1988</v>
      </c>
      <c r="B1994" s="31" t="s">
        <v>1724</v>
      </c>
      <c r="C1994" s="15" t="s">
        <v>3</v>
      </c>
      <c r="D1994" s="31" t="s">
        <v>1708</v>
      </c>
      <c r="E1994" s="31"/>
      <c r="F1994" s="73" t="s">
        <v>4</v>
      </c>
      <c r="G1994" s="32">
        <v>42384</v>
      </c>
      <c r="H1994" s="29">
        <v>13421.871232876712</v>
      </c>
      <c r="I1994" s="17">
        <v>0</v>
      </c>
      <c r="J1994" s="17">
        <v>0</v>
      </c>
      <c r="K1994" s="17">
        <f t="shared" si="325"/>
        <v>13421.871232876712</v>
      </c>
      <c r="L1994" s="23">
        <f t="shared" si="322"/>
        <v>671.09356164383564</v>
      </c>
      <c r="M1994" s="33">
        <v>10</v>
      </c>
      <c r="N1994" s="18">
        <f t="shared" si="326"/>
        <v>5.2164383561643834</v>
      </c>
      <c r="O1994" s="23">
        <v>6483.2528767123285</v>
      </c>
      <c r="P1994" s="18">
        <f t="shared" si="327"/>
        <v>5.7178082191780826</v>
      </c>
      <c r="Q1994" s="18">
        <f t="shared" si="321"/>
        <v>639.28556543441607</v>
      </c>
      <c r="R1994" s="18">
        <f t="shared" si="323"/>
        <v>7122.5384421467443</v>
      </c>
      <c r="S1994" s="18">
        <f t="shared" si="324"/>
        <v>6299.3327907299681</v>
      </c>
    </row>
    <row r="1995" spans="1:19" ht="18.75" customHeight="1" x14ac:dyDescent="0.25">
      <c r="A1995" s="14">
        <f t="shared" si="328"/>
        <v>1989</v>
      </c>
      <c r="B1995" s="31" t="s">
        <v>1725</v>
      </c>
      <c r="C1995" s="15" t="s">
        <v>3</v>
      </c>
      <c r="D1995" s="31" t="s">
        <v>1708</v>
      </c>
      <c r="E1995" s="31"/>
      <c r="F1995" s="73" t="s">
        <v>4</v>
      </c>
      <c r="G1995" s="32">
        <v>42384</v>
      </c>
      <c r="H1995" s="29">
        <v>7288.9578082191783</v>
      </c>
      <c r="I1995" s="17">
        <v>0</v>
      </c>
      <c r="J1995" s="17">
        <v>0</v>
      </c>
      <c r="K1995" s="17">
        <f t="shared" si="325"/>
        <v>7288.9578082191783</v>
      </c>
      <c r="L1995" s="23">
        <f t="shared" si="322"/>
        <v>364.44789041095896</v>
      </c>
      <c r="M1995" s="33">
        <v>10</v>
      </c>
      <c r="N1995" s="18">
        <f t="shared" si="326"/>
        <v>5.2164383561643834</v>
      </c>
      <c r="O1995" s="23">
        <v>3520.8322191780817</v>
      </c>
      <c r="P1995" s="18">
        <f t="shared" si="327"/>
        <v>5.7178082191780826</v>
      </c>
      <c r="Q1995" s="18">
        <f t="shared" si="321"/>
        <v>347.17405889285078</v>
      </c>
      <c r="R1995" s="18">
        <f t="shared" si="323"/>
        <v>3868.0062780709322</v>
      </c>
      <c r="S1995" s="18">
        <f t="shared" si="324"/>
        <v>3420.9515301482461</v>
      </c>
    </row>
    <row r="1996" spans="1:19" ht="18.75" customHeight="1" x14ac:dyDescent="0.25">
      <c r="A1996" s="14">
        <f t="shared" si="328"/>
        <v>1990</v>
      </c>
      <c r="B1996" s="31" t="s">
        <v>1726</v>
      </c>
      <c r="C1996" s="15" t="s">
        <v>3</v>
      </c>
      <c r="D1996" s="31" t="s">
        <v>1708</v>
      </c>
      <c r="E1996" s="31"/>
      <c r="F1996" s="73" t="s">
        <v>4</v>
      </c>
      <c r="G1996" s="32">
        <v>42384</v>
      </c>
      <c r="H1996" s="29">
        <v>15792.74191780822</v>
      </c>
      <c r="I1996" s="17">
        <v>0</v>
      </c>
      <c r="J1996" s="17">
        <v>0</v>
      </c>
      <c r="K1996" s="17">
        <f t="shared" si="325"/>
        <v>15792.74191780822</v>
      </c>
      <c r="L1996" s="23">
        <f t="shared" si="322"/>
        <v>789.63709589041105</v>
      </c>
      <c r="M1996" s="33">
        <v>10</v>
      </c>
      <c r="N1996" s="18">
        <f t="shared" si="326"/>
        <v>5.2164383561643834</v>
      </c>
      <c r="O1996" s="23">
        <v>7628.469808219178</v>
      </c>
      <c r="P1996" s="18">
        <f t="shared" si="327"/>
        <v>5.7178082191780826</v>
      </c>
      <c r="Q1996" s="18">
        <f t="shared" si="321"/>
        <v>752.21046093451002</v>
      </c>
      <c r="R1996" s="18">
        <f t="shared" si="323"/>
        <v>8380.6802691536886</v>
      </c>
      <c r="S1996" s="18">
        <f t="shared" si="324"/>
        <v>7412.0616486545314</v>
      </c>
    </row>
    <row r="1997" spans="1:19" ht="18.75" customHeight="1" x14ac:dyDescent="0.25">
      <c r="A1997" s="14">
        <f t="shared" si="328"/>
        <v>1991</v>
      </c>
      <c r="B1997" s="31" t="s">
        <v>1727</v>
      </c>
      <c r="C1997" s="15" t="s">
        <v>3</v>
      </c>
      <c r="D1997" s="31" t="s">
        <v>1708</v>
      </c>
      <c r="E1997" s="31"/>
      <c r="F1997" s="73" t="s">
        <v>4</v>
      </c>
      <c r="G1997" s="32">
        <v>42384</v>
      </c>
      <c r="H1997" s="29">
        <v>3379.9602739726029</v>
      </c>
      <c r="I1997" s="17">
        <v>0</v>
      </c>
      <c r="J1997" s="17">
        <v>0</v>
      </c>
      <c r="K1997" s="17">
        <f t="shared" si="325"/>
        <v>3379.9602739726029</v>
      </c>
      <c r="L1997" s="23">
        <f t="shared" si="322"/>
        <v>168.99801369863016</v>
      </c>
      <c r="M1997" s="33">
        <v>10</v>
      </c>
      <c r="N1997" s="18">
        <f t="shared" si="326"/>
        <v>5.2164383561643834</v>
      </c>
      <c r="O1997" s="23">
        <v>1632.6439726027397</v>
      </c>
      <c r="P1997" s="18">
        <f t="shared" si="327"/>
        <v>5.7178082191780826</v>
      </c>
      <c r="Q1997" s="18">
        <f t="shared" si="321"/>
        <v>160.98797085757192</v>
      </c>
      <c r="R1997" s="18">
        <f t="shared" si="323"/>
        <v>1793.6319434603117</v>
      </c>
      <c r="S1997" s="18">
        <f t="shared" si="324"/>
        <v>1586.3283305122911</v>
      </c>
    </row>
    <row r="1998" spans="1:19" ht="18.75" customHeight="1" x14ac:dyDescent="0.25">
      <c r="A1998" s="14">
        <f t="shared" si="328"/>
        <v>1992</v>
      </c>
      <c r="B1998" s="31" t="s">
        <v>1728</v>
      </c>
      <c r="C1998" s="15" t="s">
        <v>3</v>
      </c>
      <c r="D1998" s="31" t="s">
        <v>1708</v>
      </c>
      <c r="E1998" s="31"/>
      <c r="F1998" s="73" t="s">
        <v>4</v>
      </c>
      <c r="G1998" s="32">
        <v>42384</v>
      </c>
      <c r="H1998" s="29">
        <v>10062.484630136987</v>
      </c>
      <c r="I1998" s="17">
        <v>0</v>
      </c>
      <c r="J1998" s="17">
        <v>0</v>
      </c>
      <c r="K1998" s="17">
        <f t="shared" si="325"/>
        <v>10062.484630136987</v>
      </c>
      <c r="L1998" s="23">
        <f t="shared" si="322"/>
        <v>503.12423150684936</v>
      </c>
      <c r="M1998" s="33">
        <v>10</v>
      </c>
      <c r="N1998" s="18">
        <f t="shared" si="326"/>
        <v>5.2164383561643834</v>
      </c>
      <c r="O1998" s="23">
        <v>4860.5467369863018</v>
      </c>
      <c r="P1998" s="18">
        <f t="shared" si="327"/>
        <v>5.7178082191780826</v>
      </c>
      <c r="Q1998" s="18">
        <f t="shared" si="321"/>
        <v>479.27752135597729</v>
      </c>
      <c r="R1998" s="18">
        <f t="shared" si="323"/>
        <v>5339.8242583422789</v>
      </c>
      <c r="S1998" s="18">
        <f t="shared" si="324"/>
        <v>4722.6603717947082</v>
      </c>
    </row>
    <row r="1999" spans="1:19" ht="18.75" customHeight="1" x14ac:dyDescent="0.25">
      <c r="A1999" s="14">
        <f t="shared" si="328"/>
        <v>1993</v>
      </c>
      <c r="B1999" s="31" t="s">
        <v>1729</v>
      </c>
      <c r="C1999" s="15" t="s">
        <v>3</v>
      </c>
      <c r="D1999" s="31" t="s">
        <v>1708</v>
      </c>
      <c r="E1999" s="31"/>
      <c r="F1999" s="73" t="s">
        <v>4</v>
      </c>
      <c r="G1999" s="32">
        <v>42415</v>
      </c>
      <c r="H1999" s="29">
        <v>890.07695479452059</v>
      </c>
      <c r="I1999" s="17">
        <v>0</v>
      </c>
      <c r="J1999" s="17">
        <v>0</v>
      </c>
      <c r="K1999" s="17">
        <f t="shared" si="325"/>
        <v>890.07695479452059</v>
      </c>
      <c r="L1999" s="23">
        <f t="shared" si="322"/>
        <v>44.503847739726034</v>
      </c>
      <c r="M1999" s="33">
        <v>10</v>
      </c>
      <c r="N1999" s="18">
        <f t="shared" si="326"/>
        <v>5.1315068493150688</v>
      </c>
      <c r="O1999" s="23">
        <v>427.15472835616441</v>
      </c>
      <c r="P1999" s="18">
        <f t="shared" si="327"/>
        <v>5.6328767123287671</v>
      </c>
      <c r="Q1999" s="18">
        <f t="shared" si="321"/>
        <v>42.394487285212961</v>
      </c>
      <c r="R1999" s="18">
        <f t="shared" si="323"/>
        <v>469.54921564137737</v>
      </c>
      <c r="S1999" s="18">
        <f t="shared" si="324"/>
        <v>420.52773915314322</v>
      </c>
    </row>
    <row r="2000" spans="1:19" ht="18.75" customHeight="1" x14ac:dyDescent="0.25">
      <c r="A2000" s="14">
        <f t="shared" si="328"/>
        <v>1994</v>
      </c>
      <c r="B2000" s="31" t="s">
        <v>1730</v>
      </c>
      <c r="C2000" s="15" t="s">
        <v>3</v>
      </c>
      <c r="D2000" s="31" t="s">
        <v>1708</v>
      </c>
      <c r="E2000" s="31"/>
      <c r="F2000" s="73" t="s">
        <v>4</v>
      </c>
      <c r="G2000" s="32">
        <v>42415</v>
      </c>
      <c r="H2000" s="29">
        <v>115074.86986301369</v>
      </c>
      <c r="I2000" s="17">
        <v>0</v>
      </c>
      <c r="J2000" s="17">
        <v>0</v>
      </c>
      <c r="K2000" s="17">
        <f t="shared" si="325"/>
        <v>115074.86986301369</v>
      </c>
      <c r="L2000" s="23">
        <f t="shared" si="322"/>
        <v>5753.743493150685</v>
      </c>
      <c r="M2000" s="33">
        <v>10</v>
      </c>
      <c r="N2000" s="18">
        <f t="shared" si="326"/>
        <v>5.1315068493150688</v>
      </c>
      <c r="O2000" s="23">
        <v>55225.308904109595</v>
      </c>
      <c r="P2000" s="18">
        <f t="shared" si="327"/>
        <v>5.6328767123287671</v>
      </c>
      <c r="Q2000" s="18">
        <f t="shared" si="321"/>
        <v>5481.0318152561413</v>
      </c>
      <c r="R2000" s="18">
        <f t="shared" si="323"/>
        <v>60706.340719365733</v>
      </c>
      <c r="S2000" s="18">
        <f t="shared" si="324"/>
        <v>54368.52914364796</v>
      </c>
    </row>
    <row r="2001" spans="1:19" ht="18.75" customHeight="1" x14ac:dyDescent="0.25">
      <c r="A2001" s="14">
        <f t="shared" si="328"/>
        <v>1995</v>
      </c>
      <c r="B2001" s="31" t="s">
        <v>1731</v>
      </c>
      <c r="C2001" s="15" t="s">
        <v>3</v>
      </c>
      <c r="D2001" s="31" t="s">
        <v>1708</v>
      </c>
      <c r="E2001" s="31"/>
      <c r="F2001" s="73" t="s">
        <v>4</v>
      </c>
      <c r="G2001" s="32">
        <v>42444</v>
      </c>
      <c r="H2001" s="29">
        <v>1144.6123287671232</v>
      </c>
      <c r="I2001" s="17">
        <v>0</v>
      </c>
      <c r="J2001" s="17">
        <v>0</v>
      </c>
      <c r="K2001" s="17">
        <f t="shared" si="325"/>
        <v>1144.6123287671232</v>
      </c>
      <c r="L2001" s="23">
        <f t="shared" si="322"/>
        <v>57.230616438356165</v>
      </c>
      <c r="M2001" s="33">
        <v>10</v>
      </c>
      <c r="N2001" s="18">
        <f t="shared" si="326"/>
        <v>5.0520547945205481</v>
      </c>
      <c r="O2001" s="23">
        <v>546.01054794520553</v>
      </c>
      <c r="P2001" s="18">
        <f t="shared" si="327"/>
        <v>5.5534246575342463</v>
      </c>
      <c r="Q2001" s="18">
        <f t="shared" si="321"/>
        <v>54.518042015387458</v>
      </c>
      <c r="R2001" s="18">
        <f t="shared" si="323"/>
        <v>600.52858996059297</v>
      </c>
      <c r="S2001" s="18">
        <f t="shared" si="324"/>
        <v>544.08373880653028</v>
      </c>
    </row>
    <row r="2002" spans="1:19" ht="18.75" customHeight="1" x14ac:dyDescent="0.25">
      <c r="A2002" s="14">
        <f t="shared" si="328"/>
        <v>1996</v>
      </c>
      <c r="B2002" s="31" t="s">
        <v>1732</v>
      </c>
      <c r="C2002" s="15" t="s">
        <v>3</v>
      </c>
      <c r="D2002" s="31" t="s">
        <v>1708</v>
      </c>
      <c r="E2002" s="31"/>
      <c r="F2002" s="73" t="s">
        <v>4</v>
      </c>
      <c r="G2002" s="32">
        <v>42444</v>
      </c>
      <c r="H2002" s="29">
        <v>1573.4836386301372</v>
      </c>
      <c r="I2002" s="17">
        <v>0</v>
      </c>
      <c r="J2002" s="17">
        <v>0</v>
      </c>
      <c r="K2002" s="17">
        <f t="shared" si="325"/>
        <v>1573.4836386301372</v>
      </c>
      <c r="L2002" s="23">
        <f t="shared" si="322"/>
        <v>78.674181931506865</v>
      </c>
      <c r="M2002" s="33">
        <v>10</v>
      </c>
      <c r="N2002" s="18">
        <f t="shared" si="326"/>
        <v>5.0520547945205481</v>
      </c>
      <c r="O2002" s="23">
        <v>750.59357838356163</v>
      </c>
      <c r="P2002" s="18">
        <f t="shared" si="327"/>
        <v>5.5534246575342463</v>
      </c>
      <c r="Q2002" s="18">
        <f t="shared" si="321"/>
        <v>74.945241253657301</v>
      </c>
      <c r="R2002" s="18">
        <f t="shared" si="323"/>
        <v>825.53881963721892</v>
      </c>
      <c r="S2002" s="18">
        <f t="shared" si="324"/>
        <v>747.94481899291827</v>
      </c>
    </row>
    <row r="2003" spans="1:19" ht="18.75" customHeight="1" x14ac:dyDescent="0.25">
      <c r="A2003" s="14">
        <f t="shared" si="328"/>
        <v>1997</v>
      </c>
      <c r="B2003" s="31" t="s">
        <v>1733</v>
      </c>
      <c r="C2003" s="15" t="s">
        <v>3</v>
      </c>
      <c r="D2003" s="31" t="s">
        <v>1708</v>
      </c>
      <c r="E2003" s="31"/>
      <c r="F2003" s="73" t="s">
        <v>4</v>
      </c>
      <c r="G2003" s="32">
        <v>42444</v>
      </c>
      <c r="H2003" s="29">
        <v>2690.6352246575343</v>
      </c>
      <c r="I2003" s="17">
        <v>0</v>
      </c>
      <c r="J2003" s="17">
        <v>0</v>
      </c>
      <c r="K2003" s="17">
        <f t="shared" si="325"/>
        <v>2690.6352246575343</v>
      </c>
      <c r="L2003" s="23">
        <f t="shared" si="322"/>
        <v>134.53176123287673</v>
      </c>
      <c r="M2003" s="33">
        <v>10</v>
      </c>
      <c r="N2003" s="18">
        <f t="shared" si="326"/>
        <v>5.0520547945205481</v>
      </c>
      <c r="O2003" s="23">
        <v>1283.5046210958908</v>
      </c>
      <c r="P2003" s="18">
        <f t="shared" si="327"/>
        <v>5.5534246575342463</v>
      </c>
      <c r="Q2003" s="18">
        <f t="shared" si="321"/>
        <v>128.15532433060602</v>
      </c>
      <c r="R2003" s="18">
        <f t="shared" si="323"/>
        <v>1411.6599454264967</v>
      </c>
      <c r="S2003" s="18">
        <f t="shared" si="324"/>
        <v>1278.9752792310376</v>
      </c>
    </row>
    <row r="2004" spans="1:19" ht="18.75" customHeight="1" x14ac:dyDescent="0.25">
      <c r="A2004" s="14">
        <f t="shared" si="328"/>
        <v>1998</v>
      </c>
      <c r="B2004" s="31" t="s">
        <v>1734</v>
      </c>
      <c r="C2004" s="15" t="s">
        <v>3</v>
      </c>
      <c r="D2004" s="31" t="s">
        <v>1708</v>
      </c>
      <c r="E2004" s="31"/>
      <c r="F2004" s="73" t="s">
        <v>4</v>
      </c>
      <c r="G2004" s="32">
        <v>42444</v>
      </c>
      <c r="H2004" s="29">
        <v>7036.8775342465751</v>
      </c>
      <c r="I2004" s="17">
        <v>0</v>
      </c>
      <c r="J2004" s="17">
        <v>0</v>
      </c>
      <c r="K2004" s="17">
        <f t="shared" si="325"/>
        <v>7036.8775342465751</v>
      </c>
      <c r="L2004" s="23">
        <f t="shared" si="322"/>
        <v>351.84387671232878</v>
      </c>
      <c r="M2004" s="33">
        <v>10</v>
      </c>
      <c r="N2004" s="18">
        <f t="shared" si="326"/>
        <v>5.0520547945205481</v>
      </c>
      <c r="O2004" s="23">
        <v>3356.7778904109587</v>
      </c>
      <c r="P2004" s="18">
        <f t="shared" si="327"/>
        <v>5.5534246575342463</v>
      </c>
      <c r="Q2004" s="18">
        <f t="shared" si="321"/>
        <v>335.16744091199075</v>
      </c>
      <c r="R2004" s="18">
        <f t="shared" si="323"/>
        <v>3691.9453313229496</v>
      </c>
      <c r="S2004" s="18">
        <f t="shared" si="324"/>
        <v>3344.9322029236255</v>
      </c>
    </row>
    <row r="2005" spans="1:19" ht="18.75" customHeight="1" x14ac:dyDescent="0.25">
      <c r="A2005" s="14">
        <f t="shared" si="328"/>
        <v>1999</v>
      </c>
      <c r="B2005" s="31" t="s">
        <v>1735</v>
      </c>
      <c r="C2005" s="15" t="s">
        <v>3</v>
      </c>
      <c r="D2005" s="31" t="s">
        <v>1708</v>
      </c>
      <c r="E2005" s="31"/>
      <c r="F2005" s="73" t="s">
        <v>4</v>
      </c>
      <c r="G2005" s="32">
        <v>42444</v>
      </c>
      <c r="H2005" s="29">
        <v>11259.601243835617</v>
      </c>
      <c r="I2005" s="17">
        <v>0</v>
      </c>
      <c r="J2005" s="17">
        <v>0</v>
      </c>
      <c r="K2005" s="17">
        <f t="shared" si="325"/>
        <v>11259.601243835617</v>
      </c>
      <c r="L2005" s="23">
        <f t="shared" si="322"/>
        <v>562.98006219178092</v>
      </c>
      <c r="M2005" s="33">
        <v>10</v>
      </c>
      <c r="N2005" s="18">
        <f t="shared" si="326"/>
        <v>5.0520547945205481</v>
      </c>
      <c r="O2005" s="23">
        <v>5371.1294997260284</v>
      </c>
      <c r="P2005" s="18">
        <f t="shared" si="327"/>
        <v>5.5534246575342463</v>
      </c>
      <c r="Q2005" s="18">
        <f t="shared" si="321"/>
        <v>536.29634965501941</v>
      </c>
      <c r="R2005" s="18">
        <f t="shared" si="323"/>
        <v>5907.4258493810476</v>
      </c>
      <c r="S2005" s="18">
        <f t="shared" si="324"/>
        <v>5352.1753944545699</v>
      </c>
    </row>
    <row r="2006" spans="1:19" ht="18.75" customHeight="1" x14ac:dyDescent="0.25">
      <c r="A2006" s="14">
        <f t="shared" si="328"/>
        <v>2000</v>
      </c>
      <c r="B2006" s="31" t="s">
        <v>1736</v>
      </c>
      <c r="C2006" s="15" t="s">
        <v>3</v>
      </c>
      <c r="D2006" s="31" t="s">
        <v>1708</v>
      </c>
      <c r="E2006" s="31"/>
      <c r="F2006" s="73" t="s">
        <v>4</v>
      </c>
      <c r="G2006" s="32">
        <v>42444</v>
      </c>
      <c r="H2006" s="29">
        <v>12122.937534246576</v>
      </c>
      <c r="I2006" s="17">
        <v>0</v>
      </c>
      <c r="J2006" s="17">
        <v>0</v>
      </c>
      <c r="K2006" s="17">
        <f t="shared" si="325"/>
        <v>12122.937534246576</v>
      </c>
      <c r="L2006" s="23">
        <f t="shared" si="322"/>
        <v>606.14687671232878</v>
      </c>
      <c r="M2006" s="33">
        <v>10</v>
      </c>
      <c r="N2006" s="18">
        <f t="shared" si="326"/>
        <v>5.0520547945205481</v>
      </c>
      <c r="O2006" s="23">
        <v>5782.9638904109588</v>
      </c>
      <c r="P2006" s="18">
        <f t="shared" si="327"/>
        <v>5.5534246575342463</v>
      </c>
      <c r="Q2006" s="18">
        <f t="shared" ref="Q2006:Q2069" si="329">(P2006-N2006)/M2006*(K2006-L2006)</f>
        <v>577.41717543253844</v>
      </c>
      <c r="R2006" s="18">
        <f t="shared" si="323"/>
        <v>6360.3810658434977</v>
      </c>
      <c r="S2006" s="18">
        <f t="shared" si="324"/>
        <v>5762.5564684030778</v>
      </c>
    </row>
    <row r="2007" spans="1:19" ht="18.75" customHeight="1" x14ac:dyDescent="0.25">
      <c r="A2007" s="14">
        <f t="shared" si="328"/>
        <v>2001</v>
      </c>
      <c r="B2007" s="31" t="s">
        <v>1737</v>
      </c>
      <c r="C2007" s="15" t="s">
        <v>3</v>
      </c>
      <c r="D2007" s="31" t="s">
        <v>1708</v>
      </c>
      <c r="E2007" s="31"/>
      <c r="F2007" s="73" t="s">
        <v>4</v>
      </c>
      <c r="G2007" s="32">
        <v>42444</v>
      </c>
      <c r="H2007" s="29">
        <v>45784.493150684932</v>
      </c>
      <c r="I2007" s="17">
        <v>0</v>
      </c>
      <c r="J2007" s="17">
        <v>0</v>
      </c>
      <c r="K2007" s="17">
        <f t="shared" si="325"/>
        <v>45784.493150684932</v>
      </c>
      <c r="L2007" s="23">
        <f t="shared" ref="L2007:L2070" si="330">H2007*0.05</f>
        <v>2289.2246575342465</v>
      </c>
      <c r="M2007" s="33">
        <v>10</v>
      </c>
      <c r="N2007" s="18">
        <f t="shared" si="326"/>
        <v>5.0520547945205481</v>
      </c>
      <c r="O2007" s="23">
        <v>21840.42191780822</v>
      </c>
      <c r="P2007" s="18">
        <f t="shared" si="327"/>
        <v>5.5534246575342463</v>
      </c>
      <c r="Q2007" s="18">
        <f t="shared" si="329"/>
        <v>2180.7216806154988</v>
      </c>
      <c r="R2007" s="18">
        <f t="shared" si="323"/>
        <v>24021.143598423718</v>
      </c>
      <c r="S2007" s="18">
        <f t="shared" si="324"/>
        <v>21763.349552261214</v>
      </c>
    </row>
    <row r="2008" spans="1:19" ht="18.75" customHeight="1" x14ac:dyDescent="0.25">
      <c r="A2008" s="14">
        <f t="shared" si="328"/>
        <v>2002</v>
      </c>
      <c r="B2008" s="31" t="s">
        <v>1738</v>
      </c>
      <c r="C2008" s="15" t="s">
        <v>3</v>
      </c>
      <c r="D2008" s="31" t="s">
        <v>1708</v>
      </c>
      <c r="E2008" s="31"/>
      <c r="F2008" s="73" t="s">
        <v>4</v>
      </c>
      <c r="G2008" s="32">
        <v>42444</v>
      </c>
      <c r="H2008" s="29">
        <v>1841.3328767123287</v>
      </c>
      <c r="I2008" s="17">
        <v>0</v>
      </c>
      <c r="J2008" s="17">
        <v>0</v>
      </c>
      <c r="K2008" s="17">
        <f t="shared" si="325"/>
        <v>1841.3328767123287</v>
      </c>
      <c r="L2008" s="23">
        <f t="shared" si="330"/>
        <v>92.066643835616446</v>
      </c>
      <c r="M2008" s="33">
        <v>10</v>
      </c>
      <c r="N2008" s="18">
        <f t="shared" si="326"/>
        <v>5.0520547945205481</v>
      </c>
      <c r="O2008" s="23">
        <v>878.364794520548</v>
      </c>
      <c r="P2008" s="18">
        <f t="shared" si="327"/>
        <v>5.5534246575342463</v>
      </c>
      <c r="Q2008" s="18">
        <f t="shared" si="329"/>
        <v>87.702937155188522</v>
      </c>
      <c r="R2008" s="18">
        <f t="shared" si="323"/>
        <v>966.06773167573647</v>
      </c>
      <c r="S2008" s="18">
        <f t="shared" si="324"/>
        <v>875.26514503659223</v>
      </c>
    </row>
    <row r="2009" spans="1:19" ht="18.75" customHeight="1" x14ac:dyDescent="0.25">
      <c r="A2009" s="14">
        <f t="shared" si="328"/>
        <v>2003</v>
      </c>
      <c r="B2009" s="31" t="s">
        <v>1739</v>
      </c>
      <c r="C2009" s="15" t="s">
        <v>3</v>
      </c>
      <c r="D2009" s="31" t="s">
        <v>1708</v>
      </c>
      <c r="E2009" s="31"/>
      <c r="F2009" s="73" t="s">
        <v>4</v>
      </c>
      <c r="G2009" s="32">
        <v>42444</v>
      </c>
      <c r="H2009" s="29">
        <v>1074.9402739726027</v>
      </c>
      <c r="I2009" s="17">
        <v>0</v>
      </c>
      <c r="J2009" s="17">
        <v>0</v>
      </c>
      <c r="K2009" s="17">
        <f t="shared" si="325"/>
        <v>1074.9402739726027</v>
      </c>
      <c r="L2009" s="23">
        <f t="shared" si="330"/>
        <v>53.747013698630134</v>
      </c>
      <c r="M2009" s="33">
        <v>10</v>
      </c>
      <c r="N2009" s="18">
        <f t="shared" si="326"/>
        <v>5.0520547945205481</v>
      </c>
      <c r="O2009" s="23">
        <v>512.77512328767125</v>
      </c>
      <c r="P2009" s="18">
        <f t="shared" si="327"/>
        <v>5.5534246575342463</v>
      </c>
      <c r="Q2009" s="18">
        <f t="shared" si="329"/>
        <v>51.199552501407354</v>
      </c>
      <c r="R2009" s="18">
        <f t="shared" si="323"/>
        <v>563.97467578907856</v>
      </c>
      <c r="S2009" s="18">
        <f t="shared" si="324"/>
        <v>510.96559818352409</v>
      </c>
    </row>
    <row r="2010" spans="1:19" ht="18.75" customHeight="1" x14ac:dyDescent="0.25">
      <c r="A2010" s="14">
        <f t="shared" si="328"/>
        <v>2004</v>
      </c>
      <c r="B2010" s="31" t="s">
        <v>1740</v>
      </c>
      <c r="C2010" s="15" t="s">
        <v>3</v>
      </c>
      <c r="D2010" s="31" t="s">
        <v>1708</v>
      </c>
      <c r="E2010" s="31"/>
      <c r="F2010" s="73" t="s">
        <v>4</v>
      </c>
      <c r="G2010" s="32">
        <v>42444</v>
      </c>
      <c r="H2010" s="29">
        <v>5971.8904109589039</v>
      </c>
      <c r="I2010" s="17">
        <v>0</v>
      </c>
      <c r="J2010" s="17">
        <v>0</v>
      </c>
      <c r="K2010" s="17">
        <f t="shared" si="325"/>
        <v>5971.8904109589039</v>
      </c>
      <c r="L2010" s="23">
        <f t="shared" si="330"/>
        <v>298.59452054794519</v>
      </c>
      <c r="M2010" s="33">
        <v>10</v>
      </c>
      <c r="N2010" s="18">
        <f t="shared" si="326"/>
        <v>5.0520547945205481</v>
      </c>
      <c r="O2010" s="23">
        <v>2848.7506849315068</v>
      </c>
      <c r="P2010" s="18">
        <f t="shared" si="327"/>
        <v>5.5534246575342463</v>
      </c>
      <c r="Q2010" s="18">
        <f t="shared" si="329"/>
        <v>284.44195834115192</v>
      </c>
      <c r="R2010" s="18">
        <f t="shared" si="323"/>
        <v>3133.1926432726586</v>
      </c>
      <c r="S2010" s="18">
        <f t="shared" si="324"/>
        <v>2838.6977676862452</v>
      </c>
    </row>
    <row r="2011" spans="1:19" ht="18.75" customHeight="1" x14ac:dyDescent="0.25">
      <c r="A2011" s="14">
        <f t="shared" si="328"/>
        <v>2005</v>
      </c>
      <c r="B2011" s="31" t="s">
        <v>1741</v>
      </c>
      <c r="C2011" s="15" t="s">
        <v>3</v>
      </c>
      <c r="D2011" s="31" t="s">
        <v>1708</v>
      </c>
      <c r="E2011" s="31"/>
      <c r="F2011" s="73" t="s">
        <v>4</v>
      </c>
      <c r="G2011" s="32">
        <v>42444</v>
      </c>
      <c r="H2011" s="29">
        <v>80421.457534246569</v>
      </c>
      <c r="I2011" s="17">
        <v>0</v>
      </c>
      <c r="J2011" s="17">
        <v>0</v>
      </c>
      <c r="K2011" s="17">
        <f t="shared" si="325"/>
        <v>80421.457534246569</v>
      </c>
      <c r="L2011" s="23">
        <f t="shared" si="330"/>
        <v>4021.0728767123287</v>
      </c>
      <c r="M2011" s="33">
        <v>10</v>
      </c>
      <c r="N2011" s="18">
        <f t="shared" si="326"/>
        <v>5.0520547945205481</v>
      </c>
      <c r="O2011" s="23">
        <v>38363.175890410959</v>
      </c>
      <c r="P2011" s="18">
        <f t="shared" si="327"/>
        <v>5.5534246575342463</v>
      </c>
      <c r="Q2011" s="18">
        <f t="shared" si="329"/>
        <v>3830.4850389941798</v>
      </c>
      <c r="R2011" s="18">
        <f t="shared" si="323"/>
        <v>42193.660929405138</v>
      </c>
      <c r="S2011" s="18">
        <f t="shared" si="324"/>
        <v>38227.796604841431</v>
      </c>
    </row>
    <row r="2012" spans="1:19" ht="18.75" customHeight="1" x14ac:dyDescent="0.25">
      <c r="A2012" s="14">
        <f t="shared" si="328"/>
        <v>2006</v>
      </c>
      <c r="B2012" s="31" t="s">
        <v>1742</v>
      </c>
      <c r="C2012" s="15" t="s">
        <v>3</v>
      </c>
      <c r="D2012" s="31" t="s">
        <v>1708</v>
      </c>
      <c r="E2012" s="31"/>
      <c r="F2012" s="73" t="s">
        <v>4</v>
      </c>
      <c r="G2012" s="32">
        <v>42078</v>
      </c>
      <c r="H2012" s="29">
        <v>320165.28938082187</v>
      </c>
      <c r="I2012" s="17">
        <v>0</v>
      </c>
      <c r="J2012" s="17">
        <v>0</v>
      </c>
      <c r="K2012" s="17">
        <f t="shared" si="325"/>
        <v>320165.28938082187</v>
      </c>
      <c r="L2012" s="23">
        <f t="shared" si="330"/>
        <v>16008.264469041094</v>
      </c>
      <c r="M2012" s="33">
        <v>10</v>
      </c>
      <c r="N2012" s="18">
        <f t="shared" si="326"/>
        <v>6.0547945205479454</v>
      </c>
      <c r="O2012" s="23">
        <v>188334.90089424656</v>
      </c>
      <c r="P2012" s="18">
        <f t="shared" si="327"/>
        <v>6.5561643835616437</v>
      </c>
      <c r="Q2012" s="18">
        <f t="shared" si="329"/>
        <v>15249.516591467354</v>
      </c>
      <c r="R2012" s="18">
        <f t="shared" si="323"/>
        <v>203584.4174857139</v>
      </c>
      <c r="S2012" s="18">
        <f t="shared" si="324"/>
        <v>116580.87189510796</v>
      </c>
    </row>
    <row r="2013" spans="1:19" ht="18.75" customHeight="1" x14ac:dyDescent="0.25">
      <c r="A2013" s="14">
        <f t="shared" si="328"/>
        <v>2007</v>
      </c>
      <c r="B2013" s="31" t="s">
        <v>1743</v>
      </c>
      <c r="C2013" s="15" t="s">
        <v>3</v>
      </c>
      <c r="D2013" s="31" t="s">
        <v>1708</v>
      </c>
      <c r="E2013" s="31"/>
      <c r="F2013" s="73" t="s">
        <v>4</v>
      </c>
      <c r="G2013" s="32">
        <v>42078</v>
      </c>
      <c r="H2013" s="29">
        <v>483795.57384986302</v>
      </c>
      <c r="I2013" s="17">
        <v>0</v>
      </c>
      <c r="J2013" s="17">
        <v>0</v>
      </c>
      <c r="K2013" s="17">
        <f t="shared" si="325"/>
        <v>483795.57384986302</v>
      </c>
      <c r="L2013" s="23">
        <f t="shared" si="330"/>
        <v>24189.778692493153</v>
      </c>
      <c r="M2013" s="33">
        <v>10</v>
      </c>
      <c r="N2013" s="18">
        <f t="shared" si="326"/>
        <v>6.0547945205479454</v>
      </c>
      <c r="O2013" s="23">
        <v>401560.71917183558</v>
      </c>
      <c r="P2013" s="18">
        <f t="shared" si="327"/>
        <v>6.5561643835616437</v>
      </c>
      <c r="Q2013" s="18">
        <f t="shared" si="329"/>
        <v>23043.249455835241</v>
      </c>
      <c r="R2013" s="18">
        <f t="shared" si="323"/>
        <v>424603.96862767084</v>
      </c>
      <c r="S2013" s="18">
        <f t="shared" si="324"/>
        <v>59191.605222192185</v>
      </c>
    </row>
    <row r="2014" spans="1:19" ht="18.75" customHeight="1" x14ac:dyDescent="0.25">
      <c r="A2014" s="14">
        <f t="shared" si="328"/>
        <v>2008</v>
      </c>
      <c r="B2014" s="31" t="s">
        <v>1744</v>
      </c>
      <c r="C2014" s="15" t="s">
        <v>3</v>
      </c>
      <c r="D2014" s="31" t="s">
        <v>1708</v>
      </c>
      <c r="E2014" s="31"/>
      <c r="F2014" s="73" t="s">
        <v>4</v>
      </c>
      <c r="G2014" s="32">
        <v>42078</v>
      </c>
      <c r="H2014" s="29">
        <v>455810.36632219178</v>
      </c>
      <c r="I2014" s="17">
        <v>0</v>
      </c>
      <c r="J2014" s="17">
        <v>0</v>
      </c>
      <c r="K2014" s="17">
        <f t="shared" si="325"/>
        <v>455810.36632219178</v>
      </c>
      <c r="L2014" s="23">
        <f t="shared" si="330"/>
        <v>22790.518316109592</v>
      </c>
      <c r="M2014" s="33">
        <v>10</v>
      </c>
      <c r="N2014" s="18">
        <f t="shared" si="326"/>
        <v>6.0547945205479454</v>
      </c>
      <c r="O2014" s="23">
        <v>366983.26966263016</v>
      </c>
      <c r="P2014" s="18">
        <f t="shared" si="327"/>
        <v>6.5561643835616437</v>
      </c>
      <c r="Q2014" s="18">
        <f t="shared" si="329"/>
        <v>21710.310187702187</v>
      </c>
      <c r="R2014" s="18">
        <f t="shared" si="323"/>
        <v>388693.57985033235</v>
      </c>
      <c r="S2014" s="18">
        <f t="shared" si="324"/>
        <v>67116.786471859436</v>
      </c>
    </row>
    <row r="2015" spans="1:19" ht="18.75" customHeight="1" x14ac:dyDescent="0.25">
      <c r="A2015" s="14">
        <f t="shared" si="328"/>
        <v>2009</v>
      </c>
      <c r="B2015" s="31" t="s">
        <v>1745</v>
      </c>
      <c r="C2015" s="15" t="s">
        <v>3</v>
      </c>
      <c r="D2015" s="31" t="s">
        <v>1708</v>
      </c>
      <c r="E2015" s="31"/>
      <c r="F2015" s="73" t="s">
        <v>4</v>
      </c>
      <c r="G2015" s="32">
        <v>42078</v>
      </c>
      <c r="H2015" s="29">
        <v>339369.6565172603</v>
      </c>
      <c r="I2015" s="17">
        <v>0</v>
      </c>
      <c r="J2015" s="17">
        <v>0</v>
      </c>
      <c r="K2015" s="17">
        <f t="shared" si="325"/>
        <v>339369.6565172603</v>
      </c>
      <c r="L2015" s="23">
        <f t="shared" si="330"/>
        <v>16968.482825863015</v>
      </c>
      <c r="M2015" s="33">
        <v>10</v>
      </c>
      <c r="N2015" s="18">
        <f t="shared" si="326"/>
        <v>6.0547945205479454</v>
      </c>
      <c r="O2015" s="23">
        <v>175430.51810871231</v>
      </c>
      <c r="P2015" s="18">
        <f t="shared" si="327"/>
        <v>6.5561643835616437</v>
      </c>
      <c r="Q2015" s="18">
        <f t="shared" si="329"/>
        <v>16164.22322891114</v>
      </c>
      <c r="R2015" s="18">
        <f t="shared" si="323"/>
        <v>191594.74133762345</v>
      </c>
      <c r="S2015" s="18">
        <f t="shared" si="324"/>
        <v>147774.91517963685</v>
      </c>
    </row>
    <row r="2016" spans="1:19" ht="18.75" customHeight="1" x14ac:dyDescent="0.25">
      <c r="A2016" s="14">
        <f t="shared" si="328"/>
        <v>2010</v>
      </c>
      <c r="B2016" s="31" t="s">
        <v>1746</v>
      </c>
      <c r="C2016" s="15" t="s">
        <v>3</v>
      </c>
      <c r="D2016" s="31" t="s">
        <v>1708</v>
      </c>
      <c r="E2016" s="31"/>
      <c r="F2016" s="73" t="s">
        <v>4</v>
      </c>
      <c r="G2016" s="32">
        <v>42078</v>
      </c>
      <c r="H2016" s="29">
        <v>283379.218870137</v>
      </c>
      <c r="I2016" s="17">
        <v>0</v>
      </c>
      <c r="J2016" s="17">
        <v>0</v>
      </c>
      <c r="K2016" s="17">
        <f t="shared" si="325"/>
        <v>283379.218870137</v>
      </c>
      <c r="L2016" s="23">
        <f t="shared" si="330"/>
        <v>14168.960943506851</v>
      </c>
      <c r="M2016" s="33">
        <v>10</v>
      </c>
      <c r="N2016" s="18">
        <f t="shared" si="326"/>
        <v>6.0547945205479454</v>
      </c>
      <c r="O2016" s="23">
        <v>146487.35452016443</v>
      </c>
      <c r="P2016" s="18">
        <f t="shared" si="327"/>
        <v>6.5561643835616437</v>
      </c>
      <c r="Q2016" s="18">
        <f t="shared" si="329"/>
        <v>13497.391013855693</v>
      </c>
      <c r="R2016" s="18">
        <f t="shared" si="323"/>
        <v>159984.74553402013</v>
      </c>
      <c r="S2016" s="18">
        <f t="shared" si="324"/>
        <v>123394.47333611688</v>
      </c>
    </row>
    <row r="2017" spans="1:19" ht="18.75" customHeight="1" x14ac:dyDescent="0.25">
      <c r="A2017" s="14">
        <f t="shared" si="328"/>
        <v>2011</v>
      </c>
      <c r="B2017" s="31" t="s">
        <v>1747</v>
      </c>
      <c r="C2017" s="15" t="s">
        <v>3</v>
      </c>
      <c r="D2017" s="31" t="s">
        <v>1708</v>
      </c>
      <c r="E2017" s="31"/>
      <c r="F2017" s="73" t="s">
        <v>4</v>
      </c>
      <c r="G2017" s="32">
        <v>42078</v>
      </c>
      <c r="H2017" s="29">
        <v>249781.82049095893</v>
      </c>
      <c r="I2017" s="17">
        <v>0</v>
      </c>
      <c r="J2017" s="17">
        <v>0</v>
      </c>
      <c r="K2017" s="17">
        <f t="shared" si="325"/>
        <v>249781.82049095893</v>
      </c>
      <c r="L2017" s="23">
        <f t="shared" si="330"/>
        <v>12489.091024547946</v>
      </c>
      <c r="M2017" s="33">
        <v>10</v>
      </c>
      <c r="N2017" s="18">
        <f t="shared" si="326"/>
        <v>6.0547945205479454</v>
      </c>
      <c r="O2017" s="23">
        <v>129119.8353811507</v>
      </c>
      <c r="P2017" s="18">
        <f t="shared" si="327"/>
        <v>6.5561643835616437</v>
      </c>
      <c r="Q2017" s="18">
        <f t="shared" si="329"/>
        <v>11897.142326672105</v>
      </c>
      <c r="R2017" s="18">
        <f t="shared" si="323"/>
        <v>141016.97770782281</v>
      </c>
      <c r="S2017" s="18">
        <f t="shared" si="324"/>
        <v>108764.84278313612</v>
      </c>
    </row>
    <row r="2018" spans="1:19" ht="18.75" customHeight="1" x14ac:dyDescent="0.25">
      <c r="A2018" s="14">
        <f t="shared" si="328"/>
        <v>2012</v>
      </c>
      <c r="B2018" s="31" t="s">
        <v>1748</v>
      </c>
      <c r="C2018" s="15" t="s">
        <v>3</v>
      </c>
      <c r="D2018" s="31" t="s">
        <v>1708</v>
      </c>
      <c r="E2018" s="31"/>
      <c r="F2018" s="73" t="s">
        <v>4</v>
      </c>
      <c r="G2018" s="32">
        <v>42078</v>
      </c>
      <c r="H2018" s="29">
        <v>212449.19471452056</v>
      </c>
      <c r="I2018" s="17">
        <v>0</v>
      </c>
      <c r="J2018" s="17">
        <v>0</v>
      </c>
      <c r="K2018" s="17">
        <f t="shared" si="325"/>
        <v>212449.19471452056</v>
      </c>
      <c r="L2018" s="23">
        <f t="shared" si="330"/>
        <v>10622.459735726028</v>
      </c>
      <c r="M2018" s="33">
        <v>10</v>
      </c>
      <c r="N2018" s="18">
        <f t="shared" si="326"/>
        <v>6.0547945205479454</v>
      </c>
      <c r="O2018" s="23">
        <v>109821.46336542467</v>
      </c>
      <c r="P2018" s="18">
        <f t="shared" si="327"/>
        <v>6.5561643835616437</v>
      </c>
      <c r="Q2018" s="18">
        <f t="shared" si="329"/>
        <v>10118.984246882019</v>
      </c>
      <c r="R2018" s="18">
        <f t="shared" si="323"/>
        <v>119940.44761230669</v>
      </c>
      <c r="S2018" s="18">
        <f t="shared" si="324"/>
        <v>92508.747102213878</v>
      </c>
    </row>
    <row r="2019" spans="1:19" ht="18.75" customHeight="1" x14ac:dyDescent="0.25">
      <c r="A2019" s="14">
        <f t="shared" si="328"/>
        <v>2013</v>
      </c>
      <c r="B2019" s="31" t="s">
        <v>1749</v>
      </c>
      <c r="C2019" s="15" t="s">
        <v>3</v>
      </c>
      <c r="D2019" s="31" t="s">
        <v>1708</v>
      </c>
      <c r="E2019" s="31"/>
      <c r="F2019" s="73" t="s">
        <v>4</v>
      </c>
      <c r="G2019" s="32">
        <v>42078</v>
      </c>
      <c r="H2019" s="29">
        <v>120150.38464657533</v>
      </c>
      <c r="I2019" s="17">
        <v>0</v>
      </c>
      <c r="J2019" s="17">
        <v>0</v>
      </c>
      <c r="K2019" s="17">
        <f t="shared" si="325"/>
        <v>120150.38464657533</v>
      </c>
      <c r="L2019" s="23">
        <f t="shared" si="330"/>
        <v>6007.5192323287665</v>
      </c>
      <c r="M2019" s="33">
        <v>10</v>
      </c>
      <c r="N2019" s="18">
        <f t="shared" si="326"/>
        <v>6.0547945205479454</v>
      </c>
      <c r="O2019" s="23">
        <v>62109.395535890406</v>
      </c>
      <c r="P2019" s="18">
        <f t="shared" si="327"/>
        <v>6.5561643835616437</v>
      </c>
      <c r="Q2019" s="18">
        <f t="shared" si="329"/>
        <v>5722.7792796731801</v>
      </c>
      <c r="R2019" s="18">
        <f t="shared" si="323"/>
        <v>67832.174815563587</v>
      </c>
      <c r="S2019" s="18">
        <f t="shared" si="324"/>
        <v>52318.209831011744</v>
      </c>
    </row>
    <row r="2020" spans="1:19" ht="18.75" customHeight="1" x14ac:dyDescent="0.25">
      <c r="A2020" s="14">
        <f t="shared" si="328"/>
        <v>2014</v>
      </c>
      <c r="B2020" s="31" t="s">
        <v>1750</v>
      </c>
      <c r="C2020" s="15" t="s">
        <v>3</v>
      </c>
      <c r="D2020" s="31" t="s">
        <v>1708</v>
      </c>
      <c r="E2020" s="31"/>
      <c r="F2020" s="73" t="s">
        <v>4</v>
      </c>
      <c r="G2020" s="32">
        <v>42078</v>
      </c>
      <c r="H2020" s="29">
        <v>99974.297344657534</v>
      </c>
      <c r="I2020" s="17">
        <v>0</v>
      </c>
      <c r="J2020" s="17">
        <v>0</v>
      </c>
      <c r="K2020" s="17">
        <f t="shared" si="325"/>
        <v>99974.297344657534</v>
      </c>
      <c r="L2020" s="23">
        <f t="shared" si="330"/>
        <v>4998.7148672328767</v>
      </c>
      <c r="M2020" s="33">
        <v>10</v>
      </c>
      <c r="N2020" s="18">
        <f t="shared" si="326"/>
        <v>6.0547945205479454</v>
      </c>
      <c r="O2020" s="23">
        <v>51679.76112158905</v>
      </c>
      <c r="P2020" s="18">
        <f t="shared" si="327"/>
        <v>6.5561643835616437</v>
      </c>
      <c r="Q2020" s="18">
        <f t="shared" si="329"/>
        <v>4761.7894776352605</v>
      </c>
      <c r="R2020" s="18">
        <f t="shared" si="323"/>
        <v>56441.550599224312</v>
      </c>
      <c r="S2020" s="18">
        <f t="shared" si="324"/>
        <v>43532.746745433222</v>
      </c>
    </row>
    <row r="2021" spans="1:19" ht="18.75" customHeight="1" x14ac:dyDescent="0.25">
      <c r="A2021" s="14">
        <f t="shared" si="328"/>
        <v>2015</v>
      </c>
      <c r="B2021" s="31" t="s">
        <v>1751</v>
      </c>
      <c r="C2021" s="15" t="s">
        <v>3</v>
      </c>
      <c r="D2021" s="31" t="s">
        <v>1708</v>
      </c>
      <c r="E2021" s="31"/>
      <c r="F2021" s="73" t="s">
        <v>4</v>
      </c>
      <c r="G2021" s="32">
        <v>42078</v>
      </c>
      <c r="H2021" s="29">
        <v>90005.479452054802</v>
      </c>
      <c r="I2021" s="17">
        <v>0</v>
      </c>
      <c r="J2021" s="17">
        <v>0</v>
      </c>
      <c r="K2021" s="17">
        <f t="shared" si="325"/>
        <v>90005.479452054802</v>
      </c>
      <c r="L2021" s="23">
        <f t="shared" si="330"/>
        <v>4500.2739726027403</v>
      </c>
      <c r="M2021" s="33">
        <v>10</v>
      </c>
      <c r="N2021" s="18">
        <f t="shared" si="326"/>
        <v>6.0547945205479454</v>
      </c>
      <c r="O2021" s="23">
        <v>46526.575342465752</v>
      </c>
      <c r="P2021" s="18">
        <f t="shared" si="327"/>
        <v>6.5561643835616437</v>
      </c>
      <c r="Q2021" s="18">
        <f t="shared" si="329"/>
        <v>4286.9733158191002</v>
      </c>
      <c r="R2021" s="18">
        <f t="shared" si="323"/>
        <v>50813.548658284853</v>
      </c>
      <c r="S2021" s="18">
        <f t="shared" si="324"/>
        <v>39191.930793769949</v>
      </c>
    </row>
    <row r="2022" spans="1:19" ht="18.75" customHeight="1" x14ac:dyDescent="0.25">
      <c r="A2022" s="14">
        <f t="shared" si="328"/>
        <v>2016</v>
      </c>
      <c r="B2022" s="31" t="s">
        <v>1752</v>
      </c>
      <c r="C2022" s="15" t="s">
        <v>3</v>
      </c>
      <c r="D2022" s="31" t="s">
        <v>1708</v>
      </c>
      <c r="E2022" s="31"/>
      <c r="F2022" s="73" t="s">
        <v>4</v>
      </c>
      <c r="G2022" s="32">
        <v>42078</v>
      </c>
      <c r="H2022" s="29">
        <v>89023.987699726029</v>
      </c>
      <c r="I2022" s="17">
        <v>0</v>
      </c>
      <c r="J2022" s="17">
        <v>0</v>
      </c>
      <c r="K2022" s="17">
        <f t="shared" si="325"/>
        <v>89023.987699726029</v>
      </c>
      <c r="L2022" s="23">
        <f t="shared" si="330"/>
        <v>4451.199384986302</v>
      </c>
      <c r="M2022" s="33">
        <v>10</v>
      </c>
      <c r="N2022" s="18">
        <f t="shared" si="326"/>
        <v>6.0547945205479454</v>
      </c>
      <c r="O2022" s="23">
        <v>46019.212343671243</v>
      </c>
      <c r="P2022" s="18">
        <f t="shared" si="327"/>
        <v>6.5561643835616437</v>
      </c>
      <c r="Q2022" s="18">
        <f t="shared" si="329"/>
        <v>4240.2247292047559</v>
      </c>
      <c r="R2022" s="18">
        <f t="shared" si="323"/>
        <v>50259.437072875997</v>
      </c>
      <c r="S2022" s="18">
        <f t="shared" si="324"/>
        <v>38764.550626850032</v>
      </c>
    </row>
    <row r="2023" spans="1:19" ht="18.75" customHeight="1" x14ac:dyDescent="0.25">
      <c r="A2023" s="14">
        <f t="shared" si="328"/>
        <v>2017</v>
      </c>
      <c r="B2023" s="31" t="s">
        <v>1753</v>
      </c>
      <c r="C2023" s="15" t="s">
        <v>3</v>
      </c>
      <c r="D2023" s="31" t="s">
        <v>1708</v>
      </c>
      <c r="E2023" s="31"/>
      <c r="F2023" s="73" t="s">
        <v>4</v>
      </c>
      <c r="G2023" s="32">
        <v>42078</v>
      </c>
      <c r="H2023" s="29">
        <v>81794.333564931498</v>
      </c>
      <c r="I2023" s="17">
        <v>0</v>
      </c>
      <c r="J2023" s="17">
        <v>0</v>
      </c>
      <c r="K2023" s="17">
        <f t="shared" si="325"/>
        <v>81794.333564931498</v>
      </c>
      <c r="L2023" s="23">
        <f t="shared" si="330"/>
        <v>4089.7166782465752</v>
      </c>
      <c r="M2023" s="33">
        <v>10</v>
      </c>
      <c r="N2023" s="18">
        <f t="shared" si="326"/>
        <v>6.0547945205479454</v>
      </c>
      <c r="O2023" s="23">
        <v>42281.983789917809</v>
      </c>
      <c r="P2023" s="18">
        <f t="shared" si="327"/>
        <v>6.5561643835616437</v>
      </c>
      <c r="Q2023" s="18">
        <f t="shared" si="329"/>
        <v>3895.8753124009122</v>
      </c>
      <c r="R2023" s="18">
        <f t="shared" si="323"/>
        <v>46177.859102318718</v>
      </c>
      <c r="S2023" s="18">
        <f t="shared" si="324"/>
        <v>35616.474462612779</v>
      </c>
    </row>
    <row r="2024" spans="1:19" ht="18.75" customHeight="1" x14ac:dyDescent="0.25">
      <c r="A2024" s="14">
        <f t="shared" si="328"/>
        <v>2018</v>
      </c>
      <c r="B2024" s="31" t="s">
        <v>1754</v>
      </c>
      <c r="C2024" s="15" t="s">
        <v>3</v>
      </c>
      <c r="D2024" s="31" t="s">
        <v>1708</v>
      </c>
      <c r="E2024" s="31"/>
      <c r="F2024" s="73" t="s">
        <v>4</v>
      </c>
      <c r="G2024" s="32">
        <v>42078</v>
      </c>
      <c r="H2024" s="29">
        <v>46638.36430136986</v>
      </c>
      <c r="I2024" s="17">
        <v>0</v>
      </c>
      <c r="J2024" s="17">
        <v>0</v>
      </c>
      <c r="K2024" s="17">
        <f t="shared" si="325"/>
        <v>46638.36430136986</v>
      </c>
      <c r="L2024" s="23">
        <f t="shared" si="330"/>
        <v>2331.9182150684933</v>
      </c>
      <c r="M2024" s="33">
        <v>10</v>
      </c>
      <c r="N2024" s="18">
        <f t="shared" si="326"/>
        <v>6.0547945205479454</v>
      </c>
      <c r="O2024" s="23">
        <v>24108.79186164384</v>
      </c>
      <c r="P2024" s="18">
        <f t="shared" si="327"/>
        <v>6.5561643835616437</v>
      </c>
      <c r="Q2024" s="18">
        <f t="shared" si="329"/>
        <v>2221.3916804912724</v>
      </c>
      <c r="R2024" s="18">
        <f t="shared" si="323"/>
        <v>26330.183542135113</v>
      </c>
      <c r="S2024" s="18">
        <f t="shared" si="324"/>
        <v>20308.180759234747</v>
      </c>
    </row>
    <row r="2025" spans="1:19" ht="18.75" customHeight="1" x14ac:dyDescent="0.25">
      <c r="A2025" s="14">
        <f t="shared" si="328"/>
        <v>2019</v>
      </c>
      <c r="B2025" s="31" t="s">
        <v>1755</v>
      </c>
      <c r="C2025" s="15" t="s">
        <v>3</v>
      </c>
      <c r="D2025" s="31" t="s">
        <v>1708</v>
      </c>
      <c r="E2025" s="31"/>
      <c r="F2025" s="73" t="s">
        <v>4</v>
      </c>
      <c r="G2025" s="32">
        <v>41988</v>
      </c>
      <c r="H2025" s="29">
        <v>33568.797835616439</v>
      </c>
      <c r="I2025" s="17">
        <v>0</v>
      </c>
      <c r="J2025" s="17">
        <v>0</v>
      </c>
      <c r="K2025" s="17">
        <f t="shared" si="325"/>
        <v>33568.797835616439</v>
      </c>
      <c r="L2025" s="23">
        <f t="shared" si="330"/>
        <v>1678.4398917808221</v>
      </c>
      <c r="M2025" s="33">
        <v>10</v>
      </c>
      <c r="N2025" s="18">
        <f t="shared" si="326"/>
        <v>6.3013698630136989</v>
      </c>
      <c r="O2025" s="23">
        <v>17726.721454794526</v>
      </c>
      <c r="P2025" s="18">
        <f t="shared" si="327"/>
        <v>6.8027397260273972</v>
      </c>
      <c r="Q2025" s="18">
        <f t="shared" si="329"/>
        <v>1598.8864393758668</v>
      </c>
      <c r="R2025" s="18">
        <f t="shared" si="323"/>
        <v>19325.607894170393</v>
      </c>
      <c r="S2025" s="18">
        <f t="shared" si="324"/>
        <v>14243.189941446046</v>
      </c>
    </row>
    <row r="2026" spans="1:19" ht="18.75" customHeight="1" x14ac:dyDescent="0.25">
      <c r="A2026" s="14">
        <f t="shared" si="328"/>
        <v>2020</v>
      </c>
      <c r="B2026" s="31" t="s">
        <v>1756</v>
      </c>
      <c r="C2026" s="15" t="s">
        <v>3</v>
      </c>
      <c r="D2026" s="31" t="s">
        <v>1708</v>
      </c>
      <c r="E2026" s="31"/>
      <c r="F2026" s="73" t="s">
        <v>4</v>
      </c>
      <c r="G2026" s="32">
        <v>42078</v>
      </c>
      <c r="H2026" s="29">
        <v>28801.753424657534</v>
      </c>
      <c r="I2026" s="17">
        <v>0</v>
      </c>
      <c r="J2026" s="17">
        <v>0</v>
      </c>
      <c r="K2026" s="17">
        <f t="shared" si="325"/>
        <v>28801.753424657534</v>
      </c>
      <c r="L2026" s="23">
        <f t="shared" si="330"/>
        <v>1440.0876712328768</v>
      </c>
      <c r="M2026" s="33">
        <v>10</v>
      </c>
      <c r="N2026" s="18">
        <f t="shared" si="326"/>
        <v>6.0547945205479454</v>
      </c>
      <c r="O2026" s="23">
        <v>14888.504109589041</v>
      </c>
      <c r="P2026" s="18">
        <f t="shared" si="327"/>
        <v>6.5561643835616437</v>
      </c>
      <c r="Q2026" s="18">
        <f t="shared" si="329"/>
        <v>1371.8314610621121</v>
      </c>
      <c r="R2026" s="18">
        <f t="shared" si="323"/>
        <v>16260.335570651154</v>
      </c>
      <c r="S2026" s="18">
        <f t="shared" si="324"/>
        <v>12541.41785400638</v>
      </c>
    </row>
    <row r="2027" spans="1:19" ht="18.75" customHeight="1" x14ac:dyDescent="0.25">
      <c r="A2027" s="14">
        <f t="shared" si="328"/>
        <v>2021</v>
      </c>
      <c r="B2027" s="31" t="s">
        <v>1757</v>
      </c>
      <c r="C2027" s="15" t="s">
        <v>3</v>
      </c>
      <c r="D2027" s="31" t="s">
        <v>1708</v>
      </c>
      <c r="E2027" s="31"/>
      <c r="F2027" s="73" t="s">
        <v>4</v>
      </c>
      <c r="G2027" s="32">
        <v>42050</v>
      </c>
      <c r="H2027" s="29">
        <v>23229.416658082191</v>
      </c>
      <c r="I2027" s="17">
        <v>0</v>
      </c>
      <c r="J2027" s="17">
        <v>0</v>
      </c>
      <c r="K2027" s="17">
        <f t="shared" si="325"/>
        <v>23229.416658082191</v>
      </c>
      <c r="L2027" s="23">
        <f t="shared" si="330"/>
        <v>1161.4708329041096</v>
      </c>
      <c r="M2027" s="33">
        <v>10</v>
      </c>
      <c r="N2027" s="18">
        <f t="shared" si="326"/>
        <v>6.1315068493150688</v>
      </c>
      <c r="O2027" s="23">
        <v>12087.052632657533</v>
      </c>
      <c r="P2027" s="18">
        <f t="shared" si="327"/>
        <v>6.6328767123287671</v>
      </c>
      <c r="Q2027" s="18">
        <f t="shared" si="329"/>
        <v>1106.4202975363248</v>
      </c>
      <c r="R2027" s="18">
        <f t="shared" si="323"/>
        <v>13193.472930193857</v>
      </c>
      <c r="S2027" s="18">
        <f t="shared" si="324"/>
        <v>10035.943727888334</v>
      </c>
    </row>
    <row r="2028" spans="1:19" ht="18.75" customHeight="1" x14ac:dyDescent="0.25">
      <c r="A2028" s="14">
        <f t="shared" si="328"/>
        <v>2022</v>
      </c>
      <c r="B2028" s="31" t="s">
        <v>1758</v>
      </c>
      <c r="C2028" s="15" t="s">
        <v>3</v>
      </c>
      <c r="D2028" s="31" t="s">
        <v>1708</v>
      </c>
      <c r="E2028" s="31"/>
      <c r="F2028" s="73" t="s">
        <v>4</v>
      </c>
      <c r="G2028" s="32">
        <v>42078</v>
      </c>
      <c r="H2028" s="29">
        <v>14364.874520547946</v>
      </c>
      <c r="I2028" s="17">
        <v>0</v>
      </c>
      <c r="J2028" s="17">
        <v>0</v>
      </c>
      <c r="K2028" s="17">
        <f t="shared" si="325"/>
        <v>14364.874520547946</v>
      </c>
      <c r="L2028" s="23">
        <f t="shared" si="330"/>
        <v>718.24372602739732</v>
      </c>
      <c r="M2028" s="33">
        <v>10</v>
      </c>
      <c r="N2028" s="18">
        <f t="shared" si="326"/>
        <v>6.0547945205479454</v>
      </c>
      <c r="O2028" s="23">
        <v>7425.641424657535</v>
      </c>
      <c r="P2028" s="18">
        <f t="shared" si="327"/>
        <v>6.5561643835616437</v>
      </c>
      <c r="Q2028" s="18">
        <f t="shared" si="329"/>
        <v>684.20094120472834</v>
      </c>
      <c r="R2028" s="18">
        <f t="shared" si="323"/>
        <v>8109.8423658622633</v>
      </c>
      <c r="S2028" s="18">
        <f t="shared" si="324"/>
        <v>6255.0321546856831</v>
      </c>
    </row>
    <row r="2029" spans="1:19" ht="18.75" customHeight="1" x14ac:dyDescent="0.25">
      <c r="A2029" s="14">
        <f t="shared" si="328"/>
        <v>2023</v>
      </c>
      <c r="B2029" s="31" t="s">
        <v>1759</v>
      </c>
      <c r="C2029" s="15" t="s">
        <v>3</v>
      </c>
      <c r="D2029" s="31" t="s">
        <v>1708</v>
      </c>
      <c r="E2029" s="31"/>
      <c r="F2029" s="73" t="s">
        <v>4</v>
      </c>
      <c r="G2029" s="32">
        <v>42019</v>
      </c>
      <c r="H2029" s="29">
        <v>49157.633553561638</v>
      </c>
      <c r="I2029" s="17">
        <v>0</v>
      </c>
      <c r="J2029" s="17">
        <v>0</v>
      </c>
      <c r="K2029" s="17">
        <f t="shared" si="325"/>
        <v>49157.633553561638</v>
      </c>
      <c r="L2029" s="23">
        <f t="shared" si="330"/>
        <v>2457.8816776780823</v>
      </c>
      <c r="M2029" s="33">
        <v>10</v>
      </c>
      <c r="N2029" s="18">
        <f t="shared" si="326"/>
        <v>6.2164383561643834</v>
      </c>
      <c r="O2029" s="23">
        <v>25766.826538643836</v>
      </c>
      <c r="P2029" s="18">
        <f t="shared" si="327"/>
        <v>6.7178082191780826</v>
      </c>
      <c r="Q2029" s="18">
        <f t="shared" si="329"/>
        <v>2341.3848200785478</v>
      </c>
      <c r="R2029" s="18">
        <f t="shared" si="323"/>
        <v>28108.211358722383</v>
      </c>
      <c r="S2029" s="18">
        <f t="shared" si="324"/>
        <v>21049.422194839255</v>
      </c>
    </row>
    <row r="2030" spans="1:19" ht="18.75" customHeight="1" x14ac:dyDescent="0.25">
      <c r="A2030" s="14">
        <f t="shared" si="328"/>
        <v>2024</v>
      </c>
      <c r="B2030" s="31" t="s">
        <v>1760</v>
      </c>
      <c r="C2030" s="15" t="s">
        <v>3</v>
      </c>
      <c r="D2030" s="31" t="s">
        <v>1708</v>
      </c>
      <c r="E2030" s="31"/>
      <c r="F2030" s="73" t="s">
        <v>4</v>
      </c>
      <c r="G2030" s="32">
        <v>41805</v>
      </c>
      <c r="H2030" s="29">
        <v>1144.8600000000006</v>
      </c>
      <c r="I2030" s="17">
        <v>0</v>
      </c>
      <c r="J2030" s="17">
        <v>0</v>
      </c>
      <c r="K2030" s="17">
        <f t="shared" si="325"/>
        <v>1144.8600000000006</v>
      </c>
      <c r="L2030" s="23">
        <f t="shared" si="330"/>
        <v>57.243000000000031</v>
      </c>
      <c r="M2030" s="33">
        <v>5</v>
      </c>
      <c r="N2030" s="18">
        <f t="shared" si="326"/>
        <v>6.8027397260273972</v>
      </c>
      <c r="O2030" s="23">
        <v>10876.17</v>
      </c>
      <c r="P2030" s="18">
        <f t="shared" si="327"/>
        <v>7.3041095890410963</v>
      </c>
      <c r="Q2030" s="18">
        <v>0</v>
      </c>
      <c r="R2030" s="18">
        <f t="shared" si="323"/>
        <v>10876.17</v>
      </c>
      <c r="S2030" s="18">
        <f t="shared" ref="S2030:S2032" si="331">L2030</f>
        <v>57.243000000000031</v>
      </c>
    </row>
    <row r="2031" spans="1:19" ht="18.75" customHeight="1" x14ac:dyDescent="0.25">
      <c r="A2031" s="14">
        <f t="shared" si="328"/>
        <v>2025</v>
      </c>
      <c r="B2031" s="31" t="s">
        <v>1761</v>
      </c>
      <c r="C2031" s="15" t="s">
        <v>3</v>
      </c>
      <c r="D2031" s="31" t="s">
        <v>1708</v>
      </c>
      <c r="E2031" s="31"/>
      <c r="F2031" s="73" t="s">
        <v>4</v>
      </c>
      <c r="G2031" s="32">
        <v>41774</v>
      </c>
      <c r="H2031" s="29">
        <v>1839.2364999999991</v>
      </c>
      <c r="I2031" s="17">
        <v>0</v>
      </c>
      <c r="J2031" s="17">
        <v>0</v>
      </c>
      <c r="K2031" s="17">
        <f t="shared" si="325"/>
        <v>1839.2364999999991</v>
      </c>
      <c r="L2031" s="23">
        <f t="shared" si="330"/>
        <v>91.961824999999962</v>
      </c>
      <c r="M2031" s="33">
        <v>5</v>
      </c>
      <c r="N2031" s="18">
        <f t="shared" si="326"/>
        <v>6.8876712328767127</v>
      </c>
      <c r="O2031" s="23">
        <v>17472.746750000002</v>
      </c>
      <c r="P2031" s="18">
        <f t="shared" si="327"/>
        <v>7.3890410958904109</v>
      </c>
      <c r="Q2031" s="18">
        <v>0</v>
      </c>
      <c r="R2031" s="18">
        <f t="shared" si="323"/>
        <v>17472.746750000002</v>
      </c>
      <c r="S2031" s="18">
        <f t="shared" si="331"/>
        <v>91.961824999999962</v>
      </c>
    </row>
    <row r="2032" spans="1:19" ht="18.75" customHeight="1" x14ac:dyDescent="0.25">
      <c r="A2032" s="14">
        <f t="shared" si="328"/>
        <v>2026</v>
      </c>
      <c r="B2032" s="31" t="s">
        <v>1762</v>
      </c>
      <c r="C2032" s="15" t="s">
        <v>3</v>
      </c>
      <c r="D2032" s="31" t="s">
        <v>1708</v>
      </c>
      <c r="E2032" s="31"/>
      <c r="F2032" s="73" t="s">
        <v>4</v>
      </c>
      <c r="G2032" s="32">
        <v>41608</v>
      </c>
      <c r="H2032" s="29">
        <v>1427.5</v>
      </c>
      <c r="I2032" s="17">
        <v>0</v>
      </c>
      <c r="J2032" s="17">
        <v>0</v>
      </c>
      <c r="K2032" s="17">
        <f t="shared" si="325"/>
        <v>1427.5</v>
      </c>
      <c r="L2032" s="23">
        <f t="shared" si="330"/>
        <v>71.375</v>
      </c>
      <c r="M2032" s="33">
        <v>5</v>
      </c>
      <c r="N2032" s="18">
        <f t="shared" si="326"/>
        <v>7.3424657534246576</v>
      </c>
      <c r="O2032" s="23">
        <v>13561.25</v>
      </c>
      <c r="P2032" s="18">
        <f t="shared" si="327"/>
        <v>7.8438356164383558</v>
      </c>
      <c r="Q2032" s="18">
        <v>0</v>
      </c>
      <c r="R2032" s="18">
        <f t="shared" si="323"/>
        <v>13561.25</v>
      </c>
      <c r="S2032" s="18">
        <f t="shared" si="331"/>
        <v>71.375</v>
      </c>
    </row>
    <row r="2033" spans="1:19" ht="18.75" customHeight="1" x14ac:dyDescent="0.25">
      <c r="A2033" s="14">
        <f t="shared" si="328"/>
        <v>2027</v>
      </c>
      <c r="B2033" s="31" t="s">
        <v>1763</v>
      </c>
      <c r="C2033" s="15" t="s">
        <v>3</v>
      </c>
      <c r="D2033" s="31" t="s">
        <v>1708</v>
      </c>
      <c r="E2033" s="31"/>
      <c r="F2033" s="73" t="s">
        <v>4</v>
      </c>
      <c r="G2033" s="32">
        <v>42019</v>
      </c>
      <c r="H2033" s="29">
        <v>38180.372573698631</v>
      </c>
      <c r="I2033" s="17">
        <v>0</v>
      </c>
      <c r="J2033" s="17">
        <v>0</v>
      </c>
      <c r="K2033" s="17">
        <f t="shared" si="325"/>
        <v>38180.372573698631</v>
      </c>
      <c r="L2033" s="23">
        <f t="shared" si="330"/>
        <v>1909.0186286849316</v>
      </c>
      <c r="M2033" s="33">
        <v>10</v>
      </c>
      <c r="N2033" s="18">
        <f t="shared" si="326"/>
        <v>6.2164383561643834</v>
      </c>
      <c r="O2033" s="23">
        <v>20012.904734630138</v>
      </c>
      <c r="P2033" s="18">
        <f t="shared" si="327"/>
        <v>6.7178082191780826</v>
      </c>
      <c r="Q2033" s="18">
        <f t="shared" si="329"/>
        <v>1818.536375873291</v>
      </c>
      <c r="R2033" s="18">
        <f t="shared" si="323"/>
        <v>21831.441110503431</v>
      </c>
      <c r="S2033" s="18">
        <f t="shared" si="324"/>
        <v>16348.9314631952</v>
      </c>
    </row>
    <row r="2034" spans="1:19" ht="18.75" customHeight="1" x14ac:dyDescent="0.25">
      <c r="A2034" s="14">
        <f t="shared" si="328"/>
        <v>2028</v>
      </c>
      <c r="B2034" s="31" t="s">
        <v>1764</v>
      </c>
      <c r="C2034" s="15" t="s">
        <v>3</v>
      </c>
      <c r="D2034" s="31" t="s">
        <v>1708</v>
      </c>
      <c r="E2034" s="31"/>
      <c r="F2034" s="73" t="s">
        <v>4</v>
      </c>
      <c r="G2034" s="32">
        <v>42078</v>
      </c>
      <c r="H2034" s="29">
        <v>7917.8450312328769</v>
      </c>
      <c r="I2034" s="17">
        <v>0</v>
      </c>
      <c r="J2034" s="17">
        <v>0</v>
      </c>
      <c r="K2034" s="17">
        <f t="shared" si="325"/>
        <v>7917.8450312328769</v>
      </c>
      <c r="L2034" s="23">
        <f t="shared" si="330"/>
        <v>395.89225156164389</v>
      </c>
      <c r="M2034" s="33">
        <v>10</v>
      </c>
      <c r="N2034" s="18">
        <f t="shared" si="326"/>
        <v>6.0547945205479454</v>
      </c>
      <c r="O2034" s="23">
        <v>4092.9754014794526</v>
      </c>
      <c r="P2034" s="18">
        <f t="shared" si="327"/>
        <v>6.5561643835616437</v>
      </c>
      <c r="Q2034" s="18">
        <f t="shared" si="329"/>
        <v>377.12804347392728</v>
      </c>
      <c r="R2034" s="18">
        <f t="shared" si="323"/>
        <v>4470.1034449533799</v>
      </c>
      <c r="S2034" s="18">
        <f t="shared" si="324"/>
        <v>3447.7415862794969</v>
      </c>
    </row>
    <row r="2035" spans="1:19" ht="18.75" customHeight="1" x14ac:dyDescent="0.25">
      <c r="A2035" s="14">
        <f t="shared" si="328"/>
        <v>2029</v>
      </c>
      <c r="B2035" s="31" t="s">
        <v>1765</v>
      </c>
      <c r="C2035" s="15" t="s">
        <v>3</v>
      </c>
      <c r="D2035" s="31" t="s">
        <v>1708</v>
      </c>
      <c r="E2035" s="31"/>
      <c r="F2035" s="73" t="s">
        <v>4</v>
      </c>
      <c r="G2035" s="32">
        <v>42019</v>
      </c>
      <c r="H2035" s="29">
        <v>30348.701808219179</v>
      </c>
      <c r="I2035" s="17">
        <v>0</v>
      </c>
      <c r="J2035" s="17">
        <v>0</v>
      </c>
      <c r="K2035" s="17">
        <f t="shared" si="325"/>
        <v>30348.701808219179</v>
      </c>
      <c r="L2035" s="23">
        <f t="shared" si="330"/>
        <v>1517.435090410959</v>
      </c>
      <c r="M2035" s="33">
        <v>10</v>
      </c>
      <c r="N2035" s="18">
        <f t="shared" si="326"/>
        <v>6.2164383561643834</v>
      </c>
      <c r="O2035" s="23">
        <v>15907.798619178084</v>
      </c>
      <c r="P2035" s="18">
        <f t="shared" si="327"/>
        <v>6.7178082191780826</v>
      </c>
      <c r="Q2035" s="18">
        <f t="shared" si="329"/>
        <v>1445.5128244818929</v>
      </c>
      <c r="R2035" s="18">
        <f t="shared" si="323"/>
        <v>17353.311443659975</v>
      </c>
      <c r="S2035" s="18">
        <f t="shared" si="324"/>
        <v>12995.390364559204</v>
      </c>
    </row>
    <row r="2036" spans="1:19" ht="18.75" customHeight="1" x14ac:dyDescent="0.25">
      <c r="A2036" s="14">
        <f t="shared" si="328"/>
        <v>2030</v>
      </c>
      <c r="B2036" s="31" t="s">
        <v>1766</v>
      </c>
      <c r="C2036" s="15" t="s">
        <v>3</v>
      </c>
      <c r="D2036" s="31" t="s">
        <v>1708</v>
      </c>
      <c r="E2036" s="31"/>
      <c r="F2036" s="73" t="s">
        <v>4</v>
      </c>
      <c r="G2036" s="32">
        <v>42019</v>
      </c>
      <c r="H2036" s="29">
        <v>30107.68336041096</v>
      </c>
      <c r="I2036" s="17">
        <v>0</v>
      </c>
      <c r="J2036" s="17">
        <v>0</v>
      </c>
      <c r="K2036" s="17">
        <f t="shared" si="325"/>
        <v>30107.68336041096</v>
      </c>
      <c r="L2036" s="23">
        <f t="shared" si="330"/>
        <v>1505.384168020548</v>
      </c>
      <c r="M2036" s="33">
        <v>10</v>
      </c>
      <c r="N2036" s="18">
        <f t="shared" si="326"/>
        <v>6.2164383561643834</v>
      </c>
      <c r="O2036" s="23">
        <v>15781.464617958905</v>
      </c>
      <c r="P2036" s="18">
        <f t="shared" si="327"/>
        <v>6.7178082191780826</v>
      </c>
      <c r="Q2036" s="18">
        <f t="shared" si="329"/>
        <v>1434.0330827965618</v>
      </c>
      <c r="R2036" s="18">
        <f t="shared" si="323"/>
        <v>17215.497700755466</v>
      </c>
      <c r="S2036" s="18">
        <f t="shared" si="324"/>
        <v>12892.185659655494</v>
      </c>
    </row>
    <row r="2037" spans="1:19" ht="18.75" customHeight="1" x14ac:dyDescent="0.25">
      <c r="A2037" s="14">
        <f t="shared" si="328"/>
        <v>2031</v>
      </c>
      <c r="B2037" s="31" t="s">
        <v>1767</v>
      </c>
      <c r="C2037" s="15" t="s">
        <v>3</v>
      </c>
      <c r="D2037" s="31" t="s">
        <v>1708</v>
      </c>
      <c r="E2037" s="31"/>
      <c r="F2037" s="73" t="s">
        <v>4</v>
      </c>
      <c r="G2037" s="32">
        <v>42019</v>
      </c>
      <c r="H2037" s="29">
        <v>28981.842424657534</v>
      </c>
      <c r="I2037" s="17">
        <v>0</v>
      </c>
      <c r="J2037" s="17">
        <v>0</v>
      </c>
      <c r="K2037" s="17">
        <f t="shared" si="325"/>
        <v>28981.842424657534</v>
      </c>
      <c r="L2037" s="23">
        <f t="shared" si="330"/>
        <v>1449.0921212328767</v>
      </c>
      <c r="M2037" s="33">
        <v>10</v>
      </c>
      <c r="N2037" s="18">
        <f t="shared" si="326"/>
        <v>6.2164383561643834</v>
      </c>
      <c r="O2037" s="23">
        <v>15191.335557534247</v>
      </c>
      <c r="P2037" s="18">
        <f t="shared" si="327"/>
        <v>6.7178082191780826</v>
      </c>
      <c r="Q2037" s="18">
        <f t="shared" si="329"/>
        <v>1380.4091248018403</v>
      </c>
      <c r="R2037" s="18">
        <f t="shared" si="323"/>
        <v>16571.744682336088</v>
      </c>
      <c r="S2037" s="18">
        <f t="shared" si="324"/>
        <v>12410.097742321446</v>
      </c>
    </row>
    <row r="2038" spans="1:19" ht="18.75" customHeight="1" x14ac:dyDescent="0.25">
      <c r="A2038" s="14">
        <f t="shared" si="328"/>
        <v>2032</v>
      </c>
      <c r="B2038" s="31" t="s">
        <v>1274</v>
      </c>
      <c r="C2038" s="15" t="s">
        <v>3</v>
      </c>
      <c r="D2038" s="31" t="s">
        <v>1708</v>
      </c>
      <c r="E2038" s="31"/>
      <c r="F2038" s="73" t="s">
        <v>4</v>
      </c>
      <c r="G2038" s="32">
        <v>42019</v>
      </c>
      <c r="H2038" s="29">
        <v>26894.838356164382</v>
      </c>
      <c r="I2038" s="17">
        <v>0</v>
      </c>
      <c r="J2038" s="17">
        <v>0</v>
      </c>
      <c r="K2038" s="17">
        <f t="shared" si="325"/>
        <v>26894.838356164382</v>
      </c>
      <c r="L2038" s="23">
        <f t="shared" si="330"/>
        <v>1344.7419178082191</v>
      </c>
      <c r="M2038" s="33">
        <v>10</v>
      </c>
      <c r="N2038" s="18">
        <f t="shared" si="326"/>
        <v>6.2164383561643834</v>
      </c>
      <c r="O2038" s="23">
        <v>14097.396164383561</v>
      </c>
      <c r="P2038" s="18">
        <f t="shared" si="327"/>
        <v>6.7178082191780826</v>
      </c>
      <c r="Q2038" s="18">
        <f t="shared" si="329"/>
        <v>1281.0048351285429</v>
      </c>
      <c r="R2038" s="18">
        <f t="shared" si="323"/>
        <v>15378.400999512103</v>
      </c>
      <c r="S2038" s="18">
        <f t="shared" si="324"/>
        <v>11516.437356652279</v>
      </c>
    </row>
    <row r="2039" spans="1:19" ht="18.75" customHeight="1" x14ac:dyDescent="0.25">
      <c r="A2039" s="14">
        <f t="shared" si="328"/>
        <v>2033</v>
      </c>
      <c r="B2039" s="31" t="s">
        <v>1768</v>
      </c>
      <c r="C2039" s="15" t="s">
        <v>3</v>
      </c>
      <c r="D2039" s="31" t="s">
        <v>1708</v>
      </c>
      <c r="E2039" s="31"/>
      <c r="F2039" s="73" t="s">
        <v>4</v>
      </c>
      <c r="G2039" s="32">
        <v>41608</v>
      </c>
      <c r="H2039" s="29">
        <v>809.89999999999964</v>
      </c>
      <c r="I2039" s="17">
        <v>0</v>
      </c>
      <c r="J2039" s="17">
        <v>0</v>
      </c>
      <c r="K2039" s="17">
        <f t="shared" si="325"/>
        <v>809.89999999999964</v>
      </c>
      <c r="L2039" s="23">
        <f t="shared" si="330"/>
        <v>40.494999999999983</v>
      </c>
      <c r="M2039" s="33">
        <v>5</v>
      </c>
      <c r="N2039" s="18">
        <f t="shared" si="326"/>
        <v>7.3424657534246576</v>
      </c>
      <c r="O2039" s="23">
        <v>7694.05</v>
      </c>
      <c r="P2039" s="18">
        <f t="shared" si="327"/>
        <v>7.8438356164383558</v>
      </c>
      <c r="Q2039" s="18">
        <v>0</v>
      </c>
      <c r="R2039" s="18">
        <f t="shared" si="323"/>
        <v>7694.05</v>
      </c>
      <c r="S2039" s="18">
        <f>L2039</f>
        <v>40.494999999999983</v>
      </c>
    </row>
    <row r="2040" spans="1:19" ht="18.75" customHeight="1" x14ac:dyDescent="0.25">
      <c r="A2040" s="14">
        <f t="shared" si="328"/>
        <v>2034</v>
      </c>
      <c r="B2040" s="31" t="s">
        <v>1769</v>
      </c>
      <c r="C2040" s="15" t="s">
        <v>3</v>
      </c>
      <c r="D2040" s="31" t="s">
        <v>1708</v>
      </c>
      <c r="E2040" s="31"/>
      <c r="F2040" s="73" t="s">
        <v>4</v>
      </c>
      <c r="G2040" s="32">
        <v>42019</v>
      </c>
      <c r="H2040" s="29">
        <v>21179.685205479451</v>
      </c>
      <c r="I2040" s="17">
        <v>0</v>
      </c>
      <c r="J2040" s="17">
        <v>0</v>
      </c>
      <c r="K2040" s="17">
        <f t="shared" si="325"/>
        <v>21179.685205479451</v>
      </c>
      <c r="L2040" s="23">
        <f t="shared" si="330"/>
        <v>1058.9842602739725</v>
      </c>
      <c r="M2040" s="33">
        <v>10</v>
      </c>
      <c r="N2040" s="18">
        <f t="shared" si="326"/>
        <v>6.2164383561643834</v>
      </c>
      <c r="O2040" s="23">
        <v>11101.699479452056</v>
      </c>
      <c r="P2040" s="18">
        <f t="shared" si="327"/>
        <v>6.7178082191780826</v>
      </c>
      <c r="Q2040" s="18">
        <f t="shared" si="329"/>
        <v>1008.7913076637276</v>
      </c>
      <c r="R2040" s="18">
        <f t="shared" si="323"/>
        <v>12110.490787115783</v>
      </c>
      <c r="S2040" s="18">
        <f t="shared" si="324"/>
        <v>9069.1944183636679</v>
      </c>
    </row>
    <row r="2041" spans="1:19" ht="18.75" customHeight="1" x14ac:dyDescent="0.25">
      <c r="A2041" s="14">
        <f t="shared" si="328"/>
        <v>2035</v>
      </c>
      <c r="B2041" s="31" t="s">
        <v>1770</v>
      </c>
      <c r="C2041" s="15" t="s">
        <v>3</v>
      </c>
      <c r="D2041" s="31" t="s">
        <v>1708</v>
      </c>
      <c r="E2041" s="31"/>
      <c r="F2041" s="73" t="s">
        <v>4</v>
      </c>
      <c r="G2041" s="32">
        <v>42019</v>
      </c>
      <c r="H2041" s="29">
        <v>20743.741108493152</v>
      </c>
      <c r="I2041" s="17">
        <v>0</v>
      </c>
      <c r="J2041" s="17">
        <v>0</v>
      </c>
      <c r="K2041" s="17">
        <f t="shared" si="325"/>
        <v>20743.741108493152</v>
      </c>
      <c r="L2041" s="23">
        <f t="shared" si="330"/>
        <v>1037.1870554246577</v>
      </c>
      <c r="M2041" s="33">
        <v>10</v>
      </c>
      <c r="N2041" s="18">
        <f t="shared" si="326"/>
        <v>6.2164383561643834</v>
      </c>
      <c r="O2041" s="23">
        <v>10873.191817150684</v>
      </c>
      <c r="P2041" s="18">
        <f t="shared" si="327"/>
        <v>6.7178082191780826</v>
      </c>
      <c r="Q2041" s="18">
        <f t="shared" si="329"/>
        <v>988.02723060590085</v>
      </c>
      <c r="R2041" s="18">
        <f t="shared" si="323"/>
        <v>11861.219047756585</v>
      </c>
      <c r="S2041" s="18">
        <f t="shared" si="324"/>
        <v>8882.5220607365663</v>
      </c>
    </row>
    <row r="2042" spans="1:19" ht="18.75" customHeight="1" x14ac:dyDescent="0.25">
      <c r="A2042" s="14">
        <f t="shared" si="328"/>
        <v>2036</v>
      </c>
      <c r="B2042" s="31" t="s">
        <v>1771</v>
      </c>
      <c r="C2042" s="15" t="s">
        <v>3</v>
      </c>
      <c r="D2042" s="31" t="s">
        <v>1708</v>
      </c>
      <c r="E2042" s="31"/>
      <c r="F2042" s="73" t="s">
        <v>4</v>
      </c>
      <c r="G2042" s="32">
        <v>42019</v>
      </c>
      <c r="H2042" s="29">
        <v>20237.48116438356</v>
      </c>
      <c r="I2042" s="17">
        <v>0</v>
      </c>
      <c r="J2042" s="17">
        <v>0</v>
      </c>
      <c r="K2042" s="17">
        <f t="shared" si="325"/>
        <v>20237.48116438356</v>
      </c>
      <c r="L2042" s="23">
        <f t="shared" si="330"/>
        <v>1011.8740582191781</v>
      </c>
      <c r="M2042" s="33">
        <v>10</v>
      </c>
      <c r="N2042" s="18">
        <f t="shared" si="326"/>
        <v>6.2164383561643834</v>
      </c>
      <c r="O2042" s="23">
        <v>10607.826883561644</v>
      </c>
      <c r="P2042" s="18">
        <f t="shared" si="327"/>
        <v>6.7178082191780826</v>
      </c>
      <c r="Q2042" s="18">
        <f t="shared" si="329"/>
        <v>963.91400011728354</v>
      </c>
      <c r="R2042" s="18">
        <f t="shared" si="323"/>
        <v>11571.740883678927</v>
      </c>
      <c r="S2042" s="18">
        <f t="shared" si="324"/>
        <v>8665.7402807046328</v>
      </c>
    </row>
    <row r="2043" spans="1:19" ht="18.75" customHeight="1" x14ac:dyDescent="0.25">
      <c r="A2043" s="14">
        <f t="shared" si="328"/>
        <v>2037</v>
      </c>
      <c r="B2043" s="31" t="s">
        <v>1772</v>
      </c>
      <c r="C2043" s="15" t="s">
        <v>3</v>
      </c>
      <c r="D2043" s="31" t="s">
        <v>1708</v>
      </c>
      <c r="E2043" s="31"/>
      <c r="F2043" s="73" t="s">
        <v>4</v>
      </c>
      <c r="G2043" s="32">
        <v>42050</v>
      </c>
      <c r="H2043" s="29">
        <v>6106.5896169863008</v>
      </c>
      <c r="I2043" s="17">
        <v>0</v>
      </c>
      <c r="J2043" s="17">
        <v>0</v>
      </c>
      <c r="K2043" s="17">
        <f t="shared" si="325"/>
        <v>6106.5896169863008</v>
      </c>
      <c r="L2043" s="23">
        <f t="shared" si="330"/>
        <v>305.32948084931508</v>
      </c>
      <c r="M2043" s="33">
        <v>10</v>
      </c>
      <c r="N2043" s="18">
        <f t="shared" si="326"/>
        <v>6.1315068493150688</v>
      </c>
      <c r="O2043" s="23">
        <v>3177.4655038904111</v>
      </c>
      <c r="P2043" s="18">
        <f t="shared" si="327"/>
        <v>6.6328767123287671</v>
      </c>
      <c r="Q2043" s="18">
        <f t="shared" si="329"/>
        <v>290.85769997618291</v>
      </c>
      <c r="R2043" s="18">
        <f t="shared" si="323"/>
        <v>3468.3232038665942</v>
      </c>
      <c r="S2043" s="18">
        <f t="shared" si="324"/>
        <v>2638.2664131197066</v>
      </c>
    </row>
    <row r="2044" spans="1:19" ht="18.75" customHeight="1" x14ac:dyDescent="0.25">
      <c r="A2044" s="14">
        <f t="shared" si="328"/>
        <v>2038</v>
      </c>
      <c r="B2044" s="31" t="s">
        <v>1773</v>
      </c>
      <c r="C2044" s="15" t="s">
        <v>3</v>
      </c>
      <c r="D2044" s="31" t="s">
        <v>1708</v>
      </c>
      <c r="E2044" s="31"/>
      <c r="F2044" s="73" t="s">
        <v>4</v>
      </c>
      <c r="G2044" s="32">
        <v>41659</v>
      </c>
      <c r="H2044" s="29">
        <v>644.25</v>
      </c>
      <c r="I2044" s="17">
        <v>0</v>
      </c>
      <c r="J2044" s="17">
        <v>0</v>
      </c>
      <c r="K2044" s="17">
        <f t="shared" si="325"/>
        <v>644.25</v>
      </c>
      <c r="L2044" s="23">
        <f t="shared" si="330"/>
        <v>32.212499999999999</v>
      </c>
      <c r="M2044" s="33">
        <v>5</v>
      </c>
      <c r="N2044" s="18">
        <f t="shared" si="326"/>
        <v>7.2027397260273975</v>
      </c>
      <c r="O2044" s="23">
        <v>6120.375</v>
      </c>
      <c r="P2044" s="18">
        <f t="shared" si="327"/>
        <v>7.7041095890410958</v>
      </c>
      <c r="Q2044" s="18">
        <v>0</v>
      </c>
      <c r="R2044" s="18">
        <f t="shared" si="323"/>
        <v>6120.375</v>
      </c>
      <c r="S2044" s="18">
        <f>L2044</f>
        <v>32.212499999999999</v>
      </c>
    </row>
    <row r="2045" spans="1:19" ht="18.75" customHeight="1" x14ac:dyDescent="0.25">
      <c r="A2045" s="14">
        <f t="shared" si="328"/>
        <v>2039</v>
      </c>
      <c r="B2045" s="31" t="s">
        <v>1774</v>
      </c>
      <c r="C2045" s="15" t="s">
        <v>3</v>
      </c>
      <c r="D2045" s="31" t="s">
        <v>1708</v>
      </c>
      <c r="E2045" s="31"/>
      <c r="F2045" s="73" t="s">
        <v>4</v>
      </c>
      <c r="G2045" s="32">
        <v>42050</v>
      </c>
      <c r="H2045" s="29">
        <v>5890.2989260273971</v>
      </c>
      <c r="I2045" s="17">
        <v>0</v>
      </c>
      <c r="J2045" s="17">
        <v>0</v>
      </c>
      <c r="K2045" s="17">
        <f t="shared" si="325"/>
        <v>5890.2989260273971</v>
      </c>
      <c r="L2045" s="23">
        <f t="shared" si="330"/>
        <v>294.51494630136989</v>
      </c>
      <c r="M2045" s="33">
        <v>10</v>
      </c>
      <c r="N2045" s="18">
        <f t="shared" si="326"/>
        <v>6.1315068493150688</v>
      </c>
      <c r="O2045" s="23">
        <v>3064.9221282191784</v>
      </c>
      <c r="P2045" s="18">
        <f t="shared" si="327"/>
        <v>6.6328767123287671</v>
      </c>
      <c r="Q2045" s="18">
        <f t="shared" si="329"/>
        <v>280.55574473694855</v>
      </c>
      <c r="R2045" s="18">
        <f t="shared" si="323"/>
        <v>3345.4778729561267</v>
      </c>
      <c r="S2045" s="18">
        <f t="shared" si="324"/>
        <v>2544.8210530712704</v>
      </c>
    </row>
    <row r="2046" spans="1:19" ht="18.75" customHeight="1" x14ac:dyDescent="0.25">
      <c r="A2046" s="14">
        <f t="shared" si="328"/>
        <v>2040</v>
      </c>
      <c r="B2046" s="31" t="s">
        <v>1775</v>
      </c>
      <c r="C2046" s="15" t="s">
        <v>3</v>
      </c>
      <c r="D2046" s="31" t="s">
        <v>1708</v>
      </c>
      <c r="E2046" s="31"/>
      <c r="F2046" s="73" t="s">
        <v>4</v>
      </c>
      <c r="G2046" s="32">
        <v>42019</v>
      </c>
      <c r="H2046" s="29">
        <v>14641.762328767123</v>
      </c>
      <c r="I2046" s="17">
        <v>0</v>
      </c>
      <c r="J2046" s="17">
        <v>0</v>
      </c>
      <c r="K2046" s="17">
        <f t="shared" si="325"/>
        <v>14641.762328767123</v>
      </c>
      <c r="L2046" s="23">
        <f t="shared" si="330"/>
        <v>732.08811643835622</v>
      </c>
      <c r="M2046" s="33">
        <v>10</v>
      </c>
      <c r="N2046" s="18">
        <f t="shared" si="326"/>
        <v>6.2164383561643834</v>
      </c>
      <c r="O2046" s="23">
        <v>7674.7337671232872</v>
      </c>
      <c r="P2046" s="18">
        <f t="shared" si="327"/>
        <v>6.7178082191780826</v>
      </c>
      <c r="Q2046" s="18">
        <f t="shared" si="329"/>
        <v>697.3891454400457</v>
      </c>
      <c r="R2046" s="18">
        <f t="shared" si="323"/>
        <v>8372.1229125633326</v>
      </c>
      <c r="S2046" s="18">
        <f t="shared" si="324"/>
        <v>6269.6394162037905</v>
      </c>
    </row>
    <row r="2047" spans="1:19" ht="18.75" customHeight="1" x14ac:dyDescent="0.25">
      <c r="A2047" s="14">
        <f t="shared" si="328"/>
        <v>2041</v>
      </c>
      <c r="B2047" s="31" t="s">
        <v>1776</v>
      </c>
      <c r="C2047" s="15" t="s">
        <v>3</v>
      </c>
      <c r="D2047" s="31" t="s">
        <v>1708</v>
      </c>
      <c r="E2047" s="31"/>
      <c r="F2047" s="73" t="s">
        <v>4</v>
      </c>
      <c r="G2047" s="32">
        <v>41654</v>
      </c>
      <c r="H2047" s="29">
        <v>485</v>
      </c>
      <c r="I2047" s="17">
        <v>0</v>
      </c>
      <c r="J2047" s="17">
        <v>0</v>
      </c>
      <c r="K2047" s="17">
        <f t="shared" si="325"/>
        <v>485</v>
      </c>
      <c r="L2047" s="23">
        <f t="shared" si="330"/>
        <v>24.25</v>
      </c>
      <c r="M2047" s="33">
        <v>5</v>
      </c>
      <c r="N2047" s="18">
        <f t="shared" si="326"/>
        <v>7.2164383561643834</v>
      </c>
      <c r="O2047" s="23">
        <v>4607.5</v>
      </c>
      <c r="P2047" s="18">
        <f t="shared" si="327"/>
        <v>7.7178082191780826</v>
      </c>
      <c r="Q2047" s="18">
        <v>0</v>
      </c>
      <c r="R2047" s="18">
        <f t="shared" si="323"/>
        <v>4607.5</v>
      </c>
      <c r="S2047" s="18">
        <f t="shared" ref="S2047:S2048" si="332">L2047</f>
        <v>24.25</v>
      </c>
    </row>
    <row r="2048" spans="1:19" ht="18.75" customHeight="1" x14ac:dyDescent="0.25">
      <c r="A2048" s="14">
        <f t="shared" si="328"/>
        <v>2042</v>
      </c>
      <c r="B2048" s="31" t="s">
        <v>1777</v>
      </c>
      <c r="C2048" s="15" t="s">
        <v>3</v>
      </c>
      <c r="D2048" s="31" t="s">
        <v>1708</v>
      </c>
      <c r="E2048" s="31"/>
      <c r="F2048" s="73" t="s">
        <v>4</v>
      </c>
      <c r="G2048" s="32">
        <v>41639</v>
      </c>
      <c r="H2048" s="29">
        <v>475</v>
      </c>
      <c r="I2048" s="17">
        <v>0</v>
      </c>
      <c r="J2048" s="17">
        <v>0</v>
      </c>
      <c r="K2048" s="17">
        <f t="shared" si="325"/>
        <v>475</v>
      </c>
      <c r="L2048" s="23">
        <f t="shared" si="330"/>
        <v>23.75</v>
      </c>
      <c r="M2048" s="33">
        <v>5</v>
      </c>
      <c r="N2048" s="18">
        <f t="shared" si="326"/>
        <v>7.2575342465753421</v>
      </c>
      <c r="O2048" s="23">
        <v>4512.5</v>
      </c>
      <c r="P2048" s="18">
        <f t="shared" si="327"/>
        <v>7.7589041095890412</v>
      </c>
      <c r="Q2048" s="18">
        <v>0</v>
      </c>
      <c r="R2048" s="18">
        <f t="shared" si="323"/>
        <v>4512.5</v>
      </c>
      <c r="S2048" s="18">
        <f t="shared" si="332"/>
        <v>23.75</v>
      </c>
    </row>
    <row r="2049" spans="1:19" ht="18.75" customHeight="1" x14ac:dyDescent="0.25">
      <c r="A2049" s="14">
        <f t="shared" si="328"/>
        <v>2043</v>
      </c>
      <c r="B2049" s="31" t="s">
        <v>1778</v>
      </c>
      <c r="C2049" s="15" t="s">
        <v>3</v>
      </c>
      <c r="D2049" s="31" t="s">
        <v>1708</v>
      </c>
      <c r="E2049" s="31"/>
      <c r="F2049" s="73" t="s">
        <v>4</v>
      </c>
      <c r="G2049" s="32">
        <v>42078</v>
      </c>
      <c r="H2049" s="29">
        <v>2160.131506849315</v>
      </c>
      <c r="I2049" s="17">
        <v>0</v>
      </c>
      <c r="J2049" s="17">
        <v>0</v>
      </c>
      <c r="K2049" s="17">
        <f t="shared" si="325"/>
        <v>2160.131506849315</v>
      </c>
      <c r="L2049" s="23">
        <f t="shared" si="330"/>
        <v>108.00657534246575</v>
      </c>
      <c r="M2049" s="33">
        <v>10</v>
      </c>
      <c r="N2049" s="18">
        <f t="shared" si="326"/>
        <v>6.0547945205479454</v>
      </c>
      <c r="O2049" s="23">
        <v>1116.6378082191782</v>
      </c>
      <c r="P2049" s="18">
        <f t="shared" si="327"/>
        <v>6.5561643835616437</v>
      </c>
      <c r="Q2049" s="18">
        <f t="shared" si="329"/>
        <v>102.88735957965841</v>
      </c>
      <c r="R2049" s="18">
        <f t="shared" si="323"/>
        <v>1219.5251677988365</v>
      </c>
      <c r="S2049" s="18">
        <f t="shared" si="324"/>
        <v>940.60633905047848</v>
      </c>
    </row>
    <row r="2050" spans="1:19" ht="18.75" customHeight="1" x14ac:dyDescent="0.25">
      <c r="A2050" s="14">
        <f t="shared" si="328"/>
        <v>2044</v>
      </c>
      <c r="B2050" s="31" t="s">
        <v>1779</v>
      </c>
      <c r="C2050" s="15" t="s">
        <v>3</v>
      </c>
      <c r="D2050" s="31" t="s">
        <v>1708</v>
      </c>
      <c r="E2050" s="31"/>
      <c r="F2050" s="73" t="s">
        <v>4</v>
      </c>
      <c r="G2050" s="32">
        <v>42019</v>
      </c>
      <c r="H2050" s="29">
        <v>9295.8204573972598</v>
      </c>
      <c r="I2050" s="17">
        <v>0</v>
      </c>
      <c r="J2050" s="17">
        <v>0</v>
      </c>
      <c r="K2050" s="17">
        <f t="shared" si="325"/>
        <v>9295.8204573972598</v>
      </c>
      <c r="L2050" s="23">
        <f t="shared" si="330"/>
        <v>464.79102286986301</v>
      </c>
      <c r="M2050" s="33">
        <v>10</v>
      </c>
      <c r="N2050" s="18">
        <f t="shared" si="326"/>
        <v>6.2164383561643834</v>
      </c>
      <c r="O2050" s="23">
        <v>4872.5655802602741</v>
      </c>
      <c r="P2050" s="18">
        <f t="shared" si="327"/>
        <v>6.7178082191780826</v>
      </c>
      <c r="Q2050" s="18">
        <f t="shared" si="329"/>
        <v>442.76120178589451</v>
      </c>
      <c r="R2050" s="18">
        <f t="shared" si="323"/>
        <v>5315.3267820461688</v>
      </c>
      <c r="S2050" s="18">
        <f t="shared" si="324"/>
        <v>3980.493675351091</v>
      </c>
    </row>
    <row r="2051" spans="1:19" ht="18.75" customHeight="1" x14ac:dyDescent="0.25">
      <c r="A2051" s="14">
        <f t="shared" si="328"/>
        <v>2045</v>
      </c>
      <c r="B2051" s="31" t="s">
        <v>1780</v>
      </c>
      <c r="C2051" s="15" t="s">
        <v>3</v>
      </c>
      <c r="D2051" s="31" t="s">
        <v>1708</v>
      </c>
      <c r="E2051" s="31"/>
      <c r="F2051" s="73" t="s">
        <v>4</v>
      </c>
      <c r="G2051" s="32">
        <v>41687</v>
      </c>
      <c r="H2051" s="29">
        <v>330</v>
      </c>
      <c r="I2051" s="17">
        <v>0</v>
      </c>
      <c r="J2051" s="17">
        <v>0</v>
      </c>
      <c r="K2051" s="17">
        <f t="shared" si="325"/>
        <v>330</v>
      </c>
      <c r="L2051" s="23">
        <f t="shared" si="330"/>
        <v>16.5</v>
      </c>
      <c r="M2051" s="33">
        <v>5</v>
      </c>
      <c r="N2051" s="18">
        <f t="shared" si="326"/>
        <v>7.1260273972602741</v>
      </c>
      <c r="O2051" s="23">
        <v>3135</v>
      </c>
      <c r="P2051" s="18">
        <f t="shared" si="327"/>
        <v>7.6273972602739724</v>
      </c>
      <c r="Q2051" s="18">
        <v>0</v>
      </c>
      <c r="R2051" s="18">
        <f t="shared" si="323"/>
        <v>3135</v>
      </c>
      <c r="S2051" s="18">
        <f>L2051</f>
        <v>16.5</v>
      </c>
    </row>
    <row r="2052" spans="1:19" ht="18.75" customHeight="1" x14ac:dyDescent="0.25">
      <c r="A2052" s="14">
        <f t="shared" si="328"/>
        <v>2046</v>
      </c>
      <c r="B2052" s="31" t="s">
        <v>1781</v>
      </c>
      <c r="C2052" s="15" t="s">
        <v>3</v>
      </c>
      <c r="D2052" s="31" t="s">
        <v>1708</v>
      </c>
      <c r="E2052" s="31"/>
      <c r="F2052" s="73" t="s">
        <v>4</v>
      </c>
      <c r="G2052" s="32">
        <v>42019</v>
      </c>
      <c r="H2052" s="29">
        <v>6558.4744258904102</v>
      </c>
      <c r="I2052" s="17">
        <v>0</v>
      </c>
      <c r="J2052" s="17">
        <v>0</v>
      </c>
      <c r="K2052" s="17">
        <f t="shared" si="325"/>
        <v>6558.4744258904102</v>
      </c>
      <c r="L2052" s="23">
        <f t="shared" si="330"/>
        <v>327.92372129452053</v>
      </c>
      <c r="M2052" s="33">
        <v>10</v>
      </c>
      <c r="N2052" s="18">
        <f t="shared" si="326"/>
        <v>6.2164383561643834</v>
      </c>
      <c r="O2052" s="23">
        <v>3437.7381634109588</v>
      </c>
      <c r="P2052" s="18">
        <f t="shared" si="327"/>
        <v>6.7178082191780826</v>
      </c>
      <c r="Q2052" s="18">
        <f t="shared" si="329"/>
        <v>312.38103532631476</v>
      </c>
      <c r="R2052" s="18">
        <f t="shared" ref="R2052:R2115" si="333">Q2052+O2052</f>
        <v>3750.1191987372736</v>
      </c>
      <c r="S2052" s="18">
        <f t="shared" ref="S2052:S2077" si="334">K2052-R2052</f>
        <v>2808.3552271531366</v>
      </c>
    </row>
    <row r="2053" spans="1:19" ht="18.75" customHeight="1" x14ac:dyDescent="0.25">
      <c r="A2053" s="14">
        <f t="shared" si="328"/>
        <v>2047</v>
      </c>
      <c r="B2053" s="31" t="s">
        <v>1435</v>
      </c>
      <c r="C2053" s="15" t="s">
        <v>3</v>
      </c>
      <c r="D2053" s="31" t="s">
        <v>1708</v>
      </c>
      <c r="E2053" s="31"/>
      <c r="F2053" s="73" t="s">
        <v>4</v>
      </c>
      <c r="G2053" s="32">
        <v>42019</v>
      </c>
      <c r="H2053" s="29">
        <v>6546.7698630136983</v>
      </c>
      <c r="I2053" s="17">
        <v>0</v>
      </c>
      <c r="J2053" s="17">
        <v>0</v>
      </c>
      <c r="K2053" s="17">
        <f t="shared" ref="K2053:K2116" si="335">H2053+I2053-J2053</f>
        <v>6546.7698630136983</v>
      </c>
      <c r="L2053" s="23">
        <f t="shared" si="330"/>
        <v>327.33849315068494</v>
      </c>
      <c r="M2053" s="33">
        <v>10</v>
      </c>
      <c r="N2053" s="18">
        <f t="shared" ref="N2053:N2116" si="336">IF(($N$2-G2053+1)/365&gt;0,($N$2-G2053+1)/365,0)</f>
        <v>6.2164383561643834</v>
      </c>
      <c r="O2053" s="23">
        <v>3431.6030136986301</v>
      </c>
      <c r="P2053" s="18">
        <f t="shared" ref="P2053:P2116" si="337">($P$2-G2053+1)/365</f>
        <v>6.7178082191780826</v>
      </c>
      <c r="Q2053" s="18">
        <f t="shared" si="329"/>
        <v>311.82354539313218</v>
      </c>
      <c r="R2053" s="18">
        <f t="shared" si="333"/>
        <v>3743.4265590917621</v>
      </c>
      <c r="S2053" s="18">
        <f t="shared" si="334"/>
        <v>2803.3433039219362</v>
      </c>
    </row>
    <row r="2054" spans="1:19" ht="18.75" customHeight="1" x14ac:dyDescent="0.25">
      <c r="A2054" s="14">
        <f t="shared" ref="A2054:A2117" si="338">+A2053+1</f>
        <v>2048</v>
      </c>
      <c r="B2054" s="31" t="s">
        <v>1782</v>
      </c>
      <c r="C2054" s="15" t="s">
        <v>3</v>
      </c>
      <c r="D2054" s="31" t="s">
        <v>1708</v>
      </c>
      <c r="E2054" s="31"/>
      <c r="F2054" s="73" t="s">
        <v>4</v>
      </c>
      <c r="G2054" s="32">
        <v>41744</v>
      </c>
      <c r="H2054" s="29">
        <v>519.64149999999972</v>
      </c>
      <c r="I2054" s="17">
        <v>0</v>
      </c>
      <c r="J2054" s="17">
        <v>0</v>
      </c>
      <c r="K2054" s="17">
        <f t="shared" si="335"/>
        <v>519.64149999999972</v>
      </c>
      <c r="L2054" s="23">
        <f t="shared" si="330"/>
        <v>25.982074999999988</v>
      </c>
      <c r="M2054" s="33">
        <v>5</v>
      </c>
      <c r="N2054" s="18">
        <f t="shared" si="336"/>
        <v>6.9698630136986299</v>
      </c>
      <c r="O2054" s="23">
        <v>4936.5942500000001</v>
      </c>
      <c r="P2054" s="18">
        <f t="shared" si="337"/>
        <v>7.4712328767123291</v>
      </c>
      <c r="Q2054" s="18">
        <v>0</v>
      </c>
      <c r="R2054" s="18">
        <f t="shared" si="333"/>
        <v>4936.5942500000001</v>
      </c>
      <c r="S2054" s="18">
        <f t="shared" ref="S2054:S2056" si="339">L2054</f>
        <v>25.982074999999988</v>
      </c>
    </row>
    <row r="2055" spans="1:19" ht="18.75" customHeight="1" x14ac:dyDescent="0.25">
      <c r="A2055" s="14">
        <f t="shared" si="338"/>
        <v>2049</v>
      </c>
      <c r="B2055" s="31" t="s">
        <v>1336</v>
      </c>
      <c r="C2055" s="15" t="s">
        <v>3</v>
      </c>
      <c r="D2055" s="31" t="s">
        <v>1708</v>
      </c>
      <c r="E2055" s="31"/>
      <c r="F2055" s="73" t="s">
        <v>4</v>
      </c>
      <c r="G2055" s="32">
        <v>41774</v>
      </c>
      <c r="H2055" s="29">
        <v>109.96349999999984</v>
      </c>
      <c r="I2055" s="17">
        <v>0</v>
      </c>
      <c r="J2055" s="17">
        <v>0</v>
      </c>
      <c r="K2055" s="17">
        <f t="shared" si="335"/>
        <v>109.96349999999984</v>
      </c>
      <c r="L2055" s="23">
        <f t="shared" si="330"/>
        <v>5.4981749999999927</v>
      </c>
      <c r="M2055" s="33">
        <v>5</v>
      </c>
      <c r="N2055" s="18">
        <f t="shared" si="336"/>
        <v>6.8876712328767127</v>
      </c>
      <c r="O2055" s="23">
        <v>1044.6532500000001</v>
      </c>
      <c r="P2055" s="18">
        <f t="shared" si="337"/>
        <v>7.3890410958904109</v>
      </c>
      <c r="Q2055" s="18">
        <v>0</v>
      </c>
      <c r="R2055" s="18">
        <f t="shared" si="333"/>
        <v>1044.6532500000001</v>
      </c>
      <c r="S2055" s="18">
        <f t="shared" si="339"/>
        <v>5.4981749999999927</v>
      </c>
    </row>
    <row r="2056" spans="1:19" ht="18.75" customHeight="1" x14ac:dyDescent="0.25">
      <c r="A2056" s="14">
        <f t="shared" si="338"/>
        <v>2050</v>
      </c>
      <c r="B2056" s="31" t="s">
        <v>1782</v>
      </c>
      <c r="C2056" s="15" t="s">
        <v>3</v>
      </c>
      <c r="D2056" s="31" t="s">
        <v>1708</v>
      </c>
      <c r="E2056" s="31"/>
      <c r="F2056" s="73" t="s">
        <v>4</v>
      </c>
      <c r="G2056" s="32">
        <v>41805</v>
      </c>
      <c r="H2056" s="29">
        <v>52.038999999999987</v>
      </c>
      <c r="I2056" s="17">
        <v>0</v>
      </c>
      <c r="J2056" s="17">
        <v>0</v>
      </c>
      <c r="K2056" s="17">
        <f t="shared" si="335"/>
        <v>52.038999999999987</v>
      </c>
      <c r="L2056" s="23">
        <f t="shared" si="330"/>
        <v>2.6019499999999995</v>
      </c>
      <c r="M2056" s="33">
        <v>5</v>
      </c>
      <c r="N2056" s="18">
        <f t="shared" si="336"/>
        <v>6.8027397260273972</v>
      </c>
      <c r="O2056" s="23">
        <v>494.37049999999999</v>
      </c>
      <c r="P2056" s="18">
        <f t="shared" si="337"/>
        <v>7.3041095890410963</v>
      </c>
      <c r="Q2056" s="18">
        <v>0</v>
      </c>
      <c r="R2056" s="18">
        <f t="shared" si="333"/>
        <v>494.37049999999999</v>
      </c>
      <c r="S2056" s="18">
        <f t="shared" si="339"/>
        <v>2.6019499999999995</v>
      </c>
    </row>
    <row r="2057" spans="1:19" ht="18.75" customHeight="1" x14ac:dyDescent="0.25">
      <c r="A2057" s="14">
        <f t="shared" si="338"/>
        <v>2051</v>
      </c>
      <c r="B2057" s="31" t="s">
        <v>1783</v>
      </c>
      <c r="C2057" s="15" t="s">
        <v>3</v>
      </c>
      <c r="D2057" s="31" t="s">
        <v>1708</v>
      </c>
      <c r="E2057" s="31"/>
      <c r="F2057" s="73" t="s">
        <v>4</v>
      </c>
      <c r="G2057" s="32">
        <v>41228</v>
      </c>
      <c r="H2057" s="29">
        <v>364579.67351534206</v>
      </c>
      <c r="I2057" s="17">
        <v>0</v>
      </c>
      <c r="J2057" s="17">
        <v>0</v>
      </c>
      <c r="K2057" s="17">
        <f t="shared" si="335"/>
        <v>364579.67351534206</v>
      </c>
      <c r="L2057" s="23">
        <f t="shared" si="330"/>
        <v>18228.983675767104</v>
      </c>
      <c r="M2057" s="33">
        <v>10</v>
      </c>
      <c r="N2057" s="18">
        <f t="shared" si="336"/>
        <v>8.3835616438356162</v>
      </c>
      <c r="O2057" s="23">
        <v>260361.09477372552</v>
      </c>
      <c r="P2057" s="18">
        <f t="shared" si="337"/>
        <v>8.8849315068493144</v>
      </c>
      <c r="Q2057" s="18">
        <f t="shared" si="329"/>
        <v>17364.979791956761</v>
      </c>
      <c r="R2057" s="18">
        <f t="shared" si="333"/>
        <v>277726.07456568227</v>
      </c>
      <c r="S2057" s="18">
        <f t="shared" si="334"/>
        <v>86853.59894965979</v>
      </c>
    </row>
    <row r="2058" spans="1:19" ht="18.75" customHeight="1" x14ac:dyDescent="0.25">
      <c r="A2058" s="14">
        <f t="shared" si="338"/>
        <v>2052</v>
      </c>
      <c r="B2058" s="31" t="s">
        <v>1336</v>
      </c>
      <c r="C2058" s="15" t="s">
        <v>3</v>
      </c>
      <c r="D2058" s="31" t="s">
        <v>1708</v>
      </c>
      <c r="E2058" s="31"/>
      <c r="F2058" s="73" t="s">
        <v>4</v>
      </c>
      <c r="G2058" s="32">
        <v>41774</v>
      </c>
      <c r="H2058" s="29">
        <v>45.05499999999995</v>
      </c>
      <c r="I2058" s="17">
        <v>0</v>
      </c>
      <c r="J2058" s="17">
        <v>0</v>
      </c>
      <c r="K2058" s="17">
        <f t="shared" si="335"/>
        <v>45.05499999999995</v>
      </c>
      <c r="L2058" s="23">
        <f t="shared" si="330"/>
        <v>2.2527499999999976</v>
      </c>
      <c r="M2058" s="33">
        <v>5</v>
      </c>
      <c r="N2058" s="18">
        <f t="shared" si="336"/>
        <v>6.8876712328767127</v>
      </c>
      <c r="O2058" s="23">
        <v>428.02250000000004</v>
      </c>
      <c r="P2058" s="18">
        <f t="shared" si="337"/>
        <v>7.3890410958904109</v>
      </c>
      <c r="Q2058" s="18">
        <v>0</v>
      </c>
      <c r="R2058" s="18">
        <f t="shared" si="333"/>
        <v>428.02250000000004</v>
      </c>
      <c r="S2058" s="18">
        <f>L2058</f>
        <v>2.2527499999999976</v>
      </c>
    </row>
    <row r="2059" spans="1:19" ht="18.75" customHeight="1" x14ac:dyDescent="0.25">
      <c r="A2059" s="14">
        <f t="shared" si="338"/>
        <v>2053</v>
      </c>
      <c r="B2059" s="31" t="s">
        <v>1784</v>
      </c>
      <c r="C2059" s="15" t="s">
        <v>3</v>
      </c>
      <c r="D2059" s="31" t="s">
        <v>1708</v>
      </c>
      <c r="E2059" s="31"/>
      <c r="F2059" s="73" t="s">
        <v>4</v>
      </c>
      <c r="G2059" s="32">
        <v>41409</v>
      </c>
      <c r="H2059" s="29">
        <v>155444.14912054795</v>
      </c>
      <c r="I2059" s="17">
        <v>0</v>
      </c>
      <c r="J2059" s="17">
        <v>0</v>
      </c>
      <c r="K2059" s="17">
        <f t="shared" si="335"/>
        <v>155444.14912054795</v>
      </c>
      <c r="L2059" s="23">
        <f t="shared" si="330"/>
        <v>7772.2074560273977</v>
      </c>
      <c r="M2059" s="33">
        <v>10</v>
      </c>
      <c r="N2059" s="18">
        <f t="shared" si="336"/>
        <v>7.8876712328767127</v>
      </c>
      <c r="O2059" s="23">
        <v>95899.122533972608</v>
      </c>
      <c r="P2059" s="18">
        <f t="shared" si="337"/>
        <v>8.3890410958904109</v>
      </c>
      <c r="Q2059" s="18">
        <f t="shared" si="329"/>
        <v>7403.8261163307516</v>
      </c>
      <c r="R2059" s="18">
        <f t="shared" si="333"/>
        <v>103302.94865030335</v>
      </c>
      <c r="S2059" s="18">
        <f t="shared" si="334"/>
        <v>52141.200470244599</v>
      </c>
    </row>
    <row r="2060" spans="1:19" ht="18.75" customHeight="1" x14ac:dyDescent="0.25">
      <c r="A2060" s="14">
        <f t="shared" si="338"/>
        <v>2054</v>
      </c>
      <c r="B2060" s="31" t="s">
        <v>1785</v>
      </c>
      <c r="C2060" s="15" t="s">
        <v>3</v>
      </c>
      <c r="D2060" s="31" t="s">
        <v>1708</v>
      </c>
      <c r="E2060" s="31"/>
      <c r="F2060" s="73" t="s">
        <v>4</v>
      </c>
      <c r="G2060" s="32">
        <v>41348</v>
      </c>
      <c r="H2060" s="29">
        <v>30759.573698630138</v>
      </c>
      <c r="I2060" s="17">
        <v>0</v>
      </c>
      <c r="J2060" s="17">
        <v>0</v>
      </c>
      <c r="K2060" s="17">
        <f t="shared" si="335"/>
        <v>30759.573698630138</v>
      </c>
      <c r="L2060" s="23">
        <f t="shared" si="330"/>
        <v>1537.9786849315069</v>
      </c>
      <c r="M2060" s="33">
        <v>10</v>
      </c>
      <c r="N2060" s="18">
        <f t="shared" si="336"/>
        <v>8.0547945205479454</v>
      </c>
      <c r="O2060" s="23">
        <v>19332.232438356164</v>
      </c>
      <c r="P2060" s="18">
        <f t="shared" si="337"/>
        <v>8.5561643835616437</v>
      </c>
      <c r="Q2060" s="18">
        <f t="shared" si="329"/>
        <v>1465.0827089059851</v>
      </c>
      <c r="R2060" s="18">
        <f t="shared" si="333"/>
        <v>20797.31514726215</v>
      </c>
      <c r="S2060" s="18">
        <f t="shared" si="334"/>
        <v>9962.2585513679878</v>
      </c>
    </row>
    <row r="2061" spans="1:19" ht="18.75" customHeight="1" x14ac:dyDescent="0.25">
      <c r="A2061" s="14">
        <f t="shared" si="338"/>
        <v>2055</v>
      </c>
      <c r="B2061" s="31" t="s">
        <v>1204</v>
      </c>
      <c r="C2061" s="15" t="s">
        <v>3</v>
      </c>
      <c r="D2061" s="31" t="s">
        <v>1708</v>
      </c>
      <c r="E2061" s="31"/>
      <c r="F2061" s="73" t="s">
        <v>4</v>
      </c>
      <c r="G2061" s="32">
        <v>41379</v>
      </c>
      <c r="H2061" s="29">
        <v>2384.5500000000029</v>
      </c>
      <c r="I2061" s="17">
        <v>0</v>
      </c>
      <c r="J2061" s="17">
        <v>0</v>
      </c>
      <c r="K2061" s="17">
        <f t="shared" si="335"/>
        <v>2384.5500000000029</v>
      </c>
      <c r="L2061" s="23">
        <f t="shared" si="330"/>
        <v>119.22750000000015</v>
      </c>
      <c r="M2061" s="33">
        <v>5</v>
      </c>
      <c r="N2061" s="18">
        <f t="shared" si="336"/>
        <v>7.9698630136986299</v>
      </c>
      <c r="O2061" s="23">
        <v>22653.224999999999</v>
      </c>
      <c r="P2061" s="18">
        <f t="shared" si="337"/>
        <v>8.4712328767123282</v>
      </c>
      <c r="Q2061" s="18">
        <v>0</v>
      </c>
      <c r="R2061" s="18">
        <f t="shared" si="333"/>
        <v>22653.224999999999</v>
      </c>
      <c r="S2061" s="18">
        <f>L2061</f>
        <v>119.22750000000015</v>
      </c>
    </row>
    <row r="2062" spans="1:19" ht="18.75" customHeight="1" x14ac:dyDescent="0.25">
      <c r="A2062" s="14">
        <f t="shared" si="338"/>
        <v>2056</v>
      </c>
      <c r="B2062" s="31" t="s">
        <v>1786</v>
      </c>
      <c r="C2062" s="15" t="s">
        <v>3</v>
      </c>
      <c r="D2062" s="31" t="s">
        <v>1708</v>
      </c>
      <c r="E2062" s="31"/>
      <c r="F2062" s="73" t="s">
        <v>4</v>
      </c>
      <c r="G2062" s="32">
        <v>41409</v>
      </c>
      <c r="H2062" s="29">
        <v>15244.561643835616</v>
      </c>
      <c r="I2062" s="17">
        <v>0</v>
      </c>
      <c r="J2062" s="17">
        <v>0</v>
      </c>
      <c r="K2062" s="17">
        <f t="shared" si="335"/>
        <v>15244.561643835616</v>
      </c>
      <c r="L2062" s="23">
        <f t="shared" si="330"/>
        <v>762.2280821917808</v>
      </c>
      <c r="M2062" s="33">
        <v>10</v>
      </c>
      <c r="N2062" s="18">
        <f t="shared" si="336"/>
        <v>7.8876712328767127</v>
      </c>
      <c r="O2062" s="23">
        <v>9404.9219178082203</v>
      </c>
      <c r="P2062" s="18">
        <f t="shared" si="337"/>
        <v>8.3890410958904109</v>
      </c>
      <c r="Q2062" s="18">
        <f t="shared" si="329"/>
        <v>726.10055939200538</v>
      </c>
      <c r="R2062" s="18">
        <f t="shared" si="333"/>
        <v>10131.022477200226</v>
      </c>
      <c r="S2062" s="18">
        <f t="shared" si="334"/>
        <v>5113.5391666353898</v>
      </c>
    </row>
    <row r="2063" spans="1:19" ht="18.75" customHeight="1" x14ac:dyDescent="0.25">
      <c r="A2063" s="14">
        <f t="shared" si="338"/>
        <v>2057</v>
      </c>
      <c r="B2063" s="31" t="s">
        <v>1787</v>
      </c>
      <c r="C2063" s="15" t="s">
        <v>3</v>
      </c>
      <c r="D2063" s="31" t="s">
        <v>1708</v>
      </c>
      <c r="E2063" s="31"/>
      <c r="F2063" s="73" t="s">
        <v>4</v>
      </c>
      <c r="G2063" s="32">
        <v>41379</v>
      </c>
      <c r="H2063" s="29">
        <v>974.10800000000017</v>
      </c>
      <c r="I2063" s="17">
        <v>0</v>
      </c>
      <c r="J2063" s="17">
        <v>0</v>
      </c>
      <c r="K2063" s="17">
        <f t="shared" si="335"/>
        <v>974.10800000000017</v>
      </c>
      <c r="L2063" s="23">
        <f t="shared" si="330"/>
        <v>48.705400000000012</v>
      </c>
      <c r="M2063" s="33">
        <v>5</v>
      </c>
      <c r="N2063" s="18">
        <f t="shared" si="336"/>
        <v>7.9698630136986299</v>
      </c>
      <c r="O2063" s="23">
        <v>9254.0259999999998</v>
      </c>
      <c r="P2063" s="18">
        <f t="shared" si="337"/>
        <v>8.4712328767123282</v>
      </c>
      <c r="Q2063" s="18">
        <v>0</v>
      </c>
      <c r="R2063" s="18">
        <f t="shared" si="333"/>
        <v>9254.0259999999998</v>
      </c>
      <c r="S2063" s="18">
        <f>L2063</f>
        <v>48.705400000000012</v>
      </c>
    </row>
    <row r="2064" spans="1:19" ht="18.75" customHeight="1" x14ac:dyDescent="0.25">
      <c r="A2064" s="14">
        <f t="shared" si="338"/>
        <v>2058</v>
      </c>
      <c r="B2064" s="31" t="s">
        <v>1788</v>
      </c>
      <c r="C2064" s="15" t="s">
        <v>3</v>
      </c>
      <c r="D2064" s="31" t="s">
        <v>1708</v>
      </c>
      <c r="E2064" s="31"/>
      <c r="F2064" s="73" t="s">
        <v>4</v>
      </c>
      <c r="G2064" s="32">
        <v>41623</v>
      </c>
      <c r="H2064" s="29">
        <v>12130.899726027397</v>
      </c>
      <c r="I2064" s="17">
        <v>0</v>
      </c>
      <c r="J2064" s="17">
        <v>0</v>
      </c>
      <c r="K2064" s="17">
        <f t="shared" si="335"/>
        <v>12130.899726027397</v>
      </c>
      <c r="L2064" s="23">
        <f t="shared" si="330"/>
        <v>606.54498630136993</v>
      </c>
      <c r="M2064" s="33">
        <v>10</v>
      </c>
      <c r="N2064" s="18">
        <f t="shared" si="336"/>
        <v>7.3013698630136989</v>
      </c>
      <c r="O2064" s="23">
        <v>7037.1294246575344</v>
      </c>
      <c r="P2064" s="18">
        <f t="shared" si="337"/>
        <v>7.8027397260273972</v>
      </c>
      <c r="Q2064" s="18">
        <f t="shared" si="329"/>
        <v>577.79641571777029</v>
      </c>
      <c r="R2064" s="18">
        <f t="shared" si="333"/>
        <v>7614.9258403753047</v>
      </c>
      <c r="S2064" s="18">
        <f t="shared" si="334"/>
        <v>4515.9738856520926</v>
      </c>
    </row>
    <row r="2065" spans="1:19" ht="18.75" customHeight="1" x14ac:dyDescent="0.25">
      <c r="A2065" s="14">
        <f t="shared" si="338"/>
        <v>2059</v>
      </c>
      <c r="B2065" s="31" t="s">
        <v>1789</v>
      </c>
      <c r="C2065" s="15" t="s">
        <v>3</v>
      </c>
      <c r="D2065" s="31" t="s">
        <v>1708</v>
      </c>
      <c r="E2065" s="31"/>
      <c r="F2065" s="73" t="s">
        <v>4</v>
      </c>
      <c r="G2065" s="32">
        <v>41685</v>
      </c>
      <c r="H2065" s="29">
        <v>11446.745613150684</v>
      </c>
      <c r="I2065" s="17">
        <v>0</v>
      </c>
      <c r="J2065" s="17">
        <v>0</v>
      </c>
      <c r="K2065" s="17">
        <f t="shared" si="335"/>
        <v>11446.745613150684</v>
      </c>
      <c r="L2065" s="23">
        <f t="shared" si="330"/>
        <v>572.33728065753428</v>
      </c>
      <c r="M2065" s="33">
        <v>10</v>
      </c>
      <c r="N2065" s="18">
        <f t="shared" si="336"/>
        <v>7.1315068493150688</v>
      </c>
      <c r="O2065" s="23">
        <v>6529.0890972054813</v>
      </c>
      <c r="P2065" s="18">
        <f t="shared" si="337"/>
        <v>7.6328767123287671</v>
      </c>
      <c r="Q2065" s="18">
        <f t="shared" si="329"/>
        <v>545.210061601711</v>
      </c>
      <c r="R2065" s="18">
        <f t="shared" si="333"/>
        <v>7074.2991588071927</v>
      </c>
      <c r="S2065" s="18">
        <f t="shared" si="334"/>
        <v>4372.4464543434915</v>
      </c>
    </row>
    <row r="2066" spans="1:19" ht="18.75" customHeight="1" x14ac:dyDescent="0.25">
      <c r="A2066" s="14">
        <f t="shared" si="338"/>
        <v>2060</v>
      </c>
      <c r="B2066" s="31" t="s">
        <v>1790</v>
      </c>
      <c r="C2066" s="15" t="s">
        <v>3</v>
      </c>
      <c r="D2066" s="31" t="s">
        <v>1708</v>
      </c>
      <c r="E2066" s="31"/>
      <c r="F2066" s="73" t="s">
        <v>4</v>
      </c>
      <c r="G2066" s="32">
        <v>40949</v>
      </c>
      <c r="H2066" s="29">
        <v>1095</v>
      </c>
      <c r="I2066" s="17">
        <v>0</v>
      </c>
      <c r="J2066" s="17">
        <v>0</v>
      </c>
      <c r="K2066" s="17">
        <f t="shared" si="335"/>
        <v>1095</v>
      </c>
      <c r="L2066" s="23">
        <f t="shared" si="330"/>
        <v>54.75</v>
      </c>
      <c r="M2066" s="33">
        <v>5</v>
      </c>
      <c r="N2066" s="18">
        <f t="shared" si="336"/>
        <v>9.1479452054794521</v>
      </c>
      <c r="O2066" s="23">
        <v>10402.5</v>
      </c>
      <c r="P2066" s="18">
        <f t="shared" si="337"/>
        <v>9.6493150684931503</v>
      </c>
      <c r="Q2066" s="18">
        <v>0</v>
      </c>
      <c r="R2066" s="18">
        <f t="shared" si="333"/>
        <v>10402.5</v>
      </c>
      <c r="S2066" s="18">
        <f>L2066</f>
        <v>54.75</v>
      </c>
    </row>
    <row r="2067" spans="1:19" ht="18.75" customHeight="1" x14ac:dyDescent="0.25">
      <c r="A2067" s="14">
        <f t="shared" si="338"/>
        <v>2061</v>
      </c>
      <c r="B2067" s="31" t="s">
        <v>1791</v>
      </c>
      <c r="C2067" s="15" t="s">
        <v>3</v>
      </c>
      <c r="D2067" s="31" t="s">
        <v>1708</v>
      </c>
      <c r="E2067" s="31"/>
      <c r="F2067" s="73" t="s">
        <v>4</v>
      </c>
      <c r="G2067" s="32">
        <v>41258</v>
      </c>
      <c r="H2067" s="29">
        <v>9612.8219178082181</v>
      </c>
      <c r="I2067" s="17">
        <v>0</v>
      </c>
      <c r="J2067" s="17">
        <v>0</v>
      </c>
      <c r="K2067" s="17">
        <f t="shared" si="335"/>
        <v>9612.8219178082181</v>
      </c>
      <c r="L2067" s="23">
        <f t="shared" si="330"/>
        <v>480.64109589041095</v>
      </c>
      <c r="M2067" s="33">
        <v>10</v>
      </c>
      <c r="N2067" s="18">
        <f t="shared" si="336"/>
        <v>8.3013698630136989</v>
      </c>
      <c r="O2067" s="23">
        <v>6214.9260273972614</v>
      </c>
      <c r="P2067" s="18">
        <f t="shared" si="337"/>
        <v>8.8027397260273972</v>
      </c>
      <c r="Q2067" s="18">
        <f t="shared" si="329"/>
        <v>457.86002477012534</v>
      </c>
      <c r="R2067" s="18">
        <f t="shared" si="333"/>
        <v>6672.7860521673865</v>
      </c>
      <c r="S2067" s="18">
        <f t="shared" si="334"/>
        <v>2940.0358656408316</v>
      </c>
    </row>
    <row r="2068" spans="1:19" ht="18.75" customHeight="1" x14ac:dyDescent="0.25">
      <c r="A2068" s="14">
        <f t="shared" si="338"/>
        <v>2062</v>
      </c>
      <c r="B2068" s="31" t="s">
        <v>1792</v>
      </c>
      <c r="C2068" s="15" t="s">
        <v>3</v>
      </c>
      <c r="D2068" s="31" t="s">
        <v>1708</v>
      </c>
      <c r="E2068" s="31"/>
      <c r="F2068" s="73" t="s">
        <v>4</v>
      </c>
      <c r="G2068" s="32">
        <v>38807</v>
      </c>
      <c r="H2068" s="29">
        <v>2080.0014999999985</v>
      </c>
      <c r="I2068" s="17">
        <v>0</v>
      </c>
      <c r="J2068" s="17">
        <v>0</v>
      </c>
      <c r="K2068" s="17">
        <f t="shared" si="335"/>
        <v>2080.0014999999985</v>
      </c>
      <c r="L2068" s="23">
        <f t="shared" si="330"/>
        <v>104.00007499999992</v>
      </c>
      <c r="M2068" s="33">
        <v>10</v>
      </c>
      <c r="N2068" s="18">
        <f t="shared" si="336"/>
        <v>15.016438356164384</v>
      </c>
      <c r="O2068" s="23">
        <v>19760.01425</v>
      </c>
      <c r="P2068" s="18">
        <f t="shared" si="337"/>
        <v>15.517808219178082</v>
      </c>
      <c r="Q2068" s="18">
        <v>0</v>
      </c>
      <c r="R2068" s="18">
        <f t="shared" si="333"/>
        <v>19760.01425</v>
      </c>
      <c r="S2068" s="18">
        <f>L2068</f>
        <v>104.00007499999992</v>
      </c>
    </row>
    <row r="2069" spans="1:19" ht="18.75" customHeight="1" x14ac:dyDescent="0.25">
      <c r="A2069" s="14">
        <f t="shared" si="338"/>
        <v>2063</v>
      </c>
      <c r="B2069" s="31" t="s">
        <v>1793</v>
      </c>
      <c r="C2069" s="15" t="s">
        <v>3</v>
      </c>
      <c r="D2069" s="31" t="s">
        <v>1708</v>
      </c>
      <c r="E2069" s="31"/>
      <c r="F2069" s="73" t="s">
        <v>4</v>
      </c>
      <c r="G2069" s="32">
        <v>41608</v>
      </c>
      <c r="H2069" s="29">
        <v>9901.9611172602745</v>
      </c>
      <c r="I2069" s="17">
        <v>0</v>
      </c>
      <c r="J2069" s="17">
        <v>0</v>
      </c>
      <c r="K2069" s="17">
        <f t="shared" si="335"/>
        <v>9901.9611172602745</v>
      </c>
      <c r="L2069" s="23">
        <f t="shared" si="330"/>
        <v>495.09805586301377</v>
      </c>
      <c r="M2069" s="33">
        <v>10</v>
      </c>
      <c r="N2069" s="18">
        <f t="shared" si="336"/>
        <v>7.3424657534246576</v>
      </c>
      <c r="O2069" s="23">
        <v>2298.692497753425</v>
      </c>
      <c r="P2069" s="18">
        <f t="shared" si="337"/>
        <v>7.8438356164383558</v>
      </c>
      <c r="Q2069" s="18">
        <f t="shared" si="329"/>
        <v>471.63176444813627</v>
      </c>
      <c r="R2069" s="18">
        <f t="shared" si="333"/>
        <v>2770.3242622015614</v>
      </c>
      <c r="S2069" s="18">
        <f t="shared" si="334"/>
        <v>7131.6368550587131</v>
      </c>
    </row>
    <row r="2070" spans="1:19" ht="18.75" customHeight="1" x14ac:dyDescent="0.25">
      <c r="A2070" s="14">
        <f t="shared" si="338"/>
        <v>2064</v>
      </c>
      <c r="B2070" s="31" t="s">
        <v>1714</v>
      </c>
      <c r="C2070" s="15" t="s">
        <v>3</v>
      </c>
      <c r="D2070" s="31" t="s">
        <v>1708</v>
      </c>
      <c r="E2070" s="31"/>
      <c r="F2070" s="73" t="s">
        <v>4</v>
      </c>
      <c r="G2070" s="32">
        <v>40252</v>
      </c>
      <c r="H2070" s="29">
        <v>849.75</v>
      </c>
      <c r="I2070" s="17">
        <v>0</v>
      </c>
      <c r="J2070" s="17">
        <v>0</v>
      </c>
      <c r="K2070" s="17">
        <f t="shared" si="335"/>
        <v>849.75</v>
      </c>
      <c r="L2070" s="23">
        <f t="shared" si="330"/>
        <v>42.487500000000004</v>
      </c>
      <c r="M2070" s="33">
        <v>10</v>
      </c>
      <c r="N2070" s="18">
        <f t="shared" si="336"/>
        <v>11.057534246575342</v>
      </c>
      <c r="O2070" s="23">
        <v>8072.625</v>
      </c>
      <c r="P2070" s="18">
        <f t="shared" si="337"/>
        <v>11.558904109589042</v>
      </c>
      <c r="Q2070" s="18">
        <v>0</v>
      </c>
      <c r="R2070" s="18">
        <f t="shared" si="333"/>
        <v>8072.625</v>
      </c>
      <c r="S2070" s="18">
        <f t="shared" ref="S2070:S2075" si="340">L2070</f>
        <v>42.487500000000004</v>
      </c>
    </row>
    <row r="2071" spans="1:19" ht="18.75" customHeight="1" x14ac:dyDescent="0.25">
      <c r="A2071" s="14">
        <f t="shared" si="338"/>
        <v>2065</v>
      </c>
      <c r="B2071" s="31" t="s">
        <v>1794</v>
      </c>
      <c r="C2071" s="15" t="s">
        <v>3</v>
      </c>
      <c r="D2071" s="31" t="s">
        <v>1708</v>
      </c>
      <c r="E2071" s="31"/>
      <c r="F2071" s="73" t="s">
        <v>4</v>
      </c>
      <c r="G2071" s="32">
        <v>41379</v>
      </c>
      <c r="H2071" s="29">
        <v>722.5</v>
      </c>
      <c r="I2071" s="17">
        <v>0</v>
      </c>
      <c r="J2071" s="17">
        <v>0</v>
      </c>
      <c r="K2071" s="17">
        <f t="shared" si="335"/>
        <v>722.5</v>
      </c>
      <c r="L2071" s="23">
        <f t="shared" ref="L2071:L2134" si="341">H2071*0.05</f>
        <v>36.125</v>
      </c>
      <c r="M2071" s="33">
        <v>5</v>
      </c>
      <c r="N2071" s="18">
        <f t="shared" si="336"/>
        <v>7.9698630136986299</v>
      </c>
      <c r="O2071" s="23">
        <v>6863.75</v>
      </c>
      <c r="P2071" s="18">
        <f t="shared" si="337"/>
        <v>8.4712328767123282</v>
      </c>
      <c r="Q2071" s="18">
        <v>0</v>
      </c>
      <c r="R2071" s="18">
        <f t="shared" si="333"/>
        <v>6863.75</v>
      </c>
      <c r="S2071" s="18">
        <f t="shared" si="340"/>
        <v>36.125</v>
      </c>
    </row>
    <row r="2072" spans="1:19" ht="18.75" customHeight="1" x14ac:dyDescent="0.25">
      <c r="A2072" s="14">
        <f t="shared" si="338"/>
        <v>2066</v>
      </c>
      <c r="B2072" s="31" t="s">
        <v>1795</v>
      </c>
      <c r="C2072" s="15" t="s">
        <v>3</v>
      </c>
      <c r="D2072" s="31" t="s">
        <v>1708</v>
      </c>
      <c r="E2072" s="31"/>
      <c r="F2072" s="73" t="s">
        <v>4</v>
      </c>
      <c r="G2072" s="32">
        <v>41623</v>
      </c>
      <c r="H2072" s="29">
        <v>641.86549999999988</v>
      </c>
      <c r="I2072" s="17">
        <v>0</v>
      </c>
      <c r="J2072" s="17">
        <v>0</v>
      </c>
      <c r="K2072" s="17">
        <f t="shared" si="335"/>
        <v>641.86549999999988</v>
      </c>
      <c r="L2072" s="23">
        <f t="shared" si="341"/>
        <v>32.093274999999998</v>
      </c>
      <c r="M2072" s="33">
        <v>5</v>
      </c>
      <c r="N2072" s="18">
        <f t="shared" si="336"/>
        <v>7.3013698630136989</v>
      </c>
      <c r="O2072" s="23">
        <v>6097.7222499999998</v>
      </c>
      <c r="P2072" s="18">
        <f t="shared" si="337"/>
        <v>7.8027397260273972</v>
      </c>
      <c r="Q2072" s="18">
        <v>0</v>
      </c>
      <c r="R2072" s="18">
        <f t="shared" si="333"/>
        <v>6097.7222499999998</v>
      </c>
      <c r="S2072" s="18">
        <f t="shared" si="340"/>
        <v>32.093274999999998</v>
      </c>
    </row>
    <row r="2073" spans="1:19" ht="18.75" customHeight="1" x14ac:dyDescent="0.25">
      <c r="A2073" s="14">
        <f t="shared" si="338"/>
        <v>2067</v>
      </c>
      <c r="B2073" s="31" t="s">
        <v>1796</v>
      </c>
      <c r="C2073" s="15" t="s">
        <v>3</v>
      </c>
      <c r="D2073" s="31" t="s">
        <v>1708</v>
      </c>
      <c r="E2073" s="31"/>
      <c r="F2073" s="73" t="s">
        <v>4</v>
      </c>
      <c r="G2073" s="32">
        <v>41685</v>
      </c>
      <c r="H2073" s="29">
        <v>618.01000000000022</v>
      </c>
      <c r="I2073" s="17">
        <v>0</v>
      </c>
      <c r="J2073" s="17">
        <v>0</v>
      </c>
      <c r="K2073" s="17">
        <f t="shared" si="335"/>
        <v>618.01000000000022</v>
      </c>
      <c r="L2073" s="23">
        <f t="shared" si="341"/>
        <v>30.900500000000012</v>
      </c>
      <c r="M2073" s="33">
        <v>5</v>
      </c>
      <c r="N2073" s="18">
        <f t="shared" si="336"/>
        <v>7.1315068493150688</v>
      </c>
      <c r="O2073" s="23">
        <v>5871.0950000000003</v>
      </c>
      <c r="P2073" s="18">
        <f t="shared" si="337"/>
        <v>7.6328767123287671</v>
      </c>
      <c r="Q2073" s="18">
        <v>0</v>
      </c>
      <c r="R2073" s="18">
        <f t="shared" si="333"/>
        <v>5871.0950000000003</v>
      </c>
      <c r="S2073" s="18">
        <f t="shared" si="340"/>
        <v>30.900500000000012</v>
      </c>
    </row>
    <row r="2074" spans="1:19" ht="18.75" customHeight="1" x14ac:dyDescent="0.25">
      <c r="A2074" s="14">
        <f t="shared" si="338"/>
        <v>2068</v>
      </c>
      <c r="B2074" s="31" t="s">
        <v>1797</v>
      </c>
      <c r="C2074" s="15" t="s">
        <v>3</v>
      </c>
      <c r="D2074" s="31" t="s">
        <v>1708</v>
      </c>
      <c r="E2074" s="31"/>
      <c r="F2074" s="73" t="s">
        <v>4</v>
      </c>
      <c r="G2074" s="32">
        <v>41547</v>
      </c>
      <c r="H2074" s="29">
        <v>7618.4931506849316</v>
      </c>
      <c r="I2074" s="17">
        <v>0</v>
      </c>
      <c r="J2074" s="17">
        <v>0</v>
      </c>
      <c r="K2074" s="17">
        <f t="shared" si="335"/>
        <v>7618.4931506849316</v>
      </c>
      <c r="L2074" s="23">
        <f t="shared" si="341"/>
        <v>380.92465753424659</v>
      </c>
      <c r="M2074" s="33">
        <v>10</v>
      </c>
      <c r="N2074" s="18">
        <f t="shared" si="336"/>
        <v>7.5095890410958903</v>
      </c>
      <c r="O2074" s="23">
        <v>36916.479452054795</v>
      </c>
      <c r="P2074" s="18">
        <f t="shared" si="337"/>
        <v>8.0109589041095894</v>
      </c>
      <c r="Q2074" s="18">
        <f t="shared" ref="Q2074:Q2126" si="342">(P2074-N2074)/M2074*(K2074-L2074)</f>
        <v>362.86987239632236</v>
      </c>
      <c r="R2074" s="18">
        <f t="shared" si="333"/>
        <v>37279.349324451119</v>
      </c>
      <c r="S2074" s="18">
        <f t="shared" si="340"/>
        <v>380.92465753424659</v>
      </c>
    </row>
    <row r="2075" spans="1:19" ht="18.75" customHeight="1" x14ac:dyDescent="0.25">
      <c r="A2075" s="14">
        <f t="shared" si="338"/>
        <v>2069</v>
      </c>
      <c r="B2075" s="31" t="s">
        <v>1798</v>
      </c>
      <c r="C2075" s="15" t="s">
        <v>3</v>
      </c>
      <c r="D2075" s="31" t="s">
        <v>1708</v>
      </c>
      <c r="E2075" s="31"/>
      <c r="F2075" s="73" t="s">
        <v>4</v>
      </c>
      <c r="G2075" s="32">
        <v>40678</v>
      </c>
      <c r="H2075" s="29">
        <v>6438.7682191780814</v>
      </c>
      <c r="I2075" s="17">
        <v>0</v>
      </c>
      <c r="J2075" s="17">
        <v>0</v>
      </c>
      <c r="K2075" s="17">
        <f t="shared" si="335"/>
        <v>6438.7682191780814</v>
      </c>
      <c r="L2075" s="23">
        <f t="shared" si="341"/>
        <v>321.93841095890411</v>
      </c>
      <c r="M2075" s="33">
        <v>10</v>
      </c>
      <c r="N2075" s="18">
        <f t="shared" si="336"/>
        <v>9.8904109589041092</v>
      </c>
      <c r="O2075" s="23">
        <v>11652.903534246578</v>
      </c>
      <c r="P2075" s="18">
        <f t="shared" si="337"/>
        <v>10.391780821917807</v>
      </c>
      <c r="Q2075" s="18">
        <v>0</v>
      </c>
      <c r="R2075" s="18">
        <f t="shared" si="333"/>
        <v>11652.903534246578</v>
      </c>
      <c r="S2075" s="18">
        <f t="shared" si="340"/>
        <v>321.93841095890411</v>
      </c>
    </row>
    <row r="2076" spans="1:19" ht="18.75" customHeight="1" x14ac:dyDescent="0.25">
      <c r="A2076" s="14">
        <f t="shared" si="338"/>
        <v>2070</v>
      </c>
      <c r="B2076" s="31" t="s">
        <v>1799</v>
      </c>
      <c r="C2076" s="15" t="s">
        <v>3</v>
      </c>
      <c r="D2076" s="31" t="s">
        <v>1708</v>
      </c>
      <c r="E2076" s="31"/>
      <c r="F2076" s="73" t="s">
        <v>4</v>
      </c>
      <c r="G2076" s="32">
        <v>40954</v>
      </c>
      <c r="H2076" s="29">
        <v>6682.5753424657532</v>
      </c>
      <c r="I2076" s="17">
        <v>0</v>
      </c>
      <c r="J2076" s="17">
        <v>0</v>
      </c>
      <c r="K2076" s="17">
        <f t="shared" si="335"/>
        <v>6682.5753424657532</v>
      </c>
      <c r="L2076" s="23">
        <f t="shared" si="341"/>
        <v>334.12876712328767</v>
      </c>
      <c r="M2076" s="33">
        <v>10</v>
      </c>
      <c r="N2076" s="18">
        <f t="shared" si="336"/>
        <v>9.1342465753424662</v>
      </c>
      <c r="O2076" s="23">
        <v>5467.1068493150688</v>
      </c>
      <c r="P2076" s="18">
        <f t="shared" si="337"/>
        <v>9.6356164383561644</v>
      </c>
      <c r="Q2076" s="18">
        <f t="shared" si="342"/>
        <v>318.29197898292341</v>
      </c>
      <c r="R2076" s="18">
        <f t="shared" si="333"/>
        <v>5785.3988282979917</v>
      </c>
      <c r="S2076" s="18">
        <f t="shared" si="334"/>
        <v>897.17651416776152</v>
      </c>
    </row>
    <row r="2077" spans="1:19" ht="18.75" customHeight="1" x14ac:dyDescent="0.25">
      <c r="A2077" s="14">
        <f t="shared" si="338"/>
        <v>2071</v>
      </c>
      <c r="B2077" s="31" t="s">
        <v>1800</v>
      </c>
      <c r="C2077" s="15" t="s">
        <v>3</v>
      </c>
      <c r="D2077" s="31" t="s">
        <v>1708</v>
      </c>
      <c r="E2077" s="31"/>
      <c r="F2077" s="73" t="s">
        <v>4</v>
      </c>
      <c r="G2077" s="32">
        <v>41289</v>
      </c>
      <c r="H2077" s="29">
        <v>6024.426520547946</v>
      </c>
      <c r="I2077" s="17">
        <v>0</v>
      </c>
      <c r="J2077" s="17">
        <v>0</v>
      </c>
      <c r="K2077" s="17">
        <f t="shared" si="335"/>
        <v>6024.426520547946</v>
      </c>
      <c r="L2077" s="23">
        <f t="shared" si="341"/>
        <v>301.22132602739731</v>
      </c>
      <c r="M2077" s="33">
        <v>10</v>
      </c>
      <c r="N2077" s="18">
        <f t="shared" si="336"/>
        <v>8.2164383561643834</v>
      </c>
      <c r="O2077" s="23">
        <v>4913.4883369863001</v>
      </c>
      <c r="P2077" s="18">
        <f t="shared" si="337"/>
        <v>8.7178082191780817</v>
      </c>
      <c r="Q2077" s="18">
        <f t="shared" si="342"/>
        <v>286.94426043760535</v>
      </c>
      <c r="R2077" s="18">
        <f t="shared" si="333"/>
        <v>5200.4325974239055</v>
      </c>
      <c r="S2077" s="18">
        <f t="shared" si="334"/>
        <v>823.99392312404052</v>
      </c>
    </row>
    <row r="2078" spans="1:19" ht="18.75" customHeight="1" x14ac:dyDescent="0.25">
      <c r="A2078" s="14">
        <f t="shared" si="338"/>
        <v>2072</v>
      </c>
      <c r="B2078" s="31" t="s">
        <v>1800</v>
      </c>
      <c r="C2078" s="15" t="s">
        <v>3</v>
      </c>
      <c r="D2078" s="31" t="s">
        <v>1708</v>
      </c>
      <c r="E2078" s="31"/>
      <c r="F2078" s="73" t="s">
        <v>4</v>
      </c>
      <c r="G2078" s="32">
        <v>41258</v>
      </c>
      <c r="H2078" s="29">
        <v>5954.4565479452058</v>
      </c>
      <c r="I2078" s="17">
        <v>0</v>
      </c>
      <c r="J2078" s="17">
        <v>0</v>
      </c>
      <c r="K2078" s="17">
        <f t="shared" si="335"/>
        <v>5954.4565479452058</v>
      </c>
      <c r="L2078" s="23">
        <f t="shared" si="341"/>
        <v>297.72282739726029</v>
      </c>
      <c r="M2078" s="33">
        <v>10</v>
      </c>
      <c r="N2078" s="18">
        <f t="shared" si="336"/>
        <v>8.3013698630136989</v>
      </c>
      <c r="O2078" s="23">
        <v>14411.869901369862</v>
      </c>
      <c r="P2078" s="18">
        <f t="shared" si="337"/>
        <v>8.8027397260273972</v>
      </c>
      <c r="Q2078" s="18">
        <f t="shared" si="342"/>
        <v>283.6115810576091</v>
      </c>
      <c r="R2078" s="18">
        <f t="shared" si="333"/>
        <v>14695.481482427471</v>
      </c>
      <c r="S2078" s="18">
        <f t="shared" ref="S2078:S2125" si="343">L2078</f>
        <v>297.72282739726029</v>
      </c>
    </row>
    <row r="2079" spans="1:19" ht="18.75" customHeight="1" x14ac:dyDescent="0.25">
      <c r="A2079" s="14">
        <f t="shared" si="338"/>
        <v>2073</v>
      </c>
      <c r="B2079" s="31" t="s">
        <v>1322</v>
      </c>
      <c r="C2079" s="15" t="s">
        <v>3</v>
      </c>
      <c r="D2079" s="31" t="s">
        <v>1708</v>
      </c>
      <c r="E2079" s="31"/>
      <c r="F2079" s="73" t="s">
        <v>4</v>
      </c>
      <c r="G2079" s="32">
        <v>41379</v>
      </c>
      <c r="H2079" s="29">
        <v>439</v>
      </c>
      <c r="I2079" s="17">
        <v>0</v>
      </c>
      <c r="J2079" s="17">
        <v>0</v>
      </c>
      <c r="K2079" s="17">
        <f t="shared" si="335"/>
        <v>439</v>
      </c>
      <c r="L2079" s="23">
        <f t="shared" si="341"/>
        <v>21.950000000000003</v>
      </c>
      <c r="M2079" s="33">
        <v>5</v>
      </c>
      <c r="N2079" s="18">
        <f t="shared" si="336"/>
        <v>7.9698630136986299</v>
      </c>
      <c r="O2079" s="23">
        <v>4170.5</v>
      </c>
      <c r="P2079" s="18">
        <f t="shared" si="337"/>
        <v>8.4712328767123282</v>
      </c>
      <c r="Q2079" s="18">
        <v>0</v>
      </c>
      <c r="R2079" s="18">
        <f t="shared" si="333"/>
        <v>4170.5</v>
      </c>
      <c r="S2079" s="18">
        <f t="shared" si="343"/>
        <v>21.950000000000003</v>
      </c>
    </row>
    <row r="2080" spans="1:19" ht="18.75" customHeight="1" x14ac:dyDescent="0.25">
      <c r="A2080" s="14">
        <f t="shared" si="338"/>
        <v>2074</v>
      </c>
      <c r="B2080" s="31" t="s">
        <v>1801</v>
      </c>
      <c r="C2080" s="15" t="s">
        <v>3</v>
      </c>
      <c r="D2080" s="31" t="s">
        <v>1708</v>
      </c>
      <c r="E2080" s="31"/>
      <c r="F2080" s="73" t="s">
        <v>4</v>
      </c>
      <c r="G2080" s="32">
        <v>41348</v>
      </c>
      <c r="H2080" s="29">
        <v>4970.3835616438355</v>
      </c>
      <c r="I2080" s="17">
        <v>0</v>
      </c>
      <c r="J2080" s="17">
        <v>0</v>
      </c>
      <c r="K2080" s="17">
        <f t="shared" si="335"/>
        <v>4970.3835616438355</v>
      </c>
      <c r="L2080" s="23">
        <f t="shared" si="341"/>
        <v>248.51917808219179</v>
      </c>
      <c r="M2080" s="33">
        <v>10</v>
      </c>
      <c r="N2080" s="18">
        <f t="shared" si="336"/>
        <v>8.0547945205479454</v>
      </c>
      <c r="O2080" s="23">
        <v>6424.3017328767119</v>
      </c>
      <c r="P2080" s="18">
        <f t="shared" si="337"/>
        <v>8.5561643835616437</v>
      </c>
      <c r="Q2080" s="18">
        <f t="shared" si="342"/>
        <v>236.74004991555623</v>
      </c>
      <c r="R2080" s="18">
        <f t="shared" si="333"/>
        <v>6661.0417827922684</v>
      </c>
      <c r="S2080" s="18">
        <f t="shared" si="343"/>
        <v>248.51917808219179</v>
      </c>
    </row>
    <row r="2081" spans="1:19" ht="18.75" customHeight="1" x14ac:dyDescent="0.25">
      <c r="A2081" s="14">
        <f t="shared" si="338"/>
        <v>2075</v>
      </c>
      <c r="B2081" s="31" t="s">
        <v>1802</v>
      </c>
      <c r="C2081" s="15" t="s">
        <v>3</v>
      </c>
      <c r="D2081" s="31" t="s">
        <v>1708</v>
      </c>
      <c r="E2081" s="31"/>
      <c r="F2081" s="73" t="s">
        <v>4</v>
      </c>
      <c r="G2081" s="32">
        <v>41289</v>
      </c>
      <c r="H2081" s="29">
        <v>4862.8904109589039</v>
      </c>
      <c r="I2081" s="17">
        <v>0</v>
      </c>
      <c r="J2081" s="17">
        <v>0</v>
      </c>
      <c r="K2081" s="17">
        <f t="shared" si="335"/>
        <v>4862.8904109589039</v>
      </c>
      <c r="L2081" s="23">
        <f t="shared" si="341"/>
        <v>243.14452054794521</v>
      </c>
      <c r="M2081" s="33">
        <v>10</v>
      </c>
      <c r="N2081" s="18">
        <f t="shared" si="336"/>
        <v>8.2164383561643834</v>
      </c>
      <c r="O2081" s="23">
        <v>5175.5739726027405</v>
      </c>
      <c r="P2081" s="18">
        <f t="shared" si="337"/>
        <v>8.7178082191780817</v>
      </c>
      <c r="Q2081" s="18">
        <f t="shared" si="342"/>
        <v>231.62013642334381</v>
      </c>
      <c r="R2081" s="18">
        <f t="shared" si="333"/>
        <v>5407.1941090260843</v>
      </c>
      <c r="S2081" s="18">
        <f t="shared" si="343"/>
        <v>243.14452054794521</v>
      </c>
    </row>
    <row r="2082" spans="1:19" ht="18.75" customHeight="1" x14ac:dyDescent="0.25">
      <c r="A2082" s="14">
        <f t="shared" si="338"/>
        <v>2076</v>
      </c>
      <c r="B2082" s="31" t="s">
        <v>1798</v>
      </c>
      <c r="C2082" s="15" t="s">
        <v>3</v>
      </c>
      <c r="D2082" s="31" t="s">
        <v>1708</v>
      </c>
      <c r="E2082" s="31"/>
      <c r="F2082" s="73" t="s">
        <v>4</v>
      </c>
      <c r="G2082" s="32">
        <v>39401</v>
      </c>
      <c r="H2082" s="29">
        <v>604.58350000000064</v>
      </c>
      <c r="I2082" s="17">
        <v>0</v>
      </c>
      <c r="J2082" s="17">
        <v>0</v>
      </c>
      <c r="K2082" s="17">
        <f t="shared" si="335"/>
        <v>604.58350000000064</v>
      </c>
      <c r="L2082" s="23">
        <f t="shared" si="341"/>
        <v>30.229175000000033</v>
      </c>
      <c r="M2082" s="33">
        <v>10</v>
      </c>
      <c r="N2082" s="18">
        <f t="shared" si="336"/>
        <v>13.389041095890411</v>
      </c>
      <c r="O2082" s="23">
        <v>5743.5432499999997</v>
      </c>
      <c r="P2082" s="18">
        <f t="shared" si="337"/>
        <v>13.890410958904109</v>
      </c>
      <c r="Q2082" s="18">
        <v>0</v>
      </c>
      <c r="R2082" s="18">
        <f t="shared" si="333"/>
        <v>5743.5432499999997</v>
      </c>
      <c r="S2082" s="18">
        <f t="shared" si="343"/>
        <v>30.229175000000033</v>
      </c>
    </row>
    <row r="2083" spans="1:19" ht="18.75" customHeight="1" x14ac:dyDescent="0.25">
      <c r="A2083" s="14">
        <f t="shared" si="338"/>
        <v>2077</v>
      </c>
      <c r="B2083" s="31" t="s">
        <v>1798</v>
      </c>
      <c r="C2083" s="15" t="s">
        <v>3</v>
      </c>
      <c r="D2083" s="31" t="s">
        <v>1708</v>
      </c>
      <c r="E2083" s="31"/>
      <c r="F2083" s="73" t="s">
        <v>4</v>
      </c>
      <c r="G2083" s="32">
        <v>38975</v>
      </c>
      <c r="H2083" s="29">
        <v>797.90300000000025</v>
      </c>
      <c r="I2083" s="17">
        <v>0</v>
      </c>
      <c r="J2083" s="17">
        <v>0</v>
      </c>
      <c r="K2083" s="17">
        <f t="shared" si="335"/>
        <v>797.90300000000025</v>
      </c>
      <c r="L2083" s="23">
        <f t="shared" si="341"/>
        <v>39.895150000000015</v>
      </c>
      <c r="M2083" s="33">
        <v>10</v>
      </c>
      <c r="N2083" s="18">
        <f t="shared" si="336"/>
        <v>14.556164383561644</v>
      </c>
      <c r="O2083" s="23">
        <v>7580.0784999999996</v>
      </c>
      <c r="P2083" s="18">
        <f t="shared" si="337"/>
        <v>15.057534246575342</v>
      </c>
      <c r="Q2083" s="18">
        <v>0</v>
      </c>
      <c r="R2083" s="18">
        <f t="shared" si="333"/>
        <v>7580.0784999999996</v>
      </c>
      <c r="S2083" s="18">
        <f t="shared" si="343"/>
        <v>39.895150000000015</v>
      </c>
    </row>
    <row r="2084" spans="1:19" ht="18.75" customHeight="1" x14ac:dyDescent="0.25">
      <c r="A2084" s="14">
        <f t="shared" si="338"/>
        <v>2078</v>
      </c>
      <c r="B2084" s="31" t="s">
        <v>1803</v>
      </c>
      <c r="C2084" s="15" t="s">
        <v>3</v>
      </c>
      <c r="D2084" s="31" t="s">
        <v>1708</v>
      </c>
      <c r="E2084" s="31"/>
      <c r="F2084" s="73" t="s">
        <v>4</v>
      </c>
      <c r="G2084" s="32">
        <v>41608</v>
      </c>
      <c r="H2084" s="29">
        <v>324.85149999999976</v>
      </c>
      <c r="I2084" s="17">
        <v>0</v>
      </c>
      <c r="J2084" s="17">
        <v>0</v>
      </c>
      <c r="K2084" s="17">
        <f t="shared" si="335"/>
        <v>324.85149999999976</v>
      </c>
      <c r="L2084" s="23">
        <f t="shared" si="341"/>
        <v>16.242574999999988</v>
      </c>
      <c r="M2084" s="33">
        <v>5</v>
      </c>
      <c r="N2084" s="18">
        <f t="shared" si="336"/>
        <v>7.3424657534246576</v>
      </c>
      <c r="O2084" s="23">
        <v>3086.08925</v>
      </c>
      <c r="P2084" s="18">
        <f t="shared" si="337"/>
        <v>7.8438356164383558</v>
      </c>
      <c r="Q2084" s="18">
        <v>0</v>
      </c>
      <c r="R2084" s="18">
        <f t="shared" si="333"/>
        <v>3086.08925</v>
      </c>
      <c r="S2084" s="18">
        <f t="shared" si="343"/>
        <v>16.242574999999988</v>
      </c>
    </row>
    <row r="2085" spans="1:19" ht="18.75" customHeight="1" x14ac:dyDescent="0.25">
      <c r="A2085" s="14">
        <f t="shared" si="338"/>
        <v>2079</v>
      </c>
      <c r="B2085" s="31" t="s">
        <v>1714</v>
      </c>
      <c r="C2085" s="15" t="s">
        <v>3</v>
      </c>
      <c r="D2085" s="31" t="s">
        <v>1708</v>
      </c>
      <c r="E2085" s="31"/>
      <c r="F2085" s="73" t="s">
        <v>4</v>
      </c>
      <c r="G2085" s="32">
        <v>40589</v>
      </c>
      <c r="H2085" s="29">
        <v>3615.7358219178077</v>
      </c>
      <c r="I2085" s="17">
        <v>0</v>
      </c>
      <c r="J2085" s="17">
        <v>0</v>
      </c>
      <c r="K2085" s="17">
        <f t="shared" si="335"/>
        <v>3615.7358219178077</v>
      </c>
      <c r="L2085" s="23">
        <f t="shared" si="341"/>
        <v>180.78679109589041</v>
      </c>
      <c r="M2085" s="33">
        <v>10</v>
      </c>
      <c r="N2085" s="18">
        <f t="shared" si="336"/>
        <v>10.134246575342466</v>
      </c>
      <c r="O2085" s="23">
        <v>4640.695732876713</v>
      </c>
      <c r="P2085" s="18">
        <f t="shared" si="337"/>
        <v>10.635616438356164</v>
      </c>
      <c r="Q2085" s="18">
        <v>0</v>
      </c>
      <c r="R2085" s="18">
        <f t="shared" si="333"/>
        <v>4640.695732876713</v>
      </c>
      <c r="S2085" s="18">
        <f t="shared" si="343"/>
        <v>180.78679109589041</v>
      </c>
    </row>
    <row r="2086" spans="1:19" ht="18.75" customHeight="1" x14ac:dyDescent="0.25">
      <c r="A2086" s="14">
        <f t="shared" si="338"/>
        <v>2080</v>
      </c>
      <c r="B2086" s="31" t="s">
        <v>1714</v>
      </c>
      <c r="C2086" s="15" t="s">
        <v>3</v>
      </c>
      <c r="D2086" s="31" t="s">
        <v>1708</v>
      </c>
      <c r="E2086" s="31"/>
      <c r="F2086" s="73" t="s">
        <v>4</v>
      </c>
      <c r="G2086" s="32">
        <v>40648</v>
      </c>
      <c r="H2086" s="29">
        <v>3424.5113013698633</v>
      </c>
      <c r="I2086" s="17">
        <v>0</v>
      </c>
      <c r="J2086" s="17">
        <v>0</v>
      </c>
      <c r="K2086" s="17">
        <f t="shared" si="335"/>
        <v>3424.5113013698633</v>
      </c>
      <c r="L2086" s="23">
        <f t="shared" si="341"/>
        <v>171.22556506849318</v>
      </c>
      <c r="M2086" s="33">
        <v>10</v>
      </c>
      <c r="N2086" s="18">
        <f t="shared" si="336"/>
        <v>9.9726027397260282</v>
      </c>
      <c r="O2086" s="23">
        <v>3845.8355479452061</v>
      </c>
      <c r="P2086" s="18">
        <f t="shared" si="337"/>
        <v>10.473972602739726</v>
      </c>
      <c r="Q2086" s="18">
        <v>0</v>
      </c>
      <c r="R2086" s="18">
        <f t="shared" si="333"/>
        <v>3845.8355479452061</v>
      </c>
      <c r="S2086" s="18">
        <f t="shared" si="343"/>
        <v>171.22556506849318</v>
      </c>
    </row>
    <row r="2087" spans="1:19" ht="18.75" customHeight="1" x14ac:dyDescent="0.25">
      <c r="A2087" s="14">
        <f t="shared" si="338"/>
        <v>2081</v>
      </c>
      <c r="B2087" s="31" t="s">
        <v>1798</v>
      </c>
      <c r="C2087" s="15" t="s">
        <v>3</v>
      </c>
      <c r="D2087" s="31" t="s">
        <v>1708</v>
      </c>
      <c r="E2087" s="31"/>
      <c r="F2087" s="73" t="s">
        <v>4</v>
      </c>
      <c r="G2087" s="32">
        <v>39431</v>
      </c>
      <c r="H2087" s="29">
        <v>379.125</v>
      </c>
      <c r="I2087" s="17">
        <v>0</v>
      </c>
      <c r="J2087" s="17">
        <v>0</v>
      </c>
      <c r="K2087" s="17">
        <f t="shared" si="335"/>
        <v>379.125</v>
      </c>
      <c r="L2087" s="23">
        <f t="shared" si="341"/>
        <v>18.956250000000001</v>
      </c>
      <c r="M2087" s="33">
        <v>10</v>
      </c>
      <c r="N2087" s="18">
        <f t="shared" si="336"/>
        <v>13.306849315068494</v>
      </c>
      <c r="O2087" s="23">
        <v>3601.6875</v>
      </c>
      <c r="P2087" s="18">
        <f t="shared" si="337"/>
        <v>13.808219178082192</v>
      </c>
      <c r="Q2087" s="18">
        <v>0</v>
      </c>
      <c r="R2087" s="18">
        <f t="shared" si="333"/>
        <v>3601.6875</v>
      </c>
      <c r="S2087" s="18">
        <f t="shared" si="343"/>
        <v>18.956250000000001</v>
      </c>
    </row>
    <row r="2088" spans="1:19" ht="18.75" customHeight="1" x14ac:dyDescent="0.25">
      <c r="A2088" s="14">
        <f t="shared" si="338"/>
        <v>2082</v>
      </c>
      <c r="B2088" s="31" t="s">
        <v>1804</v>
      </c>
      <c r="C2088" s="15" t="s">
        <v>3</v>
      </c>
      <c r="D2088" s="31" t="s">
        <v>1708</v>
      </c>
      <c r="E2088" s="31"/>
      <c r="F2088" s="73" t="s">
        <v>4</v>
      </c>
      <c r="G2088" s="32">
        <v>38883</v>
      </c>
      <c r="H2088" s="29">
        <v>650</v>
      </c>
      <c r="I2088" s="17">
        <v>0</v>
      </c>
      <c r="J2088" s="17">
        <v>0</v>
      </c>
      <c r="K2088" s="17">
        <f t="shared" si="335"/>
        <v>650</v>
      </c>
      <c r="L2088" s="23">
        <f t="shared" si="341"/>
        <v>32.5</v>
      </c>
      <c r="M2088" s="33">
        <v>10</v>
      </c>
      <c r="N2088" s="18">
        <f t="shared" si="336"/>
        <v>14.808219178082192</v>
      </c>
      <c r="O2088" s="23">
        <v>6175</v>
      </c>
      <c r="P2088" s="18">
        <f t="shared" si="337"/>
        <v>15.30958904109589</v>
      </c>
      <c r="Q2088" s="18">
        <v>0</v>
      </c>
      <c r="R2088" s="18">
        <f t="shared" si="333"/>
        <v>6175</v>
      </c>
      <c r="S2088" s="18">
        <f t="shared" si="343"/>
        <v>32.5</v>
      </c>
    </row>
    <row r="2089" spans="1:19" ht="18.75" customHeight="1" x14ac:dyDescent="0.25">
      <c r="A2089" s="14">
        <f t="shared" si="338"/>
        <v>2083</v>
      </c>
      <c r="B2089" s="31" t="s">
        <v>1714</v>
      </c>
      <c r="C2089" s="15" t="s">
        <v>3</v>
      </c>
      <c r="D2089" s="31" t="s">
        <v>1708</v>
      </c>
      <c r="E2089" s="31"/>
      <c r="F2089" s="73" t="s">
        <v>4</v>
      </c>
      <c r="G2089" s="32">
        <v>40193</v>
      </c>
      <c r="H2089" s="29">
        <v>303.85000000000036</v>
      </c>
      <c r="I2089" s="17">
        <v>0</v>
      </c>
      <c r="J2089" s="17">
        <v>0</v>
      </c>
      <c r="K2089" s="17">
        <f t="shared" si="335"/>
        <v>303.85000000000036</v>
      </c>
      <c r="L2089" s="23">
        <f t="shared" si="341"/>
        <v>15.192500000000019</v>
      </c>
      <c r="M2089" s="33">
        <v>10</v>
      </c>
      <c r="N2089" s="18">
        <f t="shared" si="336"/>
        <v>11.219178082191782</v>
      </c>
      <c r="O2089" s="23">
        <v>2886.5749999999998</v>
      </c>
      <c r="P2089" s="18">
        <f t="shared" si="337"/>
        <v>11.72054794520548</v>
      </c>
      <c r="Q2089" s="18">
        <v>0</v>
      </c>
      <c r="R2089" s="18">
        <f t="shared" si="333"/>
        <v>2886.5749999999998</v>
      </c>
      <c r="S2089" s="18">
        <f t="shared" si="343"/>
        <v>15.192500000000019</v>
      </c>
    </row>
    <row r="2090" spans="1:19" ht="18.75" customHeight="1" x14ac:dyDescent="0.25">
      <c r="A2090" s="14">
        <f t="shared" si="338"/>
        <v>2084</v>
      </c>
      <c r="B2090" s="31" t="s">
        <v>1803</v>
      </c>
      <c r="C2090" s="15" t="s">
        <v>3</v>
      </c>
      <c r="D2090" s="31" t="s">
        <v>1708</v>
      </c>
      <c r="E2090" s="31"/>
      <c r="F2090" s="73" t="s">
        <v>4</v>
      </c>
      <c r="G2090" s="32">
        <v>41320</v>
      </c>
      <c r="H2090" s="29">
        <v>250.26149999999961</v>
      </c>
      <c r="I2090" s="17">
        <v>0</v>
      </c>
      <c r="J2090" s="17">
        <v>0</v>
      </c>
      <c r="K2090" s="17">
        <f t="shared" si="335"/>
        <v>250.26149999999961</v>
      </c>
      <c r="L2090" s="23">
        <f t="shared" si="341"/>
        <v>12.513074999999981</v>
      </c>
      <c r="M2090" s="33">
        <v>5</v>
      </c>
      <c r="N2090" s="18">
        <f t="shared" si="336"/>
        <v>8.131506849315068</v>
      </c>
      <c r="O2090" s="23">
        <v>2377.48425</v>
      </c>
      <c r="P2090" s="18">
        <f t="shared" si="337"/>
        <v>8.632876712328768</v>
      </c>
      <c r="Q2090" s="18">
        <v>0</v>
      </c>
      <c r="R2090" s="18">
        <f t="shared" si="333"/>
        <v>2377.48425</v>
      </c>
      <c r="S2090" s="18">
        <f t="shared" si="343"/>
        <v>12.513074999999981</v>
      </c>
    </row>
    <row r="2091" spans="1:19" ht="18.75" customHeight="1" x14ac:dyDescent="0.25">
      <c r="A2091" s="14">
        <f t="shared" si="338"/>
        <v>2085</v>
      </c>
      <c r="B2091" s="31" t="s">
        <v>1714</v>
      </c>
      <c r="C2091" s="15" t="s">
        <v>3</v>
      </c>
      <c r="D2091" s="31" t="s">
        <v>1708</v>
      </c>
      <c r="E2091" s="31"/>
      <c r="F2091" s="73" t="s">
        <v>4</v>
      </c>
      <c r="G2091" s="32">
        <v>40252</v>
      </c>
      <c r="H2091" s="29">
        <v>282.89999999999964</v>
      </c>
      <c r="I2091" s="17">
        <v>0</v>
      </c>
      <c r="J2091" s="17">
        <v>0</v>
      </c>
      <c r="K2091" s="17">
        <f t="shared" si="335"/>
        <v>282.89999999999964</v>
      </c>
      <c r="L2091" s="23">
        <f t="shared" si="341"/>
        <v>14.144999999999982</v>
      </c>
      <c r="M2091" s="33">
        <v>10</v>
      </c>
      <c r="N2091" s="18">
        <f t="shared" si="336"/>
        <v>11.057534246575342</v>
      </c>
      <c r="O2091" s="23">
        <v>2687.55</v>
      </c>
      <c r="P2091" s="18">
        <f t="shared" si="337"/>
        <v>11.558904109589042</v>
      </c>
      <c r="Q2091" s="18">
        <v>0</v>
      </c>
      <c r="R2091" s="18">
        <f t="shared" si="333"/>
        <v>2687.55</v>
      </c>
      <c r="S2091" s="18">
        <f t="shared" si="343"/>
        <v>14.144999999999982</v>
      </c>
    </row>
    <row r="2092" spans="1:19" ht="18.75" customHeight="1" x14ac:dyDescent="0.25">
      <c r="A2092" s="14">
        <f t="shared" si="338"/>
        <v>2086</v>
      </c>
      <c r="B2092" s="31" t="s">
        <v>1803</v>
      </c>
      <c r="C2092" s="15" t="s">
        <v>3</v>
      </c>
      <c r="D2092" s="31" t="s">
        <v>1708</v>
      </c>
      <c r="E2092" s="31"/>
      <c r="F2092" s="73" t="s">
        <v>4</v>
      </c>
      <c r="G2092" s="32">
        <v>41289</v>
      </c>
      <c r="H2092" s="29">
        <v>250.26100000000042</v>
      </c>
      <c r="I2092" s="17">
        <v>0</v>
      </c>
      <c r="J2092" s="17">
        <v>0</v>
      </c>
      <c r="K2092" s="17">
        <f t="shared" si="335"/>
        <v>250.26100000000042</v>
      </c>
      <c r="L2092" s="23">
        <f t="shared" si="341"/>
        <v>12.513050000000021</v>
      </c>
      <c r="M2092" s="33">
        <v>5</v>
      </c>
      <c r="N2092" s="18">
        <f t="shared" si="336"/>
        <v>8.2164383561643834</v>
      </c>
      <c r="O2092" s="23">
        <v>2377.4794999999999</v>
      </c>
      <c r="P2092" s="18">
        <f t="shared" si="337"/>
        <v>8.7178082191780817</v>
      </c>
      <c r="Q2092" s="18">
        <v>0</v>
      </c>
      <c r="R2092" s="18">
        <f t="shared" si="333"/>
        <v>2377.4794999999999</v>
      </c>
      <c r="S2092" s="18">
        <f t="shared" si="343"/>
        <v>12.513050000000021</v>
      </c>
    </row>
    <row r="2093" spans="1:19" ht="18.75" customHeight="1" x14ac:dyDescent="0.25">
      <c r="A2093" s="14">
        <f t="shared" si="338"/>
        <v>2087</v>
      </c>
      <c r="B2093" s="31" t="s">
        <v>1714</v>
      </c>
      <c r="C2093" s="15" t="s">
        <v>3</v>
      </c>
      <c r="D2093" s="31" t="s">
        <v>1708</v>
      </c>
      <c r="E2093" s="31"/>
      <c r="F2093" s="73" t="s">
        <v>4</v>
      </c>
      <c r="G2093" s="32">
        <v>39979</v>
      </c>
      <c r="H2093" s="29">
        <v>281.14999999999964</v>
      </c>
      <c r="I2093" s="17">
        <v>0</v>
      </c>
      <c r="J2093" s="17">
        <v>0</v>
      </c>
      <c r="K2093" s="17">
        <f t="shared" si="335"/>
        <v>281.14999999999964</v>
      </c>
      <c r="L2093" s="23">
        <f t="shared" si="341"/>
        <v>14.057499999999983</v>
      </c>
      <c r="M2093" s="33">
        <v>10</v>
      </c>
      <c r="N2093" s="18">
        <f t="shared" si="336"/>
        <v>11.805479452054794</v>
      </c>
      <c r="O2093" s="23">
        <v>2670.9250000000002</v>
      </c>
      <c r="P2093" s="18">
        <f t="shared" si="337"/>
        <v>12.306849315068494</v>
      </c>
      <c r="Q2093" s="18">
        <v>0</v>
      </c>
      <c r="R2093" s="18">
        <f t="shared" si="333"/>
        <v>2670.9250000000002</v>
      </c>
      <c r="S2093" s="18">
        <f t="shared" si="343"/>
        <v>14.057499999999983</v>
      </c>
    </row>
    <row r="2094" spans="1:19" ht="18.75" customHeight="1" x14ac:dyDescent="0.25">
      <c r="A2094" s="14">
        <f t="shared" si="338"/>
        <v>2088</v>
      </c>
      <c r="B2094" s="31" t="s">
        <v>1714</v>
      </c>
      <c r="C2094" s="15" t="s">
        <v>3</v>
      </c>
      <c r="D2094" s="31" t="s">
        <v>1708</v>
      </c>
      <c r="E2094" s="31"/>
      <c r="F2094" s="73" t="s">
        <v>4</v>
      </c>
      <c r="G2094" s="32">
        <v>39948</v>
      </c>
      <c r="H2094" s="29">
        <v>278.75</v>
      </c>
      <c r="I2094" s="17">
        <v>0</v>
      </c>
      <c r="J2094" s="17">
        <v>0</v>
      </c>
      <c r="K2094" s="17">
        <f t="shared" si="335"/>
        <v>278.75</v>
      </c>
      <c r="L2094" s="23">
        <f t="shared" si="341"/>
        <v>13.9375</v>
      </c>
      <c r="M2094" s="33">
        <v>10</v>
      </c>
      <c r="N2094" s="18">
        <f t="shared" si="336"/>
        <v>11.890410958904109</v>
      </c>
      <c r="O2094" s="23">
        <v>2648.125</v>
      </c>
      <c r="P2094" s="18">
        <f t="shared" si="337"/>
        <v>12.391780821917807</v>
      </c>
      <c r="Q2094" s="18">
        <v>0</v>
      </c>
      <c r="R2094" s="18">
        <f t="shared" si="333"/>
        <v>2648.125</v>
      </c>
      <c r="S2094" s="18">
        <f t="shared" si="343"/>
        <v>13.9375</v>
      </c>
    </row>
    <row r="2095" spans="1:19" ht="18.75" customHeight="1" x14ac:dyDescent="0.25">
      <c r="A2095" s="14">
        <f t="shared" si="338"/>
        <v>2089</v>
      </c>
      <c r="B2095" s="31" t="s">
        <v>1798</v>
      </c>
      <c r="C2095" s="15" t="s">
        <v>3</v>
      </c>
      <c r="D2095" s="31" t="s">
        <v>1708</v>
      </c>
      <c r="E2095" s="31"/>
      <c r="F2095" s="73" t="s">
        <v>4</v>
      </c>
      <c r="G2095" s="32">
        <v>39493</v>
      </c>
      <c r="H2095" s="29">
        <v>335</v>
      </c>
      <c r="I2095" s="17">
        <v>0</v>
      </c>
      <c r="J2095" s="17">
        <v>0</v>
      </c>
      <c r="K2095" s="17">
        <f t="shared" si="335"/>
        <v>335</v>
      </c>
      <c r="L2095" s="23">
        <f t="shared" si="341"/>
        <v>16.75</v>
      </c>
      <c r="M2095" s="33">
        <v>10</v>
      </c>
      <c r="N2095" s="18">
        <f t="shared" si="336"/>
        <v>13.136986301369863</v>
      </c>
      <c r="O2095" s="23">
        <v>3182.5</v>
      </c>
      <c r="P2095" s="18">
        <f t="shared" si="337"/>
        <v>13.638356164383561</v>
      </c>
      <c r="Q2095" s="18">
        <v>0</v>
      </c>
      <c r="R2095" s="18">
        <f t="shared" si="333"/>
        <v>3182.5</v>
      </c>
      <c r="S2095" s="18">
        <f t="shared" si="343"/>
        <v>16.75</v>
      </c>
    </row>
    <row r="2096" spans="1:19" ht="18.75" customHeight="1" x14ac:dyDescent="0.25">
      <c r="A2096" s="14">
        <f t="shared" si="338"/>
        <v>2090</v>
      </c>
      <c r="B2096" s="31" t="s">
        <v>1805</v>
      </c>
      <c r="C2096" s="15" t="s">
        <v>3</v>
      </c>
      <c r="D2096" s="31" t="s">
        <v>1708</v>
      </c>
      <c r="E2096" s="31"/>
      <c r="F2096" s="73" t="s">
        <v>4</v>
      </c>
      <c r="G2096" s="32">
        <v>35764</v>
      </c>
      <c r="H2096" s="29">
        <v>2645</v>
      </c>
      <c r="I2096" s="17">
        <v>0</v>
      </c>
      <c r="J2096" s="17">
        <v>0</v>
      </c>
      <c r="K2096" s="17">
        <f t="shared" si="335"/>
        <v>2645</v>
      </c>
      <c r="L2096" s="23">
        <f t="shared" si="341"/>
        <v>132.25</v>
      </c>
      <c r="M2096" s="33">
        <v>10</v>
      </c>
      <c r="N2096" s="18">
        <f t="shared" si="336"/>
        <v>23.353424657534248</v>
      </c>
      <c r="O2096" s="23">
        <v>25127.5</v>
      </c>
      <c r="P2096" s="18">
        <f t="shared" si="337"/>
        <v>23.854794520547944</v>
      </c>
      <c r="Q2096" s="18">
        <v>0</v>
      </c>
      <c r="R2096" s="18">
        <f t="shared" si="333"/>
        <v>25127.5</v>
      </c>
      <c r="S2096" s="18">
        <f t="shared" si="343"/>
        <v>132.25</v>
      </c>
    </row>
    <row r="2097" spans="1:19" ht="18.75" customHeight="1" x14ac:dyDescent="0.25">
      <c r="A2097" s="14">
        <f t="shared" si="338"/>
        <v>2091</v>
      </c>
      <c r="B2097" s="31" t="s">
        <v>1806</v>
      </c>
      <c r="C2097" s="15" t="s">
        <v>3</v>
      </c>
      <c r="D2097" s="31" t="s">
        <v>1708</v>
      </c>
      <c r="E2097" s="31"/>
      <c r="F2097" s="73" t="s">
        <v>4</v>
      </c>
      <c r="G2097" s="32">
        <v>38913</v>
      </c>
      <c r="H2097" s="29">
        <v>351.60949999999957</v>
      </c>
      <c r="I2097" s="17">
        <v>0</v>
      </c>
      <c r="J2097" s="17">
        <v>0</v>
      </c>
      <c r="K2097" s="17">
        <f t="shared" si="335"/>
        <v>351.60949999999957</v>
      </c>
      <c r="L2097" s="23">
        <f t="shared" si="341"/>
        <v>17.580474999999979</v>
      </c>
      <c r="M2097" s="33">
        <v>10</v>
      </c>
      <c r="N2097" s="18">
        <f t="shared" si="336"/>
        <v>14.726027397260275</v>
      </c>
      <c r="O2097" s="23">
        <v>3340.29025</v>
      </c>
      <c r="P2097" s="18">
        <f t="shared" si="337"/>
        <v>15.227397260273973</v>
      </c>
      <c r="Q2097" s="18">
        <v>0</v>
      </c>
      <c r="R2097" s="18">
        <f t="shared" si="333"/>
        <v>3340.29025</v>
      </c>
      <c r="S2097" s="18">
        <f t="shared" si="343"/>
        <v>17.580474999999979</v>
      </c>
    </row>
    <row r="2098" spans="1:19" ht="18.75" customHeight="1" x14ac:dyDescent="0.25">
      <c r="A2098" s="14">
        <f t="shared" si="338"/>
        <v>2092</v>
      </c>
      <c r="B2098" s="31" t="s">
        <v>1798</v>
      </c>
      <c r="C2098" s="15" t="s">
        <v>3</v>
      </c>
      <c r="D2098" s="31" t="s">
        <v>1708</v>
      </c>
      <c r="E2098" s="31"/>
      <c r="F2098" s="73" t="s">
        <v>4</v>
      </c>
      <c r="G2098" s="32">
        <v>38944</v>
      </c>
      <c r="H2098" s="29">
        <v>335.30599999999959</v>
      </c>
      <c r="I2098" s="17">
        <v>0</v>
      </c>
      <c r="J2098" s="17">
        <v>0</v>
      </c>
      <c r="K2098" s="17">
        <f t="shared" si="335"/>
        <v>335.30599999999959</v>
      </c>
      <c r="L2098" s="23">
        <f t="shared" si="341"/>
        <v>16.765299999999979</v>
      </c>
      <c r="M2098" s="33">
        <v>10</v>
      </c>
      <c r="N2098" s="18">
        <f t="shared" si="336"/>
        <v>14.641095890410959</v>
      </c>
      <c r="O2098" s="23">
        <v>3185.4070000000002</v>
      </c>
      <c r="P2098" s="18">
        <f t="shared" si="337"/>
        <v>15.142465753424657</v>
      </c>
      <c r="Q2098" s="18">
        <v>0</v>
      </c>
      <c r="R2098" s="18">
        <f t="shared" si="333"/>
        <v>3185.4070000000002</v>
      </c>
      <c r="S2098" s="18">
        <f t="shared" si="343"/>
        <v>16.765299999999979</v>
      </c>
    </row>
    <row r="2099" spans="1:19" ht="18.75" customHeight="1" x14ac:dyDescent="0.25">
      <c r="A2099" s="14">
        <f t="shared" si="338"/>
        <v>2093</v>
      </c>
      <c r="B2099" s="31" t="s">
        <v>1807</v>
      </c>
      <c r="C2099" s="15" t="s">
        <v>3</v>
      </c>
      <c r="D2099" s="31" t="s">
        <v>1708</v>
      </c>
      <c r="E2099" s="31"/>
      <c r="F2099" s="73" t="s">
        <v>4</v>
      </c>
      <c r="G2099" s="32">
        <v>36113</v>
      </c>
      <c r="H2099" s="29">
        <v>2041.25</v>
      </c>
      <c r="I2099" s="17">
        <v>0</v>
      </c>
      <c r="J2099" s="17">
        <v>0</v>
      </c>
      <c r="K2099" s="17">
        <f t="shared" si="335"/>
        <v>2041.25</v>
      </c>
      <c r="L2099" s="23">
        <f t="shared" si="341"/>
        <v>102.0625</v>
      </c>
      <c r="M2099" s="33">
        <v>10</v>
      </c>
      <c r="N2099" s="18">
        <f t="shared" si="336"/>
        <v>22.397260273972602</v>
      </c>
      <c r="O2099" s="23">
        <v>19391.875</v>
      </c>
      <c r="P2099" s="18">
        <f t="shared" si="337"/>
        <v>22.898630136986302</v>
      </c>
      <c r="Q2099" s="18">
        <v>0</v>
      </c>
      <c r="R2099" s="18">
        <f t="shared" si="333"/>
        <v>19391.875</v>
      </c>
      <c r="S2099" s="18">
        <f t="shared" si="343"/>
        <v>102.0625</v>
      </c>
    </row>
    <row r="2100" spans="1:19" ht="18.75" customHeight="1" x14ac:dyDescent="0.25">
      <c r="A2100" s="14">
        <f t="shared" si="338"/>
        <v>2094</v>
      </c>
      <c r="B2100" s="31" t="s">
        <v>1808</v>
      </c>
      <c r="C2100" s="15" t="s">
        <v>3</v>
      </c>
      <c r="D2100" s="31" t="s">
        <v>1708</v>
      </c>
      <c r="E2100" s="31"/>
      <c r="F2100" s="73" t="s">
        <v>4</v>
      </c>
      <c r="G2100" s="32">
        <v>35764</v>
      </c>
      <c r="H2100" s="29">
        <v>1311</v>
      </c>
      <c r="I2100" s="17">
        <v>0</v>
      </c>
      <c r="J2100" s="17">
        <v>0</v>
      </c>
      <c r="K2100" s="17">
        <f t="shared" si="335"/>
        <v>1311</v>
      </c>
      <c r="L2100" s="23">
        <f t="shared" si="341"/>
        <v>65.55</v>
      </c>
      <c r="M2100" s="33">
        <v>10</v>
      </c>
      <c r="N2100" s="18">
        <f t="shared" si="336"/>
        <v>23.353424657534248</v>
      </c>
      <c r="O2100" s="23">
        <v>12454.5</v>
      </c>
      <c r="P2100" s="18">
        <f t="shared" si="337"/>
        <v>23.854794520547944</v>
      </c>
      <c r="Q2100" s="18">
        <v>0</v>
      </c>
      <c r="R2100" s="18">
        <f t="shared" si="333"/>
        <v>12454.5</v>
      </c>
      <c r="S2100" s="18">
        <f t="shared" si="343"/>
        <v>65.55</v>
      </c>
    </row>
    <row r="2101" spans="1:19" ht="18.75" customHeight="1" x14ac:dyDescent="0.25">
      <c r="A2101" s="14">
        <f t="shared" si="338"/>
        <v>2095</v>
      </c>
      <c r="B2101" s="31" t="s">
        <v>1809</v>
      </c>
      <c r="C2101" s="15" t="s">
        <v>3</v>
      </c>
      <c r="D2101" s="31" t="s">
        <v>1708</v>
      </c>
      <c r="E2101" s="31"/>
      <c r="F2101" s="73" t="s">
        <v>4</v>
      </c>
      <c r="G2101" s="32">
        <v>35764</v>
      </c>
      <c r="H2101" s="29">
        <v>1258.25</v>
      </c>
      <c r="I2101" s="17">
        <v>0</v>
      </c>
      <c r="J2101" s="17">
        <v>0</v>
      </c>
      <c r="K2101" s="17">
        <f t="shared" si="335"/>
        <v>1258.25</v>
      </c>
      <c r="L2101" s="23">
        <f t="shared" si="341"/>
        <v>62.912500000000001</v>
      </c>
      <c r="M2101" s="33">
        <v>10</v>
      </c>
      <c r="N2101" s="18">
        <f t="shared" si="336"/>
        <v>23.353424657534248</v>
      </c>
      <c r="O2101" s="23">
        <v>11953.375</v>
      </c>
      <c r="P2101" s="18">
        <f t="shared" si="337"/>
        <v>23.854794520547944</v>
      </c>
      <c r="Q2101" s="18">
        <v>0</v>
      </c>
      <c r="R2101" s="18">
        <f t="shared" si="333"/>
        <v>11953.375</v>
      </c>
      <c r="S2101" s="18">
        <f t="shared" si="343"/>
        <v>62.912500000000001</v>
      </c>
    </row>
    <row r="2102" spans="1:19" ht="18.75" customHeight="1" x14ac:dyDescent="0.25">
      <c r="A2102" s="14">
        <f t="shared" si="338"/>
        <v>2096</v>
      </c>
      <c r="B2102" s="31" t="s">
        <v>1810</v>
      </c>
      <c r="C2102" s="15" t="s">
        <v>3</v>
      </c>
      <c r="D2102" s="31" t="s">
        <v>1708</v>
      </c>
      <c r="E2102" s="31"/>
      <c r="F2102" s="73" t="s">
        <v>4</v>
      </c>
      <c r="G2102" s="32">
        <v>36115</v>
      </c>
      <c r="H2102" s="29">
        <v>948.75</v>
      </c>
      <c r="I2102" s="17">
        <v>0</v>
      </c>
      <c r="J2102" s="17">
        <v>0</v>
      </c>
      <c r="K2102" s="17">
        <f t="shared" si="335"/>
        <v>948.75</v>
      </c>
      <c r="L2102" s="23">
        <f t="shared" si="341"/>
        <v>47.4375</v>
      </c>
      <c r="M2102" s="33">
        <v>10</v>
      </c>
      <c r="N2102" s="18">
        <f t="shared" si="336"/>
        <v>22.391780821917809</v>
      </c>
      <c r="O2102" s="23">
        <v>9013.125</v>
      </c>
      <c r="P2102" s="18">
        <f t="shared" si="337"/>
        <v>22.893150684931506</v>
      </c>
      <c r="Q2102" s="18">
        <v>0</v>
      </c>
      <c r="R2102" s="18">
        <f t="shared" si="333"/>
        <v>9013.125</v>
      </c>
      <c r="S2102" s="18">
        <f t="shared" si="343"/>
        <v>47.4375</v>
      </c>
    </row>
    <row r="2103" spans="1:19" ht="18.75" customHeight="1" x14ac:dyDescent="0.25">
      <c r="A2103" s="14">
        <f t="shared" si="338"/>
        <v>2097</v>
      </c>
      <c r="B2103" s="31" t="s">
        <v>1811</v>
      </c>
      <c r="C2103" s="15" t="s">
        <v>3</v>
      </c>
      <c r="D2103" s="31" t="s">
        <v>1708</v>
      </c>
      <c r="E2103" s="31"/>
      <c r="F2103" s="73" t="s">
        <v>4</v>
      </c>
      <c r="G2103" s="32">
        <v>35764</v>
      </c>
      <c r="H2103" s="29">
        <v>935.5</v>
      </c>
      <c r="I2103" s="17">
        <v>0</v>
      </c>
      <c r="J2103" s="17">
        <v>0</v>
      </c>
      <c r="K2103" s="17">
        <f t="shared" si="335"/>
        <v>935.5</v>
      </c>
      <c r="L2103" s="23">
        <f t="shared" si="341"/>
        <v>46.775000000000006</v>
      </c>
      <c r="M2103" s="33">
        <v>10</v>
      </c>
      <c r="N2103" s="18">
        <f t="shared" si="336"/>
        <v>23.353424657534248</v>
      </c>
      <c r="O2103" s="23">
        <v>8887.25</v>
      </c>
      <c r="P2103" s="18">
        <f t="shared" si="337"/>
        <v>23.854794520547944</v>
      </c>
      <c r="Q2103" s="18">
        <v>0</v>
      </c>
      <c r="R2103" s="18">
        <f t="shared" si="333"/>
        <v>8887.25</v>
      </c>
      <c r="S2103" s="18">
        <f t="shared" si="343"/>
        <v>46.775000000000006</v>
      </c>
    </row>
    <row r="2104" spans="1:19" ht="18.75" customHeight="1" x14ac:dyDescent="0.25">
      <c r="A2104" s="14">
        <f t="shared" si="338"/>
        <v>2098</v>
      </c>
      <c r="B2104" s="31" t="s">
        <v>1812</v>
      </c>
      <c r="C2104" s="15" t="s">
        <v>3</v>
      </c>
      <c r="D2104" s="31" t="s">
        <v>1708</v>
      </c>
      <c r="E2104" s="31"/>
      <c r="F2104" s="73" t="s">
        <v>4</v>
      </c>
      <c r="G2104" s="32">
        <v>34334</v>
      </c>
      <c r="H2104" s="29">
        <v>900</v>
      </c>
      <c r="I2104" s="17">
        <v>0</v>
      </c>
      <c r="J2104" s="17">
        <v>0</v>
      </c>
      <c r="K2104" s="17">
        <f t="shared" si="335"/>
        <v>900</v>
      </c>
      <c r="L2104" s="23">
        <f t="shared" si="341"/>
        <v>45</v>
      </c>
      <c r="M2104" s="33">
        <v>10</v>
      </c>
      <c r="N2104" s="18">
        <f t="shared" si="336"/>
        <v>27.271232876712329</v>
      </c>
      <c r="O2104" s="23">
        <v>8550</v>
      </c>
      <c r="P2104" s="18">
        <f t="shared" si="337"/>
        <v>27.772602739726029</v>
      </c>
      <c r="Q2104" s="18">
        <v>0</v>
      </c>
      <c r="R2104" s="18">
        <f t="shared" si="333"/>
        <v>8550</v>
      </c>
      <c r="S2104" s="18">
        <f t="shared" si="343"/>
        <v>45</v>
      </c>
    </row>
    <row r="2105" spans="1:19" ht="18.75" customHeight="1" x14ac:dyDescent="0.25">
      <c r="A2105" s="14">
        <f t="shared" si="338"/>
        <v>2099</v>
      </c>
      <c r="B2105" s="31" t="s">
        <v>1204</v>
      </c>
      <c r="C2105" s="15" t="s">
        <v>3</v>
      </c>
      <c r="D2105" s="31" t="s">
        <v>1708</v>
      </c>
      <c r="E2105" s="31"/>
      <c r="F2105" s="73" t="s">
        <v>4</v>
      </c>
      <c r="G2105" s="32">
        <v>38842</v>
      </c>
      <c r="H2105" s="29">
        <v>868.75</v>
      </c>
      <c r="I2105" s="17">
        <v>0</v>
      </c>
      <c r="J2105" s="17">
        <v>0</v>
      </c>
      <c r="K2105" s="17">
        <f t="shared" si="335"/>
        <v>868.75</v>
      </c>
      <c r="L2105" s="23">
        <f t="shared" si="341"/>
        <v>43.4375</v>
      </c>
      <c r="M2105" s="33">
        <v>5</v>
      </c>
      <c r="N2105" s="18">
        <f t="shared" si="336"/>
        <v>14.920547945205479</v>
      </c>
      <c r="O2105" s="23">
        <v>8253.125</v>
      </c>
      <c r="P2105" s="18">
        <f t="shared" si="337"/>
        <v>15.421917808219177</v>
      </c>
      <c r="Q2105" s="18">
        <v>0</v>
      </c>
      <c r="R2105" s="18">
        <f t="shared" si="333"/>
        <v>8253.125</v>
      </c>
      <c r="S2105" s="18">
        <f t="shared" si="343"/>
        <v>43.4375</v>
      </c>
    </row>
    <row r="2106" spans="1:19" ht="18.75" customHeight="1" x14ac:dyDescent="0.25">
      <c r="A2106" s="14">
        <f t="shared" si="338"/>
        <v>2100</v>
      </c>
      <c r="B2106" s="31" t="s">
        <v>1813</v>
      </c>
      <c r="C2106" s="15" t="s">
        <v>3</v>
      </c>
      <c r="D2106" s="31" t="s">
        <v>1708</v>
      </c>
      <c r="E2106" s="31"/>
      <c r="F2106" s="73" t="s">
        <v>4</v>
      </c>
      <c r="G2106" s="32">
        <v>33238</v>
      </c>
      <c r="H2106" s="29">
        <v>785</v>
      </c>
      <c r="I2106" s="17">
        <v>0</v>
      </c>
      <c r="J2106" s="17">
        <v>0</v>
      </c>
      <c r="K2106" s="17">
        <f t="shared" si="335"/>
        <v>785</v>
      </c>
      <c r="L2106" s="23">
        <f t="shared" si="341"/>
        <v>39.25</v>
      </c>
      <c r="M2106" s="33">
        <v>5</v>
      </c>
      <c r="N2106" s="18">
        <f t="shared" si="336"/>
        <v>30.273972602739725</v>
      </c>
      <c r="O2106" s="23">
        <v>7457.5</v>
      </c>
      <c r="P2106" s="18">
        <f t="shared" si="337"/>
        <v>30.775342465753425</v>
      </c>
      <c r="Q2106" s="18">
        <v>0</v>
      </c>
      <c r="R2106" s="18">
        <f t="shared" si="333"/>
        <v>7457.5</v>
      </c>
      <c r="S2106" s="18">
        <f t="shared" si="343"/>
        <v>39.25</v>
      </c>
    </row>
    <row r="2107" spans="1:19" ht="18.75" customHeight="1" x14ac:dyDescent="0.25">
      <c r="A2107" s="14">
        <f t="shared" si="338"/>
        <v>2101</v>
      </c>
      <c r="B2107" s="31" t="s">
        <v>1814</v>
      </c>
      <c r="C2107" s="15" t="s">
        <v>3</v>
      </c>
      <c r="D2107" s="31" t="s">
        <v>1708</v>
      </c>
      <c r="E2107" s="31"/>
      <c r="F2107" s="73" t="s">
        <v>4</v>
      </c>
      <c r="G2107" s="32">
        <v>34316</v>
      </c>
      <c r="H2107" s="29">
        <v>690</v>
      </c>
      <c r="I2107" s="17">
        <v>0</v>
      </c>
      <c r="J2107" s="17">
        <v>0</v>
      </c>
      <c r="K2107" s="17">
        <f t="shared" si="335"/>
        <v>690</v>
      </c>
      <c r="L2107" s="23">
        <f t="shared" si="341"/>
        <v>34.5</v>
      </c>
      <c r="M2107" s="33">
        <v>10</v>
      </c>
      <c r="N2107" s="18">
        <f t="shared" si="336"/>
        <v>27.32054794520548</v>
      </c>
      <c r="O2107" s="23">
        <v>6555</v>
      </c>
      <c r="P2107" s="18">
        <f t="shared" si="337"/>
        <v>27.82191780821918</v>
      </c>
      <c r="Q2107" s="18">
        <v>0</v>
      </c>
      <c r="R2107" s="18">
        <f t="shared" si="333"/>
        <v>6555</v>
      </c>
      <c r="S2107" s="18">
        <f t="shared" si="343"/>
        <v>34.5</v>
      </c>
    </row>
    <row r="2108" spans="1:19" ht="18.75" customHeight="1" x14ac:dyDescent="0.25">
      <c r="A2108" s="14">
        <f t="shared" si="338"/>
        <v>2102</v>
      </c>
      <c r="B2108" s="31" t="s">
        <v>1815</v>
      </c>
      <c r="C2108" s="15" t="s">
        <v>3</v>
      </c>
      <c r="D2108" s="31" t="s">
        <v>1708</v>
      </c>
      <c r="E2108" s="31"/>
      <c r="F2108" s="73" t="s">
        <v>4</v>
      </c>
      <c r="G2108" s="32">
        <v>39005</v>
      </c>
      <c r="H2108" s="29">
        <v>687.5</v>
      </c>
      <c r="I2108" s="17">
        <v>0</v>
      </c>
      <c r="J2108" s="17">
        <v>0</v>
      </c>
      <c r="K2108" s="17">
        <f t="shared" si="335"/>
        <v>687.5</v>
      </c>
      <c r="L2108" s="23">
        <f t="shared" si="341"/>
        <v>34.375</v>
      </c>
      <c r="M2108" s="33">
        <v>5</v>
      </c>
      <c r="N2108" s="18">
        <f t="shared" si="336"/>
        <v>14.473972602739726</v>
      </c>
      <c r="O2108" s="23">
        <v>6531.25</v>
      </c>
      <c r="P2108" s="18">
        <f t="shared" si="337"/>
        <v>14.975342465753425</v>
      </c>
      <c r="Q2108" s="18">
        <v>0</v>
      </c>
      <c r="R2108" s="18">
        <f t="shared" si="333"/>
        <v>6531.25</v>
      </c>
      <c r="S2108" s="18">
        <f t="shared" si="343"/>
        <v>34.375</v>
      </c>
    </row>
    <row r="2109" spans="1:19" ht="18.75" customHeight="1" x14ac:dyDescent="0.25">
      <c r="A2109" s="14">
        <f t="shared" si="338"/>
        <v>2103</v>
      </c>
      <c r="B2109" s="31" t="s">
        <v>1816</v>
      </c>
      <c r="C2109" s="15" t="s">
        <v>3</v>
      </c>
      <c r="D2109" s="31" t="s">
        <v>1708</v>
      </c>
      <c r="E2109" s="31"/>
      <c r="F2109" s="73" t="s">
        <v>4</v>
      </c>
      <c r="G2109" s="32">
        <v>32874</v>
      </c>
      <c r="H2109" s="29">
        <v>488.64999999999964</v>
      </c>
      <c r="I2109" s="17">
        <v>0</v>
      </c>
      <c r="J2109" s="17">
        <v>0</v>
      </c>
      <c r="K2109" s="17">
        <f t="shared" si="335"/>
        <v>488.64999999999964</v>
      </c>
      <c r="L2109" s="23">
        <f t="shared" si="341"/>
        <v>24.432499999999983</v>
      </c>
      <c r="M2109" s="33">
        <v>5</v>
      </c>
      <c r="N2109" s="18">
        <f t="shared" si="336"/>
        <v>31.271232876712329</v>
      </c>
      <c r="O2109" s="23">
        <v>4642.1750000000002</v>
      </c>
      <c r="P2109" s="18">
        <f t="shared" si="337"/>
        <v>31.772602739726029</v>
      </c>
      <c r="Q2109" s="18">
        <v>0</v>
      </c>
      <c r="R2109" s="18">
        <f t="shared" si="333"/>
        <v>4642.1750000000002</v>
      </c>
      <c r="S2109" s="18">
        <f t="shared" si="343"/>
        <v>24.432499999999983</v>
      </c>
    </row>
    <row r="2110" spans="1:19" ht="18.75" customHeight="1" x14ac:dyDescent="0.25">
      <c r="A2110" s="14">
        <f t="shared" si="338"/>
        <v>2104</v>
      </c>
      <c r="B2110" s="31" t="s">
        <v>1817</v>
      </c>
      <c r="C2110" s="15" t="s">
        <v>3</v>
      </c>
      <c r="D2110" s="31" t="s">
        <v>1708</v>
      </c>
      <c r="E2110" s="31"/>
      <c r="F2110" s="73" t="s">
        <v>4</v>
      </c>
      <c r="G2110" s="32">
        <v>35885</v>
      </c>
      <c r="H2110" s="29">
        <v>425</v>
      </c>
      <c r="I2110" s="17">
        <v>0</v>
      </c>
      <c r="J2110" s="17">
        <v>0</v>
      </c>
      <c r="K2110" s="17">
        <f t="shared" si="335"/>
        <v>425</v>
      </c>
      <c r="L2110" s="23">
        <f t="shared" si="341"/>
        <v>21.25</v>
      </c>
      <c r="M2110" s="33">
        <v>10</v>
      </c>
      <c r="N2110" s="18">
        <f t="shared" si="336"/>
        <v>23.021917808219179</v>
      </c>
      <c r="O2110" s="23">
        <v>4037.5</v>
      </c>
      <c r="P2110" s="18">
        <f t="shared" si="337"/>
        <v>23.523287671232875</v>
      </c>
      <c r="Q2110" s="18">
        <v>0</v>
      </c>
      <c r="R2110" s="18">
        <f t="shared" si="333"/>
        <v>4037.5</v>
      </c>
      <c r="S2110" s="18">
        <f t="shared" si="343"/>
        <v>21.25</v>
      </c>
    </row>
    <row r="2111" spans="1:19" ht="18.75" customHeight="1" x14ac:dyDescent="0.25">
      <c r="A2111" s="14">
        <f t="shared" si="338"/>
        <v>2105</v>
      </c>
      <c r="B2111" s="31" t="s">
        <v>1818</v>
      </c>
      <c r="C2111" s="15" t="s">
        <v>3</v>
      </c>
      <c r="D2111" s="31" t="s">
        <v>1708</v>
      </c>
      <c r="E2111" s="31"/>
      <c r="F2111" s="73" t="s">
        <v>4</v>
      </c>
      <c r="G2111" s="32">
        <v>36175</v>
      </c>
      <c r="H2111" s="29">
        <v>408.25</v>
      </c>
      <c r="I2111" s="17">
        <v>0</v>
      </c>
      <c r="J2111" s="17">
        <v>0</v>
      </c>
      <c r="K2111" s="17">
        <f t="shared" si="335"/>
        <v>408.25</v>
      </c>
      <c r="L2111" s="23">
        <f t="shared" si="341"/>
        <v>20.412500000000001</v>
      </c>
      <c r="M2111" s="33">
        <v>10</v>
      </c>
      <c r="N2111" s="18">
        <f t="shared" si="336"/>
        <v>22.227397260273971</v>
      </c>
      <c r="O2111" s="23">
        <v>3878.375</v>
      </c>
      <c r="P2111" s="18">
        <f t="shared" si="337"/>
        <v>22.728767123287671</v>
      </c>
      <c r="Q2111" s="18">
        <v>0</v>
      </c>
      <c r="R2111" s="18">
        <f t="shared" si="333"/>
        <v>3878.375</v>
      </c>
      <c r="S2111" s="18">
        <f t="shared" si="343"/>
        <v>20.412500000000001</v>
      </c>
    </row>
    <row r="2112" spans="1:19" ht="18.75" customHeight="1" x14ac:dyDescent="0.25">
      <c r="A2112" s="14">
        <f t="shared" si="338"/>
        <v>2106</v>
      </c>
      <c r="B2112" s="31" t="s">
        <v>1819</v>
      </c>
      <c r="C2112" s="15" t="s">
        <v>3</v>
      </c>
      <c r="D2112" s="31" t="s">
        <v>1708</v>
      </c>
      <c r="E2112" s="31"/>
      <c r="F2112" s="73" t="s">
        <v>4</v>
      </c>
      <c r="G2112" s="32">
        <v>38859</v>
      </c>
      <c r="H2112" s="29">
        <v>402.5</v>
      </c>
      <c r="I2112" s="17">
        <v>0</v>
      </c>
      <c r="J2112" s="17">
        <v>0</v>
      </c>
      <c r="K2112" s="17">
        <f t="shared" si="335"/>
        <v>402.5</v>
      </c>
      <c r="L2112" s="23">
        <f t="shared" si="341"/>
        <v>20.125</v>
      </c>
      <c r="M2112" s="33">
        <v>3</v>
      </c>
      <c r="N2112" s="18">
        <f t="shared" si="336"/>
        <v>14.873972602739727</v>
      </c>
      <c r="O2112" s="23">
        <v>3823.75</v>
      </c>
      <c r="P2112" s="18">
        <f t="shared" si="337"/>
        <v>15.375342465753425</v>
      </c>
      <c r="Q2112" s="18">
        <v>0</v>
      </c>
      <c r="R2112" s="18">
        <f t="shared" si="333"/>
        <v>3823.75</v>
      </c>
      <c r="S2112" s="18">
        <f t="shared" si="343"/>
        <v>20.125</v>
      </c>
    </row>
    <row r="2113" spans="1:19" ht="18.75" customHeight="1" x14ac:dyDescent="0.25">
      <c r="A2113" s="14">
        <f t="shared" si="338"/>
        <v>2107</v>
      </c>
      <c r="B2113" s="31" t="s">
        <v>1817</v>
      </c>
      <c r="C2113" s="15" t="s">
        <v>3</v>
      </c>
      <c r="D2113" s="31" t="s">
        <v>1708</v>
      </c>
      <c r="E2113" s="31"/>
      <c r="F2113" s="73" t="s">
        <v>4</v>
      </c>
      <c r="G2113" s="32">
        <v>34895</v>
      </c>
      <c r="H2113" s="29">
        <v>386.19999999999982</v>
      </c>
      <c r="I2113" s="17">
        <v>0</v>
      </c>
      <c r="J2113" s="17">
        <v>0</v>
      </c>
      <c r="K2113" s="17">
        <f t="shared" si="335"/>
        <v>386.19999999999982</v>
      </c>
      <c r="L2113" s="23">
        <f t="shared" si="341"/>
        <v>19.309999999999992</v>
      </c>
      <c r="M2113" s="33">
        <v>10</v>
      </c>
      <c r="N2113" s="18">
        <f t="shared" si="336"/>
        <v>25.734246575342464</v>
      </c>
      <c r="O2113" s="23">
        <v>3668.9</v>
      </c>
      <c r="P2113" s="18">
        <f t="shared" si="337"/>
        <v>26.235616438356164</v>
      </c>
      <c r="Q2113" s="18">
        <v>0</v>
      </c>
      <c r="R2113" s="18">
        <f t="shared" si="333"/>
        <v>3668.9</v>
      </c>
      <c r="S2113" s="18">
        <f t="shared" si="343"/>
        <v>19.309999999999992</v>
      </c>
    </row>
    <row r="2114" spans="1:19" ht="18.75" customHeight="1" x14ac:dyDescent="0.25">
      <c r="A2114" s="14">
        <f t="shared" si="338"/>
        <v>2108</v>
      </c>
      <c r="B2114" s="31" t="s">
        <v>1820</v>
      </c>
      <c r="C2114" s="15" t="s">
        <v>3</v>
      </c>
      <c r="D2114" s="31" t="s">
        <v>1708</v>
      </c>
      <c r="E2114" s="31"/>
      <c r="F2114" s="73" t="s">
        <v>4</v>
      </c>
      <c r="G2114" s="32">
        <v>34316</v>
      </c>
      <c r="H2114" s="29">
        <v>384.55000000000018</v>
      </c>
      <c r="I2114" s="17">
        <v>0</v>
      </c>
      <c r="J2114" s="17">
        <v>0</v>
      </c>
      <c r="K2114" s="17">
        <f t="shared" si="335"/>
        <v>384.55000000000018</v>
      </c>
      <c r="L2114" s="23">
        <f t="shared" si="341"/>
        <v>19.22750000000001</v>
      </c>
      <c r="M2114" s="33">
        <v>10</v>
      </c>
      <c r="N2114" s="18">
        <f t="shared" si="336"/>
        <v>27.32054794520548</v>
      </c>
      <c r="O2114" s="23">
        <v>3653.2249999999999</v>
      </c>
      <c r="P2114" s="18">
        <f t="shared" si="337"/>
        <v>27.82191780821918</v>
      </c>
      <c r="Q2114" s="18">
        <v>0</v>
      </c>
      <c r="R2114" s="18">
        <f t="shared" si="333"/>
        <v>3653.2249999999999</v>
      </c>
      <c r="S2114" s="18">
        <f t="shared" si="343"/>
        <v>19.22750000000001</v>
      </c>
    </row>
    <row r="2115" spans="1:19" ht="18.75" customHeight="1" x14ac:dyDescent="0.25">
      <c r="A2115" s="14">
        <f t="shared" si="338"/>
        <v>2109</v>
      </c>
      <c r="B2115" s="31" t="s">
        <v>1817</v>
      </c>
      <c r="C2115" s="15" t="s">
        <v>3</v>
      </c>
      <c r="D2115" s="31" t="s">
        <v>1708</v>
      </c>
      <c r="E2115" s="31"/>
      <c r="F2115" s="73" t="s">
        <v>4</v>
      </c>
      <c r="G2115" s="32">
        <v>35231</v>
      </c>
      <c r="H2115" s="29">
        <v>360</v>
      </c>
      <c r="I2115" s="17">
        <v>0</v>
      </c>
      <c r="J2115" s="17">
        <v>0</v>
      </c>
      <c r="K2115" s="17">
        <f t="shared" si="335"/>
        <v>360</v>
      </c>
      <c r="L2115" s="23">
        <f t="shared" si="341"/>
        <v>18</v>
      </c>
      <c r="M2115" s="33">
        <v>10</v>
      </c>
      <c r="N2115" s="18">
        <f t="shared" si="336"/>
        <v>24.813698630136987</v>
      </c>
      <c r="O2115" s="23">
        <v>3420</v>
      </c>
      <c r="P2115" s="18">
        <f t="shared" si="337"/>
        <v>25.315068493150687</v>
      </c>
      <c r="Q2115" s="18">
        <v>0</v>
      </c>
      <c r="R2115" s="18">
        <f t="shared" si="333"/>
        <v>3420</v>
      </c>
      <c r="S2115" s="18">
        <f t="shared" si="343"/>
        <v>18</v>
      </c>
    </row>
    <row r="2116" spans="1:19" ht="18.75" customHeight="1" x14ac:dyDescent="0.25">
      <c r="A2116" s="14">
        <f t="shared" si="338"/>
        <v>2110</v>
      </c>
      <c r="B2116" s="31" t="s">
        <v>1821</v>
      </c>
      <c r="C2116" s="15" t="s">
        <v>3</v>
      </c>
      <c r="D2116" s="31" t="s">
        <v>1708</v>
      </c>
      <c r="E2116" s="31"/>
      <c r="F2116" s="73" t="s">
        <v>4</v>
      </c>
      <c r="G2116" s="32">
        <v>37346</v>
      </c>
      <c r="H2116" s="29">
        <v>323.85000000000036</v>
      </c>
      <c r="I2116" s="17">
        <v>0</v>
      </c>
      <c r="J2116" s="17">
        <v>0</v>
      </c>
      <c r="K2116" s="17">
        <f t="shared" si="335"/>
        <v>323.85000000000036</v>
      </c>
      <c r="L2116" s="23">
        <f t="shared" si="341"/>
        <v>16.19250000000002</v>
      </c>
      <c r="M2116" s="33">
        <v>10</v>
      </c>
      <c r="N2116" s="18">
        <f t="shared" si="336"/>
        <v>19.019178082191782</v>
      </c>
      <c r="O2116" s="23">
        <v>3076.5749999999998</v>
      </c>
      <c r="P2116" s="18">
        <f t="shared" si="337"/>
        <v>19.520547945205479</v>
      </c>
      <c r="Q2116" s="18">
        <v>0</v>
      </c>
      <c r="R2116" s="18">
        <f t="shared" ref="R2116:R2179" si="344">Q2116+O2116</f>
        <v>3076.5749999999998</v>
      </c>
      <c r="S2116" s="18">
        <f t="shared" si="343"/>
        <v>16.19250000000002</v>
      </c>
    </row>
    <row r="2117" spans="1:19" ht="18.75" customHeight="1" x14ac:dyDescent="0.25">
      <c r="A2117" s="14">
        <f t="shared" si="338"/>
        <v>2111</v>
      </c>
      <c r="B2117" s="31" t="s">
        <v>1817</v>
      </c>
      <c r="C2117" s="15" t="s">
        <v>3</v>
      </c>
      <c r="D2117" s="31" t="s">
        <v>1708</v>
      </c>
      <c r="E2117" s="31"/>
      <c r="F2117" s="73" t="s">
        <v>4</v>
      </c>
      <c r="G2117" s="32">
        <v>35139</v>
      </c>
      <c r="H2117" s="29">
        <v>300</v>
      </c>
      <c r="I2117" s="17">
        <v>0</v>
      </c>
      <c r="J2117" s="17">
        <v>0</v>
      </c>
      <c r="K2117" s="17">
        <f t="shared" ref="K2117:K2180" si="345">H2117+I2117-J2117</f>
        <v>300</v>
      </c>
      <c r="L2117" s="23">
        <f t="shared" si="341"/>
        <v>15</v>
      </c>
      <c r="M2117" s="33">
        <v>10</v>
      </c>
      <c r="N2117" s="18">
        <f t="shared" ref="N2117:N2180" si="346">IF(($N$2-G2117+1)/365&gt;0,($N$2-G2117+1)/365,0)</f>
        <v>25.065753424657533</v>
      </c>
      <c r="O2117" s="23">
        <v>2850</v>
      </c>
      <c r="P2117" s="18">
        <f t="shared" ref="P2117:P2180" si="347">($P$2-G2117+1)/365</f>
        <v>25.567123287671233</v>
      </c>
      <c r="Q2117" s="18">
        <v>0</v>
      </c>
      <c r="R2117" s="18">
        <f t="shared" si="344"/>
        <v>2850</v>
      </c>
      <c r="S2117" s="18">
        <f t="shared" si="343"/>
        <v>15</v>
      </c>
    </row>
    <row r="2118" spans="1:19" ht="18.75" customHeight="1" x14ac:dyDescent="0.25">
      <c r="A2118" s="14">
        <f t="shared" ref="A2118:A2181" si="348">+A2117+1</f>
        <v>2112</v>
      </c>
      <c r="B2118" s="31" t="s">
        <v>1822</v>
      </c>
      <c r="C2118" s="15" t="s">
        <v>3</v>
      </c>
      <c r="D2118" s="31" t="s">
        <v>1708</v>
      </c>
      <c r="E2118" s="31"/>
      <c r="F2118" s="73" t="s">
        <v>4</v>
      </c>
      <c r="G2118" s="32">
        <v>35764</v>
      </c>
      <c r="H2118" s="29">
        <v>284.5</v>
      </c>
      <c r="I2118" s="17">
        <v>0</v>
      </c>
      <c r="J2118" s="17">
        <v>0</v>
      </c>
      <c r="K2118" s="17">
        <f t="shared" si="345"/>
        <v>284.5</v>
      </c>
      <c r="L2118" s="23">
        <f t="shared" si="341"/>
        <v>14.225000000000001</v>
      </c>
      <c r="M2118" s="33">
        <v>5</v>
      </c>
      <c r="N2118" s="18">
        <f t="shared" si="346"/>
        <v>23.353424657534248</v>
      </c>
      <c r="O2118" s="23">
        <v>2702.75</v>
      </c>
      <c r="P2118" s="18">
        <f t="shared" si="347"/>
        <v>23.854794520547944</v>
      </c>
      <c r="Q2118" s="18">
        <v>0</v>
      </c>
      <c r="R2118" s="18">
        <f t="shared" si="344"/>
        <v>2702.75</v>
      </c>
      <c r="S2118" s="18">
        <f t="shared" si="343"/>
        <v>14.225000000000001</v>
      </c>
    </row>
    <row r="2119" spans="1:19" ht="18.75" customHeight="1" x14ac:dyDescent="0.25">
      <c r="A2119" s="14">
        <f t="shared" si="348"/>
        <v>2113</v>
      </c>
      <c r="B2119" s="31" t="s">
        <v>1823</v>
      </c>
      <c r="C2119" s="15" t="s">
        <v>3</v>
      </c>
      <c r="D2119" s="31" t="s">
        <v>1708</v>
      </c>
      <c r="E2119" s="31"/>
      <c r="F2119" s="73" t="s">
        <v>4</v>
      </c>
      <c r="G2119" s="32">
        <v>33969</v>
      </c>
      <c r="H2119" s="29">
        <v>262.94999999999982</v>
      </c>
      <c r="I2119" s="17">
        <v>0</v>
      </c>
      <c r="J2119" s="17">
        <v>0</v>
      </c>
      <c r="K2119" s="17">
        <f t="shared" si="345"/>
        <v>262.94999999999982</v>
      </c>
      <c r="L2119" s="23">
        <f t="shared" si="341"/>
        <v>13.147499999999992</v>
      </c>
      <c r="M2119" s="33">
        <v>10</v>
      </c>
      <c r="N2119" s="18">
        <f t="shared" si="346"/>
        <v>28.271232876712329</v>
      </c>
      <c r="O2119" s="23">
        <v>2498.0250000000001</v>
      </c>
      <c r="P2119" s="18">
        <f t="shared" si="347"/>
        <v>28.772602739726029</v>
      </c>
      <c r="Q2119" s="18">
        <v>0</v>
      </c>
      <c r="R2119" s="18">
        <f t="shared" si="344"/>
        <v>2498.0250000000001</v>
      </c>
      <c r="S2119" s="18">
        <f t="shared" si="343"/>
        <v>13.147499999999992</v>
      </c>
    </row>
    <row r="2120" spans="1:19" ht="18.75" customHeight="1" x14ac:dyDescent="0.25">
      <c r="A2120" s="14">
        <f t="shared" si="348"/>
        <v>2114</v>
      </c>
      <c r="B2120" s="31" t="s">
        <v>1811</v>
      </c>
      <c r="C2120" s="15" t="s">
        <v>3</v>
      </c>
      <c r="D2120" s="31" t="s">
        <v>1708</v>
      </c>
      <c r="E2120" s="31"/>
      <c r="F2120" s="73" t="s">
        <v>4</v>
      </c>
      <c r="G2120" s="32">
        <v>35048</v>
      </c>
      <c r="H2120" s="29">
        <v>260</v>
      </c>
      <c r="I2120" s="17">
        <v>0</v>
      </c>
      <c r="J2120" s="17">
        <v>0</v>
      </c>
      <c r="K2120" s="17">
        <f t="shared" si="345"/>
        <v>260</v>
      </c>
      <c r="L2120" s="23">
        <f t="shared" si="341"/>
        <v>13</v>
      </c>
      <c r="M2120" s="33">
        <v>10</v>
      </c>
      <c r="N2120" s="18">
        <f t="shared" si="346"/>
        <v>25.315068493150687</v>
      </c>
      <c r="O2120" s="23">
        <v>2470</v>
      </c>
      <c r="P2120" s="18">
        <f t="shared" si="347"/>
        <v>25.816438356164383</v>
      </c>
      <c r="Q2120" s="18">
        <v>0</v>
      </c>
      <c r="R2120" s="18">
        <f t="shared" si="344"/>
        <v>2470</v>
      </c>
      <c r="S2120" s="18">
        <f t="shared" si="343"/>
        <v>13</v>
      </c>
    </row>
    <row r="2121" spans="1:19" ht="18.75" customHeight="1" x14ac:dyDescent="0.25">
      <c r="A2121" s="14">
        <f t="shared" si="348"/>
        <v>2115</v>
      </c>
      <c r="B2121" s="31" t="s">
        <v>1824</v>
      </c>
      <c r="C2121" s="15" t="s">
        <v>3</v>
      </c>
      <c r="D2121" s="31" t="s">
        <v>1708</v>
      </c>
      <c r="E2121" s="31"/>
      <c r="F2121" s="73" t="s">
        <v>4</v>
      </c>
      <c r="G2121" s="32">
        <v>36090</v>
      </c>
      <c r="H2121" s="29">
        <v>255</v>
      </c>
      <c r="I2121" s="17">
        <v>0</v>
      </c>
      <c r="J2121" s="17">
        <v>0</v>
      </c>
      <c r="K2121" s="17">
        <f t="shared" si="345"/>
        <v>255</v>
      </c>
      <c r="L2121" s="23">
        <f t="shared" si="341"/>
        <v>12.75</v>
      </c>
      <c r="M2121" s="33">
        <v>10</v>
      </c>
      <c r="N2121" s="18">
        <f t="shared" si="346"/>
        <v>22.460273972602739</v>
      </c>
      <c r="O2121" s="23">
        <v>2422.5</v>
      </c>
      <c r="P2121" s="18">
        <f t="shared" si="347"/>
        <v>22.961643835616439</v>
      </c>
      <c r="Q2121" s="18">
        <v>0</v>
      </c>
      <c r="R2121" s="18">
        <f t="shared" si="344"/>
        <v>2422.5</v>
      </c>
      <c r="S2121" s="18">
        <f t="shared" si="343"/>
        <v>12.75</v>
      </c>
    </row>
    <row r="2122" spans="1:19" ht="18.75" customHeight="1" x14ac:dyDescent="0.25">
      <c r="A2122" s="14">
        <f t="shared" si="348"/>
        <v>2116</v>
      </c>
      <c r="B2122" s="31" t="s">
        <v>1825</v>
      </c>
      <c r="C2122" s="15" t="s">
        <v>3</v>
      </c>
      <c r="D2122" s="31" t="s">
        <v>1708</v>
      </c>
      <c r="E2122" s="31"/>
      <c r="F2122" s="73" t="s">
        <v>4</v>
      </c>
      <c r="G2122" s="32">
        <v>29587</v>
      </c>
      <c r="H2122" s="29">
        <v>52.5</v>
      </c>
      <c r="I2122" s="17">
        <v>0</v>
      </c>
      <c r="J2122" s="17">
        <v>0</v>
      </c>
      <c r="K2122" s="17">
        <f t="shared" si="345"/>
        <v>52.5</v>
      </c>
      <c r="L2122" s="23">
        <f t="shared" si="341"/>
        <v>2.625</v>
      </c>
      <c r="M2122" s="33">
        <v>10</v>
      </c>
      <c r="N2122" s="18">
        <f t="shared" si="346"/>
        <v>40.276712328767125</v>
      </c>
      <c r="O2122" s="23">
        <v>498.75</v>
      </c>
      <c r="P2122" s="18">
        <f t="shared" si="347"/>
        <v>40.778082191780825</v>
      </c>
      <c r="Q2122" s="18">
        <v>0</v>
      </c>
      <c r="R2122" s="18">
        <f t="shared" si="344"/>
        <v>498.75</v>
      </c>
      <c r="S2122" s="18">
        <f t="shared" si="343"/>
        <v>2.625</v>
      </c>
    </row>
    <row r="2123" spans="1:19" ht="18.75" customHeight="1" x14ac:dyDescent="0.25">
      <c r="A2123" s="14">
        <f t="shared" si="348"/>
        <v>2117</v>
      </c>
      <c r="B2123" s="31" t="s">
        <v>1826</v>
      </c>
      <c r="C2123" s="15" t="s">
        <v>3</v>
      </c>
      <c r="D2123" s="31" t="s">
        <v>1708</v>
      </c>
      <c r="E2123" s="31"/>
      <c r="F2123" s="73" t="s">
        <v>4</v>
      </c>
      <c r="G2123" s="32">
        <v>38718</v>
      </c>
      <c r="H2123" s="29">
        <v>4750</v>
      </c>
      <c r="I2123" s="17">
        <v>0</v>
      </c>
      <c r="J2123" s="17">
        <v>0</v>
      </c>
      <c r="K2123" s="17">
        <f t="shared" si="345"/>
        <v>4750</v>
      </c>
      <c r="L2123" s="23">
        <f t="shared" si="341"/>
        <v>237.5</v>
      </c>
      <c r="M2123" s="33">
        <v>10</v>
      </c>
      <c r="N2123" s="18">
        <f t="shared" si="346"/>
        <v>15.260273972602739</v>
      </c>
      <c r="O2123" s="23">
        <v>45125</v>
      </c>
      <c r="P2123" s="18">
        <f t="shared" si="347"/>
        <v>15.761643835616438</v>
      </c>
      <c r="Q2123" s="18">
        <v>0</v>
      </c>
      <c r="R2123" s="18">
        <f t="shared" si="344"/>
        <v>45125</v>
      </c>
      <c r="S2123" s="18">
        <f t="shared" si="343"/>
        <v>237.5</v>
      </c>
    </row>
    <row r="2124" spans="1:19" ht="18.75" customHeight="1" x14ac:dyDescent="0.25">
      <c r="A2124" s="14">
        <f t="shared" si="348"/>
        <v>2118</v>
      </c>
      <c r="B2124" s="31" t="s">
        <v>1827</v>
      </c>
      <c r="C2124" s="15" t="s">
        <v>3</v>
      </c>
      <c r="D2124" s="31" t="s">
        <v>1708</v>
      </c>
      <c r="E2124" s="31"/>
      <c r="F2124" s="73" t="s">
        <v>4</v>
      </c>
      <c r="G2124" s="32">
        <v>39083</v>
      </c>
      <c r="H2124" s="29">
        <v>4305.3369999999995</v>
      </c>
      <c r="I2124" s="17">
        <v>0</v>
      </c>
      <c r="J2124" s="17">
        <v>0</v>
      </c>
      <c r="K2124" s="17">
        <f t="shared" si="345"/>
        <v>4305.3369999999995</v>
      </c>
      <c r="L2124" s="23">
        <f t="shared" si="341"/>
        <v>215.26684999999998</v>
      </c>
      <c r="M2124" s="33">
        <v>10</v>
      </c>
      <c r="N2124" s="18">
        <f t="shared" si="346"/>
        <v>14.260273972602739</v>
      </c>
      <c r="O2124" s="23">
        <v>40900.701500000003</v>
      </c>
      <c r="P2124" s="18">
        <f t="shared" si="347"/>
        <v>14.761643835616438</v>
      </c>
      <c r="Q2124" s="18">
        <v>0</v>
      </c>
      <c r="R2124" s="18">
        <f t="shared" si="344"/>
        <v>40900.701500000003</v>
      </c>
      <c r="S2124" s="18">
        <f t="shared" si="343"/>
        <v>215.26684999999998</v>
      </c>
    </row>
    <row r="2125" spans="1:19" ht="18.75" customHeight="1" x14ac:dyDescent="0.25">
      <c r="A2125" s="14">
        <f t="shared" si="348"/>
        <v>2119</v>
      </c>
      <c r="B2125" s="31" t="s">
        <v>1778</v>
      </c>
      <c r="C2125" s="15" t="s">
        <v>3</v>
      </c>
      <c r="D2125" s="31" t="s">
        <v>1708</v>
      </c>
      <c r="E2125" s="31"/>
      <c r="F2125" s="73" t="s">
        <v>4</v>
      </c>
      <c r="G2125" s="32">
        <v>39083</v>
      </c>
      <c r="H2125" s="29">
        <v>3687.4484999999986</v>
      </c>
      <c r="I2125" s="17">
        <v>0</v>
      </c>
      <c r="J2125" s="17">
        <v>0</v>
      </c>
      <c r="K2125" s="17">
        <f t="shared" si="345"/>
        <v>3687.4484999999986</v>
      </c>
      <c r="L2125" s="23">
        <f t="shared" si="341"/>
        <v>184.37242499999994</v>
      </c>
      <c r="M2125" s="33">
        <v>10</v>
      </c>
      <c r="N2125" s="18">
        <f t="shared" si="346"/>
        <v>14.260273972602739</v>
      </c>
      <c r="O2125" s="23">
        <v>35030.760750000001</v>
      </c>
      <c r="P2125" s="18">
        <f t="shared" si="347"/>
        <v>14.761643835616438</v>
      </c>
      <c r="Q2125" s="18">
        <v>0</v>
      </c>
      <c r="R2125" s="18">
        <f t="shared" si="344"/>
        <v>35030.760750000001</v>
      </c>
      <c r="S2125" s="18">
        <f t="shared" si="343"/>
        <v>184.37242499999994</v>
      </c>
    </row>
    <row r="2126" spans="1:19" ht="18.75" customHeight="1" x14ac:dyDescent="0.25">
      <c r="A2126" s="14">
        <f t="shared" si="348"/>
        <v>2120</v>
      </c>
      <c r="B2126" s="31" t="s">
        <v>1828</v>
      </c>
      <c r="C2126" s="15" t="s">
        <v>3</v>
      </c>
      <c r="D2126" s="31" t="s">
        <v>1708</v>
      </c>
      <c r="E2126" s="31"/>
      <c r="F2126" s="73" t="s">
        <v>4</v>
      </c>
      <c r="G2126" s="32">
        <v>41623</v>
      </c>
      <c r="H2126" s="29">
        <v>47012.082545205471</v>
      </c>
      <c r="I2126" s="17">
        <v>0</v>
      </c>
      <c r="J2126" s="17">
        <v>0</v>
      </c>
      <c r="K2126" s="17">
        <f t="shared" si="345"/>
        <v>47012.082545205471</v>
      </c>
      <c r="L2126" s="23">
        <f t="shared" si="341"/>
        <v>2350.6041272602738</v>
      </c>
      <c r="M2126" s="33">
        <v>10</v>
      </c>
      <c r="N2126" s="18">
        <f t="shared" si="346"/>
        <v>7.3013698630136989</v>
      </c>
      <c r="O2126" s="23">
        <v>6670.3589736986296</v>
      </c>
      <c r="P2126" s="18">
        <f t="shared" si="347"/>
        <v>7.8027397260273972</v>
      </c>
      <c r="Q2126" s="18">
        <f t="shared" si="342"/>
        <v>2239.1919316394424</v>
      </c>
      <c r="R2126" s="18">
        <f t="shared" si="344"/>
        <v>8909.550905338072</v>
      </c>
      <c r="S2126" s="18">
        <f t="shared" ref="S2126:S2178" si="349">K2126-R2126</f>
        <v>38102.531639867397</v>
      </c>
    </row>
    <row r="2127" spans="1:19" ht="18.75" customHeight="1" x14ac:dyDescent="0.25">
      <c r="A2127" s="14">
        <f t="shared" si="348"/>
        <v>2121</v>
      </c>
      <c r="B2127" s="31" t="s">
        <v>1772</v>
      </c>
      <c r="C2127" s="15" t="s">
        <v>3</v>
      </c>
      <c r="D2127" s="31" t="s">
        <v>1708</v>
      </c>
      <c r="E2127" s="31"/>
      <c r="F2127" s="73" t="s">
        <v>4</v>
      </c>
      <c r="G2127" s="32">
        <v>39083</v>
      </c>
      <c r="H2127" s="29">
        <v>2817.114999999998</v>
      </c>
      <c r="I2127" s="17">
        <v>0</v>
      </c>
      <c r="J2127" s="17">
        <v>0</v>
      </c>
      <c r="K2127" s="17">
        <f t="shared" si="345"/>
        <v>2817.114999999998</v>
      </c>
      <c r="L2127" s="23">
        <f t="shared" si="341"/>
        <v>140.85574999999992</v>
      </c>
      <c r="M2127" s="33">
        <v>10</v>
      </c>
      <c r="N2127" s="18">
        <f t="shared" si="346"/>
        <v>14.260273972602739</v>
      </c>
      <c r="O2127" s="23">
        <v>26762.592500000002</v>
      </c>
      <c r="P2127" s="18">
        <f t="shared" si="347"/>
        <v>14.761643835616438</v>
      </c>
      <c r="Q2127" s="18">
        <v>0</v>
      </c>
      <c r="R2127" s="18">
        <f t="shared" si="344"/>
        <v>26762.592500000002</v>
      </c>
      <c r="S2127" s="18">
        <f t="shared" ref="S2127:S2145" si="350">L2127</f>
        <v>140.85574999999992</v>
      </c>
    </row>
    <row r="2128" spans="1:19" ht="18.75" customHeight="1" x14ac:dyDescent="0.25">
      <c r="A2128" s="14">
        <f t="shared" si="348"/>
        <v>2122</v>
      </c>
      <c r="B2128" s="31" t="s">
        <v>1829</v>
      </c>
      <c r="C2128" s="15" t="s">
        <v>3</v>
      </c>
      <c r="D2128" s="31" t="s">
        <v>1708</v>
      </c>
      <c r="E2128" s="31"/>
      <c r="F2128" s="73" t="s">
        <v>4</v>
      </c>
      <c r="G2128" s="32">
        <v>29587</v>
      </c>
      <c r="H2128" s="29">
        <v>15.300000000000011</v>
      </c>
      <c r="I2128" s="17">
        <v>0</v>
      </c>
      <c r="J2128" s="17">
        <v>0</v>
      </c>
      <c r="K2128" s="17">
        <f t="shared" si="345"/>
        <v>15.300000000000011</v>
      </c>
      <c r="L2128" s="23">
        <f t="shared" si="341"/>
        <v>0.76500000000000057</v>
      </c>
      <c r="M2128" s="33">
        <v>10</v>
      </c>
      <c r="N2128" s="18">
        <f t="shared" si="346"/>
        <v>40.276712328767125</v>
      </c>
      <c r="O2128" s="23">
        <v>145.35</v>
      </c>
      <c r="P2128" s="18">
        <f t="shared" si="347"/>
        <v>40.778082191780825</v>
      </c>
      <c r="Q2128" s="18">
        <v>0</v>
      </c>
      <c r="R2128" s="18">
        <f t="shared" si="344"/>
        <v>145.35</v>
      </c>
      <c r="S2128" s="18">
        <f t="shared" si="350"/>
        <v>0.76500000000000057</v>
      </c>
    </row>
    <row r="2129" spans="1:19" ht="18.75" customHeight="1" x14ac:dyDescent="0.25">
      <c r="A2129" s="14">
        <f t="shared" si="348"/>
        <v>2123</v>
      </c>
      <c r="B2129" s="31" t="s">
        <v>1830</v>
      </c>
      <c r="C2129" s="15" t="s">
        <v>3</v>
      </c>
      <c r="D2129" s="31" t="s">
        <v>1708</v>
      </c>
      <c r="E2129" s="31"/>
      <c r="F2129" s="73" t="s">
        <v>4</v>
      </c>
      <c r="G2129" s="32">
        <v>29587</v>
      </c>
      <c r="H2129" s="29">
        <v>8.25</v>
      </c>
      <c r="I2129" s="17">
        <v>0</v>
      </c>
      <c r="J2129" s="17">
        <v>0</v>
      </c>
      <c r="K2129" s="17">
        <f t="shared" si="345"/>
        <v>8.25</v>
      </c>
      <c r="L2129" s="23">
        <f t="shared" si="341"/>
        <v>0.41250000000000003</v>
      </c>
      <c r="M2129" s="33">
        <v>10</v>
      </c>
      <c r="N2129" s="18">
        <f t="shared" si="346"/>
        <v>40.276712328767125</v>
      </c>
      <c r="O2129" s="23">
        <v>78.375</v>
      </c>
      <c r="P2129" s="18">
        <f t="shared" si="347"/>
        <v>40.778082191780825</v>
      </c>
      <c r="Q2129" s="18">
        <v>0</v>
      </c>
      <c r="R2129" s="18">
        <f t="shared" si="344"/>
        <v>78.375</v>
      </c>
      <c r="S2129" s="18">
        <f t="shared" si="350"/>
        <v>0.41250000000000003</v>
      </c>
    </row>
    <row r="2130" spans="1:19" ht="18.75" customHeight="1" x14ac:dyDescent="0.25">
      <c r="A2130" s="14">
        <f t="shared" si="348"/>
        <v>2124</v>
      </c>
      <c r="B2130" s="31" t="s">
        <v>1831</v>
      </c>
      <c r="C2130" s="15" t="s">
        <v>3</v>
      </c>
      <c r="D2130" s="31" t="s">
        <v>1708</v>
      </c>
      <c r="E2130" s="31"/>
      <c r="F2130" s="73" t="s">
        <v>4</v>
      </c>
      <c r="G2130" s="32">
        <v>38718</v>
      </c>
      <c r="H2130" s="29">
        <v>2250</v>
      </c>
      <c r="I2130" s="17">
        <v>0</v>
      </c>
      <c r="J2130" s="17">
        <v>0</v>
      </c>
      <c r="K2130" s="17">
        <f t="shared" si="345"/>
        <v>2250</v>
      </c>
      <c r="L2130" s="23">
        <f t="shared" si="341"/>
        <v>112.5</v>
      </c>
      <c r="M2130" s="33">
        <v>10</v>
      </c>
      <c r="N2130" s="18">
        <f t="shared" si="346"/>
        <v>15.260273972602739</v>
      </c>
      <c r="O2130" s="23">
        <v>21375</v>
      </c>
      <c r="P2130" s="18">
        <f t="shared" si="347"/>
        <v>15.761643835616438</v>
      </c>
      <c r="Q2130" s="18">
        <v>0</v>
      </c>
      <c r="R2130" s="18">
        <f t="shared" si="344"/>
        <v>21375</v>
      </c>
      <c r="S2130" s="18">
        <f t="shared" si="350"/>
        <v>112.5</v>
      </c>
    </row>
    <row r="2131" spans="1:19" ht="18.75" customHeight="1" x14ac:dyDescent="0.25">
      <c r="A2131" s="14">
        <f t="shared" si="348"/>
        <v>2125</v>
      </c>
      <c r="B2131" s="31" t="s">
        <v>1832</v>
      </c>
      <c r="C2131" s="15" t="s">
        <v>3</v>
      </c>
      <c r="D2131" s="31" t="s">
        <v>1708</v>
      </c>
      <c r="E2131" s="31"/>
      <c r="F2131" s="73" t="s">
        <v>4</v>
      </c>
      <c r="G2131" s="32">
        <v>29587</v>
      </c>
      <c r="H2131" s="29">
        <v>6.8000000000000114</v>
      </c>
      <c r="I2131" s="17">
        <v>0</v>
      </c>
      <c r="J2131" s="17">
        <v>0</v>
      </c>
      <c r="K2131" s="17">
        <f t="shared" si="345"/>
        <v>6.8000000000000114</v>
      </c>
      <c r="L2131" s="23">
        <f t="shared" si="341"/>
        <v>0.34000000000000058</v>
      </c>
      <c r="M2131" s="33">
        <v>10</v>
      </c>
      <c r="N2131" s="18">
        <f t="shared" si="346"/>
        <v>40.276712328767125</v>
      </c>
      <c r="O2131" s="23">
        <v>64.599999999999994</v>
      </c>
      <c r="P2131" s="18">
        <f t="shared" si="347"/>
        <v>40.778082191780825</v>
      </c>
      <c r="Q2131" s="18">
        <v>0</v>
      </c>
      <c r="R2131" s="18">
        <f t="shared" si="344"/>
        <v>64.599999999999994</v>
      </c>
      <c r="S2131" s="18">
        <f t="shared" si="350"/>
        <v>0.34000000000000058</v>
      </c>
    </row>
    <row r="2132" spans="1:19" ht="18.75" customHeight="1" x14ac:dyDescent="0.25">
      <c r="A2132" s="14">
        <f t="shared" si="348"/>
        <v>2126</v>
      </c>
      <c r="B2132" s="31" t="s">
        <v>1833</v>
      </c>
      <c r="C2132" s="15" t="s">
        <v>3</v>
      </c>
      <c r="D2132" s="31" t="s">
        <v>1708</v>
      </c>
      <c r="E2132" s="31"/>
      <c r="F2132" s="73" t="s">
        <v>4</v>
      </c>
      <c r="G2132" s="32">
        <v>29587</v>
      </c>
      <c r="H2132" s="29">
        <v>2.75</v>
      </c>
      <c r="I2132" s="17">
        <v>0</v>
      </c>
      <c r="J2132" s="17">
        <v>0</v>
      </c>
      <c r="K2132" s="17">
        <f t="shared" si="345"/>
        <v>2.75</v>
      </c>
      <c r="L2132" s="23">
        <f t="shared" si="341"/>
        <v>0.13750000000000001</v>
      </c>
      <c r="M2132" s="33">
        <v>10</v>
      </c>
      <c r="N2132" s="18">
        <f t="shared" si="346"/>
        <v>40.276712328767125</v>
      </c>
      <c r="O2132" s="23">
        <v>26.125</v>
      </c>
      <c r="P2132" s="18">
        <f t="shared" si="347"/>
        <v>40.778082191780825</v>
      </c>
      <c r="Q2132" s="18">
        <v>0</v>
      </c>
      <c r="R2132" s="18">
        <f t="shared" si="344"/>
        <v>26.125</v>
      </c>
      <c r="S2132" s="18">
        <f t="shared" si="350"/>
        <v>0.13750000000000001</v>
      </c>
    </row>
    <row r="2133" spans="1:19" ht="18.75" customHeight="1" x14ac:dyDescent="0.25">
      <c r="A2133" s="14">
        <f t="shared" si="348"/>
        <v>2127</v>
      </c>
      <c r="B2133" s="31" t="s">
        <v>1834</v>
      </c>
      <c r="C2133" s="15" t="s">
        <v>3</v>
      </c>
      <c r="D2133" s="31" t="s">
        <v>1708</v>
      </c>
      <c r="E2133" s="31"/>
      <c r="F2133" s="73" t="s">
        <v>4</v>
      </c>
      <c r="G2133" s="32">
        <v>29952</v>
      </c>
      <c r="H2133" s="29">
        <v>42.5</v>
      </c>
      <c r="I2133" s="17">
        <v>0</v>
      </c>
      <c r="J2133" s="17">
        <v>0</v>
      </c>
      <c r="K2133" s="17">
        <f t="shared" si="345"/>
        <v>42.5</v>
      </c>
      <c r="L2133" s="23">
        <f t="shared" si="341"/>
        <v>2.125</v>
      </c>
      <c r="M2133" s="33">
        <v>10</v>
      </c>
      <c r="N2133" s="18">
        <f t="shared" si="346"/>
        <v>39.276712328767125</v>
      </c>
      <c r="O2133" s="23">
        <v>403.75</v>
      </c>
      <c r="P2133" s="18">
        <f t="shared" si="347"/>
        <v>39.778082191780825</v>
      </c>
      <c r="Q2133" s="18">
        <v>0</v>
      </c>
      <c r="R2133" s="18">
        <f t="shared" si="344"/>
        <v>403.75</v>
      </c>
      <c r="S2133" s="18">
        <f t="shared" si="350"/>
        <v>2.125</v>
      </c>
    </row>
    <row r="2134" spans="1:19" ht="18.75" customHeight="1" x14ac:dyDescent="0.25">
      <c r="A2134" s="14">
        <f t="shared" si="348"/>
        <v>2128</v>
      </c>
      <c r="B2134" s="31" t="s">
        <v>1835</v>
      </c>
      <c r="C2134" s="15" t="s">
        <v>3</v>
      </c>
      <c r="D2134" s="31" t="s">
        <v>1708</v>
      </c>
      <c r="E2134" s="31"/>
      <c r="F2134" s="73" t="s">
        <v>4</v>
      </c>
      <c r="G2134" s="32">
        <v>29952</v>
      </c>
      <c r="H2134" s="29">
        <v>35.75</v>
      </c>
      <c r="I2134" s="17">
        <v>0</v>
      </c>
      <c r="J2134" s="17">
        <v>0</v>
      </c>
      <c r="K2134" s="17">
        <f t="shared" si="345"/>
        <v>35.75</v>
      </c>
      <c r="L2134" s="23">
        <f t="shared" si="341"/>
        <v>1.7875000000000001</v>
      </c>
      <c r="M2134" s="33">
        <v>10</v>
      </c>
      <c r="N2134" s="18">
        <f t="shared" si="346"/>
        <v>39.276712328767125</v>
      </c>
      <c r="O2134" s="23">
        <v>339.625</v>
      </c>
      <c r="P2134" s="18">
        <f t="shared" si="347"/>
        <v>39.778082191780825</v>
      </c>
      <c r="Q2134" s="18">
        <v>0</v>
      </c>
      <c r="R2134" s="18">
        <f t="shared" si="344"/>
        <v>339.625</v>
      </c>
      <c r="S2134" s="18">
        <f t="shared" si="350"/>
        <v>1.7875000000000001</v>
      </c>
    </row>
    <row r="2135" spans="1:19" ht="18.75" customHeight="1" x14ac:dyDescent="0.25">
      <c r="A2135" s="14">
        <f t="shared" si="348"/>
        <v>2129</v>
      </c>
      <c r="B2135" s="31" t="s">
        <v>1836</v>
      </c>
      <c r="C2135" s="15" t="s">
        <v>3</v>
      </c>
      <c r="D2135" s="31" t="s">
        <v>1708</v>
      </c>
      <c r="E2135" s="31"/>
      <c r="F2135" s="73" t="s">
        <v>4</v>
      </c>
      <c r="G2135" s="32">
        <v>29952</v>
      </c>
      <c r="H2135" s="29">
        <v>28.75</v>
      </c>
      <c r="I2135" s="17">
        <v>0</v>
      </c>
      <c r="J2135" s="17">
        <v>0</v>
      </c>
      <c r="K2135" s="17">
        <f t="shared" si="345"/>
        <v>28.75</v>
      </c>
      <c r="L2135" s="23">
        <f t="shared" ref="L2135:L2198" si="351">H2135*0.05</f>
        <v>1.4375</v>
      </c>
      <c r="M2135" s="33">
        <v>10</v>
      </c>
      <c r="N2135" s="18">
        <f t="shared" si="346"/>
        <v>39.276712328767125</v>
      </c>
      <c r="O2135" s="23">
        <v>273.125</v>
      </c>
      <c r="P2135" s="18">
        <f t="shared" si="347"/>
        <v>39.778082191780825</v>
      </c>
      <c r="Q2135" s="18">
        <v>0</v>
      </c>
      <c r="R2135" s="18">
        <f t="shared" si="344"/>
        <v>273.125</v>
      </c>
      <c r="S2135" s="18">
        <f t="shared" si="350"/>
        <v>1.4375</v>
      </c>
    </row>
    <row r="2136" spans="1:19" ht="18.75" customHeight="1" x14ac:dyDescent="0.25">
      <c r="A2136" s="14">
        <f t="shared" si="348"/>
        <v>2130</v>
      </c>
      <c r="B2136" s="31" t="s">
        <v>1837</v>
      </c>
      <c r="C2136" s="15" t="s">
        <v>3</v>
      </c>
      <c r="D2136" s="31" t="s">
        <v>1708</v>
      </c>
      <c r="E2136" s="31"/>
      <c r="F2136" s="73" t="s">
        <v>4</v>
      </c>
      <c r="G2136" s="32">
        <v>29952</v>
      </c>
      <c r="H2136" s="29">
        <v>7.0500000000000114</v>
      </c>
      <c r="I2136" s="17">
        <v>0</v>
      </c>
      <c r="J2136" s="17">
        <v>0</v>
      </c>
      <c r="K2136" s="17">
        <f t="shared" si="345"/>
        <v>7.0500000000000114</v>
      </c>
      <c r="L2136" s="23">
        <f t="shared" si="351"/>
        <v>0.35250000000000059</v>
      </c>
      <c r="M2136" s="33">
        <v>10</v>
      </c>
      <c r="N2136" s="18">
        <f t="shared" si="346"/>
        <v>39.276712328767125</v>
      </c>
      <c r="O2136" s="23">
        <v>66.974999999999994</v>
      </c>
      <c r="P2136" s="18">
        <f t="shared" si="347"/>
        <v>39.778082191780825</v>
      </c>
      <c r="Q2136" s="18">
        <v>0</v>
      </c>
      <c r="R2136" s="18">
        <f t="shared" si="344"/>
        <v>66.974999999999994</v>
      </c>
      <c r="S2136" s="18">
        <f t="shared" si="350"/>
        <v>0.35250000000000059</v>
      </c>
    </row>
    <row r="2137" spans="1:19" ht="18.75" customHeight="1" x14ac:dyDescent="0.25">
      <c r="A2137" s="14">
        <f t="shared" si="348"/>
        <v>2131</v>
      </c>
      <c r="B2137" s="31" t="s">
        <v>1838</v>
      </c>
      <c r="C2137" s="15" t="s">
        <v>3</v>
      </c>
      <c r="D2137" s="31" t="s">
        <v>1708</v>
      </c>
      <c r="E2137" s="31"/>
      <c r="F2137" s="73" t="s">
        <v>4</v>
      </c>
      <c r="G2137" s="32">
        <v>30317</v>
      </c>
      <c r="H2137" s="29">
        <v>75</v>
      </c>
      <c r="I2137" s="17">
        <v>0</v>
      </c>
      <c r="J2137" s="17">
        <v>0</v>
      </c>
      <c r="K2137" s="17">
        <f t="shared" si="345"/>
        <v>75</v>
      </c>
      <c r="L2137" s="23">
        <f t="shared" si="351"/>
        <v>3.75</v>
      </c>
      <c r="M2137" s="33">
        <v>10</v>
      </c>
      <c r="N2137" s="18">
        <f t="shared" si="346"/>
        <v>38.276712328767125</v>
      </c>
      <c r="O2137" s="23">
        <v>712.5</v>
      </c>
      <c r="P2137" s="18">
        <f t="shared" si="347"/>
        <v>38.778082191780825</v>
      </c>
      <c r="Q2137" s="18">
        <v>0</v>
      </c>
      <c r="R2137" s="18">
        <f t="shared" si="344"/>
        <v>712.5</v>
      </c>
      <c r="S2137" s="18">
        <f t="shared" si="350"/>
        <v>3.75</v>
      </c>
    </row>
    <row r="2138" spans="1:19" ht="18.75" customHeight="1" x14ac:dyDescent="0.25">
      <c r="A2138" s="14">
        <f t="shared" si="348"/>
        <v>2132</v>
      </c>
      <c r="B2138" s="31" t="s">
        <v>1839</v>
      </c>
      <c r="C2138" s="15" t="s">
        <v>3</v>
      </c>
      <c r="D2138" s="31" t="s">
        <v>1708</v>
      </c>
      <c r="E2138" s="31"/>
      <c r="F2138" s="73" t="s">
        <v>4</v>
      </c>
      <c r="G2138" s="32">
        <v>30317</v>
      </c>
      <c r="H2138" s="29">
        <v>57.5</v>
      </c>
      <c r="I2138" s="17">
        <v>0</v>
      </c>
      <c r="J2138" s="17">
        <v>0</v>
      </c>
      <c r="K2138" s="17">
        <f t="shared" si="345"/>
        <v>57.5</v>
      </c>
      <c r="L2138" s="23">
        <f t="shared" si="351"/>
        <v>2.875</v>
      </c>
      <c r="M2138" s="33">
        <v>10</v>
      </c>
      <c r="N2138" s="18">
        <f t="shared" si="346"/>
        <v>38.276712328767125</v>
      </c>
      <c r="O2138" s="23">
        <v>546.25</v>
      </c>
      <c r="P2138" s="18">
        <f t="shared" si="347"/>
        <v>38.778082191780825</v>
      </c>
      <c r="Q2138" s="18">
        <v>0</v>
      </c>
      <c r="R2138" s="18">
        <f t="shared" si="344"/>
        <v>546.25</v>
      </c>
      <c r="S2138" s="18">
        <f t="shared" si="350"/>
        <v>2.875</v>
      </c>
    </row>
    <row r="2139" spans="1:19" ht="18.75" customHeight="1" x14ac:dyDescent="0.25">
      <c r="A2139" s="14">
        <f t="shared" si="348"/>
        <v>2133</v>
      </c>
      <c r="B2139" s="31" t="s">
        <v>1611</v>
      </c>
      <c r="C2139" s="15" t="s">
        <v>3</v>
      </c>
      <c r="D2139" s="31" t="s">
        <v>1708</v>
      </c>
      <c r="E2139" s="31"/>
      <c r="F2139" s="73" t="s">
        <v>4</v>
      </c>
      <c r="G2139" s="32">
        <v>30317</v>
      </c>
      <c r="H2139" s="29">
        <v>56</v>
      </c>
      <c r="I2139" s="17">
        <v>0</v>
      </c>
      <c r="J2139" s="17">
        <v>0</v>
      </c>
      <c r="K2139" s="17">
        <f t="shared" si="345"/>
        <v>56</v>
      </c>
      <c r="L2139" s="23">
        <f t="shared" si="351"/>
        <v>2.8000000000000003</v>
      </c>
      <c r="M2139" s="33">
        <v>10</v>
      </c>
      <c r="N2139" s="18">
        <f t="shared" si="346"/>
        <v>38.276712328767125</v>
      </c>
      <c r="O2139" s="23">
        <v>532</v>
      </c>
      <c r="P2139" s="18">
        <f t="shared" si="347"/>
        <v>38.778082191780825</v>
      </c>
      <c r="Q2139" s="18">
        <v>0</v>
      </c>
      <c r="R2139" s="18">
        <f t="shared" si="344"/>
        <v>532</v>
      </c>
      <c r="S2139" s="18">
        <f t="shared" si="350"/>
        <v>2.8000000000000003</v>
      </c>
    </row>
    <row r="2140" spans="1:19" ht="18.75" customHeight="1" x14ac:dyDescent="0.25">
      <c r="A2140" s="14">
        <f t="shared" si="348"/>
        <v>2134</v>
      </c>
      <c r="B2140" s="31" t="s">
        <v>1793</v>
      </c>
      <c r="C2140" s="15" t="s">
        <v>3</v>
      </c>
      <c r="D2140" s="31" t="s">
        <v>1708</v>
      </c>
      <c r="E2140" s="31"/>
      <c r="F2140" s="73" t="s">
        <v>4</v>
      </c>
      <c r="G2140" s="32">
        <v>30317</v>
      </c>
      <c r="H2140" s="29">
        <v>34.950000000000045</v>
      </c>
      <c r="I2140" s="17">
        <v>0</v>
      </c>
      <c r="J2140" s="17">
        <v>0</v>
      </c>
      <c r="K2140" s="17">
        <f t="shared" si="345"/>
        <v>34.950000000000045</v>
      </c>
      <c r="L2140" s="23">
        <f t="shared" si="351"/>
        <v>1.7475000000000023</v>
      </c>
      <c r="M2140" s="33">
        <v>10</v>
      </c>
      <c r="N2140" s="18">
        <f t="shared" si="346"/>
        <v>38.276712328767125</v>
      </c>
      <c r="O2140" s="23">
        <v>332.02499999999998</v>
      </c>
      <c r="P2140" s="18">
        <f t="shared" si="347"/>
        <v>38.778082191780825</v>
      </c>
      <c r="Q2140" s="18">
        <v>0</v>
      </c>
      <c r="R2140" s="18">
        <f t="shared" si="344"/>
        <v>332.02499999999998</v>
      </c>
      <c r="S2140" s="18">
        <f t="shared" si="350"/>
        <v>1.7475000000000023</v>
      </c>
    </row>
    <row r="2141" spans="1:19" ht="18.75" customHeight="1" x14ac:dyDescent="0.25">
      <c r="A2141" s="14">
        <f t="shared" si="348"/>
        <v>2135</v>
      </c>
      <c r="B2141" s="31" t="s">
        <v>1611</v>
      </c>
      <c r="C2141" s="15" t="s">
        <v>3</v>
      </c>
      <c r="D2141" s="31" t="s">
        <v>1708</v>
      </c>
      <c r="E2141" s="31"/>
      <c r="F2141" s="73" t="s">
        <v>4</v>
      </c>
      <c r="G2141" s="32">
        <v>30682</v>
      </c>
      <c r="H2141" s="29">
        <v>345.80000000000018</v>
      </c>
      <c r="I2141" s="17">
        <v>0</v>
      </c>
      <c r="J2141" s="17">
        <v>0</v>
      </c>
      <c r="K2141" s="17">
        <f t="shared" si="345"/>
        <v>345.80000000000018</v>
      </c>
      <c r="L2141" s="23">
        <f t="shared" si="351"/>
        <v>17.29000000000001</v>
      </c>
      <c r="M2141" s="33">
        <v>10</v>
      </c>
      <c r="N2141" s="18">
        <f t="shared" si="346"/>
        <v>37.276712328767125</v>
      </c>
      <c r="O2141" s="23">
        <v>3285.1</v>
      </c>
      <c r="P2141" s="18">
        <f t="shared" si="347"/>
        <v>37.778082191780825</v>
      </c>
      <c r="Q2141" s="18">
        <v>0</v>
      </c>
      <c r="R2141" s="18">
        <f t="shared" si="344"/>
        <v>3285.1</v>
      </c>
      <c r="S2141" s="18">
        <f t="shared" si="350"/>
        <v>17.29000000000001</v>
      </c>
    </row>
    <row r="2142" spans="1:19" ht="18.75" customHeight="1" x14ac:dyDescent="0.25">
      <c r="A2142" s="14">
        <f t="shared" si="348"/>
        <v>2136</v>
      </c>
      <c r="B2142" s="31" t="s">
        <v>1840</v>
      </c>
      <c r="C2142" s="15" t="s">
        <v>3</v>
      </c>
      <c r="D2142" s="31" t="s">
        <v>1708</v>
      </c>
      <c r="E2142" s="31"/>
      <c r="F2142" s="73" t="s">
        <v>4</v>
      </c>
      <c r="G2142" s="32">
        <v>39448</v>
      </c>
      <c r="H2142" s="29">
        <v>1784.6619999999966</v>
      </c>
      <c r="I2142" s="17">
        <v>0</v>
      </c>
      <c r="J2142" s="17">
        <v>0</v>
      </c>
      <c r="K2142" s="17">
        <f t="shared" si="345"/>
        <v>1784.6619999999966</v>
      </c>
      <c r="L2142" s="23">
        <f t="shared" si="351"/>
        <v>89.233099999999837</v>
      </c>
      <c r="M2142" s="33">
        <v>10</v>
      </c>
      <c r="N2142" s="18">
        <f t="shared" si="346"/>
        <v>13.260273972602739</v>
      </c>
      <c r="O2142" s="23">
        <v>16954.289000000001</v>
      </c>
      <c r="P2142" s="18">
        <f t="shared" si="347"/>
        <v>13.761643835616438</v>
      </c>
      <c r="Q2142" s="18">
        <v>0</v>
      </c>
      <c r="R2142" s="18">
        <f t="shared" si="344"/>
        <v>16954.289000000001</v>
      </c>
      <c r="S2142" s="18">
        <f t="shared" si="350"/>
        <v>89.233099999999837</v>
      </c>
    </row>
    <row r="2143" spans="1:19" ht="18.75" customHeight="1" x14ac:dyDescent="0.25">
      <c r="A2143" s="14">
        <f t="shared" si="348"/>
        <v>2137</v>
      </c>
      <c r="B2143" s="31" t="s">
        <v>1841</v>
      </c>
      <c r="C2143" s="15" t="s">
        <v>3</v>
      </c>
      <c r="D2143" s="31" t="s">
        <v>1708</v>
      </c>
      <c r="E2143" s="31"/>
      <c r="F2143" s="73" t="s">
        <v>4</v>
      </c>
      <c r="G2143" s="32">
        <v>30682</v>
      </c>
      <c r="H2143" s="29">
        <v>94.400000000000091</v>
      </c>
      <c r="I2143" s="17">
        <v>0</v>
      </c>
      <c r="J2143" s="17">
        <v>0</v>
      </c>
      <c r="K2143" s="17">
        <f t="shared" si="345"/>
        <v>94.400000000000091</v>
      </c>
      <c r="L2143" s="23">
        <f t="shared" si="351"/>
        <v>4.7200000000000051</v>
      </c>
      <c r="M2143" s="33">
        <v>10</v>
      </c>
      <c r="N2143" s="18">
        <f t="shared" si="346"/>
        <v>37.276712328767125</v>
      </c>
      <c r="O2143" s="23">
        <v>896.8</v>
      </c>
      <c r="P2143" s="18">
        <f t="shared" si="347"/>
        <v>37.778082191780825</v>
      </c>
      <c r="Q2143" s="18">
        <v>0</v>
      </c>
      <c r="R2143" s="18">
        <f t="shared" si="344"/>
        <v>896.8</v>
      </c>
      <c r="S2143" s="18">
        <f t="shared" si="350"/>
        <v>4.7200000000000051</v>
      </c>
    </row>
    <row r="2144" spans="1:19" ht="18.75" customHeight="1" x14ac:dyDescent="0.25">
      <c r="A2144" s="14">
        <f t="shared" si="348"/>
        <v>2138</v>
      </c>
      <c r="B2144" s="31" t="s">
        <v>1772</v>
      </c>
      <c r="C2144" s="15" t="s">
        <v>3</v>
      </c>
      <c r="D2144" s="31" t="s">
        <v>1708</v>
      </c>
      <c r="E2144" s="31"/>
      <c r="F2144" s="73" t="s">
        <v>4</v>
      </c>
      <c r="G2144" s="32">
        <v>39448</v>
      </c>
      <c r="H2144" s="29">
        <v>1645.2479999999996</v>
      </c>
      <c r="I2144" s="17">
        <v>0</v>
      </c>
      <c r="J2144" s="17">
        <v>0</v>
      </c>
      <c r="K2144" s="17">
        <f t="shared" si="345"/>
        <v>1645.2479999999996</v>
      </c>
      <c r="L2144" s="23">
        <f t="shared" si="351"/>
        <v>82.262399999999985</v>
      </c>
      <c r="M2144" s="33">
        <v>10</v>
      </c>
      <c r="N2144" s="18">
        <f t="shared" si="346"/>
        <v>13.260273972602739</v>
      </c>
      <c r="O2144" s="23">
        <v>15629.856</v>
      </c>
      <c r="P2144" s="18">
        <f t="shared" si="347"/>
        <v>13.761643835616438</v>
      </c>
      <c r="Q2144" s="18">
        <v>0</v>
      </c>
      <c r="R2144" s="18">
        <f t="shared" si="344"/>
        <v>15629.856</v>
      </c>
      <c r="S2144" s="18">
        <f t="shared" si="350"/>
        <v>82.262399999999985</v>
      </c>
    </row>
    <row r="2145" spans="1:19" ht="18.75" customHeight="1" x14ac:dyDescent="0.25">
      <c r="A2145" s="14">
        <f t="shared" si="348"/>
        <v>2139</v>
      </c>
      <c r="B2145" s="31" t="s">
        <v>1842</v>
      </c>
      <c r="C2145" s="15" t="s">
        <v>3</v>
      </c>
      <c r="D2145" s="31" t="s">
        <v>1708</v>
      </c>
      <c r="E2145" s="31"/>
      <c r="F2145" s="73" t="s">
        <v>4</v>
      </c>
      <c r="G2145" s="32">
        <v>30682</v>
      </c>
      <c r="H2145" s="29">
        <v>34.5</v>
      </c>
      <c r="I2145" s="17">
        <v>0</v>
      </c>
      <c r="J2145" s="17">
        <v>0</v>
      </c>
      <c r="K2145" s="17">
        <f t="shared" si="345"/>
        <v>34.5</v>
      </c>
      <c r="L2145" s="23">
        <f t="shared" si="351"/>
        <v>1.7250000000000001</v>
      </c>
      <c r="M2145" s="33">
        <v>10</v>
      </c>
      <c r="N2145" s="18">
        <f t="shared" si="346"/>
        <v>37.276712328767125</v>
      </c>
      <c r="O2145" s="23">
        <v>327.75</v>
      </c>
      <c r="P2145" s="18">
        <f t="shared" si="347"/>
        <v>37.778082191780825</v>
      </c>
      <c r="Q2145" s="18">
        <v>0</v>
      </c>
      <c r="R2145" s="18">
        <f t="shared" si="344"/>
        <v>327.75</v>
      </c>
      <c r="S2145" s="18">
        <f t="shared" si="350"/>
        <v>1.7250000000000001</v>
      </c>
    </row>
    <row r="2146" spans="1:19" ht="18.75" customHeight="1" x14ac:dyDescent="0.25">
      <c r="A2146" s="14">
        <f t="shared" si="348"/>
        <v>2140</v>
      </c>
      <c r="B2146" s="31" t="s">
        <v>1843</v>
      </c>
      <c r="C2146" s="15" t="s">
        <v>3</v>
      </c>
      <c r="D2146" s="31" t="s">
        <v>1708</v>
      </c>
      <c r="E2146" s="31"/>
      <c r="F2146" s="73" t="s">
        <v>4</v>
      </c>
      <c r="G2146" s="32">
        <v>41289</v>
      </c>
      <c r="H2146" s="29">
        <v>22230.356164383564</v>
      </c>
      <c r="I2146" s="17">
        <v>0</v>
      </c>
      <c r="J2146" s="17">
        <v>0</v>
      </c>
      <c r="K2146" s="17">
        <f t="shared" si="345"/>
        <v>22230.356164383564</v>
      </c>
      <c r="L2146" s="23">
        <f t="shared" si="351"/>
        <v>1111.5178082191783</v>
      </c>
      <c r="M2146" s="33">
        <v>10</v>
      </c>
      <c r="N2146" s="18">
        <f t="shared" si="346"/>
        <v>8.2164383561643834</v>
      </c>
      <c r="O2146" s="23">
        <v>3109.957089041096</v>
      </c>
      <c r="P2146" s="18">
        <f t="shared" si="347"/>
        <v>8.7178082191780817</v>
      </c>
      <c r="Q2146" s="18">
        <f t="shared" ref="Q2146:Q2184" si="352">(P2146-N2146)/M2146*(K2146-L2146)</f>
        <v>1058.8349093638574</v>
      </c>
      <c r="R2146" s="18">
        <f t="shared" si="344"/>
        <v>4168.7919984049531</v>
      </c>
      <c r="S2146" s="18">
        <f t="shared" si="349"/>
        <v>18061.564165978612</v>
      </c>
    </row>
    <row r="2147" spans="1:19" ht="18.75" customHeight="1" x14ac:dyDescent="0.25">
      <c r="A2147" s="14">
        <f t="shared" si="348"/>
        <v>2141</v>
      </c>
      <c r="B2147" s="31" t="s">
        <v>1840</v>
      </c>
      <c r="C2147" s="15" t="s">
        <v>3</v>
      </c>
      <c r="D2147" s="31" t="s">
        <v>1708</v>
      </c>
      <c r="E2147" s="31"/>
      <c r="F2147" s="73" t="s">
        <v>4</v>
      </c>
      <c r="G2147" s="32">
        <v>39083</v>
      </c>
      <c r="H2147" s="29">
        <v>1570.1209999999992</v>
      </c>
      <c r="I2147" s="17">
        <v>0</v>
      </c>
      <c r="J2147" s="17">
        <v>0</v>
      </c>
      <c r="K2147" s="17">
        <f t="shared" si="345"/>
        <v>1570.1209999999992</v>
      </c>
      <c r="L2147" s="23">
        <f t="shared" si="351"/>
        <v>78.506049999999959</v>
      </c>
      <c r="M2147" s="33">
        <v>10</v>
      </c>
      <c r="N2147" s="18">
        <f t="shared" si="346"/>
        <v>14.260273972602739</v>
      </c>
      <c r="O2147" s="23">
        <v>14916.1495</v>
      </c>
      <c r="P2147" s="18">
        <f t="shared" si="347"/>
        <v>14.761643835616438</v>
      </c>
      <c r="Q2147" s="18">
        <v>0</v>
      </c>
      <c r="R2147" s="18">
        <f t="shared" si="344"/>
        <v>14916.1495</v>
      </c>
      <c r="S2147" s="18">
        <f t="shared" ref="S2147:S2152" si="353">L2147</f>
        <v>78.506049999999959</v>
      </c>
    </row>
    <row r="2148" spans="1:19" ht="18.75" customHeight="1" x14ac:dyDescent="0.25">
      <c r="A2148" s="14">
        <f t="shared" si="348"/>
        <v>2142</v>
      </c>
      <c r="B2148" s="31" t="s">
        <v>1844</v>
      </c>
      <c r="C2148" s="15" t="s">
        <v>3</v>
      </c>
      <c r="D2148" s="31" t="s">
        <v>1708</v>
      </c>
      <c r="E2148" s="31"/>
      <c r="F2148" s="73" t="s">
        <v>4</v>
      </c>
      <c r="G2148" s="32">
        <v>30682</v>
      </c>
      <c r="H2148" s="29">
        <v>22.5</v>
      </c>
      <c r="I2148" s="17">
        <v>0</v>
      </c>
      <c r="J2148" s="17">
        <v>0</v>
      </c>
      <c r="K2148" s="17">
        <f t="shared" si="345"/>
        <v>22.5</v>
      </c>
      <c r="L2148" s="23">
        <f t="shared" si="351"/>
        <v>1.125</v>
      </c>
      <c r="M2148" s="33">
        <v>10</v>
      </c>
      <c r="N2148" s="18">
        <f t="shared" si="346"/>
        <v>37.276712328767125</v>
      </c>
      <c r="O2148" s="23">
        <v>213.75</v>
      </c>
      <c r="P2148" s="18">
        <f t="shared" si="347"/>
        <v>37.778082191780825</v>
      </c>
      <c r="Q2148" s="18">
        <v>0</v>
      </c>
      <c r="R2148" s="18">
        <f t="shared" si="344"/>
        <v>213.75</v>
      </c>
      <c r="S2148" s="18">
        <f t="shared" si="353"/>
        <v>1.125</v>
      </c>
    </row>
    <row r="2149" spans="1:19" ht="18.75" customHeight="1" x14ac:dyDescent="0.25">
      <c r="A2149" s="14">
        <f t="shared" si="348"/>
        <v>2143</v>
      </c>
      <c r="B2149" s="31" t="s">
        <v>1845</v>
      </c>
      <c r="C2149" s="15" t="s">
        <v>3</v>
      </c>
      <c r="D2149" s="31" t="s">
        <v>1708</v>
      </c>
      <c r="E2149" s="31"/>
      <c r="F2149" s="73" t="s">
        <v>4</v>
      </c>
      <c r="G2149" s="32">
        <v>31048</v>
      </c>
      <c r="H2149" s="29">
        <v>127.5</v>
      </c>
      <c r="I2149" s="17">
        <v>0</v>
      </c>
      <c r="J2149" s="17">
        <v>0</v>
      </c>
      <c r="K2149" s="17">
        <f t="shared" si="345"/>
        <v>127.5</v>
      </c>
      <c r="L2149" s="23">
        <f t="shared" si="351"/>
        <v>6.375</v>
      </c>
      <c r="M2149" s="33">
        <v>10</v>
      </c>
      <c r="N2149" s="18">
        <f t="shared" si="346"/>
        <v>36.273972602739725</v>
      </c>
      <c r="O2149" s="23">
        <v>1211.25</v>
      </c>
      <c r="P2149" s="18">
        <f t="shared" si="347"/>
        <v>36.775342465753425</v>
      </c>
      <c r="Q2149" s="18">
        <v>0</v>
      </c>
      <c r="R2149" s="18">
        <f t="shared" si="344"/>
        <v>1211.25</v>
      </c>
      <c r="S2149" s="18">
        <f t="shared" si="353"/>
        <v>6.375</v>
      </c>
    </row>
    <row r="2150" spans="1:19" ht="18.75" customHeight="1" x14ac:dyDescent="0.25">
      <c r="A2150" s="14">
        <f t="shared" si="348"/>
        <v>2144</v>
      </c>
      <c r="B2150" s="31" t="s">
        <v>1846</v>
      </c>
      <c r="C2150" s="15" t="s">
        <v>3</v>
      </c>
      <c r="D2150" s="31" t="s">
        <v>1708</v>
      </c>
      <c r="E2150" s="31"/>
      <c r="F2150" s="73" t="s">
        <v>4</v>
      </c>
      <c r="G2150" s="32">
        <v>39083</v>
      </c>
      <c r="H2150" s="29">
        <v>1502.5810000000019</v>
      </c>
      <c r="I2150" s="17">
        <v>0</v>
      </c>
      <c r="J2150" s="17">
        <v>0</v>
      </c>
      <c r="K2150" s="17">
        <f t="shared" si="345"/>
        <v>1502.5810000000019</v>
      </c>
      <c r="L2150" s="23">
        <f t="shared" si="351"/>
        <v>75.129050000000106</v>
      </c>
      <c r="M2150" s="33">
        <v>10</v>
      </c>
      <c r="N2150" s="18">
        <f t="shared" si="346"/>
        <v>14.260273972602739</v>
      </c>
      <c r="O2150" s="23">
        <v>14274.519499999999</v>
      </c>
      <c r="P2150" s="18">
        <f t="shared" si="347"/>
        <v>14.761643835616438</v>
      </c>
      <c r="Q2150" s="18">
        <v>0</v>
      </c>
      <c r="R2150" s="18">
        <f t="shared" si="344"/>
        <v>14274.519499999999</v>
      </c>
      <c r="S2150" s="18">
        <f t="shared" si="353"/>
        <v>75.129050000000106</v>
      </c>
    </row>
    <row r="2151" spans="1:19" ht="18.75" customHeight="1" x14ac:dyDescent="0.25">
      <c r="A2151" s="14">
        <f t="shared" si="348"/>
        <v>2145</v>
      </c>
      <c r="B2151" s="31" t="s">
        <v>1841</v>
      </c>
      <c r="C2151" s="15" t="s">
        <v>3</v>
      </c>
      <c r="D2151" s="31" t="s">
        <v>1708</v>
      </c>
      <c r="E2151" s="31"/>
      <c r="F2151" s="73" t="s">
        <v>4</v>
      </c>
      <c r="G2151" s="32">
        <v>38718</v>
      </c>
      <c r="H2151" s="29">
        <v>1500</v>
      </c>
      <c r="I2151" s="17">
        <v>0</v>
      </c>
      <c r="J2151" s="17">
        <v>0</v>
      </c>
      <c r="K2151" s="17">
        <f t="shared" si="345"/>
        <v>1500</v>
      </c>
      <c r="L2151" s="23">
        <f t="shared" si="351"/>
        <v>75</v>
      </c>
      <c r="M2151" s="33">
        <v>10</v>
      </c>
      <c r="N2151" s="18">
        <f t="shared" si="346"/>
        <v>15.260273972602739</v>
      </c>
      <c r="O2151" s="23">
        <v>14250</v>
      </c>
      <c r="P2151" s="18">
        <f t="shared" si="347"/>
        <v>15.761643835616438</v>
      </c>
      <c r="Q2151" s="18">
        <v>0</v>
      </c>
      <c r="R2151" s="18">
        <f t="shared" si="344"/>
        <v>14250</v>
      </c>
      <c r="S2151" s="18">
        <f t="shared" si="353"/>
        <v>75</v>
      </c>
    </row>
    <row r="2152" spans="1:19" ht="18.75" customHeight="1" x14ac:dyDescent="0.25">
      <c r="A2152" s="14">
        <f t="shared" si="348"/>
        <v>2146</v>
      </c>
      <c r="B2152" s="31" t="s">
        <v>1847</v>
      </c>
      <c r="C2152" s="15" t="s">
        <v>3</v>
      </c>
      <c r="D2152" s="31" t="s">
        <v>1708</v>
      </c>
      <c r="E2152" s="31"/>
      <c r="F2152" s="73" t="s">
        <v>4</v>
      </c>
      <c r="G2152" s="32">
        <v>38857</v>
      </c>
      <c r="H2152" s="29">
        <v>1490.3499999999985</v>
      </c>
      <c r="I2152" s="17">
        <v>0</v>
      </c>
      <c r="J2152" s="17">
        <v>0</v>
      </c>
      <c r="K2152" s="17">
        <f t="shared" si="345"/>
        <v>1490.3499999999985</v>
      </c>
      <c r="L2152" s="23">
        <f t="shared" si="351"/>
        <v>74.517499999999927</v>
      </c>
      <c r="M2152" s="33">
        <v>10</v>
      </c>
      <c r="N2152" s="18">
        <f t="shared" si="346"/>
        <v>14.87945205479452</v>
      </c>
      <c r="O2152" s="23">
        <v>14158.325000000001</v>
      </c>
      <c r="P2152" s="18">
        <f t="shared" si="347"/>
        <v>15.38082191780822</v>
      </c>
      <c r="Q2152" s="18">
        <v>0</v>
      </c>
      <c r="R2152" s="18">
        <f t="shared" si="344"/>
        <v>14158.325000000001</v>
      </c>
      <c r="S2152" s="18">
        <f t="shared" si="353"/>
        <v>74.517499999999927</v>
      </c>
    </row>
    <row r="2153" spans="1:19" ht="18.75" customHeight="1" x14ac:dyDescent="0.25">
      <c r="A2153" s="14">
        <f t="shared" si="348"/>
        <v>2147</v>
      </c>
      <c r="B2153" s="31" t="s">
        <v>1848</v>
      </c>
      <c r="C2153" s="15" t="s">
        <v>3</v>
      </c>
      <c r="D2153" s="31" t="s">
        <v>1708</v>
      </c>
      <c r="E2153" s="31"/>
      <c r="F2153" s="73" t="s">
        <v>4</v>
      </c>
      <c r="G2153" s="32">
        <v>40497</v>
      </c>
      <c r="H2153" s="29">
        <v>13506.482068493153</v>
      </c>
      <c r="I2153" s="17">
        <v>0</v>
      </c>
      <c r="J2153" s="17">
        <v>0</v>
      </c>
      <c r="K2153" s="17">
        <f t="shared" si="345"/>
        <v>13506.482068493153</v>
      </c>
      <c r="L2153" s="23">
        <f t="shared" si="351"/>
        <v>675.32410342465766</v>
      </c>
      <c r="M2153" s="33">
        <v>10</v>
      </c>
      <c r="N2153" s="18">
        <f t="shared" si="346"/>
        <v>10.386301369863014</v>
      </c>
      <c r="O2153" s="23">
        <v>2859.7485356164389</v>
      </c>
      <c r="P2153" s="18">
        <f t="shared" si="347"/>
        <v>10.887671232876713</v>
      </c>
      <c r="Q2153" s="18">
        <v>0</v>
      </c>
      <c r="R2153" s="18">
        <f t="shared" si="344"/>
        <v>2859.7485356164389</v>
      </c>
      <c r="S2153" s="18">
        <f t="shared" si="349"/>
        <v>10646.733532876715</v>
      </c>
    </row>
    <row r="2154" spans="1:19" ht="18.75" customHeight="1" x14ac:dyDescent="0.25">
      <c r="A2154" s="14">
        <f t="shared" si="348"/>
        <v>2148</v>
      </c>
      <c r="B2154" s="31" t="s">
        <v>1849</v>
      </c>
      <c r="C2154" s="15" t="s">
        <v>3</v>
      </c>
      <c r="D2154" s="31" t="s">
        <v>1708</v>
      </c>
      <c r="E2154" s="31"/>
      <c r="F2154" s="73" t="s">
        <v>4</v>
      </c>
      <c r="G2154" s="32">
        <v>31048</v>
      </c>
      <c r="H2154" s="29">
        <v>71.450000000000045</v>
      </c>
      <c r="I2154" s="17">
        <v>0</v>
      </c>
      <c r="J2154" s="17">
        <v>0</v>
      </c>
      <c r="K2154" s="17">
        <f t="shared" si="345"/>
        <v>71.450000000000045</v>
      </c>
      <c r="L2154" s="23">
        <f t="shared" si="351"/>
        <v>3.5725000000000025</v>
      </c>
      <c r="M2154" s="33">
        <v>10</v>
      </c>
      <c r="N2154" s="18">
        <f t="shared" si="346"/>
        <v>36.273972602739725</v>
      </c>
      <c r="O2154" s="23">
        <v>678.77499999999998</v>
      </c>
      <c r="P2154" s="18">
        <f t="shared" si="347"/>
        <v>36.775342465753425</v>
      </c>
      <c r="Q2154" s="18">
        <v>0</v>
      </c>
      <c r="R2154" s="18">
        <f t="shared" si="344"/>
        <v>678.77499999999998</v>
      </c>
      <c r="S2154" s="18">
        <f>L2154</f>
        <v>3.5725000000000025</v>
      </c>
    </row>
    <row r="2155" spans="1:19" ht="18.75" customHeight="1" x14ac:dyDescent="0.25">
      <c r="A2155" s="14">
        <f t="shared" si="348"/>
        <v>2149</v>
      </c>
      <c r="B2155" s="31" t="s">
        <v>1850</v>
      </c>
      <c r="C2155" s="15" t="s">
        <v>3</v>
      </c>
      <c r="D2155" s="31" t="s">
        <v>1708</v>
      </c>
      <c r="E2155" s="31"/>
      <c r="F2155" s="73" t="s">
        <v>4</v>
      </c>
      <c r="G2155" s="32">
        <v>41258</v>
      </c>
      <c r="H2155" s="29">
        <v>18664.474757260272</v>
      </c>
      <c r="I2155" s="17">
        <v>0</v>
      </c>
      <c r="J2155" s="17">
        <v>0</v>
      </c>
      <c r="K2155" s="17">
        <f t="shared" si="345"/>
        <v>18664.474757260272</v>
      </c>
      <c r="L2155" s="23">
        <f t="shared" si="351"/>
        <v>933.22373786301364</v>
      </c>
      <c r="M2155" s="33">
        <v>10</v>
      </c>
      <c r="N2155" s="18">
        <f t="shared" si="346"/>
        <v>8.3013698630136989</v>
      </c>
      <c r="O2155" s="23">
        <v>2064.0749716164378</v>
      </c>
      <c r="P2155" s="18">
        <f t="shared" si="347"/>
        <v>8.8027397260273972</v>
      </c>
      <c r="Q2155" s="18">
        <f t="shared" si="352"/>
        <v>888.99148946567016</v>
      </c>
      <c r="R2155" s="18">
        <f t="shared" si="344"/>
        <v>2953.0664610821077</v>
      </c>
      <c r="S2155" s="18">
        <f t="shared" si="349"/>
        <v>15711.408296178164</v>
      </c>
    </row>
    <row r="2156" spans="1:19" ht="18.75" customHeight="1" x14ac:dyDescent="0.25">
      <c r="A2156" s="14">
        <f t="shared" si="348"/>
        <v>2150</v>
      </c>
      <c r="B2156" s="31" t="s">
        <v>1851</v>
      </c>
      <c r="C2156" s="15" t="s">
        <v>3</v>
      </c>
      <c r="D2156" s="31" t="s">
        <v>1708</v>
      </c>
      <c r="E2156" s="31"/>
      <c r="F2156" s="73" t="s">
        <v>4</v>
      </c>
      <c r="G2156" s="32">
        <v>40132</v>
      </c>
      <c r="H2156" s="29">
        <v>1336.119999999999</v>
      </c>
      <c r="I2156" s="17">
        <v>0</v>
      </c>
      <c r="J2156" s="17">
        <v>0</v>
      </c>
      <c r="K2156" s="17">
        <f t="shared" si="345"/>
        <v>1336.119999999999</v>
      </c>
      <c r="L2156" s="23">
        <f t="shared" si="351"/>
        <v>66.805999999999955</v>
      </c>
      <c r="M2156" s="33">
        <v>10</v>
      </c>
      <c r="N2156" s="18">
        <f t="shared" si="346"/>
        <v>11.386301369863014</v>
      </c>
      <c r="O2156" s="23">
        <v>12693.140000000001</v>
      </c>
      <c r="P2156" s="18">
        <f t="shared" si="347"/>
        <v>11.887671232876713</v>
      </c>
      <c r="Q2156" s="18">
        <v>0</v>
      </c>
      <c r="R2156" s="18">
        <f t="shared" si="344"/>
        <v>12693.140000000001</v>
      </c>
      <c r="S2156" s="18">
        <f>L2156</f>
        <v>66.805999999999955</v>
      </c>
    </row>
    <row r="2157" spans="1:19" ht="18.75" customHeight="1" x14ac:dyDescent="0.25">
      <c r="A2157" s="14">
        <f t="shared" si="348"/>
        <v>2151</v>
      </c>
      <c r="B2157" s="31" t="s">
        <v>1852</v>
      </c>
      <c r="C2157" s="15" t="s">
        <v>3</v>
      </c>
      <c r="D2157" s="31" t="s">
        <v>1708</v>
      </c>
      <c r="E2157" s="31"/>
      <c r="F2157" s="73" t="s">
        <v>4</v>
      </c>
      <c r="G2157" s="32">
        <v>41228</v>
      </c>
      <c r="H2157" s="29">
        <v>17901.891616438355</v>
      </c>
      <c r="I2157" s="17">
        <v>0</v>
      </c>
      <c r="J2157" s="17">
        <v>0</v>
      </c>
      <c r="K2157" s="17">
        <f t="shared" si="345"/>
        <v>17901.891616438355</v>
      </c>
      <c r="L2157" s="23">
        <f t="shared" si="351"/>
        <v>895.09458082191782</v>
      </c>
      <c r="M2157" s="33">
        <v>10</v>
      </c>
      <c r="N2157" s="18">
        <f t="shared" si="346"/>
        <v>8.3835616438356162</v>
      </c>
      <c r="O2157" s="23">
        <v>1771.5366273972604</v>
      </c>
      <c r="P2157" s="18">
        <f t="shared" si="347"/>
        <v>8.8849315068493144</v>
      </c>
      <c r="Q2157" s="18">
        <f t="shared" si="352"/>
        <v>852.66955000487826</v>
      </c>
      <c r="R2157" s="18">
        <f t="shared" si="344"/>
        <v>2624.2061774021386</v>
      </c>
      <c r="S2157" s="18">
        <f t="shared" si="349"/>
        <v>15277.685439036217</v>
      </c>
    </row>
    <row r="2158" spans="1:19" ht="18.75" customHeight="1" x14ac:dyDescent="0.25">
      <c r="A2158" s="14">
        <f t="shared" si="348"/>
        <v>2152</v>
      </c>
      <c r="B2158" s="31" t="s">
        <v>1853</v>
      </c>
      <c r="C2158" s="15" t="s">
        <v>3</v>
      </c>
      <c r="D2158" s="31" t="s">
        <v>1708</v>
      </c>
      <c r="E2158" s="31"/>
      <c r="F2158" s="73" t="s">
        <v>4</v>
      </c>
      <c r="G2158" s="32">
        <v>31048</v>
      </c>
      <c r="H2158" s="29">
        <v>70.450000000000045</v>
      </c>
      <c r="I2158" s="17">
        <v>0</v>
      </c>
      <c r="J2158" s="17">
        <v>0</v>
      </c>
      <c r="K2158" s="17">
        <f t="shared" si="345"/>
        <v>70.450000000000045</v>
      </c>
      <c r="L2158" s="23">
        <f t="shared" si="351"/>
        <v>3.5225000000000026</v>
      </c>
      <c r="M2158" s="33">
        <v>10</v>
      </c>
      <c r="N2158" s="18">
        <f t="shared" si="346"/>
        <v>36.273972602739725</v>
      </c>
      <c r="O2158" s="23">
        <v>669.27499999999998</v>
      </c>
      <c r="P2158" s="18">
        <f t="shared" si="347"/>
        <v>36.775342465753425</v>
      </c>
      <c r="Q2158" s="18">
        <v>0</v>
      </c>
      <c r="R2158" s="18">
        <f t="shared" si="344"/>
        <v>669.27499999999998</v>
      </c>
      <c r="S2158" s="18">
        <f t="shared" ref="S2158:S2161" si="354">L2158</f>
        <v>3.5225000000000026</v>
      </c>
    </row>
    <row r="2159" spans="1:19" ht="18.75" customHeight="1" x14ac:dyDescent="0.25">
      <c r="A2159" s="14">
        <f t="shared" si="348"/>
        <v>2153</v>
      </c>
      <c r="B2159" s="31" t="s">
        <v>1854</v>
      </c>
      <c r="C2159" s="15" t="s">
        <v>3</v>
      </c>
      <c r="D2159" s="31" t="s">
        <v>1708</v>
      </c>
      <c r="E2159" s="31"/>
      <c r="F2159" s="73" t="s">
        <v>4</v>
      </c>
      <c r="G2159" s="32">
        <v>31048</v>
      </c>
      <c r="H2159" s="29">
        <v>52.5</v>
      </c>
      <c r="I2159" s="17">
        <v>0</v>
      </c>
      <c r="J2159" s="17">
        <v>0</v>
      </c>
      <c r="K2159" s="17">
        <f t="shared" si="345"/>
        <v>52.5</v>
      </c>
      <c r="L2159" s="23">
        <f t="shared" si="351"/>
        <v>2.625</v>
      </c>
      <c r="M2159" s="33">
        <v>10</v>
      </c>
      <c r="N2159" s="18">
        <f t="shared" si="346"/>
        <v>36.273972602739725</v>
      </c>
      <c r="O2159" s="23">
        <v>498.75</v>
      </c>
      <c r="P2159" s="18">
        <f t="shared" si="347"/>
        <v>36.775342465753425</v>
      </c>
      <c r="Q2159" s="18">
        <v>0</v>
      </c>
      <c r="R2159" s="18">
        <f t="shared" si="344"/>
        <v>498.75</v>
      </c>
      <c r="S2159" s="18">
        <f t="shared" si="354"/>
        <v>2.625</v>
      </c>
    </row>
    <row r="2160" spans="1:19" ht="18.75" customHeight="1" x14ac:dyDescent="0.25">
      <c r="A2160" s="14">
        <f t="shared" si="348"/>
        <v>2154</v>
      </c>
      <c r="B2160" s="31" t="s">
        <v>1778</v>
      </c>
      <c r="C2160" s="15" t="s">
        <v>3</v>
      </c>
      <c r="D2160" s="31" t="s">
        <v>1708</v>
      </c>
      <c r="E2160" s="31"/>
      <c r="F2160" s="73" t="s">
        <v>4</v>
      </c>
      <c r="G2160" s="32">
        <v>39448</v>
      </c>
      <c r="H2160" s="29">
        <v>1296.3054999999986</v>
      </c>
      <c r="I2160" s="17">
        <v>0</v>
      </c>
      <c r="J2160" s="17">
        <v>0</v>
      </c>
      <c r="K2160" s="17">
        <f t="shared" si="345"/>
        <v>1296.3054999999986</v>
      </c>
      <c r="L2160" s="23">
        <f t="shared" si="351"/>
        <v>64.815274999999929</v>
      </c>
      <c r="M2160" s="33">
        <v>10</v>
      </c>
      <c r="N2160" s="18">
        <f t="shared" si="346"/>
        <v>13.260273972602739</v>
      </c>
      <c r="O2160" s="23">
        <v>12314.902250000001</v>
      </c>
      <c r="P2160" s="18">
        <f t="shared" si="347"/>
        <v>13.761643835616438</v>
      </c>
      <c r="Q2160" s="18">
        <v>0</v>
      </c>
      <c r="R2160" s="18">
        <f t="shared" si="344"/>
        <v>12314.902250000001</v>
      </c>
      <c r="S2160" s="18">
        <f t="shared" si="354"/>
        <v>64.815274999999929</v>
      </c>
    </row>
    <row r="2161" spans="1:19" ht="18.75" customHeight="1" x14ac:dyDescent="0.25">
      <c r="A2161" s="14">
        <f t="shared" si="348"/>
        <v>2155</v>
      </c>
      <c r="B2161" s="31" t="s">
        <v>1855</v>
      </c>
      <c r="C2161" s="15" t="s">
        <v>3</v>
      </c>
      <c r="D2161" s="31" t="s">
        <v>1708</v>
      </c>
      <c r="E2161" s="31"/>
      <c r="F2161" s="73" t="s">
        <v>4</v>
      </c>
      <c r="G2161" s="32">
        <v>31048</v>
      </c>
      <c r="H2161" s="29">
        <v>43.399999999999977</v>
      </c>
      <c r="I2161" s="17">
        <v>0</v>
      </c>
      <c r="J2161" s="17">
        <v>0</v>
      </c>
      <c r="K2161" s="17">
        <f t="shared" si="345"/>
        <v>43.399999999999977</v>
      </c>
      <c r="L2161" s="23">
        <f t="shared" si="351"/>
        <v>2.169999999999999</v>
      </c>
      <c r="M2161" s="33">
        <v>10</v>
      </c>
      <c r="N2161" s="18">
        <f t="shared" si="346"/>
        <v>36.273972602739725</v>
      </c>
      <c r="O2161" s="23">
        <v>412.3</v>
      </c>
      <c r="P2161" s="18">
        <f t="shared" si="347"/>
        <v>36.775342465753425</v>
      </c>
      <c r="Q2161" s="18">
        <v>0</v>
      </c>
      <c r="R2161" s="18">
        <f t="shared" si="344"/>
        <v>412.3</v>
      </c>
      <c r="S2161" s="18">
        <f t="shared" si="354"/>
        <v>2.169999999999999</v>
      </c>
    </row>
    <row r="2162" spans="1:19" ht="18.75" customHeight="1" x14ac:dyDescent="0.25">
      <c r="A2162" s="14">
        <f t="shared" si="348"/>
        <v>2156</v>
      </c>
      <c r="B2162" s="31" t="s">
        <v>1856</v>
      </c>
      <c r="C2162" s="15" t="s">
        <v>3</v>
      </c>
      <c r="D2162" s="31" t="s">
        <v>1708</v>
      </c>
      <c r="E2162" s="31"/>
      <c r="F2162" s="73" t="s">
        <v>4</v>
      </c>
      <c r="G2162" s="32">
        <v>41623</v>
      </c>
      <c r="H2162" s="29">
        <v>20050.063621917805</v>
      </c>
      <c r="I2162" s="17">
        <v>0</v>
      </c>
      <c r="J2162" s="17">
        <v>0</v>
      </c>
      <c r="K2162" s="17">
        <f t="shared" si="345"/>
        <v>20050.063621917805</v>
      </c>
      <c r="L2162" s="23">
        <f t="shared" si="351"/>
        <v>1002.5031810958903</v>
      </c>
      <c r="M2162" s="33">
        <v>10</v>
      </c>
      <c r="N2162" s="18">
        <f t="shared" si="346"/>
        <v>7.3013698630136989</v>
      </c>
      <c r="O2162" s="23">
        <v>3594.400416986301</v>
      </c>
      <c r="P2162" s="18">
        <f t="shared" si="347"/>
        <v>7.8027397260273972</v>
      </c>
      <c r="Q2162" s="18">
        <f t="shared" si="352"/>
        <v>954.98727689600219</v>
      </c>
      <c r="R2162" s="18">
        <f t="shared" si="344"/>
        <v>4549.3876938823032</v>
      </c>
      <c r="S2162" s="18">
        <f t="shared" si="349"/>
        <v>15500.675928035502</v>
      </c>
    </row>
    <row r="2163" spans="1:19" ht="18.75" customHeight="1" x14ac:dyDescent="0.25">
      <c r="A2163" s="14">
        <f t="shared" si="348"/>
        <v>2157</v>
      </c>
      <c r="B2163" s="31" t="s">
        <v>1822</v>
      </c>
      <c r="C2163" s="15" t="s">
        <v>3</v>
      </c>
      <c r="D2163" s="31" t="s">
        <v>1708</v>
      </c>
      <c r="E2163" s="31"/>
      <c r="F2163" s="73" t="s">
        <v>4</v>
      </c>
      <c r="G2163" s="32">
        <v>31048</v>
      </c>
      <c r="H2163" s="29">
        <v>21.5</v>
      </c>
      <c r="I2163" s="17">
        <v>0</v>
      </c>
      <c r="J2163" s="17">
        <v>0</v>
      </c>
      <c r="K2163" s="17">
        <f t="shared" si="345"/>
        <v>21.5</v>
      </c>
      <c r="L2163" s="23">
        <f t="shared" si="351"/>
        <v>1.075</v>
      </c>
      <c r="M2163" s="33">
        <v>10</v>
      </c>
      <c r="N2163" s="18">
        <f t="shared" si="346"/>
        <v>36.273972602739725</v>
      </c>
      <c r="O2163" s="23">
        <v>204.25</v>
      </c>
      <c r="P2163" s="18">
        <f t="shared" si="347"/>
        <v>36.775342465753425</v>
      </c>
      <c r="Q2163" s="18">
        <v>0</v>
      </c>
      <c r="R2163" s="18">
        <f t="shared" si="344"/>
        <v>204.25</v>
      </c>
      <c r="S2163" s="18">
        <f t="shared" ref="S2163:S2175" si="355">L2163</f>
        <v>1.075</v>
      </c>
    </row>
    <row r="2164" spans="1:19" ht="18.75" customHeight="1" x14ac:dyDescent="0.25">
      <c r="A2164" s="14">
        <f t="shared" si="348"/>
        <v>2158</v>
      </c>
      <c r="B2164" s="31" t="s">
        <v>1857</v>
      </c>
      <c r="C2164" s="15" t="s">
        <v>3</v>
      </c>
      <c r="D2164" s="31" t="s">
        <v>1708</v>
      </c>
      <c r="E2164" s="31"/>
      <c r="F2164" s="73" t="s">
        <v>4</v>
      </c>
      <c r="G2164" s="32">
        <v>31048</v>
      </c>
      <c r="H2164" s="29">
        <v>14</v>
      </c>
      <c r="I2164" s="17">
        <v>0</v>
      </c>
      <c r="J2164" s="17">
        <v>0</v>
      </c>
      <c r="K2164" s="17">
        <f t="shared" si="345"/>
        <v>14</v>
      </c>
      <c r="L2164" s="23">
        <f t="shared" si="351"/>
        <v>0.70000000000000007</v>
      </c>
      <c r="M2164" s="33">
        <v>10</v>
      </c>
      <c r="N2164" s="18">
        <f t="shared" si="346"/>
        <v>36.273972602739725</v>
      </c>
      <c r="O2164" s="23">
        <v>133</v>
      </c>
      <c r="P2164" s="18">
        <f t="shared" si="347"/>
        <v>36.775342465753425</v>
      </c>
      <c r="Q2164" s="18">
        <v>0</v>
      </c>
      <c r="R2164" s="18">
        <f t="shared" si="344"/>
        <v>133</v>
      </c>
      <c r="S2164" s="18">
        <f t="shared" si="355"/>
        <v>0.70000000000000007</v>
      </c>
    </row>
    <row r="2165" spans="1:19" ht="18.75" customHeight="1" x14ac:dyDescent="0.25">
      <c r="A2165" s="14">
        <f t="shared" si="348"/>
        <v>2159</v>
      </c>
      <c r="B2165" s="31" t="s">
        <v>1858</v>
      </c>
      <c r="C2165" s="15" t="s">
        <v>3</v>
      </c>
      <c r="D2165" s="31" t="s">
        <v>1708</v>
      </c>
      <c r="E2165" s="31"/>
      <c r="F2165" s="73" t="s">
        <v>4</v>
      </c>
      <c r="G2165" s="32">
        <v>38718</v>
      </c>
      <c r="H2165" s="29">
        <v>1200</v>
      </c>
      <c r="I2165" s="17">
        <v>0</v>
      </c>
      <c r="J2165" s="17">
        <v>0</v>
      </c>
      <c r="K2165" s="17">
        <f t="shared" si="345"/>
        <v>1200</v>
      </c>
      <c r="L2165" s="23">
        <f t="shared" si="351"/>
        <v>60</v>
      </c>
      <c r="M2165" s="33">
        <v>10</v>
      </c>
      <c r="N2165" s="18">
        <f t="shared" si="346"/>
        <v>15.260273972602739</v>
      </c>
      <c r="O2165" s="23">
        <v>11400</v>
      </c>
      <c r="P2165" s="18">
        <f t="shared" si="347"/>
        <v>15.761643835616438</v>
      </c>
      <c r="Q2165" s="18">
        <v>0</v>
      </c>
      <c r="R2165" s="18">
        <f t="shared" si="344"/>
        <v>11400</v>
      </c>
      <c r="S2165" s="18">
        <f t="shared" si="355"/>
        <v>60</v>
      </c>
    </row>
    <row r="2166" spans="1:19" ht="18.75" customHeight="1" x14ac:dyDescent="0.25">
      <c r="A2166" s="14">
        <f t="shared" si="348"/>
        <v>2160</v>
      </c>
      <c r="B2166" s="31" t="s">
        <v>1844</v>
      </c>
      <c r="C2166" s="15" t="s">
        <v>3</v>
      </c>
      <c r="D2166" s="31" t="s">
        <v>1708</v>
      </c>
      <c r="E2166" s="31"/>
      <c r="F2166" s="73" t="s">
        <v>4</v>
      </c>
      <c r="G2166" s="32">
        <v>31048</v>
      </c>
      <c r="H2166" s="29">
        <v>14</v>
      </c>
      <c r="I2166" s="17">
        <v>0</v>
      </c>
      <c r="J2166" s="17">
        <v>0</v>
      </c>
      <c r="K2166" s="17">
        <f t="shared" si="345"/>
        <v>14</v>
      </c>
      <c r="L2166" s="23">
        <f t="shared" si="351"/>
        <v>0.70000000000000007</v>
      </c>
      <c r="M2166" s="33">
        <v>10</v>
      </c>
      <c r="N2166" s="18">
        <f t="shared" si="346"/>
        <v>36.273972602739725</v>
      </c>
      <c r="O2166" s="23">
        <v>133</v>
      </c>
      <c r="P2166" s="18">
        <f t="shared" si="347"/>
        <v>36.775342465753425</v>
      </c>
      <c r="Q2166" s="18">
        <v>0</v>
      </c>
      <c r="R2166" s="18">
        <f t="shared" si="344"/>
        <v>133</v>
      </c>
      <c r="S2166" s="18">
        <f t="shared" si="355"/>
        <v>0.70000000000000007</v>
      </c>
    </row>
    <row r="2167" spans="1:19" ht="18.75" customHeight="1" x14ac:dyDescent="0.25">
      <c r="A2167" s="14">
        <f t="shared" si="348"/>
        <v>2161</v>
      </c>
      <c r="B2167" s="31" t="s">
        <v>1831</v>
      </c>
      <c r="C2167" s="15" t="s">
        <v>3</v>
      </c>
      <c r="D2167" s="31" t="s">
        <v>1708</v>
      </c>
      <c r="E2167" s="31"/>
      <c r="F2167" s="73" t="s">
        <v>4</v>
      </c>
      <c r="G2167" s="32">
        <v>39448</v>
      </c>
      <c r="H2167" s="29">
        <v>1057.1059999999998</v>
      </c>
      <c r="I2167" s="17">
        <v>0</v>
      </c>
      <c r="J2167" s="17">
        <v>0</v>
      </c>
      <c r="K2167" s="17">
        <f t="shared" si="345"/>
        <v>1057.1059999999998</v>
      </c>
      <c r="L2167" s="23">
        <f t="shared" si="351"/>
        <v>52.855299999999993</v>
      </c>
      <c r="M2167" s="33">
        <v>10</v>
      </c>
      <c r="N2167" s="18">
        <f t="shared" si="346"/>
        <v>13.260273972602739</v>
      </c>
      <c r="O2167" s="23">
        <v>10042.507</v>
      </c>
      <c r="P2167" s="18">
        <f t="shared" si="347"/>
        <v>13.761643835616438</v>
      </c>
      <c r="Q2167" s="18">
        <v>0</v>
      </c>
      <c r="R2167" s="18">
        <f t="shared" si="344"/>
        <v>10042.507</v>
      </c>
      <c r="S2167" s="18">
        <f t="shared" si="355"/>
        <v>52.855299999999993</v>
      </c>
    </row>
    <row r="2168" spans="1:19" ht="18.75" customHeight="1" x14ac:dyDescent="0.25">
      <c r="A2168" s="14">
        <f t="shared" si="348"/>
        <v>2162</v>
      </c>
      <c r="B2168" s="31" t="s">
        <v>1859</v>
      </c>
      <c r="C2168" s="15" t="s">
        <v>3</v>
      </c>
      <c r="D2168" s="31" t="s">
        <v>1708</v>
      </c>
      <c r="E2168" s="31"/>
      <c r="F2168" s="73" t="s">
        <v>4</v>
      </c>
      <c r="G2168" s="32">
        <v>31048</v>
      </c>
      <c r="H2168" s="29">
        <v>13.25</v>
      </c>
      <c r="I2168" s="17">
        <v>0</v>
      </c>
      <c r="J2168" s="17">
        <v>0</v>
      </c>
      <c r="K2168" s="17">
        <f t="shared" si="345"/>
        <v>13.25</v>
      </c>
      <c r="L2168" s="23">
        <f t="shared" si="351"/>
        <v>0.66250000000000009</v>
      </c>
      <c r="M2168" s="33">
        <v>10</v>
      </c>
      <c r="N2168" s="18">
        <f t="shared" si="346"/>
        <v>36.273972602739725</v>
      </c>
      <c r="O2168" s="23">
        <v>125.875</v>
      </c>
      <c r="P2168" s="18">
        <f t="shared" si="347"/>
        <v>36.775342465753425</v>
      </c>
      <c r="Q2168" s="18">
        <v>0</v>
      </c>
      <c r="R2168" s="18">
        <f t="shared" si="344"/>
        <v>125.875</v>
      </c>
      <c r="S2168" s="18">
        <f t="shared" si="355"/>
        <v>0.66250000000000009</v>
      </c>
    </row>
    <row r="2169" spans="1:19" ht="18.75" customHeight="1" x14ac:dyDescent="0.25">
      <c r="A2169" s="14">
        <f t="shared" si="348"/>
        <v>2163</v>
      </c>
      <c r="B2169" s="31" t="s">
        <v>1860</v>
      </c>
      <c r="C2169" s="15" t="s">
        <v>3</v>
      </c>
      <c r="D2169" s="31" t="s">
        <v>1708</v>
      </c>
      <c r="E2169" s="31"/>
      <c r="F2169" s="73" t="s">
        <v>4</v>
      </c>
      <c r="G2169" s="32">
        <v>31048</v>
      </c>
      <c r="H2169" s="29">
        <v>11.25</v>
      </c>
      <c r="I2169" s="17">
        <v>0</v>
      </c>
      <c r="J2169" s="17">
        <v>0</v>
      </c>
      <c r="K2169" s="17">
        <f t="shared" si="345"/>
        <v>11.25</v>
      </c>
      <c r="L2169" s="23">
        <f t="shared" si="351"/>
        <v>0.5625</v>
      </c>
      <c r="M2169" s="33">
        <v>10</v>
      </c>
      <c r="N2169" s="18">
        <f t="shared" si="346"/>
        <v>36.273972602739725</v>
      </c>
      <c r="O2169" s="23">
        <v>106.875</v>
      </c>
      <c r="P2169" s="18">
        <f t="shared" si="347"/>
        <v>36.775342465753425</v>
      </c>
      <c r="Q2169" s="18">
        <v>0</v>
      </c>
      <c r="R2169" s="18">
        <f t="shared" si="344"/>
        <v>106.875</v>
      </c>
      <c r="S2169" s="18">
        <f t="shared" si="355"/>
        <v>0.5625</v>
      </c>
    </row>
    <row r="2170" spans="1:19" ht="18.75" customHeight="1" x14ac:dyDescent="0.25">
      <c r="A2170" s="14">
        <f t="shared" si="348"/>
        <v>2164</v>
      </c>
      <c r="B2170" s="31" t="s">
        <v>1714</v>
      </c>
      <c r="C2170" s="15" t="s">
        <v>3</v>
      </c>
      <c r="D2170" s="31" t="s">
        <v>1708</v>
      </c>
      <c r="E2170" s="31"/>
      <c r="F2170" s="73" t="s">
        <v>4</v>
      </c>
      <c r="G2170" s="32">
        <v>39448</v>
      </c>
      <c r="H2170" s="29">
        <v>1017.6650000000009</v>
      </c>
      <c r="I2170" s="17">
        <v>0</v>
      </c>
      <c r="J2170" s="17">
        <v>0</v>
      </c>
      <c r="K2170" s="17">
        <f t="shared" si="345"/>
        <v>1017.6650000000009</v>
      </c>
      <c r="L2170" s="23">
        <f t="shared" si="351"/>
        <v>50.883250000000046</v>
      </c>
      <c r="M2170" s="33">
        <v>10</v>
      </c>
      <c r="N2170" s="18">
        <f t="shared" si="346"/>
        <v>13.260273972602739</v>
      </c>
      <c r="O2170" s="23">
        <v>9667.8174999999992</v>
      </c>
      <c r="P2170" s="18">
        <f t="shared" si="347"/>
        <v>13.761643835616438</v>
      </c>
      <c r="Q2170" s="18">
        <v>0</v>
      </c>
      <c r="R2170" s="18">
        <f t="shared" si="344"/>
        <v>9667.8174999999992</v>
      </c>
      <c r="S2170" s="18">
        <f t="shared" si="355"/>
        <v>50.883250000000046</v>
      </c>
    </row>
    <row r="2171" spans="1:19" ht="18.75" customHeight="1" x14ac:dyDescent="0.25">
      <c r="A2171" s="14">
        <f t="shared" si="348"/>
        <v>2165</v>
      </c>
      <c r="B2171" s="31" t="s">
        <v>1861</v>
      </c>
      <c r="C2171" s="15" t="s">
        <v>3</v>
      </c>
      <c r="D2171" s="31" t="s">
        <v>1708</v>
      </c>
      <c r="E2171" s="31"/>
      <c r="F2171" s="73" t="s">
        <v>4</v>
      </c>
      <c r="G2171" s="32">
        <v>39797</v>
      </c>
      <c r="H2171" s="29">
        <v>993.77300000000105</v>
      </c>
      <c r="I2171" s="17">
        <v>0</v>
      </c>
      <c r="J2171" s="17">
        <v>0</v>
      </c>
      <c r="K2171" s="17">
        <f t="shared" si="345"/>
        <v>993.77300000000105</v>
      </c>
      <c r="L2171" s="23">
        <f t="shared" si="351"/>
        <v>49.688650000000052</v>
      </c>
      <c r="M2171" s="33">
        <v>10</v>
      </c>
      <c r="N2171" s="18">
        <f t="shared" si="346"/>
        <v>12.304109589041095</v>
      </c>
      <c r="O2171" s="23">
        <v>9440.843499999999</v>
      </c>
      <c r="P2171" s="18">
        <f t="shared" si="347"/>
        <v>12.805479452054794</v>
      </c>
      <c r="Q2171" s="18">
        <v>0</v>
      </c>
      <c r="R2171" s="18">
        <f t="shared" si="344"/>
        <v>9440.843499999999</v>
      </c>
      <c r="S2171" s="18">
        <f t="shared" si="355"/>
        <v>49.688650000000052</v>
      </c>
    </row>
    <row r="2172" spans="1:19" ht="18.75" customHeight="1" x14ac:dyDescent="0.25">
      <c r="A2172" s="14">
        <f t="shared" si="348"/>
        <v>2166</v>
      </c>
      <c r="B2172" s="31" t="s">
        <v>1809</v>
      </c>
      <c r="C2172" s="15" t="s">
        <v>3</v>
      </c>
      <c r="D2172" s="31" t="s">
        <v>1708</v>
      </c>
      <c r="E2172" s="31"/>
      <c r="F2172" s="73" t="s">
        <v>4</v>
      </c>
      <c r="G2172" s="32">
        <v>31413</v>
      </c>
      <c r="H2172" s="29">
        <v>135.84999999999991</v>
      </c>
      <c r="I2172" s="17">
        <v>0</v>
      </c>
      <c r="J2172" s="17">
        <v>0</v>
      </c>
      <c r="K2172" s="17">
        <f t="shared" si="345"/>
        <v>135.84999999999991</v>
      </c>
      <c r="L2172" s="23">
        <f t="shared" si="351"/>
        <v>6.792499999999996</v>
      </c>
      <c r="M2172" s="33">
        <v>10</v>
      </c>
      <c r="N2172" s="18">
        <f t="shared" si="346"/>
        <v>35.273972602739725</v>
      </c>
      <c r="O2172" s="23">
        <v>1290.575</v>
      </c>
      <c r="P2172" s="18">
        <f t="shared" si="347"/>
        <v>35.775342465753425</v>
      </c>
      <c r="Q2172" s="18">
        <v>0</v>
      </c>
      <c r="R2172" s="18">
        <f t="shared" si="344"/>
        <v>1290.575</v>
      </c>
      <c r="S2172" s="18">
        <f t="shared" si="355"/>
        <v>6.792499999999996</v>
      </c>
    </row>
    <row r="2173" spans="1:19" ht="18.75" customHeight="1" x14ac:dyDescent="0.25">
      <c r="A2173" s="14">
        <f t="shared" si="348"/>
        <v>2167</v>
      </c>
      <c r="B2173" s="31" t="s">
        <v>1862</v>
      </c>
      <c r="C2173" s="15" t="s">
        <v>3</v>
      </c>
      <c r="D2173" s="31" t="s">
        <v>1708</v>
      </c>
      <c r="E2173" s="31"/>
      <c r="F2173" s="73" t="s">
        <v>4</v>
      </c>
      <c r="G2173" s="32">
        <v>31413</v>
      </c>
      <c r="H2173" s="29">
        <v>99.299999999999955</v>
      </c>
      <c r="I2173" s="17">
        <v>0</v>
      </c>
      <c r="J2173" s="17">
        <v>0</v>
      </c>
      <c r="K2173" s="17">
        <f t="shared" si="345"/>
        <v>99.299999999999955</v>
      </c>
      <c r="L2173" s="23">
        <f t="shared" si="351"/>
        <v>4.9649999999999981</v>
      </c>
      <c r="M2173" s="33">
        <v>10</v>
      </c>
      <c r="N2173" s="18">
        <f t="shared" si="346"/>
        <v>35.273972602739725</v>
      </c>
      <c r="O2173" s="23">
        <v>943.35</v>
      </c>
      <c r="P2173" s="18">
        <f t="shared" si="347"/>
        <v>35.775342465753425</v>
      </c>
      <c r="Q2173" s="18">
        <v>0</v>
      </c>
      <c r="R2173" s="18">
        <f t="shared" si="344"/>
        <v>943.35</v>
      </c>
      <c r="S2173" s="18">
        <f t="shared" si="355"/>
        <v>4.9649999999999981</v>
      </c>
    </row>
    <row r="2174" spans="1:19" ht="18.75" customHeight="1" x14ac:dyDescent="0.25">
      <c r="A2174" s="14">
        <f t="shared" si="348"/>
        <v>2168</v>
      </c>
      <c r="B2174" s="31" t="s">
        <v>1863</v>
      </c>
      <c r="C2174" s="15" t="s">
        <v>3</v>
      </c>
      <c r="D2174" s="31" t="s">
        <v>1708</v>
      </c>
      <c r="E2174" s="31"/>
      <c r="F2174" s="73" t="s">
        <v>4</v>
      </c>
      <c r="G2174" s="32">
        <v>31413</v>
      </c>
      <c r="H2174" s="29">
        <v>85</v>
      </c>
      <c r="I2174" s="17">
        <v>0</v>
      </c>
      <c r="J2174" s="17">
        <v>0</v>
      </c>
      <c r="K2174" s="17">
        <f t="shared" si="345"/>
        <v>85</v>
      </c>
      <c r="L2174" s="23">
        <f t="shared" si="351"/>
        <v>4.25</v>
      </c>
      <c r="M2174" s="33">
        <v>10</v>
      </c>
      <c r="N2174" s="18">
        <f t="shared" si="346"/>
        <v>35.273972602739725</v>
      </c>
      <c r="O2174" s="23">
        <v>807.5</v>
      </c>
      <c r="P2174" s="18">
        <f t="shared" si="347"/>
        <v>35.775342465753425</v>
      </c>
      <c r="Q2174" s="18">
        <v>0</v>
      </c>
      <c r="R2174" s="18">
        <f t="shared" si="344"/>
        <v>807.5</v>
      </c>
      <c r="S2174" s="18">
        <f t="shared" si="355"/>
        <v>4.25</v>
      </c>
    </row>
    <row r="2175" spans="1:19" ht="18.75" customHeight="1" x14ac:dyDescent="0.25">
      <c r="A2175" s="14">
        <f t="shared" si="348"/>
        <v>2169</v>
      </c>
      <c r="B2175" s="31" t="s">
        <v>1772</v>
      </c>
      <c r="C2175" s="15" t="s">
        <v>3</v>
      </c>
      <c r="D2175" s="31" t="s">
        <v>1708</v>
      </c>
      <c r="E2175" s="31"/>
      <c r="F2175" s="73" t="s">
        <v>4</v>
      </c>
      <c r="G2175" s="32">
        <v>31413</v>
      </c>
      <c r="H2175" s="29">
        <v>83</v>
      </c>
      <c r="I2175" s="17">
        <v>0</v>
      </c>
      <c r="J2175" s="17">
        <v>0</v>
      </c>
      <c r="K2175" s="17">
        <f t="shared" si="345"/>
        <v>83</v>
      </c>
      <c r="L2175" s="23">
        <f t="shared" si="351"/>
        <v>4.1500000000000004</v>
      </c>
      <c r="M2175" s="33">
        <v>10</v>
      </c>
      <c r="N2175" s="18">
        <f t="shared" si="346"/>
        <v>35.273972602739725</v>
      </c>
      <c r="O2175" s="23">
        <v>788.5</v>
      </c>
      <c r="P2175" s="18">
        <f t="shared" si="347"/>
        <v>35.775342465753425</v>
      </c>
      <c r="Q2175" s="18">
        <v>0</v>
      </c>
      <c r="R2175" s="18">
        <f t="shared" si="344"/>
        <v>788.5</v>
      </c>
      <c r="S2175" s="18">
        <f t="shared" si="355"/>
        <v>4.1500000000000004</v>
      </c>
    </row>
    <row r="2176" spans="1:19" ht="18.75" customHeight="1" x14ac:dyDescent="0.25">
      <c r="A2176" s="14">
        <f t="shared" si="348"/>
        <v>2170</v>
      </c>
      <c r="B2176" s="31" t="s">
        <v>1864</v>
      </c>
      <c r="C2176" s="15" t="s">
        <v>3</v>
      </c>
      <c r="D2176" s="31" t="s">
        <v>1708</v>
      </c>
      <c r="E2176" s="31"/>
      <c r="F2176" s="73" t="s">
        <v>4</v>
      </c>
      <c r="G2176" s="32">
        <v>41608</v>
      </c>
      <c r="H2176" s="29">
        <v>13999.068493150684</v>
      </c>
      <c r="I2176" s="17">
        <v>0</v>
      </c>
      <c r="J2176" s="17">
        <v>0</v>
      </c>
      <c r="K2176" s="17">
        <f t="shared" si="345"/>
        <v>13999.068493150684</v>
      </c>
      <c r="L2176" s="23">
        <f t="shared" si="351"/>
        <v>699.95342465753424</v>
      </c>
      <c r="M2176" s="33">
        <v>10</v>
      </c>
      <c r="N2176" s="18">
        <f t="shared" si="346"/>
        <v>7.3424657534246576</v>
      </c>
      <c r="O2176" s="23">
        <v>3550.5368972602741</v>
      </c>
      <c r="P2176" s="18">
        <f t="shared" si="347"/>
        <v>7.8438356164383558</v>
      </c>
      <c r="Q2176" s="18">
        <f t="shared" si="352"/>
        <v>666.77755000938203</v>
      </c>
      <c r="R2176" s="18">
        <f t="shared" si="344"/>
        <v>4217.3144472696558</v>
      </c>
      <c r="S2176" s="18">
        <f t="shared" si="349"/>
        <v>9781.754045881029</v>
      </c>
    </row>
    <row r="2177" spans="1:19" ht="18.75" customHeight="1" x14ac:dyDescent="0.25">
      <c r="A2177" s="14">
        <f t="shared" si="348"/>
        <v>2171</v>
      </c>
      <c r="B2177" s="31" t="s">
        <v>1865</v>
      </c>
      <c r="C2177" s="15" t="s">
        <v>3</v>
      </c>
      <c r="D2177" s="31" t="s">
        <v>1708</v>
      </c>
      <c r="E2177" s="31"/>
      <c r="F2177" s="73" t="s">
        <v>4</v>
      </c>
      <c r="G2177" s="32">
        <v>39767</v>
      </c>
      <c r="H2177" s="29">
        <v>896.96600000000035</v>
      </c>
      <c r="I2177" s="17">
        <v>0</v>
      </c>
      <c r="J2177" s="17">
        <v>0</v>
      </c>
      <c r="K2177" s="17">
        <f t="shared" si="345"/>
        <v>896.96600000000035</v>
      </c>
      <c r="L2177" s="23">
        <f t="shared" si="351"/>
        <v>44.848300000000023</v>
      </c>
      <c r="M2177" s="33">
        <v>10</v>
      </c>
      <c r="N2177" s="18">
        <f t="shared" si="346"/>
        <v>12.386301369863014</v>
      </c>
      <c r="O2177" s="23">
        <v>8521.1769999999997</v>
      </c>
      <c r="P2177" s="18">
        <f t="shared" si="347"/>
        <v>12.887671232876713</v>
      </c>
      <c r="Q2177" s="18">
        <v>0</v>
      </c>
      <c r="R2177" s="18">
        <f t="shared" si="344"/>
        <v>8521.1769999999997</v>
      </c>
      <c r="S2177" s="18">
        <f>L2177</f>
        <v>44.848300000000023</v>
      </c>
    </row>
    <row r="2178" spans="1:19" ht="18.75" customHeight="1" x14ac:dyDescent="0.25">
      <c r="A2178" s="14">
        <f t="shared" si="348"/>
        <v>2172</v>
      </c>
      <c r="B2178" s="31" t="s">
        <v>1866</v>
      </c>
      <c r="C2178" s="15" t="s">
        <v>3</v>
      </c>
      <c r="D2178" s="31" t="s">
        <v>1708</v>
      </c>
      <c r="E2178" s="31"/>
      <c r="F2178" s="73" t="s">
        <v>4</v>
      </c>
      <c r="G2178" s="32">
        <v>41258</v>
      </c>
      <c r="H2178" s="29">
        <v>12295.678119452055</v>
      </c>
      <c r="I2178" s="17">
        <v>0</v>
      </c>
      <c r="J2178" s="17">
        <v>0</v>
      </c>
      <c r="K2178" s="17">
        <f t="shared" si="345"/>
        <v>12295.678119452055</v>
      </c>
      <c r="L2178" s="23">
        <f t="shared" si="351"/>
        <v>614.78390597260284</v>
      </c>
      <c r="M2178" s="33">
        <v>10</v>
      </c>
      <c r="N2178" s="18">
        <f t="shared" si="346"/>
        <v>8.3013698630136989</v>
      </c>
      <c r="O2178" s="23">
        <v>2464.9591927671236</v>
      </c>
      <c r="P2178" s="18">
        <f t="shared" si="347"/>
        <v>8.8027397260273972</v>
      </c>
      <c r="Q2178" s="18">
        <f t="shared" si="352"/>
        <v>585.6448331689694</v>
      </c>
      <c r="R2178" s="18">
        <f t="shared" si="344"/>
        <v>3050.604025936093</v>
      </c>
      <c r="S2178" s="18">
        <f t="shared" si="349"/>
        <v>9245.0740935159629</v>
      </c>
    </row>
    <row r="2179" spans="1:19" ht="18.75" customHeight="1" x14ac:dyDescent="0.25">
      <c r="A2179" s="14">
        <f t="shared" si="348"/>
        <v>2173</v>
      </c>
      <c r="B2179" s="31" t="s">
        <v>1831</v>
      </c>
      <c r="C2179" s="15" t="s">
        <v>3</v>
      </c>
      <c r="D2179" s="31" t="s">
        <v>1708</v>
      </c>
      <c r="E2179" s="31"/>
      <c r="F2179" s="73" t="s">
        <v>4</v>
      </c>
      <c r="G2179" s="32">
        <v>39083</v>
      </c>
      <c r="H2179" s="29">
        <v>894.67699999999968</v>
      </c>
      <c r="I2179" s="17">
        <v>0</v>
      </c>
      <c r="J2179" s="17">
        <v>0</v>
      </c>
      <c r="K2179" s="17">
        <f t="shared" si="345"/>
        <v>894.67699999999968</v>
      </c>
      <c r="L2179" s="23">
        <f t="shared" si="351"/>
        <v>44.73384999999999</v>
      </c>
      <c r="M2179" s="33">
        <v>10</v>
      </c>
      <c r="N2179" s="18">
        <f t="shared" si="346"/>
        <v>14.260273972602739</v>
      </c>
      <c r="O2179" s="23">
        <v>8499.4315000000006</v>
      </c>
      <c r="P2179" s="18">
        <f t="shared" si="347"/>
        <v>14.761643835616438</v>
      </c>
      <c r="Q2179" s="18">
        <v>0</v>
      </c>
      <c r="R2179" s="18">
        <f t="shared" si="344"/>
        <v>8499.4315000000006</v>
      </c>
      <c r="S2179" s="18">
        <f t="shared" ref="S2179:S2182" si="356">L2179</f>
        <v>44.73384999999999</v>
      </c>
    </row>
    <row r="2180" spans="1:19" ht="18.75" customHeight="1" x14ac:dyDescent="0.25">
      <c r="A2180" s="14">
        <f t="shared" si="348"/>
        <v>2174</v>
      </c>
      <c r="B2180" s="31" t="s">
        <v>1867</v>
      </c>
      <c r="C2180" s="15" t="s">
        <v>3</v>
      </c>
      <c r="D2180" s="31" t="s">
        <v>1708</v>
      </c>
      <c r="E2180" s="31"/>
      <c r="F2180" s="73" t="s">
        <v>4</v>
      </c>
      <c r="G2180" s="32">
        <v>31413</v>
      </c>
      <c r="H2180" s="29">
        <v>72.099999999999909</v>
      </c>
      <c r="I2180" s="17">
        <v>0</v>
      </c>
      <c r="J2180" s="17">
        <v>0</v>
      </c>
      <c r="K2180" s="17">
        <f t="shared" si="345"/>
        <v>72.099999999999909</v>
      </c>
      <c r="L2180" s="23">
        <f t="shared" si="351"/>
        <v>3.6049999999999955</v>
      </c>
      <c r="M2180" s="33">
        <v>10</v>
      </c>
      <c r="N2180" s="18">
        <f t="shared" si="346"/>
        <v>35.273972602739725</v>
      </c>
      <c r="O2180" s="23">
        <v>684.95</v>
      </c>
      <c r="P2180" s="18">
        <f t="shared" si="347"/>
        <v>35.775342465753425</v>
      </c>
      <c r="Q2180" s="18">
        <v>0</v>
      </c>
      <c r="R2180" s="18">
        <f t="shared" ref="R2180:R2243" si="357">Q2180+O2180</f>
        <v>684.95</v>
      </c>
      <c r="S2180" s="18">
        <f t="shared" si="356"/>
        <v>3.6049999999999955</v>
      </c>
    </row>
    <row r="2181" spans="1:19" ht="18.75" customHeight="1" x14ac:dyDescent="0.25">
      <c r="A2181" s="14">
        <f t="shared" si="348"/>
        <v>2175</v>
      </c>
      <c r="B2181" s="31" t="s">
        <v>1868</v>
      </c>
      <c r="C2181" s="15" t="s">
        <v>3</v>
      </c>
      <c r="D2181" s="31" t="s">
        <v>1708</v>
      </c>
      <c r="E2181" s="31"/>
      <c r="F2181" s="73" t="s">
        <v>4</v>
      </c>
      <c r="G2181" s="32">
        <v>31413</v>
      </c>
      <c r="H2181" s="29">
        <v>36.25</v>
      </c>
      <c r="I2181" s="17">
        <v>0</v>
      </c>
      <c r="J2181" s="17">
        <v>0</v>
      </c>
      <c r="K2181" s="17">
        <f t="shared" ref="K2181:K2244" si="358">H2181+I2181-J2181</f>
        <v>36.25</v>
      </c>
      <c r="L2181" s="23">
        <f t="shared" si="351"/>
        <v>1.8125</v>
      </c>
      <c r="M2181" s="33">
        <v>10</v>
      </c>
      <c r="N2181" s="18">
        <f t="shared" ref="N2181:N2244" si="359">IF(($N$2-G2181+1)/365&gt;0,($N$2-G2181+1)/365,0)</f>
        <v>35.273972602739725</v>
      </c>
      <c r="O2181" s="23">
        <v>344.375</v>
      </c>
      <c r="P2181" s="18">
        <f t="shared" ref="P2181:P2244" si="360">($P$2-G2181+1)/365</f>
        <v>35.775342465753425</v>
      </c>
      <c r="Q2181" s="18">
        <v>0</v>
      </c>
      <c r="R2181" s="18">
        <f t="shared" si="357"/>
        <v>344.375</v>
      </c>
      <c r="S2181" s="18">
        <f t="shared" si="356"/>
        <v>1.8125</v>
      </c>
    </row>
    <row r="2182" spans="1:19" ht="18.75" customHeight="1" x14ac:dyDescent="0.25">
      <c r="A2182" s="14">
        <f t="shared" ref="A2182:A2245" si="361">+A2181+1</f>
        <v>2176</v>
      </c>
      <c r="B2182" s="31" t="s">
        <v>1869</v>
      </c>
      <c r="C2182" s="15" t="s">
        <v>3</v>
      </c>
      <c r="D2182" s="31" t="s">
        <v>1708</v>
      </c>
      <c r="E2182" s="31"/>
      <c r="F2182" s="73" t="s">
        <v>4</v>
      </c>
      <c r="G2182" s="32">
        <v>31413</v>
      </c>
      <c r="H2182" s="29">
        <v>29.450000000000045</v>
      </c>
      <c r="I2182" s="17">
        <v>0</v>
      </c>
      <c r="J2182" s="17">
        <v>0</v>
      </c>
      <c r="K2182" s="17">
        <f t="shared" si="358"/>
        <v>29.450000000000045</v>
      </c>
      <c r="L2182" s="23">
        <f t="shared" si="351"/>
        <v>1.4725000000000024</v>
      </c>
      <c r="M2182" s="33">
        <v>10</v>
      </c>
      <c r="N2182" s="18">
        <f t="shared" si="359"/>
        <v>35.273972602739725</v>
      </c>
      <c r="O2182" s="23">
        <v>279.77499999999998</v>
      </c>
      <c r="P2182" s="18">
        <f t="shared" si="360"/>
        <v>35.775342465753425</v>
      </c>
      <c r="Q2182" s="18">
        <v>0</v>
      </c>
      <c r="R2182" s="18">
        <f t="shared" si="357"/>
        <v>279.77499999999998</v>
      </c>
      <c r="S2182" s="18">
        <f t="shared" si="356"/>
        <v>1.4725000000000024</v>
      </c>
    </row>
    <row r="2183" spans="1:19" ht="18.75" customHeight="1" x14ac:dyDescent="0.25">
      <c r="A2183" s="14">
        <f t="shared" si="361"/>
        <v>2177</v>
      </c>
      <c r="B2183" s="31" t="s">
        <v>1870</v>
      </c>
      <c r="C2183" s="15" t="s">
        <v>3</v>
      </c>
      <c r="D2183" s="31" t="s">
        <v>1708</v>
      </c>
      <c r="E2183" s="31"/>
      <c r="F2183" s="73" t="s">
        <v>4</v>
      </c>
      <c r="G2183" s="32">
        <v>41289</v>
      </c>
      <c r="H2183" s="29">
        <v>11833.024070684931</v>
      </c>
      <c r="I2183" s="17">
        <v>0</v>
      </c>
      <c r="J2183" s="17">
        <v>0</v>
      </c>
      <c r="K2183" s="17">
        <f t="shared" si="358"/>
        <v>11833.024070684931</v>
      </c>
      <c r="L2183" s="23">
        <f t="shared" si="351"/>
        <v>591.65120353424652</v>
      </c>
      <c r="M2183" s="33">
        <v>10</v>
      </c>
      <c r="N2183" s="18">
        <f t="shared" si="359"/>
        <v>8.2164383561643834</v>
      </c>
      <c r="O2183" s="23">
        <v>5157.939985150686</v>
      </c>
      <c r="P2183" s="18">
        <f t="shared" si="360"/>
        <v>8.7178082191780817</v>
      </c>
      <c r="Q2183" s="18">
        <f t="shared" si="352"/>
        <v>563.60855744892433</v>
      </c>
      <c r="R2183" s="18">
        <f t="shared" si="357"/>
        <v>5721.5485425996103</v>
      </c>
      <c r="S2183" s="18">
        <f t="shared" ref="S2183:S2238" si="362">K2183-R2183</f>
        <v>6111.4755280853205</v>
      </c>
    </row>
    <row r="2184" spans="1:19" ht="18.75" customHeight="1" x14ac:dyDescent="0.25">
      <c r="A2184" s="14">
        <f t="shared" si="361"/>
        <v>2178</v>
      </c>
      <c r="B2184" s="31" t="s">
        <v>1871</v>
      </c>
      <c r="C2184" s="15" t="s">
        <v>3</v>
      </c>
      <c r="D2184" s="31" t="s">
        <v>1708</v>
      </c>
      <c r="E2184" s="31"/>
      <c r="F2184" s="73" t="s">
        <v>4</v>
      </c>
      <c r="G2184" s="32">
        <v>41289</v>
      </c>
      <c r="H2184" s="29">
        <v>11670.936986301371</v>
      </c>
      <c r="I2184" s="17">
        <v>0</v>
      </c>
      <c r="J2184" s="17">
        <v>0</v>
      </c>
      <c r="K2184" s="17">
        <f t="shared" si="358"/>
        <v>11670.936986301371</v>
      </c>
      <c r="L2184" s="23">
        <f t="shared" si="351"/>
        <v>583.54684931506858</v>
      </c>
      <c r="M2184" s="33">
        <v>10</v>
      </c>
      <c r="N2184" s="18">
        <f t="shared" si="359"/>
        <v>8.2164383561643834</v>
      </c>
      <c r="O2184" s="23">
        <v>1099.4909589041094</v>
      </c>
      <c r="P2184" s="18">
        <f t="shared" si="360"/>
        <v>8.7178082191780817</v>
      </c>
      <c r="Q2184" s="18">
        <f t="shared" si="352"/>
        <v>555.88832741602516</v>
      </c>
      <c r="R2184" s="18">
        <f t="shared" si="357"/>
        <v>1655.3792863201347</v>
      </c>
      <c r="S2184" s="18">
        <f t="shared" si="362"/>
        <v>10015.557699981237</v>
      </c>
    </row>
    <row r="2185" spans="1:19" ht="18.75" customHeight="1" x14ac:dyDescent="0.25">
      <c r="A2185" s="14">
        <f t="shared" si="361"/>
        <v>2179</v>
      </c>
      <c r="B2185" s="31" t="s">
        <v>1872</v>
      </c>
      <c r="C2185" s="15" t="s">
        <v>3</v>
      </c>
      <c r="D2185" s="31" t="s">
        <v>1708</v>
      </c>
      <c r="E2185" s="31"/>
      <c r="F2185" s="73" t="s">
        <v>4</v>
      </c>
      <c r="G2185" s="32">
        <v>31413</v>
      </c>
      <c r="H2185" s="29">
        <v>25</v>
      </c>
      <c r="I2185" s="17">
        <v>0</v>
      </c>
      <c r="J2185" s="17">
        <v>0</v>
      </c>
      <c r="K2185" s="17">
        <f t="shared" si="358"/>
        <v>25</v>
      </c>
      <c r="L2185" s="23">
        <f t="shared" si="351"/>
        <v>1.25</v>
      </c>
      <c r="M2185" s="33">
        <v>10</v>
      </c>
      <c r="N2185" s="18">
        <f t="shared" si="359"/>
        <v>35.273972602739725</v>
      </c>
      <c r="O2185" s="23">
        <v>237.5</v>
      </c>
      <c r="P2185" s="18">
        <f t="shared" si="360"/>
        <v>35.775342465753425</v>
      </c>
      <c r="Q2185" s="18">
        <v>0</v>
      </c>
      <c r="R2185" s="18">
        <f t="shared" si="357"/>
        <v>237.5</v>
      </c>
      <c r="S2185" s="18">
        <f t="shared" ref="S2185:S2197" si="363">L2185</f>
        <v>1.25</v>
      </c>
    </row>
    <row r="2186" spans="1:19" ht="18.75" customHeight="1" x14ac:dyDescent="0.25">
      <c r="A2186" s="14">
        <f t="shared" si="361"/>
        <v>2180</v>
      </c>
      <c r="B2186" s="31" t="s">
        <v>1873</v>
      </c>
      <c r="C2186" s="15" t="s">
        <v>3</v>
      </c>
      <c r="D2186" s="31" t="s">
        <v>1708</v>
      </c>
      <c r="E2186" s="31"/>
      <c r="F2186" s="73" t="s">
        <v>4</v>
      </c>
      <c r="G2186" s="32">
        <v>39083</v>
      </c>
      <c r="H2186" s="29">
        <v>827.29000000000087</v>
      </c>
      <c r="I2186" s="17">
        <v>0</v>
      </c>
      <c r="J2186" s="17">
        <v>0</v>
      </c>
      <c r="K2186" s="17">
        <f t="shared" si="358"/>
        <v>827.29000000000087</v>
      </c>
      <c r="L2186" s="23">
        <f t="shared" si="351"/>
        <v>41.364500000000049</v>
      </c>
      <c r="M2186" s="33">
        <v>10</v>
      </c>
      <c r="N2186" s="18">
        <f t="shared" si="359"/>
        <v>14.260273972602739</v>
      </c>
      <c r="O2186" s="23">
        <v>7859.2549999999992</v>
      </c>
      <c r="P2186" s="18">
        <f t="shared" si="360"/>
        <v>14.761643835616438</v>
      </c>
      <c r="Q2186" s="18">
        <v>0</v>
      </c>
      <c r="R2186" s="18">
        <f t="shared" si="357"/>
        <v>7859.2549999999992</v>
      </c>
      <c r="S2186" s="18">
        <f t="shared" si="363"/>
        <v>41.364500000000049</v>
      </c>
    </row>
    <row r="2187" spans="1:19" ht="18.75" customHeight="1" x14ac:dyDescent="0.25">
      <c r="A2187" s="14">
        <f t="shared" si="361"/>
        <v>2181</v>
      </c>
      <c r="B2187" s="31" t="s">
        <v>1874</v>
      </c>
      <c r="C2187" s="15" t="s">
        <v>3</v>
      </c>
      <c r="D2187" s="31" t="s">
        <v>1708</v>
      </c>
      <c r="E2187" s="31"/>
      <c r="F2187" s="73" t="s">
        <v>4</v>
      </c>
      <c r="G2187" s="32">
        <v>31413</v>
      </c>
      <c r="H2187" s="29">
        <v>25</v>
      </c>
      <c r="I2187" s="17">
        <v>0</v>
      </c>
      <c r="J2187" s="17">
        <v>0</v>
      </c>
      <c r="K2187" s="17">
        <f t="shared" si="358"/>
        <v>25</v>
      </c>
      <c r="L2187" s="23">
        <f t="shared" si="351"/>
        <v>1.25</v>
      </c>
      <c r="M2187" s="33">
        <v>10</v>
      </c>
      <c r="N2187" s="18">
        <f t="shared" si="359"/>
        <v>35.273972602739725</v>
      </c>
      <c r="O2187" s="23">
        <v>237.5</v>
      </c>
      <c r="P2187" s="18">
        <f t="shared" si="360"/>
        <v>35.775342465753425</v>
      </c>
      <c r="Q2187" s="18">
        <v>0</v>
      </c>
      <c r="R2187" s="18">
        <f t="shared" si="357"/>
        <v>237.5</v>
      </c>
      <c r="S2187" s="18">
        <f t="shared" si="363"/>
        <v>1.25</v>
      </c>
    </row>
    <row r="2188" spans="1:19" ht="18.75" customHeight="1" x14ac:dyDescent="0.25">
      <c r="A2188" s="14">
        <f t="shared" si="361"/>
        <v>2182</v>
      </c>
      <c r="B2188" s="31" t="s">
        <v>1875</v>
      </c>
      <c r="C2188" s="15" t="s">
        <v>3</v>
      </c>
      <c r="D2188" s="31" t="s">
        <v>1708</v>
      </c>
      <c r="E2188" s="31"/>
      <c r="F2188" s="73" t="s">
        <v>4</v>
      </c>
      <c r="G2188" s="32">
        <v>31413</v>
      </c>
      <c r="H2188" s="29">
        <v>11.949999999999989</v>
      </c>
      <c r="I2188" s="17">
        <v>0</v>
      </c>
      <c r="J2188" s="17">
        <v>0</v>
      </c>
      <c r="K2188" s="17">
        <f t="shared" si="358"/>
        <v>11.949999999999989</v>
      </c>
      <c r="L2188" s="23">
        <f t="shared" si="351"/>
        <v>0.59749999999999948</v>
      </c>
      <c r="M2188" s="33">
        <v>10</v>
      </c>
      <c r="N2188" s="18">
        <f t="shared" si="359"/>
        <v>35.273972602739725</v>
      </c>
      <c r="O2188" s="23">
        <v>113.52500000000001</v>
      </c>
      <c r="P2188" s="18">
        <f t="shared" si="360"/>
        <v>35.775342465753425</v>
      </c>
      <c r="Q2188" s="18">
        <v>0</v>
      </c>
      <c r="R2188" s="18">
        <f t="shared" si="357"/>
        <v>113.52500000000001</v>
      </c>
      <c r="S2188" s="18">
        <f t="shared" si="363"/>
        <v>0.59749999999999948</v>
      </c>
    </row>
    <row r="2189" spans="1:19" ht="18.75" customHeight="1" x14ac:dyDescent="0.25">
      <c r="A2189" s="14">
        <f t="shared" si="361"/>
        <v>2183</v>
      </c>
      <c r="B2189" s="31" t="s">
        <v>1876</v>
      </c>
      <c r="C2189" s="15" t="s">
        <v>3</v>
      </c>
      <c r="D2189" s="31" t="s">
        <v>1708</v>
      </c>
      <c r="E2189" s="31"/>
      <c r="F2189" s="73" t="s">
        <v>4</v>
      </c>
      <c r="G2189" s="32">
        <v>31413</v>
      </c>
      <c r="H2189" s="29">
        <v>5.2999999999999972</v>
      </c>
      <c r="I2189" s="17">
        <v>0</v>
      </c>
      <c r="J2189" s="17">
        <v>0</v>
      </c>
      <c r="K2189" s="17">
        <f t="shared" si="358"/>
        <v>5.2999999999999972</v>
      </c>
      <c r="L2189" s="23">
        <f t="shared" si="351"/>
        <v>0.26499999999999985</v>
      </c>
      <c r="M2189" s="33">
        <v>10</v>
      </c>
      <c r="N2189" s="18">
        <f t="shared" si="359"/>
        <v>35.273972602739725</v>
      </c>
      <c r="O2189" s="23">
        <v>50.35</v>
      </c>
      <c r="P2189" s="18">
        <f t="shared" si="360"/>
        <v>35.775342465753425</v>
      </c>
      <c r="Q2189" s="18">
        <v>0</v>
      </c>
      <c r="R2189" s="18">
        <f t="shared" si="357"/>
        <v>50.35</v>
      </c>
      <c r="S2189" s="18">
        <f t="shared" si="363"/>
        <v>0.26499999999999985</v>
      </c>
    </row>
    <row r="2190" spans="1:19" ht="18.75" customHeight="1" x14ac:dyDescent="0.25">
      <c r="A2190" s="14">
        <f t="shared" si="361"/>
        <v>2184</v>
      </c>
      <c r="B2190" s="31" t="s">
        <v>1877</v>
      </c>
      <c r="C2190" s="15" t="s">
        <v>3</v>
      </c>
      <c r="D2190" s="31" t="s">
        <v>1708</v>
      </c>
      <c r="E2190" s="31"/>
      <c r="F2190" s="73" t="s">
        <v>4</v>
      </c>
      <c r="G2190" s="32">
        <v>31778</v>
      </c>
      <c r="H2190" s="29">
        <v>593.64999999999964</v>
      </c>
      <c r="I2190" s="17">
        <v>0</v>
      </c>
      <c r="J2190" s="17">
        <v>0</v>
      </c>
      <c r="K2190" s="17">
        <f t="shared" si="358"/>
        <v>593.64999999999964</v>
      </c>
      <c r="L2190" s="23">
        <f t="shared" si="351"/>
        <v>29.682499999999983</v>
      </c>
      <c r="M2190" s="33">
        <v>10</v>
      </c>
      <c r="N2190" s="18">
        <f t="shared" si="359"/>
        <v>34.273972602739725</v>
      </c>
      <c r="O2190" s="23">
        <v>5639.6750000000002</v>
      </c>
      <c r="P2190" s="18">
        <f t="shared" si="360"/>
        <v>34.775342465753425</v>
      </c>
      <c r="Q2190" s="18">
        <v>0</v>
      </c>
      <c r="R2190" s="18">
        <f t="shared" si="357"/>
        <v>5639.6750000000002</v>
      </c>
      <c r="S2190" s="18">
        <f t="shared" si="363"/>
        <v>29.682499999999983</v>
      </c>
    </row>
    <row r="2191" spans="1:19" ht="18.75" customHeight="1" x14ac:dyDescent="0.25">
      <c r="A2191" s="14">
        <f t="shared" si="361"/>
        <v>2185</v>
      </c>
      <c r="B2191" s="31" t="s">
        <v>1798</v>
      </c>
      <c r="C2191" s="15" t="s">
        <v>3</v>
      </c>
      <c r="D2191" s="31" t="s">
        <v>1708</v>
      </c>
      <c r="E2191" s="31"/>
      <c r="F2191" s="73" t="s">
        <v>4</v>
      </c>
      <c r="G2191" s="32">
        <v>38718</v>
      </c>
      <c r="H2191" s="29">
        <v>743.77750000000015</v>
      </c>
      <c r="I2191" s="17">
        <v>0</v>
      </c>
      <c r="J2191" s="17">
        <v>0</v>
      </c>
      <c r="K2191" s="17">
        <f t="shared" si="358"/>
        <v>743.77750000000015</v>
      </c>
      <c r="L2191" s="23">
        <f t="shared" si="351"/>
        <v>37.18887500000001</v>
      </c>
      <c r="M2191" s="33">
        <v>10</v>
      </c>
      <c r="N2191" s="18">
        <f t="shared" si="359"/>
        <v>15.260273972602739</v>
      </c>
      <c r="O2191" s="23">
        <v>7065.8862499999996</v>
      </c>
      <c r="P2191" s="18">
        <f t="shared" si="360"/>
        <v>15.761643835616438</v>
      </c>
      <c r="Q2191" s="18">
        <v>0</v>
      </c>
      <c r="R2191" s="18">
        <f t="shared" si="357"/>
        <v>7065.8862499999996</v>
      </c>
      <c r="S2191" s="18">
        <f t="shared" si="363"/>
        <v>37.18887500000001</v>
      </c>
    </row>
    <row r="2192" spans="1:19" ht="18.75" customHeight="1" x14ac:dyDescent="0.25">
      <c r="A2192" s="14">
        <f t="shared" si="361"/>
        <v>2186</v>
      </c>
      <c r="B2192" s="31" t="s">
        <v>1878</v>
      </c>
      <c r="C2192" s="15" t="s">
        <v>3</v>
      </c>
      <c r="D2192" s="31" t="s">
        <v>1708</v>
      </c>
      <c r="E2192" s="31"/>
      <c r="F2192" s="73" t="s">
        <v>4</v>
      </c>
      <c r="G2192" s="32">
        <v>31778</v>
      </c>
      <c r="H2192" s="29">
        <v>160.40000000000009</v>
      </c>
      <c r="I2192" s="17">
        <v>0</v>
      </c>
      <c r="J2192" s="17">
        <v>0</v>
      </c>
      <c r="K2192" s="17">
        <f t="shared" si="358"/>
        <v>160.40000000000009</v>
      </c>
      <c r="L2192" s="23">
        <f t="shared" si="351"/>
        <v>8.0200000000000049</v>
      </c>
      <c r="M2192" s="33">
        <v>10</v>
      </c>
      <c r="N2192" s="18">
        <f t="shared" si="359"/>
        <v>34.273972602739725</v>
      </c>
      <c r="O2192" s="23">
        <v>1523.8</v>
      </c>
      <c r="P2192" s="18">
        <f t="shared" si="360"/>
        <v>34.775342465753425</v>
      </c>
      <c r="Q2192" s="18">
        <v>0</v>
      </c>
      <c r="R2192" s="18">
        <f t="shared" si="357"/>
        <v>1523.8</v>
      </c>
      <c r="S2192" s="18">
        <f t="shared" si="363"/>
        <v>8.0200000000000049</v>
      </c>
    </row>
    <row r="2193" spans="1:19" ht="18.75" customHeight="1" x14ac:dyDescent="0.25">
      <c r="A2193" s="14">
        <f t="shared" si="361"/>
        <v>2187</v>
      </c>
      <c r="B2193" s="31" t="s">
        <v>1879</v>
      </c>
      <c r="C2193" s="15" t="s">
        <v>3</v>
      </c>
      <c r="D2193" s="31" t="s">
        <v>1708</v>
      </c>
      <c r="E2193" s="31"/>
      <c r="F2193" s="73" t="s">
        <v>4</v>
      </c>
      <c r="G2193" s="32">
        <v>31778</v>
      </c>
      <c r="H2193" s="29">
        <v>84.900000000000091</v>
      </c>
      <c r="I2193" s="17">
        <v>0</v>
      </c>
      <c r="J2193" s="17">
        <v>0</v>
      </c>
      <c r="K2193" s="17">
        <f t="shared" si="358"/>
        <v>84.900000000000091</v>
      </c>
      <c r="L2193" s="23">
        <f t="shared" si="351"/>
        <v>4.2450000000000045</v>
      </c>
      <c r="M2193" s="33">
        <v>10</v>
      </c>
      <c r="N2193" s="18">
        <f t="shared" si="359"/>
        <v>34.273972602739725</v>
      </c>
      <c r="O2193" s="23">
        <v>806.55</v>
      </c>
      <c r="P2193" s="18">
        <f t="shared" si="360"/>
        <v>34.775342465753425</v>
      </c>
      <c r="Q2193" s="18">
        <v>0</v>
      </c>
      <c r="R2193" s="18">
        <f t="shared" si="357"/>
        <v>806.55</v>
      </c>
      <c r="S2193" s="18">
        <f t="shared" si="363"/>
        <v>4.2450000000000045</v>
      </c>
    </row>
    <row r="2194" spans="1:19" ht="18.75" customHeight="1" x14ac:dyDescent="0.25">
      <c r="A2194" s="14">
        <f t="shared" si="361"/>
        <v>2188</v>
      </c>
      <c r="B2194" s="31" t="s">
        <v>1880</v>
      </c>
      <c r="C2194" s="15" t="s">
        <v>3</v>
      </c>
      <c r="D2194" s="31" t="s">
        <v>1708</v>
      </c>
      <c r="E2194" s="31"/>
      <c r="F2194" s="73" t="s">
        <v>4</v>
      </c>
      <c r="G2194" s="32">
        <v>40040</v>
      </c>
      <c r="H2194" s="29">
        <v>700</v>
      </c>
      <c r="I2194" s="17">
        <v>0</v>
      </c>
      <c r="J2194" s="17">
        <v>0</v>
      </c>
      <c r="K2194" s="17">
        <f t="shared" si="358"/>
        <v>700</v>
      </c>
      <c r="L2194" s="23">
        <f t="shared" si="351"/>
        <v>35</v>
      </c>
      <c r="M2194" s="33">
        <v>10</v>
      </c>
      <c r="N2194" s="18">
        <f t="shared" si="359"/>
        <v>11.638356164383561</v>
      </c>
      <c r="O2194" s="23">
        <v>6650</v>
      </c>
      <c r="P2194" s="18">
        <f t="shared" si="360"/>
        <v>12.139726027397261</v>
      </c>
      <c r="Q2194" s="18">
        <v>0</v>
      </c>
      <c r="R2194" s="18">
        <f t="shared" si="357"/>
        <v>6650</v>
      </c>
      <c r="S2194" s="18">
        <f t="shared" si="363"/>
        <v>35</v>
      </c>
    </row>
    <row r="2195" spans="1:19" ht="18.75" customHeight="1" x14ac:dyDescent="0.25">
      <c r="A2195" s="14">
        <f t="shared" si="361"/>
        <v>2189</v>
      </c>
      <c r="B2195" s="31" t="s">
        <v>1857</v>
      </c>
      <c r="C2195" s="15" t="s">
        <v>3</v>
      </c>
      <c r="D2195" s="31" t="s">
        <v>1708</v>
      </c>
      <c r="E2195" s="31"/>
      <c r="F2195" s="73" t="s">
        <v>4</v>
      </c>
      <c r="G2195" s="32">
        <v>31778</v>
      </c>
      <c r="H2195" s="29">
        <v>81.400000000000091</v>
      </c>
      <c r="I2195" s="17">
        <v>0</v>
      </c>
      <c r="J2195" s="17">
        <v>0</v>
      </c>
      <c r="K2195" s="17">
        <f t="shared" si="358"/>
        <v>81.400000000000091</v>
      </c>
      <c r="L2195" s="23">
        <f t="shared" si="351"/>
        <v>4.0700000000000047</v>
      </c>
      <c r="M2195" s="33">
        <v>10</v>
      </c>
      <c r="N2195" s="18">
        <f t="shared" si="359"/>
        <v>34.273972602739725</v>
      </c>
      <c r="O2195" s="23">
        <v>773.3</v>
      </c>
      <c r="P2195" s="18">
        <f t="shared" si="360"/>
        <v>34.775342465753425</v>
      </c>
      <c r="Q2195" s="18">
        <v>0</v>
      </c>
      <c r="R2195" s="18">
        <f t="shared" si="357"/>
        <v>773.3</v>
      </c>
      <c r="S2195" s="18">
        <f t="shared" si="363"/>
        <v>4.0700000000000047</v>
      </c>
    </row>
    <row r="2196" spans="1:19" ht="18.75" customHeight="1" x14ac:dyDescent="0.25">
      <c r="A2196" s="14">
        <f t="shared" si="361"/>
        <v>2190</v>
      </c>
      <c r="B2196" s="31" t="s">
        <v>1881</v>
      </c>
      <c r="C2196" s="15" t="s">
        <v>3</v>
      </c>
      <c r="D2196" s="31" t="s">
        <v>1708</v>
      </c>
      <c r="E2196" s="31"/>
      <c r="F2196" s="73" t="s">
        <v>4</v>
      </c>
      <c r="G2196" s="32">
        <v>31778</v>
      </c>
      <c r="H2196" s="29">
        <v>47.350000000000023</v>
      </c>
      <c r="I2196" s="17">
        <v>0</v>
      </c>
      <c r="J2196" s="17">
        <v>0</v>
      </c>
      <c r="K2196" s="17">
        <f t="shared" si="358"/>
        <v>47.350000000000023</v>
      </c>
      <c r="L2196" s="23">
        <f t="shared" si="351"/>
        <v>2.367500000000001</v>
      </c>
      <c r="M2196" s="33">
        <v>10</v>
      </c>
      <c r="N2196" s="18">
        <f t="shared" si="359"/>
        <v>34.273972602739725</v>
      </c>
      <c r="O2196" s="23">
        <v>449.82499999999999</v>
      </c>
      <c r="P2196" s="18">
        <f t="shared" si="360"/>
        <v>34.775342465753425</v>
      </c>
      <c r="Q2196" s="18">
        <v>0</v>
      </c>
      <c r="R2196" s="18">
        <f t="shared" si="357"/>
        <v>449.82499999999999</v>
      </c>
      <c r="S2196" s="18">
        <f t="shared" si="363"/>
        <v>2.367500000000001</v>
      </c>
    </row>
    <row r="2197" spans="1:19" ht="18.75" customHeight="1" x14ac:dyDescent="0.25">
      <c r="A2197" s="14">
        <f t="shared" si="361"/>
        <v>2191</v>
      </c>
      <c r="B2197" s="31" t="s">
        <v>1882</v>
      </c>
      <c r="C2197" s="15" t="s">
        <v>3</v>
      </c>
      <c r="D2197" s="31" t="s">
        <v>1708</v>
      </c>
      <c r="E2197" s="31"/>
      <c r="F2197" s="73" t="s">
        <v>4</v>
      </c>
      <c r="G2197" s="32">
        <v>40132</v>
      </c>
      <c r="H2197" s="29">
        <v>678.05500000000029</v>
      </c>
      <c r="I2197" s="17">
        <v>0</v>
      </c>
      <c r="J2197" s="17">
        <v>0</v>
      </c>
      <c r="K2197" s="17">
        <f t="shared" si="358"/>
        <v>678.05500000000029</v>
      </c>
      <c r="L2197" s="23">
        <f t="shared" si="351"/>
        <v>33.902750000000019</v>
      </c>
      <c r="M2197" s="33">
        <v>10</v>
      </c>
      <c r="N2197" s="18">
        <f t="shared" si="359"/>
        <v>11.386301369863014</v>
      </c>
      <c r="O2197" s="23">
        <v>6441.5225</v>
      </c>
      <c r="P2197" s="18">
        <f t="shared" si="360"/>
        <v>11.887671232876713</v>
      </c>
      <c r="Q2197" s="18">
        <v>0</v>
      </c>
      <c r="R2197" s="18">
        <f t="shared" si="357"/>
        <v>6441.5225</v>
      </c>
      <c r="S2197" s="18">
        <f t="shared" si="363"/>
        <v>33.902750000000019</v>
      </c>
    </row>
    <row r="2198" spans="1:19" ht="18.75" customHeight="1" x14ac:dyDescent="0.25">
      <c r="A2198" s="14">
        <f t="shared" si="361"/>
        <v>2192</v>
      </c>
      <c r="B2198" s="31" t="s">
        <v>1883</v>
      </c>
      <c r="C2198" s="15" t="s">
        <v>3</v>
      </c>
      <c r="D2198" s="31" t="s">
        <v>1708</v>
      </c>
      <c r="E2198" s="31"/>
      <c r="F2198" s="73" t="s">
        <v>4</v>
      </c>
      <c r="G2198" s="32">
        <v>41228</v>
      </c>
      <c r="H2198" s="29">
        <v>9014.7550684931521</v>
      </c>
      <c r="I2198" s="17">
        <v>0</v>
      </c>
      <c r="J2198" s="17">
        <v>0</v>
      </c>
      <c r="K2198" s="17">
        <f t="shared" si="358"/>
        <v>9014.7550684931521</v>
      </c>
      <c r="L2198" s="23">
        <f t="shared" si="351"/>
        <v>450.73775342465763</v>
      </c>
      <c r="M2198" s="33">
        <v>10</v>
      </c>
      <c r="N2198" s="18">
        <f t="shared" si="359"/>
        <v>8.3835616438356162</v>
      </c>
      <c r="O2198" s="23">
        <v>1444.6694246575344</v>
      </c>
      <c r="P2198" s="18">
        <f t="shared" si="360"/>
        <v>8.8849315068493144</v>
      </c>
      <c r="Q2198" s="18">
        <f t="shared" ref="Q2198:Q2257" si="364">(P2198-N2198)/M2198*(K2198-L2198)</f>
        <v>429.37401881028313</v>
      </c>
      <c r="R2198" s="18">
        <f t="shared" si="357"/>
        <v>1874.0434434678175</v>
      </c>
      <c r="S2198" s="18">
        <f t="shared" si="362"/>
        <v>7140.7116250253348</v>
      </c>
    </row>
    <row r="2199" spans="1:19" ht="18.75" customHeight="1" x14ac:dyDescent="0.25">
      <c r="A2199" s="14">
        <f t="shared" si="361"/>
        <v>2193</v>
      </c>
      <c r="B2199" s="31" t="s">
        <v>1884</v>
      </c>
      <c r="C2199" s="15" t="s">
        <v>3</v>
      </c>
      <c r="D2199" s="31" t="s">
        <v>1708</v>
      </c>
      <c r="E2199" s="31"/>
      <c r="F2199" s="73" t="s">
        <v>4</v>
      </c>
      <c r="G2199" s="32">
        <v>41623</v>
      </c>
      <c r="H2199" s="29">
        <v>662.95199999999932</v>
      </c>
      <c r="I2199" s="17">
        <v>0</v>
      </c>
      <c r="J2199" s="17">
        <v>0</v>
      </c>
      <c r="K2199" s="17">
        <f t="shared" si="358"/>
        <v>662.95199999999932</v>
      </c>
      <c r="L2199" s="23">
        <f t="shared" ref="L2199:L2262" si="365">H2199*0.05</f>
        <v>33.147599999999969</v>
      </c>
      <c r="M2199" s="33">
        <v>5</v>
      </c>
      <c r="N2199" s="18">
        <f t="shared" si="359"/>
        <v>7.3013698630136989</v>
      </c>
      <c r="O2199" s="23">
        <v>6298.0440000000008</v>
      </c>
      <c r="P2199" s="18">
        <f t="shared" si="360"/>
        <v>7.8027397260273972</v>
      </c>
      <c r="Q2199" s="18">
        <v>0</v>
      </c>
      <c r="R2199" s="18">
        <f t="shared" si="357"/>
        <v>6298.0440000000008</v>
      </c>
      <c r="S2199" s="18">
        <f t="shared" ref="S2199:S2204" si="366">L2199</f>
        <v>33.147599999999969</v>
      </c>
    </row>
    <row r="2200" spans="1:19" ht="18.75" customHeight="1" x14ac:dyDescent="0.25">
      <c r="A2200" s="14">
        <f t="shared" si="361"/>
        <v>2194</v>
      </c>
      <c r="B2200" s="31" t="s">
        <v>1885</v>
      </c>
      <c r="C2200" s="15" t="s">
        <v>3</v>
      </c>
      <c r="D2200" s="31" t="s">
        <v>1708</v>
      </c>
      <c r="E2200" s="31"/>
      <c r="F2200" s="73" t="s">
        <v>4</v>
      </c>
      <c r="G2200" s="32">
        <v>31778</v>
      </c>
      <c r="H2200" s="29">
        <v>29.350000000000023</v>
      </c>
      <c r="I2200" s="17">
        <v>0</v>
      </c>
      <c r="J2200" s="17">
        <v>0</v>
      </c>
      <c r="K2200" s="17">
        <f t="shared" si="358"/>
        <v>29.350000000000023</v>
      </c>
      <c r="L2200" s="23">
        <f t="shared" si="365"/>
        <v>1.4675000000000011</v>
      </c>
      <c r="M2200" s="33">
        <v>10</v>
      </c>
      <c r="N2200" s="18">
        <f t="shared" si="359"/>
        <v>34.273972602739725</v>
      </c>
      <c r="O2200" s="23">
        <v>278.82499999999999</v>
      </c>
      <c r="P2200" s="18">
        <f t="shared" si="360"/>
        <v>34.775342465753425</v>
      </c>
      <c r="Q2200" s="18">
        <v>0</v>
      </c>
      <c r="R2200" s="18">
        <f t="shared" si="357"/>
        <v>278.82499999999999</v>
      </c>
      <c r="S2200" s="18">
        <f t="shared" si="366"/>
        <v>1.4675000000000011</v>
      </c>
    </row>
    <row r="2201" spans="1:19" ht="18.75" customHeight="1" x14ac:dyDescent="0.25">
      <c r="A2201" s="14">
        <f t="shared" si="361"/>
        <v>2195</v>
      </c>
      <c r="B2201" s="31" t="s">
        <v>1811</v>
      </c>
      <c r="C2201" s="15" t="s">
        <v>3</v>
      </c>
      <c r="D2201" s="31" t="s">
        <v>1708</v>
      </c>
      <c r="E2201" s="31"/>
      <c r="F2201" s="73" t="s">
        <v>4</v>
      </c>
      <c r="G2201" s="32">
        <v>31778</v>
      </c>
      <c r="H2201" s="29">
        <v>10</v>
      </c>
      <c r="I2201" s="17">
        <v>0</v>
      </c>
      <c r="J2201" s="17">
        <v>0</v>
      </c>
      <c r="K2201" s="17">
        <f t="shared" si="358"/>
        <v>10</v>
      </c>
      <c r="L2201" s="23">
        <f t="shared" si="365"/>
        <v>0.5</v>
      </c>
      <c r="M2201" s="33">
        <v>10</v>
      </c>
      <c r="N2201" s="18">
        <f t="shared" si="359"/>
        <v>34.273972602739725</v>
      </c>
      <c r="O2201" s="23">
        <v>95</v>
      </c>
      <c r="P2201" s="18">
        <f t="shared" si="360"/>
        <v>34.775342465753425</v>
      </c>
      <c r="Q2201" s="18">
        <v>0</v>
      </c>
      <c r="R2201" s="18">
        <f t="shared" si="357"/>
        <v>95</v>
      </c>
      <c r="S2201" s="18">
        <f t="shared" si="366"/>
        <v>0.5</v>
      </c>
    </row>
    <row r="2202" spans="1:19" ht="18.75" customHeight="1" x14ac:dyDescent="0.25">
      <c r="A2202" s="14">
        <f t="shared" si="361"/>
        <v>2196</v>
      </c>
      <c r="B2202" s="31" t="s">
        <v>1886</v>
      </c>
      <c r="C2202" s="15" t="s">
        <v>3</v>
      </c>
      <c r="D2202" s="31" t="s">
        <v>1708</v>
      </c>
      <c r="E2202" s="31"/>
      <c r="F2202" s="73" t="s">
        <v>4</v>
      </c>
      <c r="G2202" s="32">
        <v>31778</v>
      </c>
      <c r="H2202" s="29">
        <v>8</v>
      </c>
      <c r="I2202" s="17">
        <v>0</v>
      </c>
      <c r="J2202" s="17">
        <v>0</v>
      </c>
      <c r="K2202" s="17">
        <f t="shared" si="358"/>
        <v>8</v>
      </c>
      <c r="L2202" s="23">
        <f t="shared" si="365"/>
        <v>0.4</v>
      </c>
      <c r="M2202" s="33">
        <v>10</v>
      </c>
      <c r="N2202" s="18">
        <f t="shared" si="359"/>
        <v>34.273972602739725</v>
      </c>
      <c r="O2202" s="23">
        <v>76</v>
      </c>
      <c r="P2202" s="18">
        <f t="shared" si="360"/>
        <v>34.775342465753425</v>
      </c>
      <c r="Q2202" s="18">
        <v>0</v>
      </c>
      <c r="R2202" s="18">
        <f t="shared" si="357"/>
        <v>76</v>
      </c>
      <c r="S2202" s="18">
        <f t="shared" si="366"/>
        <v>0.4</v>
      </c>
    </row>
    <row r="2203" spans="1:19" ht="18.75" customHeight="1" x14ac:dyDescent="0.25">
      <c r="A2203" s="14">
        <f t="shared" si="361"/>
        <v>2197</v>
      </c>
      <c r="B2203" s="31" t="s">
        <v>1887</v>
      </c>
      <c r="C2203" s="15" t="s">
        <v>3</v>
      </c>
      <c r="D2203" s="31" t="s">
        <v>1708</v>
      </c>
      <c r="E2203" s="31"/>
      <c r="F2203" s="73" t="s">
        <v>4</v>
      </c>
      <c r="G2203" s="32">
        <v>32143</v>
      </c>
      <c r="H2203" s="29">
        <v>105.29999999999995</v>
      </c>
      <c r="I2203" s="17">
        <v>0</v>
      </c>
      <c r="J2203" s="17">
        <v>0</v>
      </c>
      <c r="K2203" s="17">
        <f t="shared" si="358"/>
        <v>105.29999999999995</v>
      </c>
      <c r="L2203" s="23">
        <f t="shared" si="365"/>
        <v>5.2649999999999979</v>
      </c>
      <c r="M2203" s="33">
        <v>10</v>
      </c>
      <c r="N2203" s="18">
        <f t="shared" si="359"/>
        <v>33.273972602739725</v>
      </c>
      <c r="O2203" s="23">
        <v>1000.35</v>
      </c>
      <c r="P2203" s="18">
        <f t="shared" si="360"/>
        <v>33.775342465753425</v>
      </c>
      <c r="Q2203" s="18">
        <v>0</v>
      </c>
      <c r="R2203" s="18">
        <f t="shared" si="357"/>
        <v>1000.35</v>
      </c>
      <c r="S2203" s="18">
        <f t="shared" si="366"/>
        <v>5.2649999999999979</v>
      </c>
    </row>
    <row r="2204" spans="1:19" ht="18.75" customHeight="1" x14ac:dyDescent="0.25">
      <c r="A2204" s="14">
        <f t="shared" si="361"/>
        <v>2198</v>
      </c>
      <c r="B2204" s="31" t="s">
        <v>1888</v>
      </c>
      <c r="C2204" s="15" t="s">
        <v>3</v>
      </c>
      <c r="D2204" s="31" t="s">
        <v>1708</v>
      </c>
      <c r="E2204" s="31"/>
      <c r="F2204" s="73" t="s">
        <v>4</v>
      </c>
      <c r="G2204" s="32">
        <v>41075</v>
      </c>
      <c r="H2204" s="29">
        <v>593.03750000000036</v>
      </c>
      <c r="I2204" s="17">
        <v>0</v>
      </c>
      <c r="J2204" s="17">
        <v>0</v>
      </c>
      <c r="K2204" s="17">
        <f t="shared" si="358"/>
        <v>593.03750000000036</v>
      </c>
      <c r="L2204" s="23">
        <f t="shared" si="365"/>
        <v>29.651875000000018</v>
      </c>
      <c r="M2204" s="33">
        <v>5</v>
      </c>
      <c r="N2204" s="18">
        <f t="shared" si="359"/>
        <v>8.8027397260273972</v>
      </c>
      <c r="O2204" s="23">
        <v>5633.8562499999998</v>
      </c>
      <c r="P2204" s="18">
        <f t="shared" si="360"/>
        <v>9.3041095890410954</v>
      </c>
      <c r="Q2204" s="18">
        <v>0</v>
      </c>
      <c r="R2204" s="18">
        <f t="shared" si="357"/>
        <v>5633.8562499999998</v>
      </c>
      <c r="S2204" s="18">
        <f t="shared" si="366"/>
        <v>29.651875000000018</v>
      </c>
    </row>
    <row r="2205" spans="1:19" ht="18.75" customHeight="1" x14ac:dyDescent="0.25">
      <c r="A2205" s="14">
        <f t="shared" si="361"/>
        <v>2199</v>
      </c>
      <c r="B2205" s="31" t="s">
        <v>1889</v>
      </c>
      <c r="C2205" s="15" t="s">
        <v>3</v>
      </c>
      <c r="D2205" s="31" t="s">
        <v>1708</v>
      </c>
      <c r="E2205" s="31"/>
      <c r="F2205" s="73" t="s">
        <v>4</v>
      </c>
      <c r="G2205" s="32">
        <v>40497</v>
      </c>
      <c r="H2205" s="29">
        <v>5721.0568493150686</v>
      </c>
      <c r="I2205" s="17">
        <v>0</v>
      </c>
      <c r="J2205" s="17">
        <v>0</v>
      </c>
      <c r="K2205" s="17">
        <f t="shared" si="358"/>
        <v>5721.0568493150686</v>
      </c>
      <c r="L2205" s="23">
        <f t="shared" si="365"/>
        <v>286.05284246575343</v>
      </c>
      <c r="M2205" s="33">
        <v>10</v>
      </c>
      <c r="N2205" s="18">
        <f t="shared" si="359"/>
        <v>10.386301369863014</v>
      </c>
      <c r="O2205" s="23">
        <v>790.10963835616462</v>
      </c>
      <c r="P2205" s="18">
        <f t="shared" si="360"/>
        <v>10.887671232876713</v>
      </c>
      <c r="Q2205" s="18">
        <v>0</v>
      </c>
      <c r="R2205" s="18">
        <f t="shared" si="357"/>
        <v>790.10963835616462</v>
      </c>
      <c r="S2205" s="18">
        <f t="shared" si="362"/>
        <v>4930.9472109589042</v>
      </c>
    </row>
    <row r="2206" spans="1:19" ht="18.75" customHeight="1" x14ac:dyDescent="0.25">
      <c r="A2206" s="14">
        <f t="shared" si="361"/>
        <v>2200</v>
      </c>
      <c r="B2206" s="31" t="s">
        <v>1890</v>
      </c>
      <c r="C2206" s="15" t="s">
        <v>3</v>
      </c>
      <c r="D2206" s="31" t="s">
        <v>1708</v>
      </c>
      <c r="E2206" s="31"/>
      <c r="F2206" s="73" t="s">
        <v>4</v>
      </c>
      <c r="G2206" s="32">
        <v>32143</v>
      </c>
      <c r="H2206" s="29">
        <v>81.25</v>
      </c>
      <c r="I2206" s="17">
        <v>0</v>
      </c>
      <c r="J2206" s="17">
        <v>0</v>
      </c>
      <c r="K2206" s="17">
        <f t="shared" si="358"/>
        <v>81.25</v>
      </c>
      <c r="L2206" s="23">
        <f t="shared" si="365"/>
        <v>4.0625</v>
      </c>
      <c r="M2206" s="33">
        <v>10</v>
      </c>
      <c r="N2206" s="18">
        <f t="shared" si="359"/>
        <v>33.273972602739725</v>
      </c>
      <c r="O2206" s="23">
        <v>771.875</v>
      </c>
      <c r="P2206" s="18">
        <f t="shared" si="360"/>
        <v>33.775342465753425</v>
      </c>
      <c r="Q2206" s="18">
        <v>0</v>
      </c>
      <c r="R2206" s="18">
        <f t="shared" si="357"/>
        <v>771.875</v>
      </c>
      <c r="S2206" s="18">
        <f t="shared" ref="S2206:S2212" si="367">L2206</f>
        <v>4.0625</v>
      </c>
    </row>
    <row r="2207" spans="1:19" ht="18.75" customHeight="1" x14ac:dyDescent="0.25">
      <c r="A2207" s="14">
        <f t="shared" si="361"/>
        <v>2201</v>
      </c>
      <c r="B2207" s="31" t="s">
        <v>1891</v>
      </c>
      <c r="C2207" s="15" t="s">
        <v>3</v>
      </c>
      <c r="D2207" s="31" t="s">
        <v>1708</v>
      </c>
      <c r="E2207" s="31"/>
      <c r="F2207" s="73" t="s">
        <v>4</v>
      </c>
      <c r="G2207" s="32">
        <v>40132</v>
      </c>
      <c r="H2207" s="29">
        <v>564.12099999999919</v>
      </c>
      <c r="I2207" s="17">
        <v>0</v>
      </c>
      <c r="J2207" s="17">
        <v>0</v>
      </c>
      <c r="K2207" s="17">
        <f t="shared" si="358"/>
        <v>564.12099999999919</v>
      </c>
      <c r="L2207" s="23">
        <f t="shared" si="365"/>
        <v>28.206049999999962</v>
      </c>
      <c r="M2207" s="33">
        <v>10</v>
      </c>
      <c r="N2207" s="18">
        <f t="shared" si="359"/>
        <v>11.386301369863014</v>
      </c>
      <c r="O2207" s="23">
        <v>5359.1495000000004</v>
      </c>
      <c r="P2207" s="18">
        <f t="shared" si="360"/>
        <v>11.887671232876713</v>
      </c>
      <c r="Q2207" s="18">
        <v>0</v>
      </c>
      <c r="R2207" s="18">
        <f t="shared" si="357"/>
        <v>5359.1495000000004</v>
      </c>
      <c r="S2207" s="18">
        <f t="shared" si="367"/>
        <v>28.206049999999962</v>
      </c>
    </row>
    <row r="2208" spans="1:19" ht="18.75" customHeight="1" x14ac:dyDescent="0.25">
      <c r="A2208" s="14">
        <f t="shared" si="361"/>
        <v>2202</v>
      </c>
      <c r="B2208" s="31" t="s">
        <v>1892</v>
      </c>
      <c r="C2208" s="15" t="s">
        <v>3</v>
      </c>
      <c r="D2208" s="31" t="s">
        <v>1708</v>
      </c>
      <c r="E2208" s="31"/>
      <c r="F2208" s="73" t="s">
        <v>4</v>
      </c>
      <c r="G2208" s="32">
        <v>32143</v>
      </c>
      <c r="H2208" s="29">
        <v>77.849999999999909</v>
      </c>
      <c r="I2208" s="17">
        <v>0</v>
      </c>
      <c r="J2208" s="17">
        <v>0</v>
      </c>
      <c r="K2208" s="17">
        <f t="shared" si="358"/>
        <v>77.849999999999909</v>
      </c>
      <c r="L2208" s="23">
        <f t="shared" si="365"/>
        <v>3.8924999999999956</v>
      </c>
      <c r="M2208" s="33">
        <v>10</v>
      </c>
      <c r="N2208" s="18">
        <f t="shared" si="359"/>
        <v>33.273972602739725</v>
      </c>
      <c r="O2208" s="23">
        <v>739.57500000000005</v>
      </c>
      <c r="P2208" s="18">
        <f t="shared" si="360"/>
        <v>33.775342465753425</v>
      </c>
      <c r="Q2208" s="18">
        <v>0</v>
      </c>
      <c r="R2208" s="18">
        <f t="shared" si="357"/>
        <v>739.57500000000005</v>
      </c>
      <c r="S2208" s="18">
        <f t="shared" si="367"/>
        <v>3.8924999999999956</v>
      </c>
    </row>
    <row r="2209" spans="1:19" ht="18.75" customHeight="1" x14ac:dyDescent="0.25">
      <c r="A2209" s="14">
        <f t="shared" si="361"/>
        <v>2203</v>
      </c>
      <c r="B2209" s="31" t="s">
        <v>1893</v>
      </c>
      <c r="C2209" s="15" t="s">
        <v>3</v>
      </c>
      <c r="D2209" s="31" t="s">
        <v>1708</v>
      </c>
      <c r="E2209" s="31"/>
      <c r="F2209" s="73" t="s">
        <v>4</v>
      </c>
      <c r="G2209" s="32">
        <v>32143</v>
      </c>
      <c r="H2209" s="29">
        <v>37.5</v>
      </c>
      <c r="I2209" s="17">
        <v>0</v>
      </c>
      <c r="J2209" s="17">
        <v>0</v>
      </c>
      <c r="K2209" s="17">
        <f t="shared" si="358"/>
        <v>37.5</v>
      </c>
      <c r="L2209" s="23">
        <f t="shared" si="365"/>
        <v>1.875</v>
      </c>
      <c r="M2209" s="33">
        <v>10</v>
      </c>
      <c r="N2209" s="18">
        <f t="shared" si="359"/>
        <v>33.273972602739725</v>
      </c>
      <c r="O2209" s="23">
        <v>356.25</v>
      </c>
      <c r="P2209" s="18">
        <f t="shared" si="360"/>
        <v>33.775342465753425</v>
      </c>
      <c r="Q2209" s="18">
        <v>0</v>
      </c>
      <c r="R2209" s="18">
        <f t="shared" si="357"/>
        <v>356.25</v>
      </c>
      <c r="S2209" s="18">
        <f t="shared" si="367"/>
        <v>1.875</v>
      </c>
    </row>
    <row r="2210" spans="1:19" ht="18.75" customHeight="1" x14ac:dyDescent="0.25">
      <c r="A2210" s="14">
        <f t="shared" si="361"/>
        <v>2204</v>
      </c>
      <c r="B2210" s="31" t="s">
        <v>1894</v>
      </c>
      <c r="C2210" s="15" t="s">
        <v>3</v>
      </c>
      <c r="D2210" s="31" t="s">
        <v>1708</v>
      </c>
      <c r="E2210" s="31"/>
      <c r="F2210" s="73" t="s">
        <v>4</v>
      </c>
      <c r="G2210" s="32">
        <v>39797</v>
      </c>
      <c r="H2210" s="29">
        <v>554.21199999999953</v>
      </c>
      <c r="I2210" s="17">
        <v>0</v>
      </c>
      <c r="J2210" s="17">
        <v>0</v>
      </c>
      <c r="K2210" s="17">
        <f t="shared" si="358"/>
        <v>554.21199999999953</v>
      </c>
      <c r="L2210" s="23">
        <f t="shared" si="365"/>
        <v>27.710599999999978</v>
      </c>
      <c r="M2210" s="33">
        <v>10</v>
      </c>
      <c r="N2210" s="18">
        <f t="shared" si="359"/>
        <v>12.304109589041095</v>
      </c>
      <c r="O2210" s="23">
        <v>5265.0140000000001</v>
      </c>
      <c r="P2210" s="18">
        <f t="shared" si="360"/>
        <v>12.805479452054794</v>
      </c>
      <c r="Q2210" s="18">
        <v>0</v>
      </c>
      <c r="R2210" s="18">
        <f t="shared" si="357"/>
        <v>5265.0140000000001</v>
      </c>
      <c r="S2210" s="18">
        <f t="shared" si="367"/>
        <v>27.710599999999978</v>
      </c>
    </row>
    <row r="2211" spans="1:19" ht="18.75" customHeight="1" x14ac:dyDescent="0.25">
      <c r="A2211" s="14">
        <f t="shared" si="361"/>
        <v>2205</v>
      </c>
      <c r="B2211" s="31" t="s">
        <v>1895</v>
      </c>
      <c r="C2211" s="15" t="s">
        <v>3</v>
      </c>
      <c r="D2211" s="31" t="s">
        <v>1708</v>
      </c>
      <c r="E2211" s="31"/>
      <c r="F2211" s="73" t="s">
        <v>4</v>
      </c>
      <c r="G2211" s="32">
        <v>40040</v>
      </c>
      <c r="H2211" s="29">
        <v>550</v>
      </c>
      <c r="I2211" s="17">
        <v>0</v>
      </c>
      <c r="J2211" s="17">
        <v>0</v>
      </c>
      <c r="K2211" s="17">
        <f t="shared" si="358"/>
        <v>550</v>
      </c>
      <c r="L2211" s="23">
        <f t="shared" si="365"/>
        <v>27.5</v>
      </c>
      <c r="M2211" s="33">
        <v>10</v>
      </c>
      <c r="N2211" s="18">
        <f t="shared" si="359"/>
        <v>11.638356164383561</v>
      </c>
      <c r="O2211" s="23">
        <v>5225</v>
      </c>
      <c r="P2211" s="18">
        <f t="shared" si="360"/>
        <v>12.139726027397261</v>
      </c>
      <c r="Q2211" s="18">
        <v>0</v>
      </c>
      <c r="R2211" s="18">
        <f t="shared" si="357"/>
        <v>5225</v>
      </c>
      <c r="S2211" s="18">
        <f t="shared" si="367"/>
        <v>27.5</v>
      </c>
    </row>
    <row r="2212" spans="1:19" ht="18.75" customHeight="1" x14ac:dyDescent="0.25">
      <c r="A2212" s="14">
        <f t="shared" si="361"/>
        <v>2206</v>
      </c>
      <c r="B2212" s="31" t="s">
        <v>1896</v>
      </c>
      <c r="C2212" s="15" t="s">
        <v>3</v>
      </c>
      <c r="D2212" s="31" t="s">
        <v>1708</v>
      </c>
      <c r="E2212" s="31"/>
      <c r="F2212" s="73" t="s">
        <v>4</v>
      </c>
      <c r="G2212" s="32">
        <v>32143</v>
      </c>
      <c r="H2212" s="29">
        <v>13.300000000000011</v>
      </c>
      <c r="I2212" s="17">
        <v>0</v>
      </c>
      <c r="J2212" s="17">
        <v>0</v>
      </c>
      <c r="K2212" s="17">
        <f t="shared" si="358"/>
        <v>13.300000000000011</v>
      </c>
      <c r="L2212" s="23">
        <f t="shared" si="365"/>
        <v>0.66500000000000059</v>
      </c>
      <c r="M2212" s="33">
        <v>10</v>
      </c>
      <c r="N2212" s="18">
        <f t="shared" si="359"/>
        <v>33.273972602739725</v>
      </c>
      <c r="O2212" s="23">
        <v>126.35</v>
      </c>
      <c r="P2212" s="18">
        <f t="shared" si="360"/>
        <v>33.775342465753425</v>
      </c>
      <c r="Q2212" s="18">
        <v>0</v>
      </c>
      <c r="R2212" s="18">
        <f t="shared" si="357"/>
        <v>126.35</v>
      </c>
      <c r="S2212" s="18">
        <f t="shared" si="367"/>
        <v>0.66500000000000059</v>
      </c>
    </row>
    <row r="2213" spans="1:19" ht="18.75" customHeight="1" x14ac:dyDescent="0.25">
      <c r="A2213" s="14">
        <f t="shared" si="361"/>
        <v>2207</v>
      </c>
      <c r="B2213" s="31" t="s">
        <v>1897</v>
      </c>
      <c r="C2213" s="15" t="s">
        <v>3</v>
      </c>
      <c r="D2213" s="31" t="s">
        <v>1708</v>
      </c>
      <c r="E2213" s="31"/>
      <c r="F2213" s="73" t="s">
        <v>4</v>
      </c>
      <c r="G2213" s="32">
        <v>41258</v>
      </c>
      <c r="H2213" s="29">
        <v>7428.6995161643827</v>
      </c>
      <c r="I2213" s="17">
        <v>0</v>
      </c>
      <c r="J2213" s="17">
        <v>0</v>
      </c>
      <c r="K2213" s="17">
        <f t="shared" si="358"/>
        <v>7428.6995161643827</v>
      </c>
      <c r="L2213" s="23">
        <f t="shared" si="365"/>
        <v>371.43497580821918</v>
      </c>
      <c r="M2213" s="33">
        <v>10</v>
      </c>
      <c r="N2213" s="18">
        <f t="shared" si="359"/>
        <v>8.3013698630136989</v>
      </c>
      <c r="O2213" s="23">
        <v>3408.2862454520546</v>
      </c>
      <c r="P2213" s="18">
        <f t="shared" si="360"/>
        <v>8.8027397260273972</v>
      </c>
      <c r="Q2213" s="18">
        <f t="shared" si="364"/>
        <v>353.82997558497999</v>
      </c>
      <c r="R2213" s="18">
        <f t="shared" si="357"/>
        <v>3762.1162210370344</v>
      </c>
      <c r="S2213" s="18">
        <f t="shared" si="362"/>
        <v>3666.5832951273483</v>
      </c>
    </row>
    <row r="2214" spans="1:19" ht="18.75" customHeight="1" x14ac:dyDescent="0.25">
      <c r="A2214" s="14">
        <f t="shared" si="361"/>
        <v>2208</v>
      </c>
      <c r="B2214" s="31" t="s">
        <v>1898</v>
      </c>
      <c r="C2214" s="15" t="s">
        <v>3</v>
      </c>
      <c r="D2214" s="31" t="s">
        <v>1708</v>
      </c>
      <c r="E2214" s="31"/>
      <c r="F2214" s="73" t="s">
        <v>4</v>
      </c>
      <c r="G2214" s="32">
        <v>32143</v>
      </c>
      <c r="H2214" s="29">
        <v>5.3499999999999943</v>
      </c>
      <c r="I2214" s="17">
        <v>0</v>
      </c>
      <c r="J2214" s="17">
        <v>0</v>
      </c>
      <c r="K2214" s="17">
        <f t="shared" si="358"/>
        <v>5.3499999999999943</v>
      </c>
      <c r="L2214" s="23">
        <f t="shared" si="365"/>
        <v>0.26749999999999974</v>
      </c>
      <c r="M2214" s="33">
        <v>10</v>
      </c>
      <c r="N2214" s="18">
        <f t="shared" si="359"/>
        <v>33.273972602739725</v>
      </c>
      <c r="O2214" s="23">
        <v>50.825000000000003</v>
      </c>
      <c r="P2214" s="18">
        <f t="shared" si="360"/>
        <v>33.775342465753425</v>
      </c>
      <c r="Q2214" s="18">
        <v>0</v>
      </c>
      <c r="R2214" s="18">
        <f t="shared" si="357"/>
        <v>50.825000000000003</v>
      </c>
      <c r="S2214" s="18">
        <f>L2214</f>
        <v>0.26749999999999974</v>
      </c>
    </row>
    <row r="2215" spans="1:19" ht="18.75" customHeight="1" x14ac:dyDescent="0.25">
      <c r="A2215" s="14">
        <f t="shared" si="361"/>
        <v>2209</v>
      </c>
      <c r="B2215" s="31" t="s">
        <v>1899</v>
      </c>
      <c r="C2215" s="15" t="s">
        <v>3</v>
      </c>
      <c r="D2215" s="31" t="s">
        <v>1708</v>
      </c>
      <c r="E2215" s="31"/>
      <c r="F2215" s="73" t="s">
        <v>4</v>
      </c>
      <c r="G2215" s="32">
        <v>41258</v>
      </c>
      <c r="H2215" s="29">
        <v>7217.8559999999998</v>
      </c>
      <c r="I2215" s="17">
        <v>0</v>
      </c>
      <c r="J2215" s="17">
        <v>0</v>
      </c>
      <c r="K2215" s="17">
        <f t="shared" si="358"/>
        <v>7217.8559999999998</v>
      </c>
      <c r="L2215" s="23">
        <f t="shared" si="365"/>
        <v>360.89280000000002</v>
      </c>
      <c r="M2215" s="33">
        <v>10</v>
      </c>
      <c r="N2215" s="18">
        <f t="shared" si="359"/>
        <v>8.3013698630136989</v>
      </c>
      <c r="O2215" s="23">
        <v>1174.0805732876713</v>
      </c>
      <c r="P2215" s="18">
        <f t="shared" si="360"/>
        <v>8.8027397260273972</v>
      </c>
      <c r="Q2215" s="18">
        <f t="shared" si="364"/>
        <v>343.78747002739703</v>
      </c>
      <c r="R2215" s="18">
        <f t="shared" si="357"/>
        <v>1517.8680433150685</v>
      </c>
      <c r="S2215" s="18">
        <f t="shared" si="362"/>
        <v>5699.9879566849313</v>
      </c>
    </row>
    <row r="2216" spans="1:19" ht="18.75" customHeight="1" x14ac:dyDescent="0.25">
      <c r="A2216" s="14">
        <f t="shared" si="361"/>
        <v>2210</v>
      </c>
      <c r="B2216" s="31" t="s">
        <v>1900</v>
      </c>
      <c r="C2216" s="15" t="s">
        <v>3</v>
      </c>
      <c r="D2216" s="31" t="s">
        <v>1708</v>
      </c>
      <c r="E2216" s="31"/>
      <c r="F2216" s="73" t="s">
        <v>4</v>
      </c>
      <c r="G2216" s="32">
        <v>39448</v>
      </c>
      <c r="H2216" s="29">
        <v>524.14149999999972</v>
      </c>
      <c r="I2216" s="17">
        <v>0</v>
      </c>
      <c r="J2216" s="17">
        <v>0</v>
      </c>
      <c r="K2216" s="17">
        <f t="shared" si="358"/>
        <v>524.14149999999972</v>
      </c>
      <c r="L2216" s="23">
        <f t="shared" si="365"/>
        <v>26.207074999999989</v>
      </c>
      <c r="M2216" s="33">
        <v>10</v>
      </c>
      <c r="N2216" s="18">
        <f t="shared" si="359"/>
        <v>13.260273972602739</v>
      </c>
      <c r="O2216" s="23">
        <v>4979.3442500000001</v>
      </c>
      <c r="P2216" s="18">
        <f t="shared" si="360"/>
        <v>13.761643835616438</v>
      </c>
      <c r="Q2216" s="18">
        <v>0</v>
      </c>
      <c r="R2216" s="18">
        <f t="shared" si="357"/>
        <v>4979.3442500000001</v>
      </c>
      <c r="S2216" s="18">
        <f t="shared" ref="S2216:S2220" si="368">L2216</f>
        <v>26.207074999999989</v>
      </c>
    </row>
    <row r="2217" spans="1:19" ht="18.75" customHeight="1" x14ac:dyDescent="0.25">
      <c r="A2217" s="14">
        <f t="shared" si="361"/>
        <v>2211</v>
      </c>
      <c r="B2217" s="31" t="s">
        <v>1901</v>
      </c>
      <c r="C2217" s="15" t="s">
        <v>3</v>
      </c>
      <c r="D2217" s="31" t="s">
        <v>1708</v>
      </c>
      <c r="E2217" s="31"/>
      <c r="F2217" s="73" t="s">
        <v>4</v>
      </c>
      <c r="G2217" s="32">
        <v>32509</v>
      </c>
      <c r="H2217" s="29">
        <v>597.14999999999964</v>
      </c>
      <c r="I2217" s="17">
        <v>0</v>
      </c>
      <c r="J2217" s="17">
        <v>0</v>
      </c>
      <c r="K2217" s="17">
        <f t="shared" si="358"/>
        <v>597.14999999999964</v>
      </c>
      <c r="L2217" s="23">
        <f t="shared" si="365"/>
        <v>29.857499999999984</v>
      </c>
      <c r="M2217" s="33">
        <v>10</v>
      </c>
      <c r="N2217" s="18">
        <f t="shared" si="359"/>
        <v>32.271232876712325</v>
      </c>
      <c r="O2217" s="23">
        <v>5672.9250000000002</v>
      </c>
      <c r="P2217" s="18">
        <f t="shared" si="360"/>
        <v>32.772602739726025</v>
      </c>
      <c r="Q2217" s="18">
        <v>0</v>
      </c>
      <c r="R2217" s="18">
        <f t="shared" si="357"/>
        <v>5672.9250000000002</v>
      </c>
      <c r="S2217" s="18">
        <f t="shared" si="368"/>
        <v>29.857499999999984</v>
      </c>
    </row>
    <row r="2218" spans="1:19" ht="18.75" customHeight="1" x14ac:dyDescent="0.25">
      <c r="A2218" s="14">
        <f t="shared" si="361"/>
        <v>2212</v>
      </c>
      <c r="B2218" s="31" t="s">
        <v>1902</v>
      </c>
      <c r="C2218" s="15" t="s">
        <v>3</v>
      </c>
      <c r="D2218" s="31" t="s">
        <v>1708</v>
      </c>
      <c r="E2218" s="31"/>
      <c r="F2218" s="73" t="s">
        <v>4</v>
      </c>
      <c r="G2218" s="32">
        <v>32509</v>
      </c>
      <c r="H2218" s="29">
        <v>220</v>
      </c>
      <c r="I2218" s="17">
        <v>0</v>
      </c>
      <c r="J2218" s="17">
        <v>0</v>
      </c>
      <c r="K2218" s="17">
        <f t="shared" si="358"/>
        <v>220</v>
      </c>
      <c r="L2218" s="23">
        <f t="shared" si="365"/>
        <v>11</v>
      </c>
      <c r="M2218" s="33">
        <v>10</v>
      </c>
      <c r="N2218" s="18">
        <f t="shared" si="359"/>
        <v>32.271232876712325</v>
      </c>
      <c r="O2218" s="23">
        <v>2090</v>
      </c>
      <c r="P2218" s="18">
        <f t="shared" si="360"/>
        <v>32.772602739726025</v>
      </c>
      <c r="Q2218" s="18">
        <v>0</v>
      </c>
      <c r="R2218" s="18">
        <f t="shared" si="357"/>
        <v>2090</v>
      </c>
      <c r="S2218" s="18">
        <f t="shared" si="368"/>
        <v>11</v>
      </c>
    </row>
    <row r="2219" spans="1:19" ht="18.75" customHeight="1" x14ac:dyDescent="0.25">
      <c r="A2219" s="14">
        <f t="shared" si="361"/>
        <v>2213</v>
      </c>
      <c r="B2219" s="31" t="s">
        <v>1903</v>
      </c>
      <c r="C2219" s="15" t="s">
        <v>3</v>
      </c>
      <c r="D2219" s="31" t="s">
        <v>1708</v>
      </c>
      <c r="E2219" s="31"/>
      <c r="F2219" s="73" t="s">
        <v>4</v>
      </c>
      <c r="G2219" s="32">
        <v>32509</v>
      </c>
      <c r="H2219" s="29">
        <v>98.650000000000091</v>
      </c>
      <c r="I2219" s="17">
        <v>0</v>
      </c>
      <c r="J2219" s="17">
        <v>0</v>
      </c>
      <c r="K2219" s="17">
        <f t="shared" si="358"/>
        <v>98.650000000000091</v>
      </c>
      <c r="L2219" s="23">
        <f t="shared" si="365"/>
        <v>4.9325000000000045</v>
      </c>
      <c r="M2219" s="33">
        <v>10</v>
      </c>
      <c r="N2219" s="18">
        <f t="shared" si="359"/>
        <v>32.271232876712325</v>
      </c>
      <c r="O2219" s="23">
        <v>937.17499999999995</v>
      </c>
      <c r="P2219" s="18">
        <f t="shared" si="360"/>
        <v>32.772602739726025</v>
      </c>
      <c r="Q2219" s="18">
        <v>0</v>
      </c>
      <c r="R2219" s="18">
        <f t="shared" si="357"/>
        <v>937.17499999999995</v>
      </c>
      <c r="S2219" s="18">
        <f t="shared" si="368"/>
        <v>4.9325000000000045</v>
      </c>
    </row>
    <row r="2220" spans="1:19" ht="18.75" customHeight="1" x14ac:dyDescent="0.25">
      <c r="A2220" s="14">
        <f t="shared" si="361"/>
        <v>2214</v>
      </c>
      <c r="B2220" s="31" t="s">
        <v>1904</v>
      </c>
      <c r="C2220" s="15" t="s">
        <v>3</v>
      </c>
      <c r="D2220" s="31" t="s">
        <v>1708</v>
      </c>
      <c r="E2220" s="31"/>
      <c r="F2220" s="73" t="s">
        <v>4</v>
      </c>
      <c r="G2220" s="32">
        <v>39448</v>
      </c>
      <c r="H2220" s="29">
        <v>475</v>
      </c>
      <c r="I2220" s="17">
        <v>0</v>
      </c>
      <c r="J2220" s="17">
        <v>0</v>
      </c>
      <c r="K2220" s="17">
        <f t="shared" si="358"/>
        <v>475</v>
      </c>
      <c r="L2220" s="23">
        <f t="shared" si="365"/>
        <v>23.75</v>
      </c>
      <c r="M2220" s="33">
        <v>10</v>
      </c>
      <c r="N2220" s="18">
        <f t="shared" si="359"/>
        <v>13.260273972602739</v>
      </c>
      <c r="O2220" s="23">
        <v>4512.5</v>
      </c>
      <c r="P2220" s="18">
        <f t="shared" si="360"/>
        <v>13.761643835616438</v>
      </c>
      <c r="Q2220" s="18">
        <v>0</v>
      </c>
      <c r="R2220" s="18">
        <f t="shared" si="357"/>
        <v>4512.5</v>
      </c>
      <c r="S2220" s="18">
        <f t="shared" si="368"/>
        <v>23.75</v>
      </c>
    </row>
    <row r="2221" spans="1:19" ht="18.75" customHeight="1" x14ac:dyDescent="0.25">
      <c r="A2221" s="14">
        <f t="shared" si="361"/>
        <v>2215</v>
      </c>
      <c r="B2221" s="31" t="s">
        <v>1905</v>
      </c>
      <c r="C2221" s="15" t="s">
        <v>3</v>
      </c>
      <c r="D2221" s="31" t="s">
        <v>1708</v>
      </c>
      <c r="E2221" s="31"/>
      <c r="F2221" s="73" t="s">
        <v>4</v>
      </c>
      <c r="G2221" s="32">
        <v>41379</v>
      </c>
      <c r="H2221" s="29">
        <v>6573.8226563013704</v>
      </c>
      <c r="I2221" s="17">
        <v>0</v>
      </c>
      <c r="J2221" s="17">
        <v>0</v>
      </c>
      <c r="K2221" s="17">
        <f t="shared" si="358"/>
        <v>6573.8226563013704</v>
      </c>
      <c r="L2221" s="23">
        <f t="shared" si="365"/>
        <v>328.69113281506856</v>
      </c>
      <c r="M2221" s="33">
        <v>10</v>
      </c>
      <c r="N2221" s="18">
        <f t="shared" si="359"/>
        <v>7.9698630136986299</v>
      </c>
      <c r="O2221" s="23">
        <v>2704.7216896027403</v>
      </c>
      <c r="P2221" s="18">
        <f t="shared" si="360"/>
        <v>8.4712328767123282</v>
      </c>
      <c r="Q2221" s="18">
        <f t="shared" si="364"/>
        <v>313.11207364328561</v>
      </c>
      <c r="R2221" s="18">
        <f t="shared" si="357"/>
        <v>3017.8337632460261</v>
      </c>
      <c r="S2221" s="18">
        <f t="shared" si="362"/>
        <v>3555.9888930553443</v>
      </c>
    </row>
    <row r="2222" spans="1:19" ht="18.75" customHeight="1" x14ac:dyDescent="0.25">
      <c r="A2222" s="14">
        <f t="shared" si="361"/>
        <v>2216</v>
      </c>
      <c r="B2222" s="31" t="s">
        <v>1906</v>
      </c>
      <c r="C2222" s="15" t="s">
        <v>3</v>
      </c>
      <c r="D2222" s="31" t="s">
        <v>1708</v>
      </c>
      <c r="E2222" s="31"/>
      <c r="F2222" s="73" t="s">
        <v>4</v>
      </c>
      <c r="G2222" s="32">
        <v>32509</v>
      </c>
      <c r="H2222" s="29">
        <v>92.450000000000045</v>
      </c>
      <c r="I2222" s="17">
        <v>0</v>
      </c>
      <c r="J2222" s="17">
        <v>0</v>
      </c>
      <c r="K2222" s="17">
        <f t="shared" si="358"/>
        <v>92.450000000000045</v>
      </c>
      <c r="L2222" s="23">
        <f t="shared" si="365"/>
        <v>4.6225000000000023</v>
      </c>
      <c r="M2222" s="33">
        <v>10</v>
      </c>
      <c r="N2222" s="18">
        <f t="shared" si="359"/>
        <v>32.271232876712325</v>
      </c>
      <c r="O2222" s="23">
        <v>878.27499999999998</v>
      </c>
      <c r="P2222" s="18">
        <f t="shared" si="360"/>
        <v>32.772602739726025</v>
      </c>
      <c r="Q2222" s="18">
        <v>0</v>
      </c>
      <c r="R2222" s="18">
        <f t="shared" si="357"/>
        <v>878.27499999999998</v>
      </c>
      <c r="S2222" s="18">
        <f t="shared" ref="S2222:S2223" si="369">L2222</f>
        <v>4.6225000000000023</v>
      </c>
    </row>
    <row r="2223" spans="1:19" ht="18.75" customHeight="1" x14ac:dyDescent="0.25">
      <c r="A2223" s="14">
        <f t="shared" si="361"/>
        <v>2217</v>
      </c>
      <c r="B2223" s="31" t="s">
        <v>1907</v>
      </c>
      <c r="C2223" s="15" t="s">
        <v>3</v>
      </c>
      <c r="D2223" s="31" t="s">
        <v>1708</v>
      </c>
      <c r="E2223" s="31"/>
      <c r="F2223" s="73" t="s">
        <v>4</v>
      </c>
      <c r="G2223" s="32">
        <v>32509</v>
      </c>
      <c r="H2223" s="29">
        <v>85</v>
      </c>
      <c r="I2223" s="17">
        <v>0</v>
      </c>
      <c r="J2223" s="17">
        <v>0</v>
      </c>
      <c r="K2223" s="17">
        <f t="shared" si="358"/>
        <v>85</v>
      </c>
      <c r="L2223" s="23">
        <f t="shared" si="365"/>
        <v>4.25</v>
      </c>
      <c r="M2223" s="33">
        <v>10</v>
      </c>
      <c r="N2223" s="18">
        <f t="shared" si="359"/>
        <v>32.271232876712325</v>
      </c>
      <c r="O2223" s="23">
        <v>807.5</v>
      </c>
      <c r="P2223" s="18">
        <f t="shared" si="360"/>
        <v>32.772602739726025</v>
      </c>
      <c r="Q2223" s="18">
        <v>0</v>
      </c>
      <c r="R2223" s="18">
        <f t="shared" si="357"/>
        <v>807.5</v>
      </c>
      <c r="S2223" s="18">
        <f t="shared" si="369"/>
        <v>4.25</v>
      </c>
    </row>
    <row r="2224" spans="1:19" ht="18.75" customHeight="1" x14ac:dyDescent="0.25">
      <c r="A2224" s="14">
        <f t="shared" si="361"/>
        <v>2218</v>
      </c>
      <c r="B2224" s="31" t="s">
        <v>1908</v>
      </c>
      <c r="C2224" s="15" t="s">
        <v>3</v>
      </c>
      <c r="D2224" s="31" t="s">
        <v>1708</v>
      </c>
      <c r="E2224" s="31"/>
      <c r="F2224" s="73" t="s">
        <v>4</v>
      </c>
      <c r="G2224" s="32">
        <v>41258</v>
      </c>
      <c r="H2224" s="29">
        <v>6179.6712328767117</v>
      </c>
      <c r="I2224" s="17">
        <v>0</v>
      </c>
      <c r="J2224" s="17">
        <v>0</v>
      </c>
      <c r="K2224" s="17">
        <f t="shared" si="358"/>
        <v>6179.6712328767117</v>
      </c>
      <c r="L2224" s="23">
        <f t="shared" si="365"/>
        <v>308.98356164383563</v>
      </c>
      <c r="M2224" s="33">
        <v>10</v>
      </c>
      <c r="N2224" s="18">
        <f t="shared" si="359"/>
        <v>8.3013698630136989</v>
      </c>
      <c r="O2224" s="23">
        <v>1928.0622191780822</v>
      </c>
      <c r="P2224" s="18">
        <f t="shared" si="360"/>
        <v>8.8027397260273972</v>
      </c>
      <c r="Q2224" s="18">
        <f t="shared" si="364"/>
        <v>294.33858735222344</v>
      </c>
      <c r="R2224" s="18">
        <f t="shared" si="357"/>
        <v>2222.4008065303055</v>
      </c>
      <c r="S2224" s="18">
        <f t="shared" si="362"/>
        <v>3957.2704263464061</v>
      </c>
    </row>
    <row r="2225" spans="1:19" ht="18.75" customHeight="1" x14ac:dyDescent="0.25">
      <c r="A2225" s="14">
        <f t="shared" si="361"/>
        <v>2219</v>
      </c>
      <c r="B2225" s="31" t="s">
        <v>1909</v>
      </c>
      <c r="C2225" s="15" t="s">
        <v>3</v>
      </c>
      <c r="D2225" s="31" t="s">
        <v>1708</v>
      </c>
      <c r="E2225" s="31"/>
      <c r="F2225" s="73" t="s">
        <v>4</v>
      </c>
      <c r="G2225" s="32">
        <v>41409</v>
      </c>
      <c r="H2225" s="29">
        <v>439</v>
      </c>
      <c r="I2225" s="17">
        <v>0</v>
      </c>
      <c r="J2225" s="17">
        <v>0</v>
      </c>
      <c r="K2225" s="17">
        <f t="shared" si="358"/>
        <v>439</v>
      </c>
      <c r="L2225" s="23">
        <f t="shared" si="365"/>
        <v>21.950000000000003</v>
      </c>
      <c r="M2225" s="33">
        <v>5</v>
      </c>
      <c r="N2225" s="18">
        <f t="shared" si="359"/>
        <v>7.8876712328767127</v>
      </c>
      <c r="O2225" s="23">
        <v>4170.5</v>
      </c>
      <c r="P2225" s="18">
        <f t="shared" si="360"/>
        <v>8.3890410958904109</v>
      </c>
      <c r="Q2225" s="18">
        <v>0</v>
      </c>
      <c r="R2225" s="18">
        <f t="shared" si="357"/>
        <v>4170.5</v>
      </c>
      <c r="S2225" s="18">
        <f t="shared" ref="S2225:S2226" si="370">L2225</f>
        <v>21.950000000000003</v>
      </c>
    </row>
    <row r="2226" spans="1:19" ht="18.75" customHeight="1" x14ac:dyDescent="0.25">
      <c r="A2226" s="14">
        <f t="shared" si="361"/>
        <v>2220</v>
      </c>
      <c r="B2226" s="31" t="s">
        <v>1910</v>
      </c>
      <c r="C2226" s="15" t="s">
        <v>3</v>
      </c>
      <c r="D2226" s="31" t="s">
        <v>1708</v>
      </c>
      <c r="E2226" s="31"/>
      <c r="F2226" s="73" t="s">
        <v>4</v>
      </c>
      <c r="G2226" s="32">
        <v>32509</v>
      </c>
      <c r="H2226" s="29">
        <v>31.5</v>
      </c>
      <c r="I2226" s="17">
        <v>0</v>
      </c>
      <c r="J2226" s="17">
        <v>0</v>
      </c>
      <c r="K2226" s="17">
        <f t="shared" si="358"/>
        <v>31.5</v>
      </c>
      <c r="L2226" s="23">
        <f t="shared" si="365"/>
        <v>1.5750000000000002</v>
      </c>
      <c r="M2226" s="33">
        <v>10</v>
      </c>
      <c r="N2226" s="18">
        <f t="shared" si="359"/>
        <v>32.271232876712325</v>
      </c>
      <c r="O2226" s="23">
        <v>299.25</v>
      </c>
      <c r="P2226" s="18">
        <f t="shared" si="360"/>
        <v>32.772602739726025</v>
      </c>
      <c r="Q2226" s="18">
        <v>0</v>
      </c>
      <c r="R2226" s="18">
        <f t="shared" si="357"/>
        <v>299.25</v>
      </c>
      <c r="S2226" s="18">
        <f t="shared" si="370"/>
        <v>1.5750000000000002</v>
      </c>
    </row>
    <row r="2227" spans="1:19" ht="18.75" customHeight="1" x14ac:dyDescent="0.25">
      <c r="A2227" s="14">
        <f t="shared" si="361"/>
        <v>2221</v>
      </c>
      <c r="B2227" s="31" t="s">
        <v>1911</v>
      </c>
      <c r="C2227" s="15" t="s">
        <v>3</v>
      </c>
      <c r="D2227" s="31" t="s">
        <v>1708</v>
      </c>
      <c r="E2227" s="31"/>
      <c r="F2227" s="73" t="s">
        <v>4</v>
      </c>
      <c r="G2227" s="32">
        <v>40678</v>
      </c>
      <c r="H2227" s="29">
        <v>4530.7072876712327</v>
      </c>
      <c r="I2227" s="17">
        <v>0</v>
      </c>
      <c r="J2227" s="17">
        <v>0</v>
      </c>
      <c r="K2227" s="17">
        <f t="shared" si="358"/>
        <v>4530.7072876712327</v>
      </c>
      <c r="L2227" s="23">
        <f t="shared" si="365"/>
        <v>226.53536438356164</v>
      </c>
      <c r="M2227" s="33">
        <v>10</v>
      </c>
      <c r="N2227" s="18">
        <f t="shared" si="359"/>
        <v>9.8904109589041092</v>
      </c>
      <c r="O2227" s="23">
        <v>851.74665342465755</v>
      </c>
      <c r="P2227" s="18">
        <f t="shared" si="360"/>
        <v>10.391780821917807</v>
      </c>
      <c r="Q2227" s="18">
        <v>0</v>
      </c>
      <c r="R2227" s="18">
        <f t="shared" si="357"/>
        <v>851.74665342465755</v>
      </c>
      <c r="S2227" s="18">
        <f t="shared" si="362"/>
        <v>3678.960634246575</v>
      </c>
    </row>
    <row r="2228" spans="1:19" ht="18.75" customHeight="1" x14ac:dyDescent="0.25">
      <c r="A2228" s="14">
        <f t="shared" si="361"/>
        <v>2222</v>
      </c>
      <c r="B2228" s="31" t="s">
        <v>1912</v>
      </c>
      <c r="C2228" s="15" t="s">
        <v>3</v>
      </c>
      <c r="D2228" s="31" t="s">
        <v>1708</v>
      </c>
      <c r="E2228" s="31"/>
      <c r="F2228" s="73" t="s">
        <v>4</v>
      </c>
      <c r="G2228" s="32">
        <v>39736</v>
      </c>
      <c r="H2228" s="29">
        <v>420</v>
      </c>
      <c r="I2228" s="17">
        <v>0</v>
      </c>
      <c r="J2228" s="17">
        <v>0</v>
      </c>
      <c r="K2228" s="17">
        <f t="shared" si="358"/>
        <v>420</v>
      </c>
      <c r="L2228" s="23">
        <f t="shared" si="365"/>
        <v>21</v>
      </c>
      <c r="M2228" s="33">
        <v>10</v>
      </c>
      <c r="N2228" s="18">
        <f t="shared" si="359"/>
        <v>12.471232876712328</v>
      </c>
      <c r="O2228" s="23">
        <v>3990</v>
      </c>
      <c r="P2228" s="18">
        <f t="shared" si="360"/>
        <v>12.972602739726028</v>
      </c>
      <c r="Q2228" s="18">
        <v>0</v>
      </c>
      <c r="R2228" s="18">
        <f t="shared" si="357"/>
        <v>3990</v>
      </c>
      <c r="S2228" s="18">
        <f t="shared" ref="S2228:S2229" si="371">L2228</f>
        <v>21</v>
      </c>
    </row>
    <row r="2229" spans="1:19" ht="18.75" customHeight="1" x14ac:dyDescent="0.25">
      <c r="A2229" s="14">
        <f t="shared" si="361"/>
        <v>2223</v>
      </c>
      <c r="B2229" s="31" t="s">
        <v>1913</v>
      </c>
      <c r="C2229" s="15" t="s">
        <v>3</v>
      </c>
      <c r="D2229" s="31" t="s">
        <v>1708</v>
      </c>
      <c r="E2229" s="31"/>
      <c r="F2229" s="73" t="s">
        <v>4</v>
      </c>
      <c r="G2229" s="32">
        <v>39828</v>
      </c>
      <c r="H2229" s="29">
        <v>419.99499999999989</v>
      </c>
      <c r="I2229" s="17">
        <v>0</v>
      </c>
      <c r="J2229" s="17">
        <v>0</v>
      </c>
      <c r="K2229" s="17">
        <f t="shared" si="358"/>
        <v>419.99499999999989</v>
      </c>
      <c r="L2229" s="23">
        <f t="shared" si="365"/>
        <v>20.999749999999995</v>
      </c>
      <c r="M2229" s="33">
        <v>10</v>
      </c>
      <c r="N2229" s="18">
        <f t="shared" si="359"/>
        <v>12.219178082191782</v>
      </c>
      <c r="O2229" s="23">
        <v>3989.9524999999999</v>
      </c>
      <c r="P2229" s="18">
        <f t="shared" si="360"/>
        <v>12.72054794520548</v>
      </c>
      <c r="Q2229" s="18">
        <v>0</v>
      </c>
      <c r="R2229" s="18">
        <f t="shared" si="357"/>
        <v>3989.9524999999999</v>
      </c>
      <c r="S2229" s="18">
        <f t="shared" si="371"/>
        <v>20.999749999999995</v>
      </c>
    </row>
    <row r="2230" spans="1:19" ht="18.75" customHeight="1" x14ac:dyDescent="0.25">
      <c r="A2230" s="14">
        <f t="shared" si="361"/>
        <v>2224</v>
      </c>
      <c r="B2230" s="31" t="s">
        <v>1914</v>
      </c>
      <c r="C2230" s="15" t="s">
        <v>3</v>
      </c>
      <c r="D2230" s="31" t="s">
        <v>1708</v>
      </c>
      <c r="E2230" s="31"/>
      <c r="F2230" s="73" t="s">
        <v>4</v>
      </c>
      <c r="G2230" s="32">
        <v>41289</v>
      </c>
      <c r="H2230" s="29">
        <v>5731.2636986301368</v>
      </c>
      <c r="I2230" s="17">
        <v>0</v>
      </c>
      <c r="J2230" s="17">
        <v>0</v>
      </c>
      <c r="K2230" s="17">
        <f t="shared" si="358"/>
        <v>5731.2636986301368</v>
      </c>
      <c r="L2230" s="23">
        <f t="shared" si="365"/>
        <v>286.56318493150684</v>
      </c>
      <c r="M2230" s="33">
        <v>10</v>
      </c>
      <c r="N2230" s="18">
        <f t="shared" si="359"/>
        <v>8.2164383561643834</v>
      </c>
      <c r="O2230" s="23">
        <v>1259.1162054794522</v>
      </c>
      <c r="P2230" s="18">
        <f t="shared" si="360"/>
        <v>8.7178082191780817</v>
      </c>
      <c r="Q2230" s="18">
        <f t="shared" si="364"/>
        <v>272.98087507036945</v>
      </c>
      <c r="R2230" s="18">
        <f t="shared" si="357"/>
        <v>1532.0970805498216</v>
      </c>
      <c r="S2230" s="18">
        <f t="shared" si="362"/>
        <v>4199.1666180803149</v>
      </c>
    </row>
    <row r="2231" spans="1:19" ht="18.75" customHeight="1" x14ac:dyDescent="0.25">
      <c r="A2231" s="14">
        <f t="shared" si="361"/>
        <v>2225</v>
      </c>
      <c r="B2231" s="31" t="s">
        <v>1915</v>
      </c>
      <c r="C2231" s="15" t="s">
        <v>3</v>
      </c>
      <c r="D2231" s="31" t="s">
        <v>1708</v>
      </c>
      <c r="E2231" s="31"/>
      <c r="F2231" s="73" t="s">
        <v>4</v>
      </c>
      <c r="G2231" s="32">
        <v>41608</v>
      </c>
      <c r="H2231" s="29">
        <v>6377.3534246575346</v>
      </c>
      <c r="I2231" s="17">
        <v>0</v>
      </c>
      <c r="J2231" s="17">
        <v>0</v>
      </c>
      <c r="K2231" s="17">
        <f t="shared" si="358"/>
        <v>6377.3534246575346</v>
      </c>
      <c r="L2231" s="23">
        <f t="shared" si="365"/>
        <v>318.86767123287677</v>
      </c>
      <c r="M2231" s="33">
        <v>10</v>
      </c>
      <c r="N2231" s="18">
        <f t="shared" si="359"/>
        <v>7.3424657534246576</v>
      </c>
      <c r="O2231" s="23">
        <v>24141.933821917806</v>
      </c>
      <c r="P2231" s="18">
        <f t="shared" si="360"/>
        <v>7.8438356164383558</v>
      </c>
      <c r="Q2231" s="18">
        <f t="shared" si="364"/>
        <v>303.75421722649628</v>
      </c>
      <c r="R2231" s="18">
        <f t="shared" si="357"/>
        <v>24445.688039144301</v>
      </c>
      <c r="S2231" s="18">
        <f t="shared" ref="S2231:S2234" si="372">L2231</f>
        <v>318.86767123287677</v>
      </c>
    </row>
    <row r="2232" spans="1:19" ht="18.75" customHeight="1" x14ac:dyDescent="0.25">
      <c r="A2232" s="14">
        <f t="shared" si="361"/>
        <v>2226</v>
      </c>
      <c r="B2232" s="31" t="s">
        <v>1916</v>
      </c>
      <c r="C2232" s="15" t="s">
        <v>3</v>
      </c>
      <c r="D2232" s="31" t="s">
        <v>1708</v>
      </c>
      <c r="E2232" s="31"/>
      <c r="F2232" s="73" t="s">
        <v>4</v>
      </c>
      <c r="G2232" s="32">
        <v>32509</v>
      </c>
      <c r="H2232" s="29">
        <v>30</v>
      </c>
      <c r="I2232" s="17">
        <v>0</v>
      </c>
      <c r="J2232" s="17">
        <v>0</v>
      </c>
      <c r="K2232" s="17">
        <f t="shared" si="358"/>
        <v>30</v>
      </c>
      <c r="L2232" s="23">
        <f t="shared" si="365"/>
        <v>1.5</v>
      </c>
      <c r="M2232" s="33">
        <v>10</v>
      </c>
      <c r="N2232" s="18">
        <f t="shared" si="359"/>
        <v>32.271232876712325</v>
      </c>
      <c r="O2232" s="23">
        <v>285</v>
      </c>
      <c r="P2232" s="18">
        <f t="shared" si="360"/>
        <v>32.772602739726025</v>
      </c>
      <c r="Q2232" s="18">
        <v>0</v>
      </c>
      <c r="R2232" s="18">
        <f t="shared" si="357"/>
        <v>285</v>
      </c>
      <c r="S2232" s="18">
        <f t="shared" si="372"/>
        <v>1.5</v>
      </c>
    </row>
    <row r="2233" spans="1:19" ht="18.75" customHeight="1" x14ac:dyDescent="0.25">
      <c r="A2233" s="14">
        <f t="shared" si="361"/>
        <v>2227</v>
      </c>
      <c r="B2233" s="31" t="s">
        <v>1917</v>
      </c>
      <c r="C2233" s="15" t="s">
        <v>3</v>
      </c>
      <c r="D2233" s="31" t="s">
        <v>1708</v>
      </c>
      <c r="E2233" s="31"/>
      <c r="F2233" s="73" t="s">
        <v>4</v>
      </c>
      <c r="G2233" s="32">
        <v>41228</v>
      </c>
      <c r="H2233" s="29">
        <v>405.40999999999985</v>
      </c>
      <c r="I2233" s="17">
        <v>0</v>
      </c>
      <c r="J2233" s="17">
        <v>0</v>
      </c>
      <c r="K2233" s="17">
        <f t="shared" si="358"/>
        <v>405.40999999999985</v>
      </c>
      <c r="L2233" s="23">
        <f t="shared" si="365"/>
        <v>20.270499999999995</v>
      </c>
      <c r="M2233" s="33">
        <v>5</v>
      </c>
      <c r="N2233" s="18">
        <f t="shared" si="359"/>
        <v>8.3835616438356162</v>
      </c>
      <c r="O2233" s="23">
        <v>3851.395</v>
      </c>
      <c r="P2233" s="18">
        <f t="shared" si="360"/>
        <v>8.8849315068493144</v>
      </c>
      <c r="Q2233" s="18">
        <v>0</v>
      </c>
      <c r="R2233" s="18">
        <f t="shared" si="357"/>
        <v>3851.395</v>
      </c>
      <c r="S2233" s="18">
        <f t="shared" si="372"/>
        <v>20.270499999999995</v>
      </c>
    </row>
    <row r="2234" spans="1:19" ht="18.75" customHeight="1" x14ac:dyDescent="0.25">
      <c r="A2234" s="14">
        <f t="shared" si="361"/>
        <v>2228</v>
      </c>
      <c r="B2234" s="31" t="s">
        <v>1918</v>
      </c>
      <c r="C2234" s="15" t="s">
        <v>3</v>
      </c>
      <c r="D2234" s="31" t="s">
        <v>1708</v>
      </c>
      <c r="E2234" s="31"/>
      <c r="F2234" s="73" t="s">
        <v>4</v>
      </c>
      <c r="G2234" s="32">
        <v>32874</v>
      </c>
      <c r="H2234" s="29">
        <v>2971.1999999999971</v>
      </c>
      <c r="I2234" s="17">
        <v>0</v>
      </c>
      <c r="J2234" s="17">
        <v>0</v>
      </c>
      <c r="K2234" s="17">
        <f t="shared" si="358"/>
        <v>2971.1999999999971</v>
      </c>
      <c r="L2234" s="23">
        <f t="shared" si="365"/>
        <v>148.55999999999986</v>
      </c>
      <c r="M2234" s="33">
        <v>10</v>
      </c>
      <c r="N2234" s="18">
        <f t="shared" si="359"/>
        <v>31.271232876712329</v>
      </c>
      <c r="O2234" s="23">
        <v>28226.400000000001</v>
      </c>
      <c r="P2234" s="18">
        <f t="shared" si="360"/>
        <v>31.772602739726029</v>
      </c>
      <c r="Q2234" s="18">
        <v>0</v>
      </c>
      <c r="R2234" s="18">
        <f t="shared" si="357"/>
        <v>28226.400000000001</v>
      </c>
      <c r="S2234" s="18">
        <f t="shared" si="372"/>
        <v>148.55999999999986</v>
      </c>
    </row>
    <row r="2235" spans="1:19" ht="18.75" customHeight="1" x14ac:dyDescent="0.25">
      <c r="A2235" s="14">
        <f t="shared" si="361"/>
        <v>2229</v>
      </c>
      <c r="B2235" s="31" t="s">
        <v>1919</v>
      </c>
      <c r="C2235" s="15" t="s">
        <v>3</v>
      </c>
      <c r="D2235" s="31" t="s">
        <v>1708</v>
      </c>
      <c r="E2235" s="31"/>
      <c r="F2235" s="73" t="s">
        <v>4</v>
      </c>
      <c r="G2235" s="32">
        <v>40558</v>
      </c>
      <c r="H2235" s="29">
        <v>4075.861917808219</v>
      </c>
      <c r="I2235" s="17">
        <v>0</v>
      </c>
      <c r="J2235" s="17">
        <v>0</v>
      </c>
      <c r="K2235" s="17">
        <f t="shared" si="358"/>
        <v>4075.861917808219</v>
      </c>
      <c r="L2235" s="23">
        <f t="shared" si="365"/>
        <v>203.79309589041097</v>
      </c>
      <c r="M2235" s="33">
        <v>10</v>
      </c>
      <c r="N2235" s="18">
        <f t="shared" si="359"/>
        <v>10.219178082191782</v>
      </c>
      <c r="O2235" s="23">
        <v>2702.5022191780822</v>
      </c>
      <c r="P2235" s="18">
        <f t="shared" si="360"/>
        <v>10.72054794520548</v>
      </c>
      <c r="Q2235" s="18">
        <v>0</v>
      </c>
      <c r="R2235" s="18">
        <f t="shared" si="357"/>
        <v>2702.5022191780822</v>
      </c>
      <c r="S2235" s="18">
        <f t="shared" si="362"/>
        <v>1373.3596986301368</v>
      </c>
    </row>
    <row r="2236" spans="1:19" ht="18.75" customHeight="1" x14ac:dyDescent="0.25">
      <c r="A2236" s="14">
        <f t="shared" si="361"/>
        <v>2230</v>
      </c>
      <c r="B2236" s="31" t="s">
        <v>1920</v>
      </c>
      <c r="C2236" s="15" t="s">
        <v>3</v>
      </c>
      <c r="D2236" s="31" t="s">
        <v>1708</v>
      </c>
      <c r="E2236" s="31"/>
      <c r="F2236" s="73" t="s">
        <v>4</v>
      </c>
      <c r="G2236" s="32">
        <v>32509</v>
      </c>
      <c r="H2236" s="29">
        <v>26.5</v>
      </c>
      <c r="I2236" s="17">
        <v>0</v>
      </c>
      <c r="J2236" s="17">
        <v>0</v>
      </c>
      <c r="K2236" s="17">
        <f t="shared" si="358"/>
        <v>26.5</v>
      </c>
      <c r="L2236" s="23">
        <f t="shared" si="365"/>
        <v>1.3250000000000002</v>
      </c>
      <c r="M2236" s="33">
        <v>10</v>
      </c>
      <c r="N2236" s="18">
        <f t="shared" si="359"/>
        <v>32.271232876712325</v>
      </c>
      <c r="O2236" s="23">
        <v>251.75</v>
      </c>
      <c r="P2236" s="18">
        <f t="shared" si="360"/>
        <v>32.772602739726025</v>
      </c>
      <c r="Q2236" s="18">
        <v>0</v>
      </c>
      <c r="R2236" s="18">
        <f t="shared" si="357"/>
        <v>251.75</v>
      </c>
      <c r="S2236" s="18">
        <f t="shared" ref="S2236:S2237" si="373">L2236</f>
        <v>1.3250000000000002</v>
      </c>
    </row>
    <row r="2237" spans="1:19" ht="18.75" customHeight="1" x14ac:dyDescent="0.25">
      <c r="A2237" s="14">
        <f t="shared" si="361"/>
        <v>2231</v>
      </c>
      <c r="B2237" s="31" t="s">
        <v>1921</v>
      </c>
      <c r="C2237" s="15" t="s">
        <v>3</v>
      </c>
      <c r="D2237" s="31" t="s">
        <v>1708</v>
      </c>
      <c r="E2237" s="31"/>
      <c r="F2237" s="73" t="s">
        <v>4</v>
      </c>
      <c r="G2237" s="32">
        <v>32509</v>
      </c>
      <c r="H2237" s="29">
        <v>14.399999999999977</v>
      </c>
      <c r="I2237" s="17">
        <v>0</v>
      </c>
      <c r="J2237" s="17">
        <v>0</v>
      </c>
      <c r="K2237" s="17">
        <f t="shared" si="358"/>
        <v>14.399999999999977</v>
      </c>
      <c r="L2237" s="23">
        <f t="shared" si="365"/>
        <v>0.71999999999999886</v>
      </c>
      <c r="M2237" s="33">
        <v>10</v>
      </c>
      <c r="N2237" s="18">
        <f t="shared" si="359"/>
        <v>32.271232876712325</v>
      </c>
      <c r="O2237" s="23">
        <v>136.80000000000001</v>
      </c>
      <c r="P2237" s="18">
        <f t="shared" si="360"/>
        <v>32.772602739726025</v>
      </c>
      <c r="Q2237" s="18">
        <v>0</v>
      </c>
      <c r="R2237" s="18">
        <f t="shared" si="357"/>
        <v>136.80000000000001</v>
      </c>
      <c r="S2237" s="18">
        <f t="shared" si="373"/>
        <v>0.71999999999999886</v>
      </c>
    </row>
    <row r="2238" spans="1:19" ht="18.75" customHeight="1" x14ac:dyDescent="0.25">
      <c r="A2238" s="14">
        <f t="shared" si="361"/>
        <v>2232</v>
      </c>
      <c r="B2238" s="31" t="s">
        <v>1922</v>
      </c>
      <c r="C2238" s="15" t="s">
        <v>3</v>
      </c>
      <c r="D2238" s="31" t="s">
        <v>1708</v>
      </c>
      <c r="E2238" s="31"/>
      <c r="F2238" s="73" t="s">
        <v>4</v>
      </c>
      <c r="G2238" s="32">
        <v>41348</v>
      </c>
      <c r="H2238" s="29">
        <v>5493.9282632876711</v>
      </c>
      <c r="I2238" s="17">
        <v>0</v>
      </c>
      <c r="J2238" s="17">
        <v>0</v>
      </c>
      <c r="K2238" s="17">
        <f t="shared" si="358"/>
        <v>5493.9282632876711</v>
      </c>
      <c r="L2238" s="23">
        <f t="shared" si="365"/>
        <v>274.69641316438356</v>
      </c>
      <c r="M2238" s="33">
        <v>10</v>
      </c>
      <c r="N2238" s="18">
        <f t="shared" si="359"/>
        <v>8.0547945205479454</v>
      </c>
      <c r="O2238" s="23">
        <v>546.2435941369863</v>
      </c>
      <c r="P2238" s="18">
        <f t="shared" si="360"/>
        <v>8.5561643835616437</v>
      </c>
      <c r="Q2238" s="18">
        <f t="shared" si="364"/>
        <v>261.67655577330436</v>
      </c>
      <c r="R2238" s="18">
        <f t="shared" si="357"/>
        <v>807.92014991029066</v>
      </c>
      <c r="S2238" s="18">
        <f t="shared" si="362"/>
        <v>4686.0081133773801</v>
      </c>
    </row>
    <row r="2239" spans="1:19" ht="18.75" customHeight="1" x14ac:dyDescent="0.25">
      <c r="A2239" s="14">
        <f t="shared" si="361"/>
        <v>2233</v>
      </c>
      <c r="B2239" s="31" t="s">
        <v>1923</v>
      </c>
      <c r="C2239" s="15" t="s">
        <v>3</v>
      </c>
      <c r="D2239" s="31" t="s">
        <v>1708</v>
      </c>
      <c r="E2239" s="31"/>
      <c r="F2239" s="73" t="s">
        <v>4</v>
      </c>
      <c r="G2239" s="32">
        <v>32874</v>
      </c>
      <c r="H2239" s="29">
        <v>260</v>
      </c>
      <c r="I2239" s="17">
        <v>0</v>
      </c>
      <c r="J2239" s="17">
        <v>0</v>
      </c>
      <c r="K2239" s="17">
        <f t="shared" si="358"/>
        <v>260</v>
      </c>
      <c r="L2239" s="23">
        <f t="shared" si="365"/>
        <v>13</v>
      </c>
      <c r="M2239" s="33">
        <v>10</v>
      </c>
      <c r="N2239" s="18">
        <f t="shared" si="359"/>
        <v>31.271232876712329</v>
      </c>
      <c r="O2239" s="23">
        <v>2470</v>
      </c>
      <c r="P2239" s="18">
        <f t="shared" si="360"/>
        <v>31.772602739726029</v>
      </c>
      <c r="Q2239" s="18">
        <v>0</v>
      </c>
      <c r="R2239" s="18">
        <f t="shared" si="357"/>
        <v>2470</v>
      </c>
      <c r="S2239" s="18">
        <f t="shared" ref="S2239:S2246" si="374">L2239</f>
        <v>13</v>
      </c>
    </row>
    <row r="2240" spans="1:19" ht="18.75" customHeight="1" x14ac:dyDescent="0.25">
      <c r="A2240" s="14">
        <f t="shared" si="361"/>
        <v>2234</v>
      </c>
      <c r="B2240" s="31" t="s">
        <v>1809</v>
      </c>
      <c r="C2240" s="15" t="s">
        <v>3</v>
      </c>
      <c r="D2240" s="31" t="s">
        <v>1708</v>
      </c>
      <c r="E2240" s="31"/>
      <c r="F2240" s="73" t="s">
        <v>4</v>
      </c>
      <c r="G2240" s="32">
        <v>32874</v>
      </c>
      <c r="H2240" s="29">
        <v>220.75</v>
      </c>
      <c r="I2240" s="17">
        <v>0</v>
      </c>
      <c r="J2240" s="17">
        <v>0</v>
      </c>
      <c r="K2240" s="17">
        <f t="shared" si="358"/>
        <v>220.75</v>
      </c>
      <c r="L2240" s="23">
        <f t="shared" si="365"/>
        <v>11.037500000000001</v>
      </c>
      <c r="M2240" s="33">
        <v>10</v>
      </c>
      <c r="N2240" s="18">
        <f t="shared" si="359"/>
        <v>31.271232876712329</v>
      </c>
      <c r="O2240" s="23">
        <v>2097.125</v>
      </c>
      <c r="P2240" s="18">
        <f t="shared" si="360"/>
        <v>31.772602739726029</v>
      </c>
      <c r="Q2240" s="18">
        <v>0</v>
      </c>
      <c r="R2240" s="18">
        <f t="shared" si="357"/>
        <v>2097.125</v>
      </c>
      <c r="S2240" s="18">
        <f t="shared" si="374"/>
        <v>11.037500000000001</v>
      </c>
    </row>
    <row r="2241" spans="1:19" ht="18.75" customHeight="1" x14ac:dyDescent="0.25">
      <c r="A2241" s="14">
        <f t="shared" si="361"/>
        <v>2235</v>
      </c>
      <c r="B2241" s="31" t="s">
        <v>1924</v>
      </c>
      <c r="C2241" s="15" t="s">
        <v>3</v>
      </c>
      <c r="D2241" s="31" t="s">
        <v>1708</v>
      </c>
      <c r="E2241" s="31"/>
      <c r="F2241" s="73" t="s">
        <v>4</v>
      </c>
      <c r="G2241" s="32">
        <v>39797</v>
      </c>
      <c r="H2241" s="29">
        <v>381.10000000000036</v>
      </c>
      <c r="I2241" s="17">
        <v>0</v>
      </c>
      <c r="J2241" s="17">
        <v>0</v>
      </c>
      <c r="K2241" s="17">
        <f t="shared" si="358"/>
        <v>381.10000000000036</v>
      </c>
      <c r="L2241" s="23">
        <f t="shared" si="365"/>
        <v>19.055000000000017</v>
      </c>
      <c r="M2241" s="33">
        <v>10</v>
      </c>
      <c r="N2241" s="18">
        <f t="shared" si="359"/>
        <v>12.304109589041095</v>
      </c>
      <c r="O2241" s="23">
        <v>3620.45</v>
      </c>
      <c r="P2241" s="18">
        <f t="shared" si="360"/>
        <v>12.805479452054794</v>
      </c>
      <c r="Q2241" s="18">
        <v>0</v>
      </c>
      <c r="R2241" s="18">
        <f t="shared" si="357"/>
        <v>3620.45</v>
      </c>
      <c r="S2241" s="18">
        <f t="shared" si="374"/>
        <v>19.055000000000017</v>
      </c>
    </row>
    <row r="2242" spans="1:19" ht="18.75" customHeight="1" x14ac:dyDescent="0.25">
      <c r="A2242" s="14">
        <f t="shared" si="361"/>
        <v>2236</v>
      </c>
      <c r="B2242" s="31" t="s">
        <v>1817</v>
      </c>
      <c r="C2242" s="15" t="s">
        <v>3</v>
      </c>
      <c r="D2242" s="31" t="s">
        <v>1708</v>
      </c>
      <c r="E2242" s="31"/>
      <c r="F2242" s="73" t="s">
        <v>4</v>
      </c>
      <c r="G2242" s="32">
        <v>32874</v>
      </c>
      <c r="H2242" s="29">
        <v>180</v>
      </c>
      <c r="I2242" s="17">
        <v>0</v>
      </c>
      <c r="J2242" s="17">
        <v>0</v>
      </c>
      <c r="K2242" s="17">
        <f t="shared" si="358"/>
        <v>180</v>
      </c>
      <c r="L2242" s="23">
        <f t="shared" si="365"/>
        <v>9</v>
      </c>
      <c r="M2242" s="33">
        <v>10</v>
      </c>
      <c r="N2242" s="18">
        <f t="shared" si="359"/>
        <v>31.271232876712329</v>
      </c>
      <c r="O2242" s="23">
        <v>1710</v>
      </c>
      <c r="P2242" s="18">
        <f t="shared" si="360"/>
        <v>31.772602739726029</v>
      </c>
      <c r="Q2242" s="18">
        <v>0</v>
      </c>
      <c r="R2242" s="18">
        <f t="shared" si="357"/>
        <v>1710</v>
      </c>
      <c r="S2242" s="18">
        <f t="shared" si="374"/>
        <v>9</v>
      </c>
    </row>
    <row r="2243" spans="1:19" ht="18.75" customHeight="1" x14ac:dyDescent="0.25">
      <c r="A2243" s="14">
        <f t="shared" si="361"/>
        <v>2237</v>
      </c>
      <c r="B2243" s="31" t="s">
        <v>1801</v>
      </c>
      <c r="C2243" s="15" t="s">
        <v>3</v>
      </c>
      <c r="D2243" s="31" t="s">
        <v>1708</v>
      </c>
      <c r="E2243" s="31"/>
      <c r="F2243" s="73" t="s">
        <v>4</v>
      </c>
      <c r="G2243" s="32">
        <v>39448</v>
      </c>
      <c r="H2243" s="29">
        <v>374.52350000000024</v>
      </c>
      <c r="I2243" s="17">
        <v>0</v>
      </c>
      <c r="J2243" s="17">
        <v>0</v>
      </c>
      <c r="K2243" s="17">
        <f t="shared" si="358"/>
        <v>374.52350000000024</v>
      </c>
      <c r="L2243" s="23">
        <f t="shared" si="365"/>
        <v>18.726175000000012</v>
      </c>
      <c r="M2243" s="33">
        <v>10</v>
      </c>
      <c r="N2243" s="18">
        <f t="shared" si="359"/>
        <v>13.260273972602739</v>
      </c>
      <c r="O2243" s="23">
        <v>3557.97325</v>
      </c>
      <c r="P2243" s="18">
        <f t="shared" si="360"/>
        <v>13.761643835616438</v>
      </c>
      <c r="Q2243" s="18">
        <v>0</v>
      </c>
      <c r="R2243" s="18">
        <f t="shared" si="357"/>
        <v>3557.97325</v>
      </c>
      <c r="S2243" s="18">
        <f t="shared" si="374"/>
        <v>18.726175000000012</v>
      </c>
    </row>
    <row r="2244" spans="1:19" ht="18.75" customHeight="1" x14ac:dyDescent="0.25">
      <c r="A2244" s="14">
        <f t="shared" si="361"/>
        <v>2238</v>
      </c>
      <c r="B2244" s="31" t="s">
        <v>1925</v>
      </c>
      <c r="C2244" s="15" t="s">
        <v>3</v>
      </c>
      <c r="D2244" s="31" t="s">
        <v>1708</v>
      </c>
      <c r="E2244" s="31"/>
      <c r="F2244" s="73" t="s">
        <v>4</v>
      </c>
      <c r="G2244" s="32">
        <v>40101</v>
      </c>
      <c r="H2244" s="29">
        <v>374.26900000000023</v>
      </c>
      <c r="I2244" s="17">
        <v>0</v>
      </c>
      <c r="J2244" s="17">
        <v>0</v>
      </c>
      <c r="K2244" s="17">
        <f t="shared" si="358"/>
        <v>374.26900000000023</v>
      </c>
      <c r="L2244" s="23">
        <f t="shared" si="365"/>
        <v>18.713450000000012</v>
      </c>
      <c r="M2244" s="33">
        <v>10</v>
      </c>
      <c r="N2244" s="18">
        <f t="shared" si="359"/>
        <v>11.471232876712328</v>
      </c>
      <c r="O2244" s="23">
        <v>3555.5554999999999</v>
      </c>
      <c r="P2244" s="18">
        <f t="shared" si="360"/>
        <v>11.972602739726028</v>
      </c>
      <c r="Q2244" s="18">
        <v>0</v>
      </c>
      <c r="R2244" s="18">
        <f t="shared" ref="R2244:R2307" si="375">Q2244+O2244</f>
        <v>3555.5554999999999</v>
      </c>
      <c r="S2244" s="18">
        <f t="shared" si="374"/>
        <v>18.713450000000012</v>
      </c>
    </row>
    <row r="2245" spans="1:19" ht="18.75" customHeight="1" x14ac:dyDescent="0.25">
      <c r="A2245" s="14">
        <f t="shared" si="361"/>
        <v>2239</v>
      </c>
      <c r="B2245" s="31" t="s">
        <v>1926</v>
      </c>
      <c r="C2245" s="15" t="s">
        <v>3</v>
      </c>
      <c r="D2245" s="31" t="s">
        <v>1708</v>
      </c>
      <c r="E2245" s="31"/>
      <c r="F2245" s="73" t="s">
        <v>4</v>
      </c>
      <c r="G2245" s="32">
        <v>39948</v>
      </c>
      <c r="H2245" s="29">
        <v>365</v>
      </c>
      <c r="I2245" s="17">
        <v>0</v>
      </c>
      <c r="J2245" s="17">
        <v>0</v>
      </c>
      <c r="K2245" s="17">
        <f t="shared" ref="K2245:K2308" si="376">H2245+I2245-J2245</f>
        <v>365</v>
      </c>
      <c r="L2245" s="23">
        <f t="shared" si="365"/>
        <v>18.25</v>
      </c>
      <c r="M2245" s="33">
        <v>10</v>
      </c>
      <c r="N2245" s="18">
        <f t="shared" ref="N2245:N2308" si="377">IF(($N$2-G2245+1)/365&gt;0,($N$2-G2245+1)/365,0)</f>
        <v>11.890410958904109</v>
      </c>
      <c r="O2245" s="23">
        <v>3467.5</v>
      </c>
      <c r="P2245" s="18">
        <f t="shared" ref="P2245:P2308" si="378">($P$2-G2245+1)/365</f>
        <v>12.391780821917807</v>
      </c>
      <c r="Q2245" s="18">
        <v>0</v>
      </c>
      <c r="R2245" s="18">
        <f t="shared" si="375"/>
        <v>3467.5</v>
      </c>
      <c r="S2245" s="18">
        <f t="shared" si="374"/>
        <v>18.25</v>
      </c>
    </row>
    <row r="2246" spans="1:19" ht="18.75" customHeight="1" x14ac:dyDescent="0.25">
      <c r="A2246" s="14">
        <f t="shared" ref="A2246:A2309" si="379">+A2245+1</f>
        <v>2240</v>
      </c>
      <c r="B2246" s="31" t="s">
        <v>1927</v>
      </c>
      <c r="C2246" s="15" t="s">
        <v>3</v>
      </c>
      <c r="D2246" s="31" t="s">
        <v>1708</v>
      </c>
      <c r="E2246" s="31"/>
      <c r="F2246" s="73" t="s">
        <v>4</v>
      </c>
      <c r="G2246" s="32">
        <v>32874</v>
      </c>
      <c r="H2246" s="29">
        <v>177.5</v>
      </c>
      <c r="I2246" s="17">
        <v>0</v>
      </c>
      <c r="J2246" s="17">
        <v>0</v>
      </c>
      <c r="K2246" s="17">
        <f t="shared" si="376"/>
        <v>177.5</v>
      </c>
      <c r="L2246" s="23">
        <f t="shared" si="365"/>
        <v>8.875</v>
      </c>
      <c r="M2246" s="33">
        <v>10</v>
      </c>
      <c r="N2246" s="18">
        <f t="shared" si="377"/>
        <v>31.271232876712329</v>
      </c>
      <c r="O2246" s="23">
        <v>1686.25</v>
      </c>
      <c r="P2246" s="18">
        <f t="shared" si="378"/>
        <v>31.772602739726029</v>
      </c>
      <c r="Q2246" s="18">
        <v>0</v>
      </c>
      <c r="R2246" s="18">
        <f t="shared" si="375"/>
        <v>1686.25</v>
      </c>
      <c r="S2246" s="18">
        <f t="shared" si="374"/>
        <v>8.875</v>
      </c>
    </row>
    <row r="2247" spans="1:19" ht="18.75" customHeight="1" x14ac:dyDescent="0.25">
      <c r="A2247" s="14">
        <f t="shared" si="379"/>
        <v>2241</v>
      </c>
      <c r="B2247" s="31" t="s">
        <v>1928</v>
      </c>
      <c r="C2247" s="15" t="s">
        <v>3</v>
      </c>
      <c r="D2247" s="31" t="s">
        <v>1708</v>
      </c>
      <c r="E2247" s="31"/>
      <c r="F2247" s="73" t="s">
        <v>4</v>
      </c>
      <c r="G2247" s="32">
        <v>41167</v>
      </c>
      <c r="H2247" s="29">
        <v>4610.1275883561648</v>
      </c>
      <c r="I2247" s="17">
        <v>0</v>
      </c>
      <c r="J2247" s="17">
        <v>0</v>
      </c>
      <c r="K2247" s="17">
        <f t="shared" si="376"/>
        <v>4610.1275883561648</v>
      </c>
      <c r="L2247" s="23">
        <f t="shared" si="365"/>
        <v>230.50637941780826</v>
      </c>
      <c r="M2247" s="33">
        <v>10</v>
      </c>
      <c r="N2247" s="18">
        <f t="shared" si="377"/>
        <v>8.5506849315068489</v>
      </c>
      <c r="O2247" s="23">
        <v>2180.9463252739729</v>
      </c>
      <c r="P2247" s="18">
        <f t="shared" si="378"/>
        <v>9.0520547945205472</v>
      </c>
      <c r="Q2247" s="18">
        <f t="shared" si="364"/>
        <v>219.58100855773111</v>
      </c>
      <c r="R2247" s="18">
        <f t="shared" si="375"/>
        <v>2400.5273338317038</v>
      </c>
      <c r="S2247" s="18">
        <f t="shared" ref="S2247:S2307" si="380">K2247-R2247</f>
        <v>2209.600254524461</v>
      </c>
    </row>
    <row r="2248" spans="1:19" ht="18.75" customHeight="1" x14ac:dyDescent="0.25">
      <c r="A2248" s="14">
        <f t="shared" si="379"/>
        <v>2242</v>
      </c>
      <c r="B2248" s="31" t="s">
        <v>1929</v>
      </c>
      <c r="C2248" s="15" t="s">
        <v>3</v>
      </c>
      <c r="D2248" s="31" t="s">
        <v>1708</v>
      </c>
      <c r="E2248" s="31"/>
      <c r="F2248" s="73" t="s">
        <v>4</v>
      </c>
      <c r="G2248" s="32">
        <v>33285</v>
      </c>
      <c r="H2248" s="29">
        <v>407.30000000000018</v>
      </c>
      <c r="I2248" s="17">
        <v>0</v>
      </c>
      <c r="J2248" s="17">
        <v>0</v>
      </c>
      <c r="K2248" s="17">
        <f t="shared" si="376"/>
        <v>407.30000000000018</v>
      </c>
      <c r="L2248" s="23">
        <f t="shared" si="365"/>
        <v>20.365000000000009</v>
      </c>
      <c r="M2248" s="33">
        <v>5</v>
      </c>
      <c r="N2248" s="18">
        <f t="shared" si="377"/>
        <v>30.145205479452056</v>
      </c>
      <c r="O2248" s="23">
        <v>3869.35</v>
      </c>
      <c r="P2248" s="18">
        <f t="shared" si="378"/>
        <v>30.646575342465752</v>
      </c>
      <c r="Q2248" s="18">
        <v>0</v>
      </c>
      <c r="R2248" s="18">
        <f t="shared" si="375"/>
        <v>3869.35</v>
      </c>
      <c r="S2248" s="18">
        <f t="shared" ref="S2248:S2256" si="381">L2248</f>
        <v>20.365000000000009</v>
      </c>
    </row>
    <row r="2249" spans="1:19" ht="18.75" customHeight="1" x14ac:dyDescent="0.25">
      <c r="A2249" s="14">
        <f t="shared" si="379"/>
        <v>2243</v>
      </c>
      <c r="B2249" s="31" t="s">
        <v>1930</v>
      </c>
      <c r="C2249" s="15" t="s">
        <v>3</v>
      </c>
      <c r="D2249" s="31" t="s">
        <v>1708</v>
      </c>
      <c r="E2249" s="31"/>
      <c r="F2249" s="73" t="s">
        <v>4</v>
      </c>
      <c r="G2249" s="32">
        <v>32874</v>
      </c>
      <c r="H2249" s="29">
        <v>150</v>
      </c>
      <c r="I2249" s="17">
        <v>0</v>
      </c>
      <c r="J2249" s="17">
        <v>0</v>
      </c>
      <c r="K2249" s="17">
        <f t="shared" si="376"/>
        <v>150</v>
      </c>
      <c r="L2249" s="23">
        <f t="shared" si="365"/>
        <v>7.5</v>
      </c>
      <c r="M2249" s="33">
        <v>10</v>
      </c>
      <c r="N2249" s="18">
        <f t="shared" si="377"/>
        <v>31.271232876712329</v>
      </c>
      <c r="O2249" s="23">
        <v>1425</v>
      </c>
      <c r="P2249" s="18">
        <f t="shared" si="378"/>
        <v>31.772602739726029</v>
      </c>
      <c r="Q2249" s="18">
        <v>0</v>
      </c>
      <c r="R2249" s="18">
        <f t="shared" si="375"/>
        <v>1425</v>
      </c>
      <c r="S2249" s="18">
        <f t="shared" si="381"/>
        <v>7.5</v>
      </c>
    </row>
    <row r="2250" spans="1:19" ht="18.75" customHeight="1" x14ac:dyDescent="0.25">
      <c r="A2250" s="14">
        <f t="shared" si="379"/>
        <v>2244</v>
      </c>
      <c r="B2250" s="31" t="s">
        <v>1816</v>
      </c>
      <c r="C2250" s="15" t="s">
        <v>3</v>
      </c>
      <c r="D2250" s="31" t="s">
        <v>1708</v>
      </c>
      <c r="E2250" s="31"/>
      <c r="F2250" s="73" t="s">
        <v>4</v>
      </c>
      <c r="G2250" s="32">
        <v>32874</v>
      </c>
      <c r="H2250" s="29">
        <v>116.34999999999991</v>
      </c>
      <c r="I2250" s="17">
        <v>0</v>
      </c>
      <c r="J2250" s="17">
        <v>0</v>
      </c>
      <c r="K2250" s="17">
        <f t="shared" si="376"/>
        <v>116.34999999999991</v>
      </c>
      <c r="L2250" s="23">
        <f t="shared" si="365"/>
        <v>5.8174999999999955</v>
      </c>
      <c r="M2250" s="33">
        <v>10</v>
      </c>
      <c r="N2250" s="18">
        <f t="shared" si="377"/>
        <v>31.271232876712329</v>
      </c>
      <c r="O2250" s="23">
        <v>1105.325</v>
      </c>
      <c r="P2250" s="18">
        <f t="shared" si="378"/>
        <v>31.772602739726029</v>
      </c>
      <c r="Q2250" s="18">
        <v>0</v>
      </c>
      <c r="R2250" s="18">
        <f t="shared" si="375"/>
        <v>1105.325</v>
      </c>
      <c r="S2250" s="18">
        <f t="shared" si="381"/>
        <v>5.8174999999999955</v>
      </c>
    </row>
    <row r="2251" spans="1:19" ht="18.75" customHeight="1" x14ac:dyDescent="0.25">
      <c r="A2251" s="14">
        <f t="shared" si="379"/>
        <v>2245</v>
      </c>
      <c r="B2251" s="31" t="s">
        <v>1874</v>
      </c>
      <c r="C2251" s="15" t="s">
        <v>3</v>
      </c>
      <c r="D2251" s="31" t="s">
        <v>1708</v>
      </c>
      <c r="E2251" s="31"/>
      <c r="F2251" s="73" t="s">
        <v>4</v>
      </c>
      <c r="G2251" s="32">
        <v>32874</v>
      </c>
      <c r="H2251" s="29">
        <v>75</v>
      </c>
      <c r="I2251" s="17">
        <v>0</v>
      </c>
      <c r="J2251" s="17">
        <v>0</v>
      </c>
      <c r="K2251" s="17">
        <f t="shared" si="376"/>
        <v>75</v>
      </c>
      <c r="L2251" s="23">
        <f t="shared" si="365"/>
        <v>3.75</v>
      </c>
      <c r="M2251" s="33">
        <v>10</v>
      </c>
      <c r="N2251" s="18">
        <f t="shared" si="377"/>
        <v>31.271232876712329</v>
      </c>
      <c r="O2251" s="23">
        <v>712.5</v>
      </c>
      <c r="P2251" s="18">
        <f t="shared" si="378"/>
        <v>31.772602739726029</v>
      </c>
      <c r="Q2251" s="18">
        <v>0</v>
      </c>
      <c r="R2251" s="18">
        <f t="shared" si="375"/>
        <v>712.5</v>
      </c>
      <c r="S2251" s="18">
        <f t="shared" si="381"/>
        <v>3.75</v>
      </c>
    </row>
    <row r="2252" spans="1:19" ht="18.75" customHeight="1" x14ac:dyDescent="0.25">
      <c r="A2252" s="14">
        <f t="shared" si="379"/>
        <v>2246</v>
      </c>
      <c r="B2252" s="31" t="s">
        <v>1931</v>
      </c>
      <c r="C2252" s="15" t="s">
        <v>3</v>
      </c>
      <c r="D2252" s="31" t="s">
        <v>1708</v>
      </c>
      <c r="E2252" s="31"/>
      <c r="F2252" s="73" t="s">
        <v>4</v>
      </c>
      <c r="G2252" s="32">
        <v>32874</v>
      </c>
      <c r="H2252" s="29">
        <v>68.799999999999955</v>
      </c>
      <c r="I2252" s="17">
        <v>0</v>
      </c>
      <c r="J2252" s="17">
        <v>0</v>
      </c>
      <c r="K2252" s="17">
        <f t="shared" si="376"/>
        <v>68.799999999999955</v>
      </c>
      <c r="L2252" s="23">
        <f t="shared" si="365"/>
        <v>3.4399999999999977</v>
      </c>
      <c r="M2252" s="33">
        <v>10</v>
      </c>
      <c r="N2252" s="18">
        <f t="shared" si="377"/>
        <v>31.271232876712329</v>
      </c>
      <c r="O2252" s="23">
        <v>653.6</v>
      </c>
      <c r="P2252" s="18">
        <f t="shared" si="378"/>
        <v>31.772602739726029</v>
      </c>
      <c r="Q2252" s="18">
        <v>0</v>
      </c>
      <c r="R2252" s="18">
        <f t="shared" si="375"/>
        <v>653.6</v>
      </c>
      <c r="S2252" s="18">
        <f t="shared" si="381"/>
        <v>3.4399999999999977</v>
      </c>
    </row>
    <row r="2253" spans="1:19" ht="18.75" customHeight="1" x14ac:dyDescent="0.25">
      <c r="A2253" s="14">
        <f t="shared" si="379"/>
        <v>2247</v>
      </c>
      <c r="B2253" s="31" t="s">
        <v>1932</v>
      </c>
      <c r="C2253" s="15" t="s">
        <v>3</v>
      </c>
      <c r="D2253" s="31" t="s">
        <v>1708</v>
      </c>
      <c r="E2253" s="31"/>
      <c r="F2253" s="73" t="s">
        <v>4</v>
      </c>
      <c r="G2253" s="32">
        <v>41167</v>
      </c>
      <c r="H2253" s="29">
        <v>334.87100000000009</v>
      </c>
      <c r="I2253" s="17">
        <v>0</v>
      </c>
      <c r="J2253" s="17">
        <v>0</v>
      </c>
      <c r="K2253" s="17">
        <f t="shared" si="376"/>
        <v>334.87100000000009</v>
      </c>
      <c r="L2253" s="23">
        <f t="shared" si="365"/>
        <v>16.743550000000006</v>
      </c>
      <c r="M2253" s="33">
        <v>5</v>
      </c>
      <c r="N2253" s="18">
        <f t="shared" si="377"/>
        <v>8.5506849315068489</v>
      </c>
      <c r="O2253" s="23">
        <v>3181.2745</v>
      </c>
      <c r="P2253" s="18">
        <f t="shared" si="378"/>
        <v>9.0520547945205472</v>
      </c>
      <c r="Q2253" s="18">
        <v>0</v>
      </c>
      <c r="R2253" s="18">
        <f t="shared" si="375"/>
        <v>3181.2745</v>
      </c>
      <c r="S2253" s="18">
        <f t="shared" si="381"/>
        <v>16.743550000000006</v>
      </c>
    </row>
    <row r="2254" spans="1:19" ht="18.75" customHeight="1" x14ac:dyDescent="0.25">
      <c r="A2254" s="14">
        <f t="shared" si="379"/>
        <v>2248</v>
      </c>
      <c r="B2254" s="31" t="s">
        <v>1933</v>
      </c>
      <c r="C2254" s="15" t="s">
        <v>3</v>
      </c>
      <c r="D2254" s="31" t="s">
        <v>1708</v>
      </c>
      <c r="E2254" s="31"/>
      <c r="F2254" s="73" t="s">
        <v>4</v>
      </c>
      <c r="G2254" s="32">
        <v>32874</v>
      </c>
      <c r="H2254" s="29">
        <v>33.950000000000045</v>
      </c>
      <c r="I2254" s="17">
        <v>0</v>
      </c>
      <c r="J2254" s="17">
        <v>0</v>
      </c>
      <c r="K2254" s="17">
        <f t="shared" si="376"/>
        <v>33.950000000000045</v>
      </c>
      <c r="L2254" s="23">
        <f t="shared" si="365"/>
        <v>1.6975000000000025</v>
      </c>
      <c r="M2254" s="33">
        <v>10</v>
      </c>
      <c r="N2254" s="18">
        <f t="shared" si="377"/>
        <v>31.271232876712329</v>
      </c>
      <c r="O2254" s="23">
        <v>322.52499999999998</v>
      </c>
      <c r="P2254" s="18">
        <f t="shared" si="378"/>
        <v>31.772602739726029</v>
      </c>
      <c r="Q2254" s="18">
        <v>0</v>
      </c>
      <c r="R2254" s="18">
        <f t="shared" si="375"/>
        <v>322.52499999999998</v>
      </c>
      <c r="S2254" s="18">
        <f t="shared" si="381"/>
        <v>1.6975000000000025</v>
      </c>
    </row>
    <row r="2255" spans="1:19" ht="18.75" customHeight="1" x14ac:dyDescent="0.25">
      <c r="A2255" s="14">
        <f t="shared" si="379"/>
        <v>2249</v>
      </c>
      <c r="B2255" s="31" t="s">
        <v>1869</v>
      </c>
      <c r="C2255" s="15" t="s">
        <v>3</v>
      </c>
      <c r="D2255" s="31" t="s">
        <v>1708</v>
      </c>
      <c r="E2255" s="31"/>
      <c r="F2255" s="73" t="s">
        <v>4</v>
      </c>
      <c r="G2255" s="32">
        <v>32874</v>
      </c>
      <c r="H2255" s="29">
        <v>18.050000000000011</v>
      </c>
      <c r="I2255" s="17">
        <v>0</v>
      </c>
      <c r="J2255" s="17">
        <v>0</v>
      </c>
      <c r="K2255" s="17">
        <f t="shared" si="376"/>
        <v>18.050000000000011</v>
      </c>
      <c r="L2255" s="23">
        <f t="shared" si="365"/>
        <v>0.90250000000000064</v>
      </c>
      <c r="M2255" s="33">
        <v>10</v>
      </c>
      <c r="N2255" s="18">
        <f t="shared" si="377"/>
        <v>31.271232876712329</v>
      </c>
      <c r="O2255" s="23">
        <v>171.47499999999999</v>
      </c>
      <c r="P2255" s="18">
        <f t="shared" si="378"/>
        <v>31.772602739726029</v>
      </c>
      <c r="Q2255" s="18">
        <v>0</v>
      </c>
      <c r="R2255" s="18">
        <f t="shared" si="375"/>
        <v>171.47499999999999</v>
      </c>
      <c r="S2255" s="18">
        <f t="shared" si="381"/>
        <v>0.90250000000000064</v>
      </c>
    </row>
    <row r="2256" spans="1:19" ht="18.75" customHeight="1" x14ac:dyDescent="0.25">
      <c r="A2256" s="14">
        <f t="shared" si="379"/>
        <v>2250</v>
      </c>
      <c r="B2256" s="31" t="s">
        <v>1934</v>
      </c>
      <c r="C2256" s="15" t="s">
        <v>3</v>
      </c>
      <c r="D2256" s="31" t="s">
        <v>1708</v>
      </c>
      <c r="E2256" s="31"/>
      <c r="F2256" s="73" t="s">
        <v>4</v>
      </c>
      <c r="G2256" s="32">
        <v>32874</v>
      </c>
      <c r="H2256" s="29">
        <v>17.75</v>
      </c>
      <c r="I2256" s="17">
        <v>0</v>
      </c>
      <c r="J2256" s="17">
        <v>0</v>
      </c>
      <c r="K2256" s="17">
        <f t="shared" si="376"/>
        <v>17.75</v>
      </c>
      <c r="L2256" s="23">
        <f t="shared" si="365"/>
        <v>0.88750000000000007</v>
      </c>
      <c r="M2256" s="33">
        <v>10</v>
      </c>
      <c r="N2256" s="18">
        <f t="shared" si="377"/>
        <v>31.271232876712329</v>
      </c>
      <c r="O2256" s="23">
        <v>168.625</v>
      </c>
      <c r="P2256" s="18">
        <f t="shared" si="378"/>
        <v>31.772602739726029</v>
      </c>
      <c r="Q2256" s="18">
        <v>0</v>
      </c>
      <c r="R2256" s="18">
        <f t="shared" si="375"/>
        <v>168.625</v>
      </c>
      <c r="S2256" s="18">
        <f t="shared" si="381"/>
        <v>0.88750000000000007</v>
      </c>
    </row>
    <row r="2257" spans="1:19" ht="18.75" customHeight="1" x14ac:dyDescent="0.25">
      <c r="A2257" s="14">
        <f t="shared" si="379"/>
        <v>2251</v>
      </c>
      <c r="B2257" s="31" t="s">
        <v>1935</v>
      </c>
      <c r="C2257" s="15" t="s">
        <v>3</v>
      </c>
      <c r="D2257" s="31" t="s">
        <v>1708</v>
      </c>
      <c r="E2257" s="31"/>
      <c r="F2257" s="73" t="s">
        <v>4</v>
      </c>
      <c r="G2257" s="32">
        <v>41200</v>
      </c>
      <c r="H2257" s="29">
        <v>4432.1260273972603</v>
      </c>
      <c r="I2257" s="17">
        <v>0</v>
      </c>
      <c r="J2257" s="17">
        <v>0</v>
      </c>
      <c r="K2257" s="17">
        <f t="shared" si="376"/>
        <v>4432.1260273972603</v>
      </c>
      <c r="L2257" s="23">
        <f t="shared" si="365"/>
        <v>221.60630136986302</v>
      </c>
      <c r="M2257" s="33">
        <v>10</v>
      </c>
      <c r="N2257" s="18">
        <f t="shared" si="377"/>
        <v>8.4602739726027405</v>
      </c>
      <c r="O2257" s="23">
        <v>430.54520547945242</v>
      </c>
      <c r="P2257" s="18">
        <f t="shared" si="378"/>
        <v>8.9616438356164387</v>
      </c>
      <c r="Q2257" s="18">
        <f t="shared" si="364"/>
        <v>211.10276982548305</v>
      </c>
      <c r="R2257" s="18">
        <f t="shared" si="375"/>
        <v>641.64797530493547</v>
      </c>
      <c r="S2257" s="18">
        <f t="shared" si="380"/>
        <v>3790.478052092325</v>
      </c>
    </row>
    <row r="2258" spans="1:19" ht="18.75" customHeight="1" x14ac:dyDescent="0.25">
      <c r="A2258" s="14">
        <f t="shared" si="379"/>
        <v>2252</v>
      </c>
      <c r="B2258" s="31" t="s">
        <v>1936</v>
      </c>
      <c r="C2258" s="15" t="s">
        <v>3</v>
      </c>
      <c r="D2258" s="31" t="s">
        <v>1708</v>
      </c>
      <c r="E2258" s="31"/>
      <c r="F2258" s="73" t="s">
        <v>4</v>
      </c>
      <c r="G2258" s="32">
        <v>32874</v>
      </c>
      <c r="H2258" s="29">
        <v>8.0500000000000114</v>
      </c>
      <c r="I2258" s="17">
        <v>0</v>
      </c>
      <c r="J2258" s="17">
        <v>0</v>
      </c>
      <c r="K2258" s="17">
        <f t="shared" si="376"/>
        <v>8.0500000000000114</v>
      </c>
      <c r="L2258" s="23">
        <f t="shared" si="365"/>
        <v>0.40250000000000058</v>
      </c>
      <c r="M2258" s="33">
        <v>10</v>
      </c>
      <c r="N2258" s="18">
        <f t="shared" si="377"/>
        <v>31.271232876712329</v>
      </c>
      <c r="O2258" s="23">
        <v>76.474999999999994</v>
      </c>
      <c r="P2258" s="18">
        <f t="shared" si="378"/>
        <v>31.772602739726029</v>
      </c>
      <c r="Q2258" s="18">
        <v>0</v>
      </c>
      <c r="R2258" s="18">
        <f t="shared" si="375"/>
        <v>76.474999999999994</v>
      </c>
      <c r="S2258" s="18">
        <f t="shared" ref="S2258:S2274" si="382">L2258</f>
        <v>0.40250000000000058</v>
      </c>
    </row>
    <row r="2259" spans="1:19" ht="18.75" customHeight="1" x14ac:dyDescent="0.25">
      <c r="A2259" s="14">
        <f t="shared" si="379"/>
        <v>2253</v>
      </c>
      <c r="B2259" s="31" t="s">
        <v>1937</v>
      </c>
      <c r="C2259" s="15" t="s">
        <v>3</v>
      </c>
      <c r="D2259" s="31" t="s">
        <v>1708</v>
      </c>
      <c r="E2259" s="31"/>
      <c r="F2259" s="73" t="s">
        <v>4</v>
      </c>
      <c r="G2259" s="32">
        <v>33137</v>
      </c>
      <c r="H2259" s="29">
        <v>125</v>
      </c>
      <c r="I2259" s="17">
        <v>0</v>
      </c>
      <c r="J2259" s="17">
        <v>0</v>
      </c>
      <c r="K2259" s="17">
        <f t="shared" si="376"/>
        <v>125</v>
      </c>
      <c r="L2259" s="23">
        <f t="shared" si="365"/>
        <v>6.25</v>
      </c>
      <c r="M2259" s="33">
        <v>10</v>
      </c>
      <c r="N2259" s="18">
        <f t="shared" si="377"/>
        <v>30.550684931506851</v>
      </c>
      <c r="O2259" s="23">
        <v>1187.5</v>
      </c>
      <c r="P2259" s="18">
        <f t="shared" si="378"/>
        <v>31.052054794520547</v>
      </c>
      <c r="Q2259" s="18">
        <v>0</v>
      </c>
      <c r="R2259" s="18">
        <f t="shared" si="375"/>
        <v>1187.5</v>
      </c>
      <c r="S2259" s="18">
        <f t="shared" si="382"/>
        <v>6.25</v>
      </c>
    </row>
    <row r="2260" spans="1:19" ht="18.75" customHeight="1" x14ac:dyDescent="0.25">
      <c r="A2260" s="14">
        <f t="shared" si="379"/>
        <v>2254</v>
      </c>
      <c r="B2260" s="31" t="s">
        <v>1801</v>
      </c>
      <c r="C2260" s="15" t="s">
        <v>3</v>
      </c>
      <c r="D2260" s="31" t="s">
        <v>1708</v>
      </c>
      <c r="E2260" s="31"/>
      <c r="F2260" s="73" t="s">
        <v>4</v>
      </c>
      <c r="G2260" s="32">
        <v>39448</v>
      </c>
      <c r="H2260" s="29">
        <v>319.91650000000027</v>
      </c>
      <c r="I2260" s="17">
        <v>0</v>
      </c>
      <c r="J2260" s="17">
        <v>0</v>
      </c>
      <c r="K2260" s="17">
        <f t="shared" si="376"/>
        <v>319.91650000000027</v>
      </c>
      <c r="L2260" s="23">
        <f t="shared" si="365"/>
        <v>15.995825000000014</v>
      </c>
      <c r="M2260" s="33">
        <v>10</v>
      </c>
      <c r="N2260" s="18">
        <f t="shared" si="377"/>
        <v>13.260273972602739</v>
      </c>
      <c r="O2260" s="23">
        <v>3039.2067499999998</v>
      </c>
      <c r="P2260" s="18">
        <f t="shared" si="378"/>
        <v>13.761643835616438</v>
      </c>
      <c r="Q2260" s="18">
        <v>0</v>
      </c>
      <c r="R2260" s="18">
        <f t="shared" si="375"/>
        <v>3039.2067499999998</v>
      </c>
      <c r="S2260" s="18">
        <f t="shared" si="382"/>
        <v>15.995825000000014</v>
      </c>
    </row>
    <row r="2261" spans="1:19" ht="18.75" customHeight="1" x14ac:dyDescent="0.25">
      <c r="A2261" s="14">
        <f t="shared" si="379"/>
        <v>2255</v>
      </c>
      <c r="B2261" s="31" t="s">
        <v>1809</v>
      </c>
      <c r="C2261" s="15" t="s">
        <v>3</v>
      </c>
      <c r="D2261" s="31" t="s">
        <v>1708</v>
      </c>
      <c r="E2261" s="31"/>
      <c r="F2261" s="73" t="s">
        <v>4</v>
      </c>
      <c r="G2261" s="32">
        <v>33207</v>
      </c>
      <c r="H2261" s="29">
        <v>220.75</v>
      </c>
      <c r="I2261" s="17">
        <v>0</v>
      </c>
      <c r="J2261" s="17">
        <v>0</v>
      </c>
      <c r="K2261" s="17">
        <f t="shared" si="376"/>
        <v>220.75</v>
      </c>
      <c r="L2261" s="23">
        <f t="shared" si="365"/>
        <v>11.037500000000001</v>
      </c>
      <c r="M2261" s="33">
        <v>10</v>
      </c>
      <c r="N2261" s="18">
        <f t="shared" si="377"/>
        <v>30.358904109589041</v>
      </c>
      <c r="O2261" s="23">
        <v>2097.125</v>
      </c>
      <c r="P2261" s="18">
        <f t="shared" si="378"/>
        <v>30.860273972602741</v>
      </c>
      <c r="Q2261" s="18">
        <v>0</v>
      </c>
      <c r="R2261" s="18">
        <f t="shared" si="375"/>
        <v>2097.125</v>
      </c>
      <c r="S2261" s="18">
        <f t="shared" si="382"/>
        <v>11.037500000000001</v>
      </c>
    </row>
    <row r="2262" spans="1:19" ht="18.75" customHeight="1" x14ac:dyDescent="0.25">
      <c r="A2262" s="14">
        <f t="shared" si="379"/>
        <v>2256</v>
      </c>
      <c r="B2262" s="31" t="s">
        <v>1774</v>
      </c>
      <c r="C2262" s="15" t="s">
        <v>3</v>
      </c>
      <c r="D2262" s="31" t="s">
        <v>1708</v>
      </c>
      <c r="E2262" s="31"/>
      <c r="F2262" s="73" t="s">
        <v>4</v>
      </c>
      <c r="G2262" s="32">
        <v>41379</v>
      </c>
      <c r="H2262" s="29">
        <v>305.29050000000007</v>
      </c>
      <c r="I2262" s="17">
        <v>0</v>
      </c>
      <c r="J2262" s="17">
        <v>0</v>
      </c>
      <c r="K2262" s="17">
        <f t="shared" si="376"/>
        <v>305.29050000000007</v>
      </c>
      <c r="L2262" s="23">
        <f t="shared" si="365"/>
        <v>15.264525000000004</v>
      </c>
      <c r="M2262" s="33">
        <v>5</v>
      </c>
      <c r="N2262" s="18">
        <f t="shared" si="377"/>
        <v>7.9698630136986299</v>
      </c>
      <c r="O2262" s="23">
        <v>2900.2597500000002</v>
      </c>
      <c r="P2262" s="18">
        <f t="shared" si="378"/>
        <v>8.4712328767123282</v>
      </c>
      <c r="Q2262" s="18">
        <v>0</v>
      </c>
      <c r="R2262" s="18">
        <f t="shared" si="375"/>
        <v>2900.2597500000002</v>
      </c>
      <c r="S2262" s="18">
        <f t="shared" si="382"/>
        <v>15.264525000000004</v>
      </c>
    </row>
    <row r="2263" spans="1:19" ht="18.75" customHeight="1" x14ac:dyDescent="0.25">
      <c r="A2263" s="14">
        <f t="shared" si="379"/>
        <v>2257</v>
      </c>
      <c r="B2263" s="31" t="s">
        <v>1938</v>
      </c>
      <c r="C2263" s="15" t="s">
        <v>3</v>
      </c>
      <c r="D2263" s="31" t="s">
        <v>1708</v>
      </c>
      <c r="E2263" s="31"/>
      <c r="F2263" s="73" t="s">
        <v>4</v>
      </c>
      <c r="G2263" s="32">
        <v>40862</v>
      </c>
      <c r="H2263" s="29">
        <v>3510.1232876712334</v>
      </c>
      <c r="I2263" s="17">
        <v>0</v>
      </c>
      <c r="J2263" s="17">
        <v>0</v>
      </c>
      <c r="K2263" s="17">
        <f t="shared" si="376"/>
        <v>3510.1232876712334</v>
      </c>
      <c r="L2263" s="23">
        <f t="shared" ref="L2263:L2326" si="383">H2263*0.05</f>
        <v>175.50616438356167</v>
      </c>
      <c r="M2263" s="33">
        <v>10</v>
      </c>
      <c r="N2263" s="18">
        <f t="shared" si="377"/>
        <v>9.3863013698630144</v>
      </c>
      <c r="O2263" s="23">
        <v>24345.991219178079</v>
      </c>
      <c r="P2263" s="18">
        <f t="shared" si="378"/>
        <v>9.8876712328767127</v>
      </c>
      <c r="Q2263" s="18">
        <f t="shared" ref="Q2263:Q2325" si="384">(P2263-N2263)/M2263*(K2263-L2263)</f>
        <v>167.18765303058726</v>
      </c>
      <c r="R2263" s="18">
        <f t="shared" si="375"/>
        <v>24513.178872208668</v>
      </c>
      <c r="S2263" s="18">
        <f t="shared" si="382"/>
        <v>175.50616438356167</v>
      </c>
    </row>
    <row r="2264" spans="1:19" ht="18.75" customHeight="1" x14ac:dyDescent="0.25">
      <c r="A2264" s="14">
        <f t="shared" si="379"/>
        <v>2258</v>
      </c>
      <c r="B2264" s="31" t="s">
        <v>1939</v>
      </c>
      <c r="C2264" s="15" t="s">
        <v>3</v>
      </c>
      <c r="D2264" s="31" t="s">
        <v>1708</v>
      </c>
      <c r="E2264" s="31"/>
      <c r="F2264" s="73" t="s">
        <v>4</v>
      </c>
      <c r="G2264" s="32">
        <v>40252</v>
      </c>
      <c r="H2264" s="29">
        <v>300</v>
      </c>
      <c r="I2264" s="17">
        <v>0</v>
      </c>
      <c r="J2264" s="17">
        <v>0</v>
      </c>
      <c r="K2264" s="17">
        <f t="shared" si="376"/>
        <v>300</v>
      </c>
      <c r="L2264" s="23">
        <f t="shared" si="383"/>
        <v>15</v>
      </c>
      <c r="M2264" s="33">
        <v>10</v>
      </c>
      <c r="N2264" s="18">
        <f t="shared" si="377"/>
        <v>11.057534246575342</v>
      </c>
      <c r="O2264" s="23">
        <v>2850</v>
      </c>
      <c r="P2264" s="18">
        <f t="shared" si="378"/>
        <v>11.558904109589042</v>
      </c>
      <c r="Q2264" s="18">
        <v>0</v>
      </c>
      <c r="R2264" s="18">
        <f t="shared" si="375"/>
        <v>2850</v>
      </c>
      <c r="S2264" s="18">
        <f t="shared" si="382"/>
        <v>15</v>
      </c>
    </row>
    <row r="2265" spans="1:19" ht="18.75" customHeight="1" x14ac:dyDescent="0.25">
      <c r="A2265" s="14">
        <f t="shared" si="379"/>
        <v>2259</v>
      </c>
      <c r="B2265" s="31" t="s">
        <v>1854</v>
      </c>
      <c r="C2265" s="15" t="s">
        <v>3</v>
      </c>
      <c r="D2265" s="31" t="s">
        <v>1708</v>
      </c>
      <c r="E2265" s="31"/>
      <c r="F2265" s="73" t="s">
        <v>4</v>
      </c>
      <c r="G2265" s="32">
        <v>41348</v>
      </c>
      <c r="H2265" s="29">
        <v>4260.3287671232874</v>
      </c>
      <c r="I2265" s="17">
        <v>0</v>
      </c>
      <c r="J2265" s="17">
        <v>0</v>
      </c>
      <c r="K2265" s="17">
        <f t="shared" si="376"/>
        <v>4260.3287671232874</v>
      </c>
      <c r="L2265" s="23">
        <f t="shared" si="383"/>
        <v>213.01643835616437</v>
      </c>
      <c r="M2265" s="33">
        <v>10</v>
      </c>
      <c r="N2265" s="18">
        <f t="shared" si="377"/>
        <v>8.0547945205479454</v>
      </c>
      <c r="O2265" s="23">
        <v>15033.860356164381</v>
      </c>
      <c r="P2265" s="18">
        <f t="shared" si="378"/>
        <v>8.5561643835616437</v>
      </c>
      <c r="Q2265" s="18">
        <f t="shared" si="384"/>
        <v>202.92004278476247</v>
      </c>
      <c r="R2265" s="18">
        <f t="shared" si="375"/>
        <v>15236.780398949144</v>
      </c>
      <c r="S2265" s="18">
        <f t="shared" si="382"/>
        <v>213.01643835616437</v>
      </c>
    </row>
    <row r="2266" spans="1:19" ht="18.75" customHeight="1" x14ac:dyDescent="0.25">
      <c r="A2266" s="14">
        <f t="shared" si="379"/>
        <v>2260</v>
      </c>
      <c r="B2266" s="31" t="s">
        <v>1940</v>
      </c>
      <c r="C2266" s="15" t="s">
        <v>3</v>
      </c>
      <c r="D2266" s="31" t="s">
        <v>1708</v>
      </c>
      <c r="E2266" s="31"/>
      <c r="F2266" s="73" t="s">
        <v>4</v>
      </c>
      <c r="G2266" s="32">
        <v>33269</v>
      </c>
      <c r="H2266" s="29">
        <v>21.449999999999989</v>
      </c>
      <c r="I2266" s="17">
        <v>0</v>
      </c>
      <c r="J2266" s="17">
        <v>0</v>
      </c>
      <c r="K2266" s="17">
        <f t="shared" si="376"/>
        <v>21.449999999999989</v>
      </c>
      <c r="L2266" s="23">
        <f t="shared" si="383"/>
        <v>1.0724999999999996</v>
      </c>
      <c r="M2266" s="33">
        <v>10</v>
      </c>
      <c r="N2266" s="18">
        <f t="shared" si="377"/>
        <v>30.18904109589041</v>
      </c>
      <c r="O2266" s="23">
        <v>203.77500000000001</v>
      </c>
      <c r="P2266" s="18">
        <f t="shared" si="378"/>
        <v>30.69041095890411</v>
      </c>
      <c r="Q2266" s="18">
        <v>0</v>
      </c>
      <c r="R2266" s="18">
        <f t="shared" si="375"/>
        <v>203.77500000000001</v>
      </c>
      <c r="S2266" s="18">
        <f t="shared" si="382"/>
        <v>1.0724999999999996</v>
      </c>
    </row>
    <row r="2267" spans="1:19" ht="18.75" customHeight="1" x14ac:dyDescent="0.25">
      <c r="A2267" s="14">
        <f t="shared" si="379"/>
        <v>2261</v>
      </c>
      <c r="B2267" s="31" t="s">
        <v>1941</v>
      </c>
      <c r="C2267" s="15" t="s">
        <v>3</v>
      </c>
      <c r="D2267" s="31" t="s">
        <v>1708</v>
      </c>
      <c r="E2267" s="31"/>
      <c r="F2267" s="73" t="s">
        <v>4</v>
      </c>
      <c r="G2267" s="32">
        <v>40313</v>
      </c>
      <c r="H2267" s="29">
        <v>2584.9774520547944</v>
      </c>
      <c r="I2267" s="17">
        <v>0</v>
      </c>
      <c r="J2267" s="17">
        <v>0</v>
      </c>
      <c r="K2267" s="17">
        <f t="shared" si="376"/>
        <v>2584.9774520547944</v>
      </c>
      <c r="L2267" s="23">
        <f t="shared" si="383"/>
        <v>129.24887260273974</v>
      </c>
      <c r="M2267" s="33">
        <v>10</v>
      </c>
      <c r="N2267" s="18">
        <f t="shared" si="377"/>
        <v>10.890410958904109</v>
      </c>
      <c r="O2267" s="23">
        <v>7296.388224657534</v>
      </c>
      <c r="P2267" s="18">
        <f t="shared" si="378"/>
        <v>11.391780821917807</v>
      </c>
      <c r="Q2267" s="18">
        <v>0</v>
      </c>
      <c r="R2267" s="18">
        <f t="shared" si="375"/>
        <v>7296.388224657534</v>
      </c>
      <c r="S2267" s="18">
        <f t="shared" si="382"/>
        <v>129.24887260273974</v>
      </c>
    </row>
    <row r="2268" spans="1:19" ht="18.75" customHeight="1" x14ac:dyDescent="0.25">
      <c r="A2268" s="14">
        <f t="shared" si="379"/>
        <v>2262</v>
      </c>
      <c r="B2268" s="31" t="s">
        <v>1942</v>
      </c>
      <c r="C2268" s="15" t="s">
        <v>3</v>
      </c>
      <c r="D2268" s="31" t="s">
        <v>1708</v>
      </c>
      <c r="E2268" s="31"/>
      <c r="F2268" s="73" t="s">
        <v>4</v>
      </c>
      <c r="G2268" s="32">
        <v>41258</v>
      </c>
      <c r="H2268" s="29">
        <v>4024.1401101369861</v>
      </c>
      <c r="I2268" s="17">
        <v>0</v>
      </c>
      <c r="J2268" s="17">
        <v>0</v>
      </c>
      <c r="K2268" s="17">
        <f t="shared" si="376"/>
        <v>4024.1401101369861</v>
      </c>
      <c r="L2268" s="23">
        <f t="shared" si="383"/>
        <v>201.20700550684933</v>
      </c>
      <c r="M2268" s="33">
        <v>10</v>
      </c>
      <c r="N2268" s="18">
        <f t="shared" si="377"/>
        <v>8.3013698630136989</v>
      </c>
      <c r="O2268" s="23">
        <v>6770.3141596438363</v>
      </c>
      <c r="P2268" s="18">
        <f t="shared" si="378"/>
        <v>8.8027397260273972</v>
      </c>
      <c r="Q2268" s="18">
        <f t="shared" si="384"/>
        <v>191.67034469789439</v>
      </c>
      <c r="R2268" s="18">
        <f t="shared" si="375"/>
        <v>6961.9845043417308</v>
      </c>
      <c r="S2268" s="18">
        <f t="shared" si="382"/>
        <v>201.20700550684933</v>
      </c>
    </row>
    <row r="2269" spans="1:19" ht="18.75" customHeight="1" x14ac:dyDescent="0.25">
      <c r="A2269" s="14">
        <f t="shared" si="379"/>
        <v>2263</v>
      </c>
      <c r="B2269" s="31" t="s">
        <v>1943</v>
      </c>
      <c r="C2269" s="15" t="s">
        <v>3</v>
      </c>
      <c r="D2269" s="31" t="s">
        <v>1708</v>
      </c>
      <c r="E2269" s="31"/>
      <c r="F2269" s="73" t="s">
        <v>4</v>
      </c>
      <c r="G2269" s="32">
        <v>33269</v>
      </c>
      <c r="H2269" s="29">
        <v>9.25</v>
      </c>
      <c r="I2269" s="17">
        <v>0</v>
      </c>
      <c r="J2269" s="17">
        <v>0</v>
      </c>
      <c r="K2269" s="17">
        <f t="shared" si="376"/>
        <v>9.25</v>
      </c>
      <c r="L2269" s="23">
        <f t="shared" si="383"/>
        <v>0.46250000000000002</v>
      </c>
      <c r="M2269" s="33">
        <v>10</v>
      </c>
      <c r="N2269" s="18">
        <f t="shared" si="377"/>
        <v>30.18904109589041</v>
      </c>
      <c r="O2269" s="23">
        <v>87.875</v>
      </c>
      <c r="P2269" s="18">
        <f t="shared" si="378"/>
        <v>30.69041095890411</v>
      </c>
      <c r="Q2269" s="18">
        <v>0</v>
      </c>
      <c r="R2269" s="18">
        <f t="shared" si="375"/>
        <v>87.875</v>
      </c>
      <c r="S2269" s="18">
        <f t="shared" si="382"/>
        <v>0.46250000000000002</v>
      </c>
    </row>
    <row r="2270" spans="1:19" ht="18.75" customHeight="1" x14ac:dyDescent="0.25">
      <c r="A2270" s="14">
        <f t="shared" si="379"/>
        <v>2264</v>
      </c>
      <c r="B2270" s="31" t="s">
        <v>1944</v>
      </c>
      <c r="C2270" s="15" t="s">
        <v>3</v>
      </c>
      <c r="D2270" s="31" t="s">
        <v>1708</v>
      </c>
      <c r="E2270" s="31"/>
      <c r="F2270" s="73" t="s">
        <v>4</v>
      </c>
      <c r="G2270" s="32">
        <v>33678</v>
      </c>
      <c r="H2270" s="29">
        <v>213.15000000000009</v>
      </c>
      <c r="I2270" s="17">
        <v>0</v>
      </c>
      <c r="J2270" s="17">
        <v>0</v>
      </c>
      <c r="K2270" s="17">
        <f t="shared" si="376"/>
        <v>213.15000000000009</v>
      </c>
      <c r="L2270" s="23">
        <f t="shared" si="383"/>
        <v>10.657500000000006</v>
      </c>
      <c r="M2270" s="33">
        <v>10</v>
      </c>
      <c r="N2270" s="18">
        <f t="shared" si="377"/>
        <v>29.068493150684933</v>
      </c>
      <c r="O2270" s="23">
        <v>2024.925</v>
      </c>
      <c r="P2270" s="18">
        <f t="shared" si="378"/>
        <v>29.56986301369863</v>
      </c>
      <c r="Q2270" s="18">
        <v>0</v>
      </c>
      <c r="R2270" s="18">
        <f t="shared" si="375"/>
        <v>2024.925</v>
      </c>
      <c r="S2270" s="18">
        <f t="shared" si="382"/>
        <v>10.657500000000006</v>
      </c>
    </row>
    <row r="2271" spans="1:19" ht="18.75" customHeight="1" x14ac:dyDescent="0.25">
      <c r="A2271" s="14">
        <f t="shared" si="379"/>
        <v>2265</v>
      </c>
      <c r="B2271" s="31" t="s">
        <v>1939</v>
      </c>
      <c r="C2271" s="15" t="s">
        <v>3</v>
      </c>
      <c r="D2271" s="31" t="s">
        <v>1708</v>
      </c>
      <c r="E2271" s="31"/>
      <c r="F2271" s="73" t="s">
        <v>4</v>
      </c>
      <c r="G2271" s="32">
        <v>40101</v>
      </c>
      <c r="H2271" s="29">
        <v>286.64999999999964</v>
      </c>
      <c r="I2271" s="17">
        <v>0</v>
      </c>
      <c r="J2271" s="17">
        <v>0</v>
      </c>
      <c r="K2271" s="17">
        <f t="shared" si="376"/>
        <v>286.64999999999964</v>
      </c>
      <c r="L2271" s="23">
        <f t="shared" si="383"/>
        <v>14.332499999999982</v>
      </c>
      <c r="M2271" s="33">
        <v>10</v>
      </c>
      <c r="N2271" s="18">
        <f t="shared" si="377"/>
        <v>11.471232876712328</v>
      </c>
      <c r="O2271" s="23">
        <v>2723.1750000000002</v>
      </c>
      <c r="P2271" s="18">
        <f t="shared" si="378"/>
        <v>11.972602739726028</v>
      </c>
      <c r="Q2271" s="18">
        <v>0</v>
      </c>
      <c r="R2271" s="18">
        <f t="shared" si="375"/>
        <v>2723.1750000000002</v>
      </c>
      <c r="S2271" s="18">
        <f t="shared" si="382"/>
        <v>14.332499999999982</v>
      </c>
    </row>
    <row r="2272" spans="1:19" ht="18.75" customHeight="1" x14ac:dyDescent="0.25">
      <c r="A2272" s="14">
        <f t="shared" si="379"/>
        <v>2266</v>
      </c>
      <c r="B2272" s="31" t="s">
        <v>1945</v>
      </c>
      <c r="C2272" s="15" t="s">
        <v>3</v>
      </c>
      <c r="D2272" s="31" t="s">
        <v>1708</v>
      </c>
      <c r="E2272" s="31"/>
      <c r="F2272" s="73" t="s">
        <v>4</v>
      </c>
      <c r="G2272" s="32">
        <v>33312</v>
      </c>
      <c r="H2272" s="29">
        <v>325</v>
      </c>
      <c r="I2272" s="17">
        <v>0</v>
      </c>
      <c r="J2272" s="17">
        <v>0</v>
      </c>
      <c r="K2272" s="17">
        <f t="shared" si="376"/>
        <v>325</v>
      </c>
      <c r="L2272" s="23">
        <f t="shared" si="383"/>
        <v>16.25</v>
      </c>
      <c r="M2272" s="33">
        <v>10</v>
      </c>
      <c r="N2272" s="18">
        <f t="shared" si="377"/>
        <v>30.07123287671233</v>
      </c>
      <c r="O2272" s="23">
        <v>3087.5</v>
      </c>
      <c r="P2272" s="18">
        <f t="shared" si="378"/>
        <v>30.572602739726026</v>
      </c>
      <c r="Q2272" s="18">
        <v>0</v>
      </c>
      <c r="R2272" s="18">
        <f t="shared" si="375"/>
        <v>3087.5</v>
      </c>
      <c r="S2272" s="18">
        <f t="shared" si="382"/>
        <v>16.25</v>
      </c>
    </row>
    <row r="2273" spans="1:19" ht="18.75" customHeight="1" x14ac:dyDescent="0.25">
      <c r="A2273" s="14">
        <f t="shared" si="379"/>
        <v>2267</v>
      </c>
      <c r="B2273" s="31" t="s">
        <v>1946</v>
      </c>
      <c r="C2273" s="15" t="s">
        <v>3</v>
      </c>
      <c r="D2273" s="31" t="s">
        <v>1708</v>
      </c>
      <c r="E2273" s="31"/>
      <c r="F2273" s="73" t="s">
        <v>4</v>
      </c>
      <c r="G2273" s="32">
        <v>33312</v>
      </c>
      <c r="H2273" s="29">
        <v>109.40000000000009</v>
      </c>
      <c r="I2273" s="17">
        <v>0</v>
      </c>
      <c r="J2273" s="17">
        <v>0</v>
      </c>
      <c r="K2273" s="17">
        <f t="shared" si="376"/>
        <v>109.40000000000009</v>
      </c>
      <c r="L2273" s="23">
        <f t="shared" si="383"/>
        <v>5.4700000000000051</v>
      </c>
      <c r="M2273" s="33">
        <v>10</v>
      </c>
      <c r="N2273" s="18">
        <f t="shared" si="377"/>
        <v>30.07123287671233</v>
      </c>
      <c r="O2273" s="23">
        <v>1039.3</v>
      </c>
      <c r="P2273" s="18">
        <f t="shared" si="378"/>
        <v>30.572602739726026</v>
      </c>
      <c r="Q2273" s="18">
        <v>0</v>
      </c>
      <c r="R2273" s="18">
        <f t="shared" si="375"/>
        <v>1039.3</v>
      </c>
      <c r="S2273" s="18">
        <f t="shared" si="382"/>
        <v>5.4700000000000051</v>
      </c>
    </row>
    <row r="2274" spans="1:19" ht="18.75" customHeight="1" x14ac:dyDescent="0.25">
      <c r="A2274" s="14">
        <f t="shared" si="379"/>
        <v>2268</v>
      </c>
      <c r="B2274" s="31" t="s">
        <v>1904</v>
      </c>
      <c r="C2274" s="15" t="s">
        <v>3</v>
      </c>
      <c r="D2274" s="31" t="s">
        <v>1708</v>
      </c>
      <c r="E2274" s="31"/>
      <c r="F2274" s="73" t="s">
        <v>4</v>
      </c>
      <c r="G2274" s="32">
        <v>39340</v>
      </c>
      <c r="H2274" s="29">
        <v>275</v>
      </c>
      <c r="I2274" s="17">
        <v>0</v>
      </c>
      <c r="J2274" s="17">
        <v>0</v>
      </c>
      <c r="K2274" s="17">
        <f t="shared" si="376"/>
        <v>275</v>
      </c>
      <c r="L2274" s="23">
        <f t="shared" si="383"/>
        <v>13.75</v>
      </c>
      <c r="M2274" s="33">
        <v>10</v>
      </c>
      <c r="N2274" s="18">
        <f t="shared" si="377"/>
        <v>13.556164383561644</v>
      </c>
      <c r="O2274" s="23">
        <v>2612.5</v>
      </c>
      <c r="P2274" s="18">
        <f t="shared" si="378"/>
        <v>14.057534246575342</v>
      </c>
      <c r="Q2274" s="18">
        <v>0</v>
      </c>
      <c r="R2274" s="18">
        <f t="shared" si="375"/>
        <v>2612.5</v>
      </c>
      <c r="S2274" s="18">
        <f t="shared" si="382"/>
        <v>13.75</v>
      </c>
    </row>
    <row r="2275" spans="1:19" ht="18.75" customHeight="1" x14ac:dyDescent="0.25">
      <c r="A2275" s="14">
        <f t="shared" si="379"/>
        <v>2269</v>
      </c>
      <c r="B2275" s="31" t="s">
        <v>1947</v>
      </c>
      <c r="C2275" s="15" t="s">
        <v>3</v>
      </c>
      <c r="D2275" s="31" t="s">
        <v>1708</v>
      </c>
      <c r="E2275" s="31"/>
      <c r="F2275" s="73" t="s">
        <v>4</v>
      </c>
      <c r="G2275" s="32">
        <v>40709</v>
      </c>
      <c r="H2275" s="29">
        <v>2982.9561369863018</v>
      </c>
      <c r="I2275" s="17">
        <v>0</v>
      </c>
      <c r="J2275" s="17">
        <v>0</v>
      </c>
      <c r="K2275" s="17">
        <f t="shared" si="376"/>
        <v>2982.9561369863018</v>
      </c>
      <c r="L2275" s="23">
        <f t="shared" si="383"/>
        <v>149.14780684931509</v>
      </c>
      <c r="M2275" s="33">
        <v>10</v>
      </c>
      <c r="N2275" s="18">
        <f t="shared" si="377"/>
        <v>9.8054794520547937</v>
      </c>
      <c r="O2275" s="23">
        <v>354.49164109589043</v>
      </c>
      <c r="P2275" s="18">
        <f t="shared" si="378"/>
        <v>10.306849315068494</v>
      </c>
      <c r="Q2275" s="18">
        <v>0</v>
      </c>
      <c r="R2275" s="18">
        <f t="shared" si="375"/>
        <v>354.49164109589043</v>
      </c>
      <c r="S2275" s="18">
        <f t="shared" si="380"/>
        <v>2628.4644958904114</v>
      </c>
    </row>
    <row r="2276" spans="1:19" ht="18.75" customHeight="1" x14ac:dyDescent="0.25">
      <c r="A2276" s="14">
        <f t="shared" si="379"/>
        <v>2270</v>
      </c>
      <c r="B2276" s="31" t="s">
        <v>1948</v>
      </c>
      <c r="C2276" s="15" t="s">
        <v>3</v>
      </c>
      <c r="D2276" s="31" t="s">
        <v>1708</v>
      </c>
      <c r="E2276" s="31"/>
      <c r="F2276" s="73" t="s">
        <v>4</v>
      </c>
      <c r="G2276" s="32">
        <v>41228</v>
      </c>
      <c r="H2276" s="29">
        <v>3605.8612980821913</v>
      </c>
      <c r="I2276" s="17">
        <v>0</v>
      </c>
      <c r="J2276" s="17">
        <v>0</v>
      </c>
      <c r="K2276" s="17">
        <f t="shared" si="376"/>
        <v>3605.8612980821913</v>
      </c>
      <c r="L2276" s="23">
        <f t="shared" si="383"/>
        <v>180.29306490410957</v>
      </c>
      <c r="M2276" s="33">
        <v>10</v>
      </c>
      <c r="N2276" s="18">
        <f t="shared" si="377"/>
        <v>8.3835616438356162</v>
      </c>
      <c r="O2276" s="23">
        <v>52018.909169534265</v>
      </c>
      <c r="P2276" s="18">
        <f t="shared" si="378"/>
        <v>8.8849315068493144</v>
      </c>
      <c r="Q2276" s="18">
        <f t="shared" si="384"/>
        <v>171.74766758125713</v>
      </c>
      <c r="R2276" s="18">
        <f t="shared" si="375"/>
        <v>52190.656837115523</v>
      </c>
      <c r="S2276" s="18">
        <f t="shared" ref="S2276:S2287" si="385">L2276</f>
        <v>180.29306490410957</v>
      </c>
    </row>
    <row r="2277" spans="1:19" ht="18.75" customHeight="1" x14ac:dyDescent="0.25">
      <c r="A2277" s="14">
        <f t="shared" si="379"/>
        <v>2271</v>
      </c>
      <c r="B2277" s="31" t="s">
        <v>1949</v>
      </c>
      <c r="C2277" s="15" t="s">
        <v>3</v>
      </c>
      <c r="D2277" s="31" t="s">
        <v>1708</v>
      </c>
      <c r="E2277" s="31"/>
      <c r="F2277" s="73" t="s">
        <v>4</v>
      </c>
      <c r="G2277" s="32">
        <v>33694</v>
      </c>
      <c r="H2277" s="29">
        <v>276</v>
      </c>
      <c r="I2277" s="17">
        <v>0</v>
      </c>
      <c r="J2277" s="17">
        <v>0</v>
      </c>
      <c r="K2277" s="17">
        <f t="shared" si="376"/>
        <v>276</v>
      </c>
      <c r="L2277" s="23">
        <f t="shared" si="383"/>
        <v>13.8</v>
      </c>
      <c r="M2277" s="33">
        <v>10</v>
      </c>
      <c r="N2277" s="18">
        <f t="shared" si="377"/>
        <v>29.024657534246575</v>
      </c>
      <c r="O2277" s="23">
        <v>2622</v>
      </c>
      <c r="P2277" s="18">
        <f t="shared" si="378"/>
        <v>29.526027397260275</v>
      </c>
      <c r="Q2277" s="18">
        <v>0</v>
      </c>
      <c r="R2277" s="18">
        <f t="shared" si="375"/>
        <v>2622</v>
      </c>
      <c r="S2277" s="18">
        <f t="shared" si="385"/>
        <v>13.8</v>
      </c>
    </row>
    <row r="2278" spans="1:19" ht="18.75" customHeight="1" x14ac:dyDescent="0.25">
      <c r="A2278" s="14">
        <f t="shared" si="379"/>
        <v>2272</v>
      </c>
      <c r="B2278" s="31" t="s">
        <v>1950</v>
      </c>
      <c r="C2278" s="15" t="s">
        <v>3</v>
      </c>
      <c r="D2278" s="31" t="s">
        <v>1708</v>
      </c>
      <c r="E2278" s="31"/>
      <c r="F2278" s="73" t="s">
        <v>4</v>
      </c>
      <c r="G2278" s="32">
        <v>33694</v>
      </c>
      <c r="H2278" s="29">
        <v>235.55000000000018</v>
      </c>
      <c r="I2278" s="17">
        <v>0</v>
      </c>
      <c r="J2278" s="17">
        <v>0</v>
      </c>
      <c r="K2278" s="17">
        <f t="shared" si="376"/>
        <v>235.55000000000018</v>
      </c>
      <c r="L2278" s="23">
        <f t="shared" si="383"/>
        <v>11.777500000000011</v>
      </c>
      <c r="M2278" s="33">
        <v>5</v>
      </c>
      <c r="N2278" s="18">
        <f t="shared" si="377"/>
        <v>29.024657534246575</v>
      </c>
      <c r="O2278" s="23">
        <v>2237.7249999999999</v>
      </c>
      <c r="P2278" s="18">
        <f t="shared" si="378"/>
        <v>29.526027397260275</v>
      </c>
      <c r="Q2278" s="18">
        <v>0</v>
      </c>
      <c r="R2278" s="18">
        <f t="shared" si="375"/>
        <v>2237.7249999999999</v>
      </c>
      <c r="S2278" s="18">
        <f t="shared" si="385"/>
        <v>11.777500000000011</v>
      </c>
    </row>
    <row r="2279" spans="1:19" ht="18.75" customHeight="1" x14ac:dyDescent="0.25">
      <c r="A2279" s="14">
        <f t="shared" si="379"/>
        <v>2273</v>
      </c>
      <c r="B2279" s="31" t="s">
        <v>1951</v>
      </c>
      <c r="C2279" s="15" t="s">
        <v>3</v>
      </c>
      <c r="D2279" s="31" t="s">
        <v>1708</v>
      </c>
      <c r="E2279" s="31"/>
      <c r="F2279" s="73" t="s">
        <v>4</v>
      </c>
      <c r="G2279" s="32">
        <v>40344</v>
      </c>
      <c r="H2279" s="29">
        <v>2366.2763736986303</v>
      </c>
      <c r="I2279" s="17">
        <v>0</v>
      </c>
      <c r="J2279" s="17">
        <v>0</v>
      </c>
      <c r="K2279" s="17">
        <f t="shared" si="376"/>
        <v>2366.2763736986303</v>
      </c>
      <c r="L2279" s="23">
        <f t="shared" si="383"/>
        <v>118.31381868493152</v>
      </c>
      <c r="M2279" s="33">
        <v>10</v>
      </c>
      <c r="N2279" s="18">
        <f t="shared" si="377"/>
        <v>10.805479452054794</v>
      </c>
      <c r="O2279" s="23">
        <v>13938.849782575342</v>
      </c>
      <c r="P2279" s="18">
        <f t="shared" si="378"/>
        <v>11.306849315068494</v>
      </c>
      <c r="Q2279" s="18">
        <v>0</v>
      </c>
      <c r="R2279" s="18">
        <f t="shared" si="375"/>
        <v>13938.849782575342</v>
      </c>
      <c r="S2279" s="18">
        <f t="shared" si="385"/>
        <v>118.31381868493152</v>
      </c>
    </row>
    <row r="2280" spans="1:19" ht="18.75" customHeight="1" x14ac:dyDescent="0.25">
      <c r="A2280" s="14">
        <f t="shared" si="379"/>
        <v>2274</v>
      </c>
      <c r="B2280" s="31" t="s">
        <v>1952</v>
      </c>
      <c r="C2280" s="15" t="s">
        <v>3</v>
      </c>
      <c r="D2280" s="31" t="s">
        <v>1708</v>
      </c>
      <c r="E2280" s="31"/>
      <c r="F2280" s="73" t="s">
        <v>4</v>
      </c>
      <c r="G2280" s="32">
        <v>33694</v>
      </c>
      <c r="H2280" s="29">
        <v>160.80000000000018</v>
      </c>
      <c r="I2280" s="17">
        <v>0</v>
      </c>
      <c r="J2280" s="17">
        <v>0</v>
      </c>
      <c r="K2280" s="17">
        <f t="shared" si="376"/>
        <v>160.80000000000018</v>
      </c>
      <c r="L2280" s="23">
        <f t="shared" si="383"/>
        <v>8.0400000000000098</v>
      </c>
      <c r="M2280" s="33">
        <v>10</v>
      </c>
      <c r="N2280" s="18">
        <f t="shared" si="377"/>
        <v>29.024657534246575</v>
      </c>
      <c r="O2280" s="23">
        <v>1527.6</v>
      </c>
      <c r="P2280" s="18">
        <f t="shared" si="378"/>
        <v>29.526027397260275</v>
      </c>
      <c r="Q2280" s="18">
        <v>0</v>
      </c>
      <c r="R2280" s="18">
        <f t="shared" si="375"/>
        <v>1527.6</v>
      </c>
      <c r="S2280" s="18">
        <f t="shared" si="385"/>
        <v>8.0400000000000098</v>
      </c>
    </row>
    <row r="2281" spans="1:19" ht="18.75" customHeight="1" x14ac:dyDescent="0.25">
      <c r="A2281" s="14">
        <f t="shared" si="379"/>
        <v>2275</v>
      </c>
      <c r="B2281" s="31" t="s">
        <v>1953</v>
      </c>
      <c r="C2281" s="15" t="s">
        <v>3</v>
      </c>
      <c r="D2281" s="31" t="s">
        <v>1708</v>
      </c>
      <c r="E2281" s="31"/>
      <c r="F2281" s="73" t="s">
        <v>4</v>
      </c>
      <c r="G2281" s="32">
        <v>33694</v>
      </c>
      <c r="H2281" s="29">
        <v>85</v>
      </c>
      <c r="I2281" s="17">
        <v>0</v>
      </c>
      <c r="J2281" s="17">
        <v>0</v>
      </c>
      <c r="K2281" s="17">
        <f t="shared" si="376"/>
        <v>85</v>
      </c>
      <c r="L2281" s="23">
        <f t="shared" si="383"/>
        <v>4.25</v>
      </c>
      <c r="M2281" s="33">
        <v>10</v>
      </c>
      <c r="N2281" s="18">
        <f t="shared" si="377"/>
        <v>29.024657534246575</v>
      </c>
      <c r="O2281" s="23">
        <v>807.5</v>
      </c>
      <c r="P2281" s="18">
        <f t="shared" si="378"/>
        <v>29.526027397260275</v>
      </c>
      <c r="Q2281" s="18">
        <v>0</v>
      </c>
      <c r="R2281" s="18">
        <f t="shared" si="375"/>
        <v>807.5</v>
      </c>
      <c r="S2281" s="18">
        <f t="shared" si="385"/>
        <v>4.25</v>
      </c>
    </row>
    <row r="2282" spans="1:19" ht="18.75" customHeight="1" x14ac:dyDescent="0.25">
      <c r="A2282" s="14">
        <f t="shared" si="379"/>
        <v>2276</v>
      </c>
      <c r="B2282" s="31" t="s">
        <v>1954</v>
      </c>
      <c r="C2282" s="15" t="s">
        <v>3</v>
      </c>
      <c r="D2282" s="31" t="s">
        <v>1708</v>
      </c>
      <c r="E2282" s="31"/>
      <c r="F2282" s="73" t="s">
        <v>4</v>
      </c>
      <c r="G2282" s="32">
        <v>33868</v>
      </c>
      <c r="H2282" s="29">
        <v>1898.5</v>
      </c>
      <c r="I2282" s="17">
        <v>0</v>
      </c>
      <c r="J2282" s="17">
        <v>0</v>
      </c>
      <c r="K2282" s="17">
        <f t="shared" si="376"/>
        <v>1898.5</v>
      </c>
      <c r="L2282" s="23">
        <f t="shared" si="383"/>
        <v>94.925000000000011</v>
      </c>
      <c r="M2282" s="33">
        <v>5</v>
      </c>
      <c r="N2282" s="18">
        <f t="shared" si="377"/>
        <v>28.547945205479451</v>
      </c>
      <c r="O2282" s="23">
        <v>18035.75</v>
      </c>
      <c r="P2282" s="18">
        <f t="shared" si="378"/>
        <v>29.049315068493151</v>
      </c>
      <c r="Q2282" s="18">
        <v>0</v>
      </c>
      <c r="R2282" s="18">
        <f t="shared" si="375"/>
        <v>18035.75</v>
      </c>
      <c r="S2282" s="18">
        <f t="shared" si="385"/>
        <v>94.925000000000011</v>
      </c>
    </row>
    <row r="2283" spans="1:19" ht="18.75" customHeight="1" x14ac:dyDescent="0.25">
      <c r="A2283" s="14">
        <f t="shared" si="379"/>
        <v>2277</v>
      </c>
      <c r="B2283" s="31" t="s">
        <v>1955</v>
      </c>
      <c r="C2283" s="15" t="s">
        <v>3</v>
      </c>
      <c r="D2283" s="31" t="s">
        <v>1708</v>
      </c>
      <c r="E2283" s="31"/>
      <c r="F2283" s="73" t="s">
        <v>4</v>
      </c>
      <c r="G2283" s="32">
        <v>40497</v>
      </c>
      <c r="H2283" s="29">
        <v>2574.7198630136991</v>
      </c>
      <c r="I2283" s="17">
        <v>0</v>
      </c>
      <c r="J2283" s="17">
        <v>0</v>
      </c>
      <c r="K2283" s="17">
        <f t="shared" si="376"/>
        <v>2574.7198630136991</v>
      </c>
      <c r="L2283" s="23">
        <f t="shared" si="383"/>
        <v>128.73599315068495</v>
      </c>
      <c r="M2283" s="33">
        <v>10</v>
      </c>
      <c r="N2283" s="18">
        <f t="shared" si="377"/>
        <v>10.386301369863014</v>
      </c>
      <c r="O2283" s="23">
        <v>8846.6069178082216</v>
      </c>
      <c r="P2283" s="18">
        <f t="shared" si="378"/>
        <v>10.887671232876713</v>
      </c>
      <c r="Q2283" s="18">
        <v>0</v>
      </c>
      <c r="R2283" s="18">
        <f t="shared" si="375"/>
        <v>8846.6069178082216</v>
      </c>
      <c r="S2283" s="18">
        <f t="shared" si="385"/>
        <v>128.73599315068495</v>
      </c>
    </row>
    <row r="2284" spans="1:19" ht="18.75" customHeight="1" x14ac:dyDescent="0.25">
      <c r="A2284" s="14">
        <f t="shared" si="379"/>
        <v>2278</v>
      </c>
      <c r="B2284" s="31" t="s">
        <v>1956</v>
      </c>
      <c r="C2284" s="15" t="s">
        <v>3</v>
      </c>
      <c r="D2284" s="31" t="s">
        <v>1708</v>
      </c>
      <c r="E2284" s="31"/>
      <c r="F2284" s="73" t="s">
        <v>4</v>
      </c>
      <c r="G2284" s="32">
        <v>33312</v>
      </c>
      <c r="H2284" s="29">
        <v>24</v>
      </c>
      <c r="I2284" s="17">
        <v>0</v>
      </c>
      <c r="J2284" s="17">
        <v>0</v>
      </c>
      <c r="K2284" s="17">
        <f t="shared" si="376"/>
        <v>24</v>
      </c>
      <c r="L2284" s="23">
        <f t="shared" si="383"/>
        <v>1.2000000000000002</v>
      </c>
      <c r="M2284" s="33">
        <v>10</v>
      </c>
      <c r="N2284" s="18">
        <f t="shared" si="377"/>
        <v>30.07123287671233</v>
      </c>
      <c r="O2284" s="23">
        <v>228</v>
      </c>
      <c r="P2284" s="18">
        <f t="shared" si="378"/>
        <v>30.572602739726026</v>
      </c>
      <c r="Q2284" s="18">
        <v>0</v>
      </c>
      <c r="R2284" s="18">
        <f t="shared" si="375"/>
        <v>228</v>
      </c>
      <c r="S2284" s="18">
        <f t="shared" si="385"/>
        <v>1.2000000000000002</v>
      </c>
    </row>
    <row r="2285" spans="1:19" ht="18.75" customHeight="1" x14ac:dyDescent="0.25">
      <c r="A2285" s="14">
        <f t="shared" si="379"/>
        <v>2279</v>
      </c>
      <c r="B2285" s="31" t="s">
        <v>1957</v>
      </c>
      <c r="C2285" s="15" t="s">
        <v>3</v>
      </c>
      <c r="D2285" s="31" t="s">
        <v>1708</v>
      </c>
      <c r="E2285" s="31"/>
      <c r="F2285" s="73" t="s">
        <v>4</v>
      </c>
      <c r="G2285" s="32">
        <v>33404</v>
      </c>
      <c r="H2285" s="29">
        <v>43.049999999999955</v>
      </c>
      <c r="I2285" s="17">
        <v>0</v>
      </c>
      <c r="J2285" s="17">
        <v>0</v>
      </c>
      <c r="K2285" s="17">
        <f t="shared" si="376"/>
        <v>43.049999999999955</v>
      </c>
      <c r="L2285" s="23">
        <f t="shared" si="383"/>
        <v>2.1524999999999976</v>
      </c>
      <c r="M2285" s="33">
        <v>10</v>
      </c>
      <c r="N2285" s="18">
        <f t="shared" si="377"/>
        <v>29.81917808219178</v>
      </c>
      <c r="O2285" s="23">
        <v>408.97500000000002</v>
      </c>
      <c r="P2285" s="18">
        <f t="shared" si="378"/>
        <v>30.32054794520548</v>
      </c>
      <c r="Q2285" s="18">
        <v>0</v>
      </c>
      <c r="R2285" s="18">
        <f t="shared" si="375"/>
        <v>408.97500000000002</v>
      </c>
      <c r="S2285" s="18">
        <f t="shared" si="385"/>
        <v>2.1524999999999976</v>
      </c>
    </row>
    <row r="2286" spans="1:19" ht="18.75" customHeight="1" x14ac:dyDescent="0.25">
      <c r="A2286" s="14">
        <f t="shared" si="379"/>
        <v>2280</v>
      </c>
      <c r="B2286" s="31" t="s">
        <v>1958</v>
      </c>
      <c r="C2286" s="15" t="s">
        <v>3</v>
      </c>
      <c r="D2286" s="31" t="s">
        <v>1708</v>
      </c>
      <c r="E2286" s="31"/>
      <c r="F2286" s="73" t="s">
        <v>4</v>
      </c>
      <c r="G2286" s="32">
        <v>33481</v>
      </c>
      <c r="H2286" s="29">
        <v>112.5</v>
      </c>
      <c r="I2286" s="17">
        <v>0</v>
      </c>
      <c r="J2286" s="17">
        <v>0</v>
      </c>
      <c r="K2286" s="17">
        <f t="shared" si="376"/>
        <v>112.5</v>
      </c>
      <c r="L2286" s="23">
        <f t="shared" si="383"/>
        <v>5.625</v>
      </c>
      <c r="M2286" s="33">
        <v>10</v>
      </c>
      <c r="N2286" s="18">
        <f t="shared" si="377"/>
        <v>29.608219178082191</v>
      </c>
      <c r="O2286" s="23">
        <v>1068.75</v>
      </c>
      <c r="P2286" s="18">
        <f t="shared" si="378"/>
        <v>30.109589041095891</v>
      </c>
      <c r="Q2286" s="18">
        <v>0</v>
      </c>
      <c r="R2286" s="18">
        <f t="shared" si="375"/>
        <v>1068.75</v>
      </c>
      <c r="S2286" s="18">
        <f t="shared" si="385"/>
        <v>5.625</v>
      </c>
    </row>
    <row r="2287" spans="1:19" ht="18.75" customHeight="1" x14ac:dyDescent="0.25">
      <c r="A2287" s="14">
        <f t="shared" si="379"/>
        <v>2281</v>
      </c>
      <c r="B2287" s="31" t="s">
        <v>1959</v>
      </c>
      <c r="C2287" s="15" t="s">
        <v>3</v>
      </c>
      <c r="D2287" s="31" t="s">
        <v>1708</v>
      </c>
      <c r="E2287" s="31"/>
      <c r="F2287" s="73" t="s">
        <v>4</v>
      </c>
      <c r="G2287" s="32">
        <v>33603</v>
      </c>
      <c r="H2287" s="29">
        <v>62</v>
      </c>
      <c r="I2287" s="17">
        <v>0</v>
      </c>
      <c r="J2287" s="17">
        <v>0</v>
      </c>
      <c r="K2287" s="17">
        <f t="shared" si="376"/>
        <v>62</v>
      </c>
      <c r="L2287" s="23">
        <f t="shared" si="383"/>
        <v>3.1</v>
      </c>
      <c r="M2287" s="33">
        <v>10</v>
      </c>
      <c r="N2287" s="18">
        <f t="shared" si="377"/>
        <v>29.273972602739725</v>
      </c>
      <c r="O2287" s="23">
        <v>589</v>
      </c>
      <c r="P2287" s="18">
        <f t="shared" si="378"/>
        <v>29.775342465753425</v>
      </c>
      <c r="Q2287" s="18">
        <v>0</v>
      </c>
      <c r="R2287" s="18">
        <f t="shared" si="375"/>
        <v>589</v>
      </c>
      <c r="S2287" s="18">
        <f t="shared" si="385"/>
        <v>3.1</v>
      </c>
    </row>
    <row r="2288" spans="1:19" ht="18.75" customHeight="1" x14ac:dyDescent="0.25">
      <c r="A2288" s="14">
        <f t="shared" si="379"/>
        <v>2282</v>
      </c>
      <c r="B2288" s="31" t="s">
        <v>1960</v>
      </c>
      <c r="C2288" s="15" t="s">
        <v>3</v>
      </c>
      <c r="D2288" s="31" t="s">
        <v>1708</v>
      </c>
      <c r="E2288" s="31"/>
      <c r="F2288" s="73" t="s">
        <v>4</v>
      </c>
      <c r="G2288" s="32">
        <v>40862</v>
      </c>
      <c r="H2288" s="29">
        <v>2993.6712328767126</v>
      </c>
      <c r="I2288" s="17">
        <v>0</v>
      </c>
      <c r="J2288" s="17">
        <v>0</v>
      </c>
      <c r="K2288" s="17">
        <f t="shared" si="376"/>
        <v>2993.6712328767126</v>
      </c>
      <c r="L2288" s="23">
        <f t="shared" si="383"/>
        <v>149.68356164383565</v>
      </c>
      <c r="M2288" s="33">
        <v>10</v>
      </c>
      <c r="N2288" s="18">
        <f t="shared" si="377"/>
        <v>9.3863013698630144</v>
      </c>
      <c r="O2288" s="23">
        <v>2829.4659452054793</v>
      </c>
      <c r="P2288" s="18">
        <f t="shared" si="378"/>
        <v>9.8876712328767127</v>
      </c>
      <c r="Q2288" s="18">
        <f t="shared" si="384"/>
        <v>142.58897091386743</v>
      </c>
      <c r="R2288" s="18">
        <f t="shared" si="375"/>
        <v>2972.0549161193467</v>
      </c>
      <c r="S2288" s="18">
        <f t="shared" si="380"/>
        <v>21.616316757365894</v>
      </c>
    </row>
    <row r="2289" spans="1:19" ht="18.75" customHeight="1" x14ac:dyDescent="0.25">
      <c r="A2289" s="14">
        <f t="shared" si="379"/>
        <v>2283</v>
      </c>
      <c r="B2289" s="31" t="s">
        <v>1921</v>
      </c>
      <c r="C2289" s="15" t="s">
        <v>3</v>
      </c>
      <c r="D2289" s="31" t="s">
        <v>1708</v>
      </c>
      <c r="E2289" s="31"/>
      <c r="F2289" s="73" t="s">
        <v>4</v>
      </c>
      <c r="G2289" s="32">
        <v>33603</v>
      </c>
      <c r="H2289" s="29">
        <v>12</v>
      </c>
      <c r="I2289" s="17">
        <v>0</v>
      </c>
      <c r="J2289" s="17">
        <v>0</v>
      </c>
      <c r="K2289" s="17">
        <f t="shared" si="376"/>
        <v>12</v>
      </c>
      <c r="L2289" s="23">
        <f t="shared" si="383"/>
        <v>0.60000000000000009</v>
      </c>
      <c r="M2289" s="33">
        <v>10</v>
      </c>
      <c r="N2289" s="18">
        <f t="shared" si="377"/>
        <v>29.273972602739725</v>
      </c>
      <c r="O2289" s="23">
        <v>114</v>
      </c>
      <c r="P2289" s="18">
        <f t="shared" si="378"/>
        <v>29.775342465753425</v>
      </c>
      <c r="Q2289" s="18">
        <v>0</v>
      </c>
      <c r="R2289" s="18">
        <f t="shared" si="375"/>
        <v>114</v>
      </c>
      <c r="S2289" s="18">
        <f>L2289</f>
        <v>0.60000000000000009</v>
      </c>
    </row>
    <row r="2290" spans="1:19" ht="18.75" customHeight="1" x14ac:dyDescent="0.25">
      <c r="A2290" s="14">
        <f t="shared" si="379"/>
        <v>2284</v>
      </c>
      <c r="B2290" s="31" t="s">
        <v>1961</v>
      </c>
      <c r="C2290" s="15" t="s">
        <v>3</v>
      </c>
      <c r="D2290" s="31" t="s">
        <v>1708</v>
      </c>
      <c r="E2290" s="31"/>
      <c r="F2290" s="73" t="s">
        <v>4</v>
      </c>
      <c r="G2290" s="32">
        <v>41348</v>
      </c>
      <c r="H2290" s="29">
        <v>3591.6204632876706</v>
      </c>
      <c r="I2290" s="17">
        <v>0</v>
      </c>
      <c r="J2290" s="17">
        <v>0</v>
      </c>
      <c r="K2290" s="17">
        <f t="shared" si="376"/>
        <v>3591.6204632876706</v>
      </c>
      <c r="L2290" s="23">
        <f t="shared" si="383"/>
        <v>179.58102316438354</v>
      </c>
      <c r="M2290" s="33">
        <v>10</v>
      </c>
      <c r="N2290" s="18">
        <f t="shared" si="377"/>
        <v>8.0547945205479454</v>
      </c>
      <c r="O2290" s="23">
        <v>1211.4730881095891</v>
      </c>
      <c r="P2290" s="18">
        <f t="shared" si="378"/>
        <v>8.5561643835616437</v>
      </c>
      <c r="Q2290" s="18">
        <f t="shared" si="384"/>
        <v>171.06937466919481</v>
      </c>
      <c r="R2290" s="18">
        <f t="shared" si="375"/>
        <v>1382.5424627787838</v>
      </c>
      <c r="S2290" s="18">
        <f t="shared" si="380"/>
        <v>2209.0780005088868</v>
      </c>
    </row>
    <row r="2291" spans="1:19" ht="18.75" customHeight="1" x14ac:dyDescent="0.25">
      <c r="A2291" s="14">
        <f t="shared" si="379"/>
        <v>2285</v>
      </c>
      <c r="B2291" s="31" t="s">
        <v>1801</v>
      </c>
      <c r="C2291" s="15" t="s">
        <v>3</v>
      </c>
      <c r="D2291" s="31" t="s">
        <v>1708</v>
      </c>
      <c r="E2291" s="31"/>
      <c r="F2291" s="73" t="s">
        <v>4</v>
      </c>
      <c r="G2291" s="32">
        <v>39448</v>
      </c>
      <c r="H2291" s="29">
        <v>249.95799999999963</v>
      </c>
      <c r="I2291" s="17">
        <v>0</v>
      </c>
      <c r="J2291" s="17">
        <v>0</v>
      </c>
      <c r="K2291" s="17">
        <f t="shared" si="376"/>
        <v>249.95799999999963</v>
      </c>
      <c r="L2291" s="23">
        <f t="shared" si="383"/>
        <v>12.497899999999982</v>
      </c>
      <c r="M2291" s="33">
        <v>10</v>
      </c>
      <c r="N2291" s="18">
        <f t="shared" si="377"/>
        <v>13.260273972602739</v>
      </c>
      <c r="O2291" s="23">
        <v>2374.6010000000001</v>
      </c>
      <c r="P2291" s="18">
        <f t="shared" si="378"/>
        <v>13.761643835616438</v>
      </c>
      <c r="Q2291" s="18">
        <v>0</v>
      </c>
      <c r="R2291" s="18">
        <f t="shared" si="375"/>
        <v>2374.6010000000001</v>
      </c>
      <c r="S2291" s="18">
        <f t="shared" ref="S2291:S2297" si="386">L2291</f>
        <v>12.497899999999982</v>
      </c>
    </row>
    <row r="2292" spans="1:19" ht="18.75" customHeight="1" x14ac:dyDescent="0.25">
      <c r="A2292" s="14">
        <f t="shared" si="379"/>
        <v>2286</v>
      </c>
      <c r="B2292" s="31" t="s">
        <v>1910</v>
      </c>
      <c r="C2292" s="15" t="s">
        <v>3</v>
      </c>
      <c r="D2292" s="31" t="s">
        <v>1708</v>
      </c>
      <c r="E2292" s="31"/>
      <c r="F2292" s="73" t="s">
        <v>4</v>
      </c>
      <c r="G2292" s="32">
        <v>33649</v>
      </c>
      <c r="H2292" s="29">
        <v>24.100000000000023</v>
      </c>
      <c r="I2292" s="17">
        <v>0</v>
      </c>
      <c r="J2292" s="17">
        <v>0</v>
      </c>
      <c r="K2292" s="17">
        <f t="shared" si="376"/>
        <v>24.100000000000023</v>
      </c>
      <c r="L2292" s="23">
        <f t="shared" si="383"/>
        <v>1.2050000000000012</v>
      </c>
      <c r="M2292" s="33">
        <v>10</v>
      </c>
      <c r="N2292" s="18">
        <f t="shared" si="377"/>
        <v>29.147945205479452</v>
      </c>
      <c r="O2292" s="23">
        <v>228.95</v>
      </c>
      <c r="P2292" s="18">
        <f t="shared" si="378"/>
        <v>29.649315068493152</v>
      </c>
      <c r="Q2292" s="18">
        <v>0</v>
      </c>
      <c r="R2292" s="18">
        <f t="shared" si="375"/>
        <v>228.95</v>
      </c>
      <c r="S2292" s="18">
        <f t="shared" si="386"/>
        <v>1.2050000000000012</v>
      </c>
    </row>
    <row r="2293" spans="1:19" ht="18.75" customHeight="1" x14ac:dyDescent="0.25">
      <c r="A2293" s="14">
        <f t="shared" si="379"/>
        <v>2287</v>
      </c>
      <c r="B2293" s="31" t="s">
        <v>1714</v>
      </c>
      <c r="C2293" s="15" t="s">
        <v>3</v>
      </c>
      <c r="D2293" s="31" t="s">
        <v>1708</v>
      </c>
      <c r="E2293" s="31"/>
      <c r="F2293" s="73" t="s">
        <v>4</v>
      </c>
      <c r="G2293" s="32">
        <v>39828</v>
      </c>
      <c r="H2293" s="29">
        <v>245</v>
      </c>
      <c r="I2293" s="17">
        <v>0</v>
      </c>
      <c r="J2293" s="17">
        <v>0</v>
      </c>
      <c r="K2293" s="17">
        <f t="shared" si="376"/>
        <v>245</v>
      </c>
      <c r="L2293" s="23">
        <f t="shared" si="383"/>
        <v>12.25</v>
      </c>
      <c r="M2293" s="33">
        <v>10</v>
      </c>
      <c r="N2293" s="18">
        <f t="shared" si="377"/>
        <v>12.219178082191782</v>
      </c>
      <c r="O2293" s="23">
        <v>2327.5</v>
      </c>
      <c r="P2293" s="18">
        <f t="shared" si="378"/>
        <v>12.72054794520548</v>
      </c>
      <c r="Q2293" s="18">
        <v>0</v>
      </c>
      <c r="R2293" s="18">
        <f t="shared" si="375"/>
        <v>2327.5</v>
      </c>
      <c r="S2293" s="18">
        <f t="shared" si="386"/>
        <v>12.25</v>
      </c>
    </row>
    <row r="2294" spans="1:19" ht="18.75" customHeight="1" x14ac:dyDescent="0.25">
      <c r="A2294" s="14">
        <f t="shared" si="379"/>
        <v>2288</v>
      </c>
      <c r="B2294" s="31" t="s">
        <v>1962</v>
      </c>
      <c r="C2294" s="15" t="s">
        <v>3</v>
      </c>
      <c r="D2294" s="31" t="s">
        <v>1708</v>
      </c>
      <c r="E2294" s="31"/>
      <c r="F2294" s="73" t="s">
        <v>4</v>
      </c>
      <c r="G2294" s="32">
        <v>40862</v>
      </c>
      <c r="H2294" s="29">
        <v>2859.4520547945203</v>
      </c>
      <c r="I2294" s="17">
        <v>0</v>
      </c>
      <c r="J2294" s="17">
        <v>0</v>
      </c>
      <c r="K2294" s="17">
        <f t="shared" si="376"/>
        <v>2859.4520547945203</v>
      </c>
      <c r="L2294" s="23">
        <f t="shared" si="383"/>
        <v>142.97260273972603</v>
      </c>
      <c r="M2294" s="33">
        <v>10</v>
      </c>
      <c r="N2294" s="18">
        <f t="shared" si="377"/>
        <v>9.3863013698630144</v>
      </c>
      <c r="O2294" s="23">
        <v>10416.200171232878</v>
      </c>
      <c r="P2294" s="18">
        <f t="shared" si="378"/>
        <v>9.8876712328767127</v>
      </c>
      <c r="Q2294" s="18">
        <f t="shared" si="384"/>
        <v>136.19609307562385</v>
      </c>
      <c r="R2294" s="18">
        <f t="shared" si="375"/>
        <v>10552.396264308501</v>
      </c>
      <c r="S2294" s="18">
        <f t="shared" si="386"/>
        <v>142.97260273972603</v>
      </c>
    </row>
    <row r="2295" spans="1:19" ht="18.75" customHeight="1" x14ac:dyDescent="0.25">
      <c r="A2295" s="14">
        <f t="shared" si="379"/>
        <v>2289</v>
      </c>
      <c r="B2295" s="31" t="s">
        <v>1963</v>
      </c>
      <c r="C2295" s="15" t="s">
        <v>3</v>
      </c>
      <c r="D2295" s="31" t="s">
        <v>1708</v>
      </c>
      <c r="E2295" s="31"/>
      <c r="F2295" s="73" t="s">
        <v>4</v>
      </c>
      <c r="G2295" s="32">
        <v>41532</v>
      </c>
      <c r="H2295" s="29">
        <v>3676.276789041096</v>
      </c>
      <c r="I2295" s="17">
        <v>0</v>
      </c>
      <c r="J2295" s="17">
        <v>0</v>
      </c>
      <c r="K2295" s="17">
        <f t="shared" si="376"/>
        <v>3676.276789041096</v>
      </c>
      <c r="L2295" s="23">
        <f t="shared" si="383"/>
        <v>183.81383945205482</v>
      </c>
      <c r="M2295" s="33">
        <v>10</v>
      </c>
      <c r="N2295" s="18">
        <f t="shared" si="377"/>
        <v>7.5506849315068489</v>
      </c>
      <c r="O2295" s="23">
        <v>5968.5983254794537</v>
      </c>
      <c r="P2295" s="18">
        <f t="shared" si="378"/>
        <v>8.0520547945205472</v>
      </c>
      <c r="Q2295" s="18">
        <f t="shared" si="384"/>
        <v>175.10156706158742</v>
      </c>
      <c r="R2295" s="18">
        <f t="shared" si="375"/>
        <v>6143.6998925410408</v>
      </c>
      <c r="S2295" s="18">
        <f t="shared" si="386"/>
        <v>183.81383945205482</v>
      </c>
    </row>
    <row r="2296" spans="1:19" ht="18.75" customHeight="1" x14ac:dyDescent="0.25">
      <c r="A2296" s="14">
        <f t="shared" si="379"/>
        <v>2290</v>
      </c>
      <c r="B2296" s="31" t="s">
        <v>1964</v>
      </c>
      <c r="C2296" s="15" t="s">
        <v>3</v>
      </c>
      <c r="D2296" s="31" t="s">
        <v>1708</v>
      </c>
      <c r="E2296" s="31"/>
      <c r="F2296" s="73" t="s">
        <v>4</v>
      </c>
      <c r="G2296" s="32">
        <v>41348</v>
      </c>
      <c r="H2296" s="29">
        <v>240.17699999999968</v>
      </c>
      <c r="I2296" s="17">
        <v>0</v>
      </c>
      <c r="J2296" s="17">
        <v>0</v>
      </c>
      <c r="K2296" s="17">
        <f t="shared" si="376"/>
        <v>240.17699999999968</v>
      </c>
      <c r="L2296" s="23">
        <f t="shared" si="383"/>
        <v>12.008849999999985</v>
      </c>
      <c r="M2296" s="33">
        <v>5</v>
      </c>
      <c r="N2296" s="18">
        <f t="shared" si="377"/>
        <v>8.0547945205479454</v>
      </c>
      <c r="O2296" s="23">
        <v>2281.6815000000001</v>
      </c>
      <c r="P2296" s="18">
        <f t="shared" si="378"/>
        <v>8.5561643835616437</v>
      </c>
      <c r="Q2296" s="18">
        <v>0</v>
      </c>
      <c r="R2296" s="18">
        <f t="shared" si="375"/>
        <v>2281.6815000000001</v>
      </c>
      <c r="S2296" s="18">
        <f t="shared" si="386"/>
        <v>12.008849999999985</v>
      </c>
    </row>
    <row r="2297" spans="1:19" ht="18.75" customHeight="1" x14ac:dyDescent="0.25">
      <c r="A2297" s="14">
        <f t="shared" si="379"/>
        <v>2291</v>
      </c>
      <c r="B2297" s="31" t="s">
        <v>1826</v>
      </c>
      <c r="C2297" s="15" t="s">
        <v>3</v>
      </c>
      <c r="D2297" s="31" t="s">
        <v>1708</v>
      </c>
      <c r="E2297" s="31"/>
      <c r="F2297" s="73" t="s">
        <v>4</v>
      </c>
      <c r="G2297" s="32">
        <v>33678</v>
      </c>
      <c r="H2297" s="29">
        <v>98.200000000000045</v>
      </c>
      <c r="I2297" s="17">
        <v>0</v>
      </c>
      <c r="J2297" s="17">
        <v>0</v>
      </c>
      <c r="K2297" s="17">
        <f t="shared" si="376"/>
        <v>98.200000000000045</v>
      </c>
      <c r="L2297" s="23">
        <f t="shared" si="383"/>
        <v>4.9100000000000028</v>
      </c>
      <c r="M2297" s="33">
        <v>10</v>
      </c>
      <c r="N2297" s="18">
        <f t="shared" si="377"/>
        <v>29.068493150684933</v>
      </c>
      <c r="O2297" s="23">
        <v>932.9</v>
      </c>
      <c r="P2297" s="18">
        <f t="shared" si="378"/>
        <v>29.56986301369863</v>
      </c>
      <c r="Q2297" s="18">
        <v>0</v>
      </c>
      <c r="R2297" s="18">
        <f t="shared" si="375"/>
        <v>932.9</v>
      </c>
      <c r="S2297" s="18">
        <f t="shared" si="386"/>
        <v>4.9100000000000028</v>
      </c>
    </row>
    <row r="2298" spans="1:19" ht="18.75" customHeight="1" x14ac:dyDescent="0.25">
      <c r="A2298" s="14">
        <f t="shared" si="379"/>
        <v>2292</v>
      </c>
      <c r="B2298" s="31" t="s">
        <v>1965</v>
      </c>
      <c r="C2298" s="15" t="s">
        <v>3</v>
      </c>
      <c r="D2298" s="31" t="s">
        <v>1708</v>
      </c>
      <c r="E2298" s="31"/>
      <c r="F2298" s="73" t="s">
        <v>4</v>
      </c>
      <c r="G2298" s="32">
        <v>41289</v>
      </c>
      <c r="H2298" s="29">
        <v>3304.0700487671229</v>
      </c>
      <c r="I2298" s="17">
        <v>0</v>
      </c>
      <c r="J2298" s="17">
        <v>0</v>
      </c>
      <c r="K2298" s="17">
        <f t="shared" si="376"/>
        <v>3304.0700487671229</v>
      </c>
      <c r="L2298" s="23">
        <f t="shared" si="383"/>
        <v>165.20350243835617</v>
      </c>
      <c r="M2298" s="33">
        <v>10</v>
      </c>
      <c r="N2298" s="18">
        <f t="shared" si="377"/>
        <v>8.2164383561643834</v>
      </c>
      <c r="O2298" s="23">
        <v>647.96270624657541</v>
      </c>
      <c r="P2298" s="18">
        <f t="shared" si="378"/>
        <v>8.7178082191780817</v>
      </c>
      <c r="Q2298" s="18">
        <f t="shared" si="384"/>
        <v>157.37330903511338</v>
      </c>
      <c r="R2298" s="18">
        <f t="shared" si="375"/>
        <v>805.33601528168879</v>
      </c>
      <c r="S2298" s="18">
        <f t="shared" si="380"/>
        <v>2498.7340334854343</v>
      </c>
    </row>
    <row r="2299" spans="1:19" ht="18.75" customHeight="1" x14ac:dyDescent="0.25">
      <c r="A2299" s="14">
        <f t="shared" si="379"/>
        <v>2293</v>
      </c>
      <c r="B2299" s="31" t="s">
        <v>1966</v>
      </c>
      <c r="C2299" s="15" t="s">
        <v>3</v>
      </c>
      <c r="D2299" s="31" t="s">
        <v>1708</v>
      </c>
      <c r="E2299" s="31"/>
      <c r="F2299" s="73" t="s">
        <v>4</v>
      </c>
      <c r="G2299" s="32">
        <v>41685</v>
      </c>
      <c r="H2299" s="29">
        <v>233.71100000000024</v>
      </c>
      <c r="I2299" s="17">
        <v>0</v>
      </c>
      <c r="J2299" s="17">
        <v>0</v>
      </c>
      <c r="K2299" s="17">
        <f t="shared" si="376"/>
        <v>233.71100000000024</v>
      </c>
      <c r="L2299" s="23">
        <f t="shared" si="383"/>
        <v>11.685550000000013</v>
      </c>
      <c r="M2299" s="33">
        <v>5</v>
      </c>
      <c r="N2299" s="18">
        <f t="shared" si="377"/>
        <v>7.1315068493150688</v>
      </c>
      <c r="O2299" s="23">
        <v>2220.2545</v>
      </c>
      <c r="P2299" s="18">
        <f t="shared" si="378"/>
        <v>7.6328767123287671</v>
      </c>
      <c r="Q2299" s="18">
        <v>0</v>
      </c>
      <c r="R2299" s="18">
        <f t="shared" si="375"/>
        <v>2220.2545</v>
      </c>
      <c r="S2299" s="18">
        <f>L2299</f>
        <v>11.685550000000013</v>
      </c>
    </row>
    <row r="2300" spans="1:19" ht="18.75" customHeight="1" x14ac:dyDescent="0.25">
      <c r="A2300" s="14">
        <f t="shared" si="379"/>
        <v>2294</v>
      </c>
      <c r="B2300" s="31" t="s">
        <v>1967</v>
      </c>
      <c r="C2300" s="15" t="s">
        <v>3</v>
      </c>
      <c r="D2300" s="31" t="s">
        <v>1708</v>
      </c>
      <c r="E2300" s="31"/>
      <c r="F2300" s="73" t="s">
        <v>4</v>
      </c>
      <c r="G2300" s="32">
        <v>41654</v>
      </c>
      <c r="H2300" s="29">
        <v>3632.6136986301372</v>
      </c>
      <c r="I2300" s="17">
        <v>0</v>
      </c>
      <c r="J2300" s="17">
        <v>0</v>
      </c>
      <c r="K2300" s="17">
        <f t="shared" si="376"/>
        <v>3632.6136986301372</v>
      </c>
      <c r="L2300" s="23">
        <f t="shared" si="383"/>
        <v>181.63068493150686</v>
      </c>
      <c r="M2300" s="33">
        <v>10</v>
      </c>
      <c r="N2300" s="18">
        <f t="shared" si="377"/>
        <v>7.2164383561643834</v>
      </c>
      <c r="O2300" s="23">
        <v>3253.0160273972597</v>
      </c>
      <c r="P2300" s="18">
        <f t="shared" si="378"/>
        <v>7.7178082191780826</v>
      </c>
      <c r="Q2300" s="18">
        <f t="shared" si="384"/>
        <v>173.02188808406848</v>
      </c>
      <c r="R2300" s="18">
        <f t="shared" si="375"/>
        <v>3426.0379154813281</v>
      </c>
      <c r="S2300" s="18">
        <f t="shared" si="380"/>
        <v>206.57578314880902</v>
      </c>
    </row>
    <row r="2301" spans="1:19" ht="18.75" customHeight="1" x14ac:dyDescent="0.25">
      <c r="A2301" s="14">
        <f t="shared" si="379"/>
        <v>2295</v>
      </c>
      <c r="B2301" s="31" t="s">
        <v>1831</v>
      </c>
      <c r="C2301" s="15" t="s">
        <v>3</v>
      </c>
      <c r="D2301" s="31" t="s">
        <v>1708</v>
      </c>
      <c r="E2301" s="31"/>
      <c r="F2301" s="73" t="s">
        <v>4</v>
      </c>
      <c r="G2301" s="32">
        <v>41690</v>
      </c>
      <c r="H2301" s="29">
        <v>3675.7150684931507</v>
      </c>
      <c r="I2301" s="17">
        <v>0</v>
      </c>
      <c r="J2301" s="17">
        <v>0</v>
      </c>
      <c r="K2301" s="17">
        <f t="shared" si="376"/>
        <v>3675.7150684931507</v>
      </c>
      <c r="L2301" s="23">
        <f t="shared" si="383"/>
        <v>183.78575342465754</v>
      </c>
      <c r="M2301" s="33">
        <v>10</v>
      </c>
      <c r="N2301" s="18">
        <f t="shared" si="377"/>
        <v>7.117808219178082</v>
      </c>
      <c r="O2301" s="23">
        <v>402271.25643835613</v>
      </c>
      <c r="P2301" s="18">
        <f t="shared" si="378"/>
        <v>7.6191780821917812</v>
      </c>
      <c r="Q2301" s="18">
        <f t="shared" si="384"/>
        <v>175.07481223494105</v>
      </c>
      <c r="R2301" s="18">
        <f t="shared" si="375"/>
        <v>402446.33125059109</v>
      </c>
      <c r="S2301" s="18">
        <f t="shared" ref="S2301:S2306" si="387">L2301</f>
        <v>183.78575342465754</v>
      </c>
    </row>
    <row r="2302" spans="1:19" ht="18.75" customHeight="1" x14ac:dyDescent="0.25">
      <c r="A2302" s="14">
        <f t="shared" si="379"/>
        <v>2296</v>
      </c>
      <c r="B2302" s="31" t="s">
        <v>1801</v>
      </c>
      <c r="C2302" s="15" t="s">
        <v>3</v>
      </c>
      <c r="D2302" s="31" t="s">
        <v>1708</v>
      </c>
      <c r="E2302" s="31"/>
      <c r="F2302" s="73" t="s">
        <v>4</v>
      </c>
      <c r="G2302" s="32">
        <v>39448</v>
      </c>
      <c r="H2302" s="29">
        <v>229.97900000000027</v>
      </c>
      <c r="I2302" s="17">
        <v>0</v>
      </c>
      <c r="J2302" s="17">
        <v>0</v>
      </c>
      <c r="K2302" s="17">
        <f t="shared" si="376"/>
        <v>229.97900000000027</v>
      </c>
      <c r="L2302" s="23">
        <f t="shared" si="383"/>
        <v>11.498950000000015</v>
      </c>
      <c r="M2302" s="33">
        <v>10</v>
      </c>
      <c r="N2302" s="18">
        <f t="shared" si="377"/>
        <v>13.260273972602739</v>
      </c>
      <c r="O2302" s="23">
        <v>2184.8004999999998</v>
      </c>
      <c r="P2302" s="18">
        <f t="shared" si="378"/>
        <v>13.761643835616438</v>
      </c>
      <c r="Q2302" s="18">
        <v>0</v>
      </c>
      <c r="R2302" s="18">
        <f t="shared" si="375"/>
        <v>2184.8004999999998</v>
      </c>
      <c r="S2302" s="18">
        <f t="shared" si="387"/>
        <v>11.498950000000015</v>
      </c>
    </row>
    <row r="2303" spans="1:19" ht="18.75" customHeight="1" x14ac:dyDescent="0.25">
      <c r="A2303" s="14">
        <f t="shared" si="379"/>
        <v>2297</v>
      </c>
      <c r="B2303" s="31" t="s">
        <v>1968</v>
      </c>
      <c r="C2303" s="15" t="s">
        <v>3</v>
      </c>
      <c r="D2303" s="31" t="s">
        <v>1708</v>
      </c>
      <c r="E2303" s="31"/>
      <c r="F2303" s="73" t="s">
        <v>4</v>
      </c>
      <c r="G2303" s="32">
        <v>33694</v>
      </c>
      <c r="H2303" s="29">
        <v>35.600000000000023</v>
      </c>
      <c r="I2303" s="17">
        <v>0</v>
      </c>
      <c r="J2303" s="17">
        <v>0</v>
      </c>
      <c r="K2303" s="17">
        <f t="shared" si="376"/>
        <v>35.600000000000023</v>
      </c>
      <c r="L2303" s="23">
        <f t="shared" si="383"/>
        <v>1.7800000000000011</v>
      </c>
      <c r="M2303" s="33">
        <v>10</v>
      </c>
      <c r="N2303" s="18">
        <f t="shared" si="377"/>
        <v>29.024657534246575</v>
      </c>
      <c r="O2303" s="23">
        <v>338.2</v>
      </c>
      <c r="P2303" s="18">
        <f t="shared" si="378"/>
        <v>29.526027397260275</v>
      </c>
      <c r="Q2303" s="18">
        <v>0</v>
      </c>
      <c r="R2303" s="18">
        <f t="shared" si="375"/>
        <v>338.2</v>
      </c>
      <c r="S2303" s="18">
        <f t="shared" si="387"/>
        <v>1.7800000000000011</v>
      </c>
    </row>
    <row r="2304" spans="1:19" ht="18.75" customHeight="1" x14ac:dyDescent="0.25">
      <c r="A2304" s="14">
        <f t="shared" si="379"/>
        <v>2298</v>
      </c>
      <c r="B2304" s="31" t="s">
        <v>1296</v>
      </c>
      <c r="C2304" s="15" t="s">
        <v>3</v>
      </c>
      <c r="D2304" s="31" t="s">
        <v>1708</v>
      </c>
      <c r="E2304" s="31"/>
      <c r="F2304" s="73" t="s">
        <v>4</v>
      </c>
      <c r="G2304" s="32">
        <v>41379</v>
      </c>
      <c r="H2304" s="29">
        <v>225</v>
      </c>
      <c r="I2304" s="17">
        <v>0</v>
      </c>
      <c r="J2304" s="17">
        <v>0</v>
      </c>
      <c r="K2304" s="17">
        <f t="shared" si="376"/>
        <v>225</v>
      </c>
      <c r="L2304" s="23">
        <f t="shared" si="383"/>
        <v>11.25</v>
      </c>
      <c r="M2304" s="33">
        <v>5</v>
      </c>
      <c r="N2304" s="18">
        <f t="shared" si="377"/>
        <v>7.9698630136986299</v>
      </c>
      <c r="O2304" s="23">
        <v>2137.5</v>
      </c>
      <c r="P2304" s="18">
        <f t="shared" si="378"/>
        <v>8.4712328767123282</v>
      </c>
      <c r="Q2304" s="18">
        <v>0</v>
      </c>
      <c r="R2304" s="18">
        <f t="shared" si="375"/>
        <v>2137.5</v>
      </c>
      <c r="S2304" s="18">
        <f t="shared" si="387"/>
        <v>11.25</v>
      </c>
    </row>
    <row r="2305" spans="1:19" ht="18.75" customHeight="1" x14ac:dyDescent="0.25">
      <c r="A2305" s="14">
        <f t="shared" si="379"/>
        <v>2299</v>
      </c>
      <c r="B2305" s="31" t="s">
        <v>1969</v>
      </c>
      <c r="C2305" s="15" t="s">
        <v>3</v>
      </c>
      <c r="D2305" s="31" t="s">
        <v>1708</v>
      </c>
      <c r="E2305" s="31"/>
      <c r="F2305" s="73" t="s">
        <v>4</v>
      </c>
      <c r="G2305" s="32">
        <v>33877</v>
      </c>
      <c r="H2305" s="29">
        <v>163</v>
      </c>
      <c r="I2305" s="17">
        <v>0</v>
      </c>
      <c r="J2305" s="17">
        <v>0</v>
      </c>
      <c r="K2305" s="17">
        <f t="shared" si="376"/>
        <v>163</v>
      </c>
      <c r="L2305" s="23">
        <f t="shared" si="383"/>
        <v>8.15</v>
      </c>
      <c r="M2305" s="33">
        <v>10</v>
      </c>
      <c r="N2305" s="18">
        <f t="shared" si="377"/>
        <v>28.523287671232875</v>
      </c>
      <c r="O2305" s="23">
        <v>1548.5</v>
      </c>
      <c r="P2305" s="18">
        <f t="shared" si="378"/>
        <v>29.024657534246575</v>
      </c>
      <c r="Q2305" s="18">
        <v>0</v>
      </c>
      <c r="R2305" s="18">
        <f t="shared" si="375"/>
        <v>1548.5</v>
      </c>
      <c r="S2305" s="18">
        <f t="shared" si="387"/>
        <v>8.15</v>
      </c>
    </row>
    <row r="2306" spans="1:19" ht="18.75" customHeight="1" x14ac:dyDescent="0.25">
      <c r="A2306" s="14">
        <f t="shared" si="379"/>
        <v>2300</v>
      </c>
      <c r="B2306" s="31" t="s">
        <v>1926</v>
      </c>
      <c r="C2306" s="15" t="s">
        <v>3</v>
      </c>
      <c r="D2306" s="31" t="s">
        <v>1708</v>
      </c>
      <c r="E2306" s="31"/>
      <c r="F2306" s="73" t="s">
        <v>4</v>
      </c>
      <c r="G2306" s="32">
        <v>40132</v>
      </c>
      <c r="H2306" s="29">
        <v>218.75</v>
      </c>
      <c r="I2306" s="17">
        <v>0</v>
      </c>
      <c r="J2306" s="17">
        <v>0</v>
      </c>
      <c r="K2306" s="17">
        <f t="shared" si="376"/>
        <v>218.75</v>
      </c>
      <c r="L2306" s="23">
        <f t="shared" si="383"/>
        <v>10.9375</v>
      </c>
      <c r="M2306" s="33">
        <v>10</v>
      </c>
      <c r="N2306" s="18">
        <f t="shared" si="377"/>
        <v>11.386301369863014</v>
      </c>
      <c r="O2306" s="23">
        <v>2078.125</v>
      </c>
      <c r="P2306" s="18">
        <f t="shared" si="378"/>
        <v>11.887671232876713</v>
      </c>
      <c r="Q2306" s="18">
        <v>0</v>
      </c>
      <c r="R2306" s="18">
        <f t="shared" si="375"/>
        <v>2078.125</v>
      </c>
      <c r="S2306" s="18">
        <f t="shared" si="387"/>
        <v>10.9375</v>
      </c>
    </row>
    <row r="2307" spans="1:19" ht="18.75" customHeight="1" x14ac:dyDescent="0.25">
      <c r="A2307" s="14">
        <f t="shared" si="379"/>
        <v>2301</v>
      </c>
      <c r="B2307" s="31" t="s">
        <v>1970</v>
      </c>
      <c r="C2307" s="15" t="s">
        <v>3</v>
      </c>
      <c r="D2307" s="31" t="s">
        <v>1708</v>
      </c>
      <c r="E2307" s="31"/>
      <c r="F2307" s="73" t="s">
        <v>4</v>
      </c>
      <c r="G2307" s="32">
        <v>41044</v>
      </c>
      <c r="H2307" s="29">
        <v>2736.5833898630135</v>
      </c>
      <c r="I2307" s="17">
        <v>0</v>
      </c>
      <c r="J2307" s="17">
        <v>0</v>
      </c>
      <c r="K2307" s="17">
        <f t="shared" si="376"/>
        <v>2736.5833898630135</v>
      </c>
      <c r="L2307" s="23">
        <f t="shared" si="383"/>
        <v>136.82916949315069</v>
      </c>
      <c r="M2307" s="33">
        <v>10</v>
      </c>
      <c r="N2307" s="18">
        <f t="shared" si="377"/>
        <v>8.8876712328767127</v>
      </c>
      <c r="O2307" s="23">
        <v>1135.0810780273973</v>
      </c>
      <c r="P2307" s="18">
        <f t="shared" si="378"/>
        <v>9.3890410958904109</v>
      </c>
      <c r="Q2307" s="18">
        <f t="shared" si="384"/>
        <v>130.34384173361221</v>
      </c>
      <c r="R2307" s="18">
        <f t="shared" si="375"/>
        <v>1265.4249197610095</v>
      </c>
      <c r="S2307" s="18">
        <f t="shared" si="380"/>
        <v>1471.158470102004</v>
      </c>
    </row>
    <row r="2308" spans="1:19" ht="18.75" customHeight="1" x14ac:dyDescent="0.25">
      <c r="A2308" s="14">
        <f t="shared" si="379"/>
        <v>2302</v>
      </c>
      <c r="B2308" s="31" t="s">
        <v>1846</v>
      </c>
      <c r="C2308" s="15" t="s">
        <v>3</v>
      </c>
      <c r="D2308" s="31" t="s">
        <v>1708</v>
      </c>
      <c r="E2308" s="31"/>
      <c r="F2308" s="73" t="s">
        <v>4</v>
      </c>
      <c r="G2308" s="32">
        <v>40589</v>
      </c>
      <c r="H2308" s="29">
        <v>2198.6543835616435</v>
      </c>
      <c r="I2308" s="17">
        <v>0</v>
      </c>
      <c r="J2308" s="17">
        <v>0</v>
      </c>
      <c r="K2308" s="17">
        <f t="shared" si="376"/>
        <v>2198.6543835616435</v>
      </c>
      <c r="L2308" s="23">
        <f t="shared" si="383"/>
        <v>109.93271917808218</v>
      </c>
      <c r="M2308" s="33">
        <v>10</v>
      </c>
      <c r="N2308" s="18">
        <f t="shared" si="377"/>
        <v>10.134246575342466</v>
      </c>
      <c r="O2308" s="23">
        <v>610.53324657534245</v>
      </c>
      <c r="P2308" s="18">
        <f t="shared" si="378"/>
        <v>10.635616438356164</v>
      </c>
      <c r="Q2308" s="18">
        <v>0</v>
      </c>
      <c r="R2308" s="18">
        <f t="shared" ref="R2308:R2371" si="388">Q2308+O2308</f>
        <v>610.53324657534245</v>
      </c>
      <c r="S2308" s="18">
        <f t="shared" ref="S2308:S2368" si="389">K2308-R2308</f>
        <v>1588.1211369863011</v>
      </c>
    </row>
    <row r="2309" spans="1:19" ht="18.75" customHeight="1" x14ac:dyDescent="0.25">
      <c r="A2309" s="14">
        <f t="shared" si="379"/>
        <v>2303</v>
      </c>
      <c r="B2309" s="31" t="s">
        <v>1971</v>
      </c>
      <c r="C2309" s="15" t="s">
        <v>3</v>
      </c>
      <c r="D2309" s="31" t="s">
        <v>1708</v>
      </c>
      <c r="E2309" s="31"/>
      <c r="F2309" s="73" t="s">
        <v>4</v>
      </c>
      <c r="G2309" s="32">
        <v>34005</v>
      </c>
      <c r="H2309" s="29">
        <v>450</v>
      </c>
      <c r="I2309" s="17">
        <v>0</v>
      </c>
      <c r="J2309" s="17">
        <v>0</v>
      </c>
      <c r="K2309" s="17">
        <f t="shared" ref="K2309:K2372" si="390">H2309+I2309-J2309</f>
        <v>450</v>
      </c>
      <c r="L2309" s="23">
        <f t="shared" si="383"/>
        <v>22.5</v>
      </c>
      <c r="M2309" s="33">
        <v>5</v>
      </c>
      <c r="N2309" s="18">
        <f t="shared" ref="N2309:N2372" si="391">IF(($N$2-G2309+1)/365&gt;0,($N$2-G2309+1)/365,0)</f>
        <v>28.172602739726027</v>
      </c>
      <c r="O2309" s="23">
        <v>4275</v>
      </c>
      <c r="P2309" s="18">
        <f t="shared" ref="P2309:P2372" si="392">($P$2-G2309+1)/365</f>
        <v>28.673972602739727</v>
      </c>
      <c r="Q2309" s="18">
        <v>0</v>
      </c>
      <c r="R2309" s="18">
        <f t="shared" si="388"/>
        <v>4275</v>
      </c>
      <c r="S2309" s="18">
        <f t="shared" ref="S2309:S2318" si="393">L2309</f>
        <v>22.5</v>
      </c>
    </row>
    <row r="2310" spans="1:19" ht="18.75" customHeight="1" x14ac:dyDescent="0.25">
      <c r="A2310" s="14">
        <f t="shared" ref="A2310:A2373" si="394">+A2309+1</f>
        <v>2304</v>
      </c>
      <c r="B2310" s="31" t="s">
        <v>1778</v>
      </c>
      <c r="C2310" s="15" t="s">
        <v>3</v>
      </c>
      <c r="D2310" s="31" t="s">
        <v>1708</v>
      </c>
      <c r="E2310" s="31"/>
      <c r="F2310" s="73" t="s">
        <v>4</v>
      </c>
      <c r="G2310" s="32">
        <v>39828</v>
      </c>
      <c r="H2310" s="29">
        <v>210</v>
      </c>
      <c r="I2310" s="17">
        <v>0</v>
      </c>
      <c r="J2310" s="17">
        <v>0</v>
      </c>
      <c r="K2310" s="17">
        <f t="shared" si="390"/>
        <v>210</v>
      </c>
      <c r="L2310" s="23">
        <f t="shared" si="383"/>
        <v>10.5</v>
      </c>
      <c r="M2310" s="33">
        <v>10</v>
      </c>
      <c r="N2310" s="18">
        <f t="shared" si="391"/>
        <v>12.219178082191782</v>
      </c>
      <c r="O2310" s="23">
        <v>1995</v>
      </c>
      <c r="P2310" s="18">
        <f t="shared" si="392"/>
        <v>12.72054794520548</v>
      </c>
      <c r="Q2310" s="18">
        <v>0</v>
      </c>
      <c r="R2310" s="18">
        <f t="shared" si="388"/>
        <v>1995</v>
      </c>
      <c r="S2310" s="18">
        <f t="shared" si="393"/>
        <v>10.5</v>
      </c>
    </row>
    <row r="2311" spans="1:19" ht="18.75" customHeight="1" x14ac:dyDescent="0.25">
      <c r="A2311" s="14">
        <f t="shared" si="394"/>
        <v>2305</v>
      </c>
      <c r="B2311" s="31" t="s">
        <v>1778</v>
      </c>
      <c r="C2311" s="15" t="s">
        <v>3</v>
      </c>
      <c r="D2311" s="31" t="s">
        <v>1708</v>
      </c>
      <c r="E2311" s="31"/>
      <c r="F2311" s="73" t="s">
        <v>4</v>
      </c>
      <c r="G2311" s="32">
        <v>39859</v>
      </c>
      <c r="H2311" s="29">
        <v>210</v>
      </c>
      <c r="I2311" s="17">
        <v>0</v>
      </c>
      <c r="J2311" s="17">
        <v>0</v>
      </c>
      <c r="K2311" s="17">
        <f t="shared" si="390"/>
        <v>210</v>
      </c>
      <c r="L2311" s="23">
        <f t="shared" si="383"/>
        <v>10.5</v>
      </c>
      <c r="M2311" s="33">
        <v>10</v>
      </c>
      <c r="N2311" s="18">
        <f t="shared" si="391"/>
        <v>12.134246575342466</v>
      </c>
      <c r="O2311" s="23">
        <v>1995</v>
      </c>
      <c r="P2311" s="18">
        <f t="shared" si="392"/>
        <v>12.635616438356164</v>
      </c>
      <c r="Q2311" s="18">
        <v>0</v>
      </c>
      <c r="R2311" s="18">
        <f t="shared" si="388"/>
        <v>1995</v>
      </c>
      <c r="S2311" s="18">
        <f t="shared" si="393"/>
        <v>10.5</v>
      </c>
    </row>
    <row r="2312" spans="1:19" ht="18.75" customHeight="1" x14ac:dyDescent="0.25">
      <c r="A2312" s="14">
        <f t="shared" si="394"/>
        <v>2306</v>
      </c>
      <c r="B2312" s="31" t="s">
        <v>1801</v>
      </c>
      <c r="C2312" s="15" t="s">
        <v>3</v>
      </c>
      <c r="D2312" s="31" t="s">
        <v>1708</v>
      </c>
      <c r="E2312" s="31"/>
      <c r="F2312" s="73" t="s">
        <v>4</v>
      </c>
      <c r="G2312" s="32">
        <v>39918</v>
      </c>
      <c r="H2312" s="29">
        <v>209.99749999999995</v>
      </c>
      <c r="I2312" s="17">
        <v>0</v>
      </c>
      <c r="J2312" s="17">
        <v>0</v>
      </c>
      <c r="K2312" s="17">
        <f t="shared" si="390"/>
        <v>209.99749999999995</v>
      </c>
      <c r="L2312" s="23">
        <f t="shared" si="383"/>
        <v>10.499874999999998</v>
      </c>
      <c r="M2312" s="33">
        <v>10</v>
      </c>
      <c r="N2312" s="18">
        <f t="shared" si="391"/>
        <v>11.972602739726028</v>
      </c>
      <c r="O2312" s="23">
        <v>1994.9762499999999</v>
      </c>
      <c r="P2312" s="18">
        <f t="shared" si="392"/>
        <v>12.473972602739726</v>
      </c>
      <c r="Q2312" s="18">
        <v>0</v>
      </c>
      <c r="R2312" s="18">
        <f t="shared" si="388"/>
        <v>1994.9762499999999</v>
      </c>
      <c r="S2312" s="18">
        <f t="shared" si="393"/>
        <v>10.499874999999998</v>
      </c>
    </row>
    <row r="2313" spans="1:19" ht="18.75" customHeight="1" x14ac:dyDescent="0.25">
      <c r="A2313" s="14">
        <f t="shared" si="394"/>
        <v>2307</v>
      </c>
      <c r="B2313" s="31" t="s">
        <v>1801</v>
      </c>
      <c r="C2313" s="15" t="s">
        <v>3</v>
      </c>
      <c r="D2313" s="31" t="s">
        <v>1708</v>
      </c>
      <c r="E2313" s="31"/>
      <c r="F2313" s="73" t="s">
        <v>4</v>
      </c>
      <c r="G2313" s="32">
        <v>39859</v>
      </c>
      <c r="H2313" s="29">
        <v>209.99699999999984</v>
      </c>
      <c r="I2313" s="17">
        <v>0</v>
      </c>
      <c r="J2313" s="17">
        <v>0</v>
      </c>
      <c r="K2313" s="17">
        <f t="shared" si="390"/>
        <v>209.99699999999984</v>
      </c>
      <c r="L2313" s="23">
        <f t="shared" si="383"/>
        <v>10.499849999999993</v>
      </c>
      <c r="M2313" s="33">
        <v>10</v>
      </c>
      <c r="N2313" s="18">
        <f t="shared" si="391"/>
        <v>12.134246575342466</v>
      </c>
      <c r="O2313" s="23">
        <v>1994.9714999999999</v>
      </c>
      <c r="P2313" s="18">
        <f t="shared" si="392"/>
        <v>12.635616438356164</v>
      </c>
      <c r="Q2313" s="18">
        <v>0</v>
      </c>
      <c r="R2313" s="18">
        <f t="shared" si="388"/>
        <v>1994.9714999999999</v>
      </c>
      <c r="S2313" s="18">
        <f t="shared" si="393"/>
        <v>10.499849999999993</v>
      </c>
    </row>
    <row r="2314" spans="1:19" ht="18.75" customHeight="1" x14ac:dyDescent="0.25">
      <c r="A2314" s="14">
        <f t="shared" si="394"/>
        <v>2308</v>
      </c>
      <c r="B2314" s="31" t="s">
        <v>1801</v>
      </c>
      <c r="C2314" s="15" t="s">
        <v>3</v>
      </c>
      <c r="D2314" s="31" t="s">
        <v>1708</v>
      </c>
      <c r="E2314" s="31"/>
      <c r="F2314" s="73" t="s">
        <v>4</v>
      </c>
      <c r="G2314" s="32">
        <v>39767</v>
      </c>
      <c r="H2314" s="29">
        <v>209.98999999999978</v>
      </c>
      <c r="I2314" s="17">
        <v>0</v>
      </c>
      <c r="J2314" s="17">
        <v>0</v>
      </c>
      <c r="K2314" s="17">
        <f t="shared" si="390"/>
        <v>209.98999999999978</v>
      </c>
      <c r="L2314" s="23">
        <f t="shared" si="383"/>
        <v>10.499499999999991</v>
      </c>
      <c r="M2314" s="33">
        <v>10</v>
      </c>
      <c r="N2314" s="18">
        <f t="shared" si="391"/>
        <v>12.386301369863014</v>
      </c>
      <c r="O2314" s="23">
        <v>1994.9050000000002</v>
      </c>
      <c r="P2314" s="18">
        <f t="shared" si="392"/>
        <v>12.887671232876713</v>
      </c>
      <c r="Q2314" s="18">
        <v>0</v>
      </c>
      <c r="R2314" s="18">
        <f t="shared" si="388"/>
        <v>1994.9050000000002</v>
      </c>
      <c r="S2314" s="18">
        <f t="shared" si="393"/>
        <v>10.499499999999991</v>
      </c>
    </row>
    <row r="2315" spans="1:19" ht="18.75" customHeight="1" x14ac:dyDescent="0.25">
      <c r="A2315" s="14">
        <f t="shared" si="394"/>
        <v>2309</v>
      </c>
      <c r="B2315" s="31" t="s">
        <v>1972</v>
      </c>
      <c r="C2315" s="15" t="s">
        <v>3</v>
      </c>
      <c r="D2315" s="31" t="s">
        <v>1708</v>
      </c>
      <c r="E2315" s="31"/>
      <c r="F2315" s="73" t="s">
        <v>4</v>
      </c>
      <c r="G2315" s="32">
        <v>41713</v>
      </c>
      <c r="H2315" s="29">
        <v>207.81849999999986</v>
      </c>
      <c r="I2315" s="17">
        <v>0</v>
      </c>
      <c r="J2315" s="17">
        <v>0</v>
      </c>
      <c r="K2315" s="17">
        <f t="shared" si="390"/>
        <v>207.81849999999986</v>
      </c>
      <c r="L2315" s="23">
        <f t="shared" si="383"/>
        <v>10.390924999999994</v>
      </c>
      <c r="M2315" s="33">
        <v>5</v>
      </c>
      <c r="N2315" s="18">
        <f t="shared" si="391"/>
        <v>7.0547945205479454</v>
      </c>
      <c r="O2315" s="23">
        <v>1974.27575</v>
      </c>
      <c r="P2315" s="18">
        <f t="shared" si="392"/>
        <v>7.5561643835616437</v>
      </c>
      <c r="Q2315" s="18">
        <v>0</v>
      </c>
      <c r="R2315" s="18">
        <f t="shared" si="388"/>
        <v>1974.27575</v>
      </c>
      <c r="S2315" s="18">
        <f t="shared" si="393"/>
        <v>10.390924999999994</v>
      </c>
    </row>
    <row r="2316" spans="1:19" ht="18.75" customHeight="1" x14ac:dyDescent="0.25">
      <c r="A2316" s="14">
        <f t="shared" si="394"/>
        <v>2310</v>
      </c>
      <c r="B2316" s="31" t="s">
        <v>1973</v>
      </c>
      <c r="C2316" s="15" t="s">
        <v>3</v>
      </c>
      <c r="D2316" s="31" t="s">
        <v>1708</v>
      </c>
      <c r="E2316" s="31"/>
      <c r="F2316" s="73" t="s">
        <v>4</v>
      </c>
      <c r="G2316" s="32">
        <v>41320</v>
      </c>
      <c r="H2316" s="29">
        <v>2811.0684931506848</v>
      </c>
      <c r="I2316" s="17">
        <v>0</v>
      </c>
      <c r="J2316" s="17">
        <v>0</v>
      </c>
      <c r="K2316" s="17">
        <f t="shared" si="390"/>
        <v>2811.0684931506848</v>
      </c>
      <c r="L2316" s="23">
        <f t="shared" si="383"/>
        <v>140.55342465753424</v>
      </c>
      <c r="M2316" s="33">
        <v>10</v>
      </c>
      <c r="N2316" s="18">
        <f t="shared" si="391"/>
        <v>8.131506849315068</v>
      </c>
      <c r="O2316" s="23">
        <v>36838.709589041093</v>
      </c>
      <c r="P2316" s="18">
        <f t="shared" si="392"/>
        <v>8.632876712328768</v>
      </c>
      <c r="Q2316" s="18">
        <f t="shared" si="384"/>
        <v>133.89157740664325</v>
      </c>
      <c r="R2316" s="18">
        <f t="shared" si="388"/>
        <v>36972.601166447734</v>
      </c>
      <c r="S2316" s="18">
        <f t="shared" si="393"/>
        <v>140.55342465753424</v>
      </c>
    </row>
    <row r="2317" spans="1:19" ht="18.75" customHeight="1" x14ac:dyDescent="0.25">
      <c r="A2317" s="14">
        <f t="shared" si="394"/>
        <v>2311</v>
      </c>
      <c r="B2317" s="31" t="s">
        <v>1854</v>
      </c>
      <c r="C2317" s="15" t="s">
        <v>3</v>
      </c>
      <c r="D2317" s="31" t="s">
        <v>1708</v>
      </c>
      <c r="E2317" s="31"/>
      <c r="F2317" s="73" t="s">
        <v>4</v>
      </c>
      <c r="G2317" s="32">
        <v>33877</v>
      </c>
      <c r="H2317" s="29">
        <v>90</v>
      </c>
      <c r="I2317" s="17">
        <v>0</v>
      </c>
      <c r="J2317" s="17">
        <v>0</v>
      </c>
      <c r="K2317" s="17">
        <f t="shared" si="390"/>
        <v>90</v>
      </c>
      <c r="L2317" s="23">
        <f t="shared" si="383"/>
        <v>4.5</v>
      </c>
      <c r="M2317" s="33">
        <v>10</v>
      </c>
      <c r="N2317" s="18">
        <f t="shared" si="391"/>
        <v>28.523287671232875</v>
      </c>
      <c r="O2317" s="23">
        <v>855</v>
      </c>
      <c r="P2317" s="18">
        <f t="shared" si="392"/>
        <v>29.024657534246575</v>
      </c>
      <c r="Q2317" s="18">
        <v>0</v>
      </c>
      <c r="R2317" s="18">
        <f t="shared" si="388"/>
        <v>855</v>
      </c>
      <c r="S2317" s="18">
        <f t="shared" si="393"/>
        <v>4.5</v>
      </c>
    </row>
    <row r="2318" spans="1:19" ht="18.75" customHeight="1" x14ac:dyDescent="0.25">
      <c r="A2318" s="14">
        <f t="shared" si="394"/>
        <v>2312</v>
      </c>
      <c r="B2318" s="31" t="s">
        <v>1974</v>
      </c>
      <c r="C2318" s="15" t="s">
        <v>3</v>
      </c>
      <c r="D2318" s="31" t="s">
        <v>1708</v>
      </c>
      <c r="E2318" s="31"/>
      <c r="F2318" s="73" t="s">
        <v>4</v>
      </c>
      <c r="G2318" s="32">
        <v>33908</v>
      </c>
      <c r="H2318" s="29">
        <v>109.5</v>
      </c>
      <c r="I2318" s="17">
        <v>0</v>
      </c>
      <c r="J2318" s="17">
        <v>0</v>
      </c>
      <c r="K2318" s="17">
        <f t="shared" si="390"/>
        <v>109.5</v>
      </c>
      <c r="L2318" s="23">
        <f t="shared" si="383"/>
        <v>5.4750000000000005</v>
      </c>
      <c r="M2318" s="33">
        <v>10</v>
      </c>
      <c r="N2318" s="18">
        <f t="shared" si="391"/>
        <v>28.438356164383563</v>
      </c>
      <c r="O2318" s="23">
        <v>1040.25</v>
      </c>
      <c r="P2318" s="18">
        <f t="shared" si="392"/>
        <v>28.93972602739726</v>
      </c>
      <c r="Q2318" s="18">
        <v>0</v>
      </c>
      <c r="R2318" s="18">
        <f t="shared" si="388"/>
        <v>1040.25</v>
      </c>
      <c r="S2318" s="18">
        <f t="shared" si="393"/>
        <v>5.4750000000000005</v>
      </c>
    </row>
    <row r="2319" spans="1:19" ht="18.75" customHeight="1" x14ac:dyDescent="0.25">
      <c r="A2319" s="14">
        <f t="shared" si="394"/>
        <v>2313</v>
      </c>
      <c r="B2319" s="31" t="s">
        <v>1709</v>
      </c>
      <c r="C2319" s="15" t="s">
        <v>3</v>
      </c>
      <c r="D2319" s="31" t="s">
        <v>1708</v>
      </c>
      <c r="E2319" s="31"/>
      <c r="F2319" s="73" t="s">
        <v>4</v>
      </c>
      <c r="G2319" s="32">
        <v>41379</v>
      </c>
      <c r="H2319" s="29">
        <v>2778.1820193150688</v>
      </c>
      <c r="I2319" s="17">
        <v>0</v>
      </c>
      <c r="J2319" s="17">
        <v>0</v>
      </c>
      <c r="K2319" s="17">
        <f t="shared" si="390"/>
        <v>2778.1820193150688</v>
      </c>
      <c r="L2319" s="23">
        <f t="shared" si="383"/>
        <v>138.90910096575345</v>
      </c>
      <c r="M2319" s="33">
        <v>10</v>
      </c>
      <c r="N2319" s="18">
        <f t="shared" si="391"/>
        <v>7.9698630136986299</v>
      </c>
      <c r="O2319" s="23">
        <v>1729.5763660410958</v>
      </c>
      <c r="P2319" s="18">
        <f t="shared" si="392"/>
        <v>8.4712328767123282</v>
      </c>
      <c r="Q2319" s="18">
        <f t="shared" si="384"/>
        <v>132.32519015285598</v>
      </c>
      <c r="R2319" s="18">
        <f t="shared" si="388"/>
        <v>1861.9015561939518</v>
      </c>
      <c r="S2319" s="18">
        <f t="shared" si="389"/>
        <v>916.28046312111701</v>
      </c>
    </row>
    <row r="2320" spans="1:19" ht="18.75" customHeight="1" x14ac:dyDescent="0.25">
      <c r="A2320" s="14">
        <f t="shared" si="394"/>
        <v>2314</v>
      </c>
      <c r="B2320" s="31" t="s">
        <v>1975</v>
      </c>
      <c r="C2320" s="15" t="s">
        <v>3</v>
      </c>
      <c r="D2320" s="31" t="s">
        <v>1708</v>
      </c>
      <c r="E2320" s="31"/>
      <c r="F2320" s="73" t="s">
        <v>4</v>
      </c>
      <c r="G2320" s="32">
        <v>33908</v>
      </c>
      <c r="H2320" s="29">
        <v>108.5</v>
      </c>
      <c r="I2320" s="17">
        <v>0</v>
      </c>
      <c r="J2320" s="17">
        <v>0</v>
      </c>
      <c r="K2320" s="17">
        <f t="shared" si="390"/>
        <v>108.5</v>
      </c>
      <c r="L2320" s="23">
        <f t="shared" si="383"/>
        <v>5.4250000000000007</v>
      </c>
      <c r="M2320" s="33">
        <v>10</v>
      </c>
      <c r="N2320" s="18">
        <f t="shared" si="391"/>
        <v>28.438356164383563</v>
      </c>
      <c r="O2320" s="23">
        <v>1030.75</v>
      </c>
      <c r="P2320" s="18">
        <f t="shared" si="392"/>
        <v>28.93972602739726</v>
      </c>
      <c r="Q2320" s="18">
        <v>0</v>
      </c>
      <c r="R2320" s="18">
        <f t="shared" si="388"/>
        <v>1030.75</v>
      </c>
      <c r="S2320" s="18">
        <f t="shared" ref="S2320:S2323" si="395">L2320</f>
        <v>5.4250000000000007</v>
      </c>
    </row>
    <row r="2321" spans="1:19" ht="18.75" customHeight="1" x14ac:dyDescent="0.25">
      <c r="A2321" s="14">
        <f t="shared" si="394"/>
        <v>2315</v>
      </c>
      <c r="B2321" s="31" t="s">
        <v>1976</v>
      </c>
      <c r="C2321" s="15" t="s">
        <v>3</v>
      </c>
      <c r="D2321" s="31" t="s">
        <v>1708</v>
      </c>
      <c r="E2321" s="31"/>
      <c r="F2321" s="73" t="s">
        <v>4</v>
      </c>
      <c r="G2321" s="32">
        <v>33917</v>
      </c>
      <c r="H2321" s="29">
        <v>90</v>
      </c>
      <c r="I2321" s="17">
        <v>0</v>
      </c>
      <c r="J2321" s="17">
        <v>0</v>
      </c>
      <c r="K2321" s="17">
        <f t="shared" si="390"/>
        <v>90</v>
      </c>
      <c r="L2321" s="23">
        <f t="shared" si="383"/>
        <v>4.5</v>
      </c>
      <c r="M2321" s="33">
        <v>10</v>
      </c>
      <c r="N2321" s="18">
        <f t="shared" si="391"/>
        <v>28.413698630136988</v>
      </c>
      <c r="O2321" s="23">
        <v>855</v>
      </c>
      <c r="P2321" s="18">
        <f t="shared" si="392"/>
        <v>28.915068493150685</v>
      </c>
      <c r="Q2321" s="18">
        <v>0</v>
      </c>
      <c r="R2321" s="18">
        <f t="shared" si="388"/>
        <v>855</v>
      </c>
      <c r="S2321" s="18">
        <f t="shared" si="395"/>
        <v>4.5</v>
      </c>
    </row>
    <row r="2322" spans="1:19" ht="18.75" customHeight="1" x14ac:dyDescent="0.25">
      <c r="A2322" s="14">
        <f t="shared" si="394"/>
        <v>2316</v>
      </c>
      <c r="B2322" s="31" t="s">
        <v>1977</v>
      </c>
      <c r="C2322" s="15" t="s">
        <v>3</v>
      </c>
      <c r="D2322" s="31" t="s">
        <v>1708</v>
      </c>
      <c r="E2322" s="31"/>
      <c r="F2322" s="73" t="s">
        <v>4</v>
      </c>
      <c r="G2322" s="32">
        <v>33917</v>
      </c>
      <c r="H2322" s="29">
        <v>35</v>
      </c>
      <c r="I2322" s="17">
        <v>0</v>
      </c>
      <c r="J2322" s="17">
        <v>0</v>
      </c>
      <c r="K2322" s="17">
        <f t="shared" si="390"/>
        <v>35</v>
      </c>
      <c r="L2322" s="23">
        <f t="shared" si="383"/>
        <v>1.75</v>
      </c>
      <c r="M2322" s="33">
        <v>10</v>
      </c>
      <c r="N2322" s="18">
        <f t="shared" si="391"/>
        <v>28.413698630136988</v>
      </c>
      <c r="O2322" s="23">
        <v>332.5</v>
      </c>
      <c r="P2322" s="18">
        <f t="shared" si="392"/>
        <v>28.915068493150685</v>
      </c>
      <c r="Q2322" s="18">
        <v>0</v>
      </c>
      <c r="R2322" s="18">
        <f t="shared" si="388"/>
        <v>332.5</v>
      </c>
      <c r="S2322" s="18">
        <f t="shared" si="395"/>
        <v>1.75</v>
      </c>
    </row>
    <row r="2323" spans="1:19" ht="18.75" customHeight="1" x14ac:dyDescent="0.25">
      <c r="A2323" s="14">
        <f t="shared" si="394"/>
        <v>2317</v>
      </c>
      <c r="B2323" s="31" t="s">
        <v>1801</v>
      </c>
      <c r="C2323" s="15" t="s">
        <v>3</v>
      </c>
      <c r="D2323" s="31" t="s">
        <v>1708</v>
      </c>
      <c r="E2323" s="31"/>
      <c r="F2323" s="73" t="s">
        <v>4</v>
      </c>
      <c r="G2323" s="32">
        <v>39448</v>
      </c>
      <c r="H2323" s="29">
        <v>187.26200000000017</v>
      </c>
      <c r="I2323" s="17">
        <v>0</v>
      </c>
      <c r="J2323" s="17">
        <v>0</v>
      </c>
      <c r="K2323" s="17">
        <f t="shared" si="390"/>
        <v>187.26200000000017</v>
      </c>
      <c r="L2323" s="23">
        <f t="shared" si="383"/>
        <v>9.3631000000000082</v>
      </c>
      <c r="M2323" s="33">
        <v>10</v>
      </c>
      <c r="N2323" s="18">
        <f t="shared" si="391"/>
        <v>13.260273972602739</v>
      </c>
      <c r="O2323" s="23">
        <v>1778.9889999999998</v>
      </c>
      <c r="P2323" s="18">
        <f t="shared" si="392"/>
        <v>13.761643835616438</v>
      </c>
      <c r="Q2323" s="18">
        <v>0</v>
      </c>
      <c r="R2323" s="18">
        <f t="shared" si="388"/>
        <v>1778.9889999999998</v>
      </c>
      <c r="S2323" s="18">
        <f t="shared" si="395"/>
        <v>9.3631000000000082</v>
      </c>
    </row>
    <row r="2324" spans="1:19" ht="18.75" customHeight="1" x14ac:dyDescent="0.25">
      <c r="A2324" s="14">
        <f t="shared" si="394"/>
        <v>2318</v>
      </c>
      <c r="B2324" s="31" t="s">
        <v>1978</v>
      </c>
      <c r="C2324" s="15" t="s">
        <v>3</v>
      </c>
      <c r="D2324" s="31" t="s">
        <v>1708</v>
      </c>
      <c r="E2324" s="31"/>
      <c r="F2324" s="73" t="s">
        <v>4</v>
      </c>
      <c r="G2324" s="32">
        <v>41320</v>
      </c>
      <c r="H2324" s="29">
        <v>2626.9856728767127</v>
      </c>
      <c r="I2324" s="17">
        <v>0</v>
      </c>
      <c r="J2324" s="17">
        <v>0</v>
      </c>
      <c r="K2324" s="17">
        <f t="shared" si="390"/>
        <v>2626.9856728767127</v>
      </c>
      <c r="L2324" s="23">
        <f t="shared" si="383"/>
        <v>131.34928364383563</v>
      </c>
      <c r="M2324" s="33">
        <v>10</v>
      </c>
      <c r="N2324" s="18">
        <f t="shared" si="391"/>
        <v>8.131506849315068</v>
      </c>
      <c r="O2324" s="23">
        <v>1665.4439870136987</v>
      </c>
      <c r="P2324" s="18">
        <f t="shared" si="392"/>
        <v>8.632876712328768</v>
      </c>
      <c r="Q2324" s="18">
        <f t="shared" si="384"/>
        <v>125.12368746016925</v>
      </c>
      <c r="R2324" s="18">
        <f t="shared" si="388"/>
        <v>1790.567674473868</v>
      </c>
      <c r="S2324" s="18">
        <f t="shared" si="389"/>
        <v>836.41799840284466</v>
      </c>
    </row>
    <row r="2325" spans="1:19" ht="18.75" customHeight="1" x14ac:dyDescent="0.25">
      <c r="A2325" s="14">
        <f t="shared" si="394"/>
        <v>2319</v>
      </c>
      <c r="B2325" s="31" t="s">
        <v>1979</v>
      </c>
      <c r="C2325" s="15" t="s">
        <v>3</v>
      </c>
      <c r="D2325" s="31" t="s">
        <v>1708</v>
      </c>
      <c r="E2325" s="31"/>
      <c r="F2325" s="73" t="s">
        <v>4</v>
      </c>
      <c r="G2325" s="32">
        <v>41440</v>
      </c>
      <c r="H2325" s="29">
        <v>2727.5439999999999</v>
      </c>
      <c r="I2325" s="17">
        <v>0</v>
      </c>
      <c r="J2325" s="17">
        <v>0</v>
      </c>
      <c r="K2325" s="17">
        <f t="shared" si="390"/>
        <v>2727.5439999999999</v>
      </c>
      <c r="L2325" s="23">
        <f t="shared" si="383"/>
        <v>136.37719999999999</v>
      </c>
      <c r="M2325" s="33">
        <v>10</v>
      </c>
      <c r="N2325" s="18">
        <f t="shared" si="391"/>
        <v>7.8027397260273972</v>
      </c>
      <c r="O2325" s="23">
        <v>1667.2215780821916</v>
      </c>
      <c r="P2325" s="18">
        <f t="shared" si="392"/>
        <v>8.3041095890410954</v>
      </c>
      <c r="Q2325" s="18">
        <f t="shared" si="384"/>
        <v>129.9132943561643</v>
      </c>
      <c r="R2325" s="18">
        <f t="shared" si="388"/>
        <v>1797.1348724383558</v>
      </c>
      <c r="S2325" s="18">
        <f t="shared" si="389"/>
        <v>930.40912756164403</v>
      </c>
    </row>
    <row r="2326" spans="1:19" ht="18.75" customHeight="1" x14ac:dyDescent="0.25">
      <c r="A2326" s="14">
        <f t="shared" si="394"/>
        <v>2320</v>
      </c>
      <c r="B2326" s="31" t="s">
        <v>1980</v>
      </c>
      <c r="C2326" s="15" t="s">
        <v>3</v>
      </c>
      <c r="D2326" s="31" t="s">
        <v>1708</v>
      </c>
      <c r="E2326" s="31"/>
      <c r="F2326" s="73" t="s">
        <v>4</v>
      </c>
      <c r="G2326" s="32">
        <v>33938</v>
      </c>
      <c r="H2326" s="29">
        <v>7.4000000000000057</v>
      </c>
      <c r="I2326" s="17">
        <v>0</v>
      </c>
      <c r="J2326" s="17">
        <v>0</v>
      </c>
      <c r="K2326" s="17">
        <f t="shared" si="390"/>
        <v>7.4000000000000057</v>
      </c>
      <c r="L2326" s="23">
        <f t="shared" si="383"/>
        <v>0.37000000000000033</v>
      </c>
      <c r="M2326" s="33">
        <v>10</v>
      </c>
      <c r="N2326" s="18">
        <f t="shared" si="391"/>
        <v>28.356164383561644</v>
      </c>
      <c r="O2326" s="23">
        <v>70.3</v>
      </c>
      <c r="P2326" s="18">
        <f t="shared" si="392"/>
        <v>28.857534246575341</v>
      </c>
      <c r="Q2326" s="18">
        <v>0</v>
      </c>
      <c r="R2326" s="18">
        <f t="shared" si="388"/>
        <v>70.3</v>
      </c>
      <c r="S2326" s="18">
        <f t="shared" ref="S2326:S2327" si="396">L2326</f>
        <v>0.37000000000000033</v>
      </c>
    </row>
    <row r="2327" spans="1:19" ht="18.75" customHeight="1" x14ac:dyDescent="0.25">
      <c r="A2327" s="14">
        <f t="shared" si="394"/>
        <v>2321</v>
      </c>
      <c r="B2327" s="31" t="s">
        <v>1981</v>
      </c>
      <c r="C2327" s="15" t="s">
        <v>3</v>
      </c>
      <c r="D2327" s="31" t="s">
        <v>1708</v>
      </c>
      <c r="E2327" s="31"/>
      <c r="F2327" s="73" t="s">
        <v>4</v>
      </c>
      <c r="G2327" s="32">
        <v>33969</v>
      </c>
      <c r="H2327" s="29">
        <v>852.75</v>
      </c>
      <c r="I2327" s="17">
        <v>0</v>
      </c>
      <c r="J2327" s="17">
        <v>0</v>
      </c>
      <c r="K2327" s="17">
        <f t="shared" si="390"/>
        <v>852.75</v>
      </c>
      <c r="L2327" s="23">
        <f t="shared" ref="L2327:L2390" si="397">H2327*0.05</f>
        <v>42.637500000000003</v>
      </c>
      <c r="M2327" s="33">
        <v>10</v>
      </c>
      <c r="N2327" s="18">
        <f t="shared" si="391"/>
        <v>28.271232876712329</v>
      </c>
      <c r="O2327" s="23">
        <v>8101.125</v>
      </c>
      <c r="P2327" s="18">
        <f t="shared" si="392"/>
        <v>28.772602739726029</v>
      </c>
      <c r="Q2327" s="18">
        <v>0</v>
      </c>
      <c r="R2327" s="18">
        <f t="shared" si="388"/>
        <v>8101.125</v>
      </c>
      <c r="S2327" s="18">
        <f t="shared" si="396"/>
        <v>42.637500000000003</v>
      </c>
    </row>
    <row r="2328" spans="1:19" ht="18.75" customHeight="1" x14ac:dyDescent="0.25">
      <c r="A2328" s="14">
        <f t="shared" si="394"/>
        <v>2322</v>
      </c>
      <c r="B2328" s="31" t="s">
        <v>1831</v>
      </c>
      <c r="C2328" s="15" t="s">
        <v>3</v>
      </c>
      <c r="D2328" s="31" t="s">
        <v>1708</v>
      </c>
      <c r="E2328" s="31"/>
      <c r="F2328" s="73" t="s">
        <v>4</v>
      </c>
      <c r="G2328" s="32">
        <v>41501</v>
      </c>
      <c r="H2328" s="29">
        <v>2699.5561643835617</v>
      </c>
      <c r="I2328" s="17">
        <v>0</v>
      </c>
      <c r="J2328" s="17">
        <v>0</v>
      </c>
      <c r="K2328" s="17">
        <f t="shared" si="390"/>
        <v>2699.5561643835617</v>
      </c>
      <c r="L2328" s="23">
        <f t="shared" si="397"/>
        <v>134.97780821917809</v>
      </c>
      <c r="M2328" s="33">
        <v>10</v>
      </c>
      <c r="N2328" s="18">
        <f t="shared" si="391"/>
        <v>7.6356164383561644</v>
      </c>
      <c r="O2328" s="23">
        <v>1620.892602739726</v>
      </c>
      <c r="P2328" s="18">
        <f t="shared" si="392"/>
        <v>8.1369863013698627</v>
      </c>
      <c r="Q2328" s="18">
        <f t="shared" ref="Q2328:Q2389" si="398">(P2328-N2328)/M2328*(K2328-L2328)</f>
        <v>128.58022991180326</v>
      </c>
      <c r="R2328" s="18">
        <f t="shared" si="388"/>
        <v>1749.4728326515292</v>
      </c>
      <c r="S2328" s="18">
        <f t="shared" si="389"/>
        <v>950.08333173203255</v>
      </c>
    </row>
    <row r="2329" spans="1:19" ht="18.75" customHeight="1" x14ac:dyDescent="0.25">
      <c r="A2329" s="14">
        <f t="shared" si="394"/>
        <v>2323</v>
      </c>
      <c r="B2329" s="31" t="s">
        <v>1982</v>
      </c>
      <c r="C2329" s="15" t="s">
        <v>3</v>
      </c>
      <c r="D2329" s="31" t="s">
        <v>1708</v>
      </c>
      <c r="E2329" s="31"/>
      <c r="F2329" s="73" t="s">
        <v>4</v>
      </c>
      <c r="G2329" s="32">
        <v>33969</v>
      </c>
      <c r="H2329" s="29">
        <v>36.299999999999955</v>
      </c>
      <c r="I2329" s="17">
        <v>0</v>
      </c>
      <c r="J2329" s="17">
        <v>0</v>
      </c>
      <c r="K2329" s="17">
        <f t="shared" si="390"/>
        <v>36.299999999999955</v>
      </c>
      <c r="L2329" s="23">
        <f t="shared" si="397"/>
        <v>1.8149999999999977</v>
      </c>
      <c r="M2329" s="33">
        <v>10</v>
      </c>
      <c r="N2329" s="18">
        <f t="shared" si="391"/>
        <v>28.271232876712329</v>
      </c>
      <c r="O2329" s="23">
        <v>344.85</v>
      </c>
      <c r="P2329" s="18">
        <f t="shared" si="392"/>
        <v>28.772602739726029</v>
      </c>
      <c r="Q2329" s="18">
        <v>0</v>
      </c>
      <c r="R2329" s="18">
        <f t="shared" si="388"/>
        <v>344.85</v>
      </c>
      <c r="S2329" s="18">
        <f>L2329</f>
        <v>1.8149999999999977</v>
      </c>
    </row>
    <row r="2330" spans="1:19" ht="18.75" customHeight="1" x14ac:dyDescent="0.25">
      <c r="A2330" s="14">
        <f t="shared" si="394"/>
        <v>2324</v>
      </c>
      <c r="B2330" s="31" t="s">
        <v>1983</v>
      </c>
      <c r="C2330" s="15" t="s">
        <v>3</v>
      </c>
      <c r="D2330" s="31" t="s">
        <v>1708</v>
      </c>
      <c r="E2330" s="31"/>
      <c r="F2330" s="73" t="s">
        <v>4</v>
      </c>
      <c r="G2330" s="32">
        <v>41320</v>
      </c>
      <c r="H2330" s="29">
        <v>2494.8232876712327</v>
      </c>
      <c r="I2330" s="17">
        <v>0</v>
      </c>
      <c r="J2330" s="17">
        <v>0</v>
      </c>
      <c r="K2330" s="17">
        <f t="shared" si="390"/>
        <v>2494.8232876712327</v>
      </c>
      <c r="L2330" s="23">
        <f t="shared" si="397"/>
        <v>124.74116438356164</v>
      </c>
      <c r="M2330" s="33">
        <v>10</v>
      </c>
      <c r="N2330" s="18">
        <f t="shared" si="391"/>
        <v>8.131506849315068</v>
      </c>
      <c r="O2330" s="23">
        <v>1581.6563013698628</v>
      </c>
      <c r="P2330" s="18">
        <f t="shared" si="392"/>
        <v>8.632876712328768</v>
      </c>
      <c r="Q2330" s="18">
        <f t="shared" si="398"/>
        <v>118.82877494839589</v>
      </c>
      <c r="R2330" s="18">
        <f t="shared" si="388"/>
        <v>1700.4850763182587</v>
      </c>
      <c r="S2330" s="18">
        <f t="shared" si="389"/>
        <v>794.33821135297399</v>
      </c>
    </row>
    <row r="2331" spans="1:19" ht="18.75" customHeight="1" x14ac:dyDescent="0.25">
      <c r="A2331" s="14">
        <f t="shared" si="394"/>
        <v>2325</v>
      </c>
      <c r="B2331" s="31" t="s">
        <v>1984</v>
      </c>
      <c r="C2331" s="15" t="s">
        <v>3</v>
      </c>
      <c r="D2331" s="31" t="s">
        <v>1708</v>
      </c>
      <c r="E2331" s="31"/>
      <c r="F2331" s="73" t="s">
        <v>4</v>
      </c>
      <c r="G2331" s="32">
        <v>41228</v>
      </c>
      <c r="H2331" s="29">
        <v>2389.3513273972603</v>
      </c>
      <c r="I2331" s="17">
        <v>0</v>
      </c>
      <c r="J2331" s="17">
        <v>0</v>
      </c>
      <c r="K2331" s="17">
        <f t="shared" si="390"/>
        <v>2389.3513273972603</v>
      </c>
      <c r="L2331" s="23">
        <f t="shared" si="397"/>
        <v>119.46756636986302</v>
      </c>
      <c r="M2331" s="33">
        <v>10</v>
      </c>
      <c r="N2331" s="18">
        <f t="shared" si="391"/>
        <v>8.3835616438356162</v>
      </c>
      <c r="O2331" s="23">
        <v>1559.7950080821918</v>
      </c>
      <c r="P2331" s="18">
        <f t="shared" si="392"/>
        <v>8.8849315068493144</v>
      </c>
      <c r="Q2331" s="18">
        <f t="shared" si="398"/>
        <v>113.80513103233244</v>
      </c>
      <c r="R2331" s="18">
        <f t="shared" si="388"/>
        <v>1673.6001391145242</v>
      </c>
      <c r="S2331" s="18">
        <f t="shared" si="389"/>
        <v>715.75118828273617</v>
      </c>
    </row>
    <row r="2332" spans="1:19" ht="18.75" customHeight="1" x14ac:dyDescent="0.25">
      <c r="A2332" s="14">
        <f t="shared" si="394"/>
        <v>2326</v>
      </c>
      <c r="B2332" s="31" t="s">
        <v>1985</v>
      </c>
      <c r="C2332" s="15" t="s">
        <v>3</v>
      </c>
      <c r="D2332" s="31" t="s">
        <v>1708</v>
      </c>
      <c r="E2332" s="31"/>
      <c r="F2332" s="73" t="s">
        <v>4</v>
      </c>
      <c r="G2332" s="32">
        <v>41289</v>
      </c>
      <c r="H2332" s="29">
        <v>2431.4452054794519</v>
      </c>
      <c r="I2332" s="17">
        <v>0</v>
      </c>
      <c r="J2332" s="17">
        <v>0</v>
      </c>
      <c r="K2332" s="17">
        <f t="shared" si="390"/>
        <v>2431.4452054794519</v>
      </c>
      <c r="L2332" s="23">
        <f t="shared" si="397"/>
        <v>121.5722602739726</v>
      </c>
      <c r="M2332" s="33">
        <v>10</v>
      </c>
      <c r="N2332" s="18">
        <f t="shared" si="391"/>
        <v>8.2164383561643834</v>
      </c>
      <c r="O2332" s="23">
        <v>1556.5554794520549</v>
      </c>
      <c r="P2332" s="18">
        <f t="shared" si="392"/>
        <v>8.7178082191780817</v>
      </c>
      <c r="Q2332" s="18">
        <f t="shared" si="398"/>
        <v>115.8100682116719</v>
      </c>
      <c r="R2332" s="18">
        <f t="shared" si="388"/>
        <v>1672.3655476637268</v>
      </c>
      <c r="S2332" s="18">
        <f t="shared" si="389"/>
        <v>759.07965781572511</v>
      </c>
    </row>
    <row r="2333" spans="1:19" ht="18.75" customHeight="1" x14ac:dyDescent="0.25">
      <c r="A2333" s="14">
        <f t="shared" si="394"/>
        <v>2327</v>
      </c>
      <c r="B2333" s="31" t="s">
        <v>1986</v>
      </c>
      <c r="C2333" s="15" t="s">
        <v>3</v>
      </c>
      <c r="D2333" s="31" t="s">
        <v>1708</v>
      </c>
      <c r="E2333" s="31"/>
      <c r="F2333" s="73" t="s">
        <v>4</v>
      </c>
      <c r="G2333" s="32">
        <v>41517</v>
      </c>
      <c r="H2333" s="29">
        <v>175</v>
      </c>
      <c r="I2333" s="17">
        <v>0</v>
      </c>
      <c r="J2333" s="17">
        <v>0</v>
      </c>
      <c r="K2333" s="17">
        <f t="shared" si="390"/>
        <v>175</v>
      </c>
      <c r="L2333" s="23">
        <f t="shared" si="397"/>
        <v>8.75</v>
      </c>
      <c r="M2333" s="33">
        <v>5</v>
      </c>
      <c r="N2333" s="18">
        <f t="shared" si="391"/>
        <v>7.5917808219178085</v>
      </c>
      <c r="O2333" s="23">
        <v>1662.5</v>
      </c>
      <c r="P2333" s="18">
        <f t="shared" si="392"/>
        <v>8.0931506849315067</v>
      </c>
      <c r="Q2333" s="18">
        <v>0</v>
      </c>
      <c r="R2333" s="18">
        <f t="shared" si="388"/>
        <v>1662.5</v>
      </c>
      <c r="S2333" s="18">
        <f>L2333</f>
        <v>8.75</v>
      </c>
    </row>
    <row r="2334" spans="1:19" ht="18.75" customHeight="1" x14ac:dyDescent="0.25">
      <c r="A2334" s="14">
        <f t="shared" si="394"/>
        <v>2328</v>
      </c>
      <c r="B2334" s="31" t="s">
        <v>1987</v>
      </c>
      <c r="C2334" s="15" t="s">
        <v>3</v>
      </c>
      <c r="D2334" s="31" t="s">
        <v>1708</v>
      </c>
      <c r="E2334" s="31"/>
      <c r="F2334" s="73" t="s">
        <v>4</v>
      </c>
      <c r="G2334" s="32">
        <v>41200</v>
      </c>
      <c r="H2334" s="29">
        <v>2336.6034109589041</v>
      </c>
      <c r="I2334" s="17">
        <v>0</v>
      </c>
      <c r="J2334" s="17">
        <v>0</v>
      </c>
      <c r="K2334" s="17">
        <f t="shared" si="390"/>
        <v>2336.6034109589041</v>
      </c>
      <c r="L2334" s="23">
        <f t="shared" si="397"/>
        <v>116.83017054794522</v>
      </c>
      <c r="M2334" s="33">
        <v>10</v>
      </c>
      <c r="N2334" s="18">
        <f t="shared" si="391"/>
        <v>8.4602739726027405</v>
      </c>
      <c r="O2334" s="23">
        <v>1539.3784643835615</v>
      </c>
      <c r="P2334" s="18">
        <f t="shared" si="392"/>
        <v>8.9616438356164387</v>
      </c>
      <c r="Q2334" s="18">
        <f t="shared" si="398"/>
        <v>111.29274054663155</v>
      </c>
      <c r="R2334" s="18">
        <f t="shared" si="388"/>
        <v>1650.6712049301932</v>
      </c>
      <c r="S2334" s="18">
        <f t="shared" si="389"/>
        <v>685.93220602871088</v>
      </c>
    </row>
    <row r="2335" spans="1:19" ht="18.75" customHeight="1" x14ac:dyDescent="0.25">
      <c r="A2335" s="14">
        <f t="shared" si="394"/>
        <v>2329</v>
      </c>
      <c r="B2335" s="31" t="s">
        <v>1988</v>
      </c>
      <c r="C2335" s="15" t="s">
        <v>3</v>
      </c>
      <c r="D2335" s="31" t="s">
        <v>1708</v>
      </c>
      <c r="E2335" s="31"/>
      <c r="F2335" s="73" t="s">
        <v>4</v>
      </c>
      <c r="G2335" s="32">
        <v>41324</v>
      </c>
      <c r="H2335" s="29">
        <v>2392.9479452054793</v>
      </c>
      <c r="I2335" s="17">
        <v>0</v>
      </c>
      <c r="J2335" s="17">
        <v>0</v>
      </c>
      <c r="K2335" s="17">
        <f t="shared" si="390"/>
        <v>2392.9479452054793</v>
      </c>
      <c r="L2335" s="23">
        <f t="shared" si="397"/>
        <v>119.64739726027398</v>
      </c>
      <c r="M2335" s="33">
        <v>10</v>
      </c>
      <c r="N2335" s="18">
        <f t="shared" si="391"/>
        <v>8.1205479452054803</v>
      </c>
      <c r="O2335" s="23">
        <v>1515.1797260273975</v>
      </c>
      <c r="P2335" s="18">
        <f t="shared" si="392"/>
        <v>8.6219178082191785</v>
      </c>
      <c r="Q2335" s="18">
        <f t="shared" si="398"/>
        <v>113.97643843122528</v>
      </c>
      <c r="R2335" s="18">
        <f t="shared" si="388"/>
        <v>1629.1561644586227</v>
      </c>
      <c r="S2335" s="18">
        <f t="shared" si="389"/>
        <v>763.7917807468566</v>
      </c>
    </row>
    <row r="2336" spans="1:19" ht="18.75" customHeight="1" x14ac:dyDescent="0.25">
      <c r="A2336" s="14">
        <f t="shared" si="394"/>
        <v>2330</v>
      </c>
      <c r="B2336" s="31" t="s">
        <v>1989</v>
      </c>
      <c r="C2336" s="15" t="s">
        <v>3</v>
      </c>
      <c r="D2336" s="31" t="s">
        <v>1708</v>
      </c>
      <c r="E2336" s="31"/>
      <c r="F2336" s="73" t="s">
        <v>4</v>
      </c>
      <c r="G2336" s="32">
        <v>41044</v>
      </c>
      <c r="H2336" s="29">
        <v>168.08599999999979</v>
      </c>
      <c r="I2336" s="17">
        <v>0</v>
      </c>
      <c r="J2336" s="17">
        <v>0</v>
      </c>
      <c r="K2336" s="17">
        <f t="shared" si="390"/>
        <v>168.08599999999979</v>
      </c>
      <c r="L2336" s="23">
        <f t="shared" si="397"/>
        <v>8.4042999999999903</v>
      </c>
      <c r="M2336" s="33">
        <v>5</v>
      </c>
      <c r="N2336" s="18">
        <f t="shared" si="391"/>
        <v>8.8876712328767127</v>
      </c>
      <c r="O2336" s="23">
        <v>1596.817</v>
      </c>
      <c r="P2336" s="18">
        <f t="shared" si="392"/>
        <v>9.3890410958904109</v>
      </c>
      <c r="Q2336" s="18">
        <v>0</v>
      </c>
      <c r="R2336" s="18">
        <f t="shared" si="388"/>
        <v>1596.817</v>
      </c>
      <c r="S2336" s="18">
        <f t="shared" ref="S2336:S2338" si="399">L2336</f>
        <v>8.4042999999999903</v>
      </c>
    </row>
    <row r="2337" spans="1:19" ht="18.75" customHeight="1" x14ac:dyDescent="0.25">
      <c r="A2337" s="14">
        <f t="shared" si="394"/>
        <v>2331</v>
      </c>
      <c r="B2337" s="31" t="s">
        <v>1817</v>
      </c>
      <c r="C2337" s="15" t="s">
        <v>3</v>
      </c>
      <c r="D2337" s="31" t="s">
        <v>1708</v>
      </c>
      <c r="E2337" s="31"/>
      <c r="F2337" s="73" t="s">
        <v>4</v>
      </c>
      <c r="G2337" s="32">
        <v>34035</v>
      </c>
      <c r="H2337" s="29">
        <v>167.5</v>
      </c>
      <c r="I2337" s="17">
        <v>0</v>
      </c>
      <c r="J2337" s="17">
        <v>0</v>
      </c>
      <c r="K2337" s="17">
        <f t="shared" si="390"/>
        <v>167.5</v>
      </c>
      <c r="L2337" s="23">
        <f t="shared" si="397"/>
        <v>8.375</v>
      </c>
      <c r="M2337" s="33">
        <v>10</v>
      </c>
      <c r="N2337" s="18">
        <f t="shared" si="391"/>
        <v>28.090410958904108</v>
      </c>
      <c r="O2337" s="23">
        <v>1591.25</v>
      </c>
      <c r="P2337" s="18">
        <f t="shared" si="392"/>
        <v>28.591780821917808</v>
      </c>
      <c r="Q2337" s="18">
        <v>0</v>
      </c>
      <c r="R2337" s="18">
        <f t="shared" si="388"/>
        <v>1591.25</v>
      </c>
      <c r="S2337" s="18">
        <f t="shared" si="399"/>
        <v>8.375</v>
      </c>
    </row>
    <row r="2338" spans="1:19" ht="18.75" customHeight="1" x14ac:dyDescent="0.25">
      <c r="A2338" s="14">
        <f t="shared" si="394"/>
        <v>2332</v>
      </c>
      <c r="B2338" s="31" t="s">
        <v>1990</v>
      </c>
      <c r="C2338" s="15" t="s">
        <v>3</v>
      </c>
      <c r="D2338" s="31" t="s">
        <v>1708</v>
      </c>
      <c r="E2338" s="31"/>
      <c r="F2338" s="73" t="s">
        <v>4</v>
      </c>
      <c r="G2338" s="32">
        <v>34043</v>
      </c>
      <c r="H2338" s="29">
        <v>62.5</v>
      </c>
      <c r="I2338" s="17">
        <v>0</v>
      </c>
      <c r="J2338" s="17">
        <v>0</v>
      </c>
      <c r="K2338" s="17">
        <f t="shared" si="390"/>
        <v>62.5</v>
      </c>
      <c r="L2338" s="23">
        <f t="shared" si="397"/>
        <v>3.125</v>
      </c>
      <c r="M2338" s="33">
        <v>10</v>
      </c>
      <c r="N2338" s="18">
        <f t="shared" si="391"/>
        <v>28.068493150684933</v>
      </c>
      <c r="O2338" s="23">
        <v>593.75</v>
      </c>
      <c r="P2338" s="18">
        <f t="shared" si="392"/>
        <v>28.56986301369863</v>
      </c>
      <c r="Q2338" s="18">
        <v>0</v>
      </c>
      <c r="R2338" s="18">
        <f t="shared" si="388"/>
        <v>593.75</v>
      </c>
      <c r="S2338" s="18">
        <f t="shared" si="399"/>
        <v>3.125</v>
      </c>
    </row>
    <row r="2339" spans="1:19" ht="18.75" customHeight="1" x14ac:dyDescent="0.25">
      <c r="A2339" s="14">
        <f t="shared" si="394"/>
        <v>2333</v>
      </c>
      <c r="B2339" s="31" t="s">
        <v>1991</v>
      </c>
      <c r="C2339" s="15" t="s">
        <v>3</v>
      </c>
      <c r="D2339" s="31" t="s">
        <v>1708</v>
      </c>
      <c r="E2339" s="31"/>
      <c r="F2339" s="73" t="s">
        <v>4</v>
      </c>
      <c r="G2339" s="32">
        <v>41289</v>
      </c>
      <c r="H2339" s="29">
        <v>2292.5054794520547</v>
      </c>
      <c r="I2339" s="17">
        <v>0</v>
      </c>
      <c r="J2339" s="17">
        <v>0</v>
      </c>
      <c r="K2339" s="17">
        <f t="shared" si="390"/>
        <v>2292.5054794520547</v>
      </c>
      <c r="L2339" s="23">
        <f t="shared" si="397"/>
        <v>114.62527397260274</v>
      </c>
      <c r="M2339" s="33">
        <v>10</v>
      </c>
      <c r="N2339" s="18">
        <f t="shared" si="391"/>
        <v>8.2164383561643834</v>
      </c>
      <c r="O2339" s="23">
        <v>1467.6094520547942</v>
      </c>
      <c r="P2339" s="18">
        <f t="shared" si="392"/>
        <v>8.7178082191780817</v>
      </c>
      <c r="Q2339" s="18">
        <f t="shared" si="398"/>
        <v>109.19235002814779</v>
      </c>
      <c r="R2339" s="18">
        <f t="shared" si="388"/>
        <v>1576.801802082942</v>
      </c>
      <c r="S2339" s="18">
        <f t="shared" si="389"/>
        <v>715.70367736911271</v>
      </c>
    </row>
    <row r="2340" spans="1:19" ht="18.75" customHeight="1" x14ac:dyDescent="0.25">
      <c r="A2340" s="14">
        <f t="shared" si="394"/>
        <v>2334</v>
      </c>
      <c r="B2340" s="31" t="s">
        <v>1992</v>
      </c>
      <c r="C2340" s="15" t="s">
        <v>3</v>
      </c>
      <c r="D2340" s="31" t="s">
        <v>1708</v>
      </c>
      <c r="E2340" s="31"/>
      <c r="F2340" s="73" t="s">
        <v>4</v>
      </c>
      <c r="G2340" s="32">
        <v>39083</v>
      </c>
      <c r="H2340" s="29">
        <v>163.0005000000001</v>
      </c>
      <c r="I2340" s="17">
        <v>0</v>
      </c>
      <c r="J2340" s="17">
        <v>0</v>
      </c>
      <c r="K2340" s="17">
        <f t="shared" si="390"/>
        <v>163.0005000000001</v>
      </c>
      <c r="L2340" s="23">
        <f t="shared" si="397"/>
        <v>8.1500250000000047</v>
      </c>
      <c r="M2340" s="33">
        <v>10</v>
      </c>
      <c r="N2340" s="18">
        <f t="shared" si="391"/>
        <v>14.260273972602739</v>
      </c>
      <c r="O2340" s="23">
        <v>1548.5047500000001</v>
      </c>
      <c r="P2340" s="18">
        <f t="shared" si="392"/>
        <v>14.761643835616438</v>
      </c>
      <c r="Q2340" s="18">
        <v>0</v>
      </c>
      <c r="R2340" s="18">
        <f t="shared" si="388"/>
        <v>1548.5047500000001</v>
      </c>
      <c r="S2340" s="18">
        <f t="shared" ref="S2340:S2341" si="400">L2340</f>
        <v>8.1500250000000047</v>
      </c>
    </row>
    <row r="2341" spans="1:19" ht="18.75" customHeight="1" x14ac:dyDescent="0.25">
      <c r="A2341" s="14">
        <f t="shared" si="394"/>
        <v>2335</v>
      </c>
      <c r="B2341" s="31" t="s">
        <v>1993</v>
      </c>
      <c r="C2341" s="15" t="s">
        <v>3</v>
      </c>
      <c r="D2341" s="31" t="s">
        <v>1708</v>
      </c>
      <c r="E2341" s="31"/>
      <c r="F2341" s="73" t="s">
        <v>4</v>
      </c>
      <c r="G2341" s="32">
        <v>34043</v>
      </c>
      <c r="H2341" s="29">
        <v>14.300000000000011</v>
      </c>
      <c r="I2341" s="17">
        <v>0</v>
      </c>
      <c r="J2341" s="17">
        <v>0</v>
      </c>
      <c r="K2341" s="17">
        <f t="shared" si="390"/>
        <v>14.300000000000011</v>
      </c>
      <c r="L2341" s="23">
        <f t="shared" si="397"/>
        <v>0.71500000000000064</v>
      </c>
      <c r="M2341" s="33">
        <v>10</v>
      </c>
      <c r="N2341" s="18">
        <f t="shared" si="391"/>
        <v>28.068493150684933</v>
      </c>
      <c r="O2341" s="23">
        <v>135.85</v>
      </c>
      <c r="P2341" s="18">
        <f t="shared" si="392"/>
        <v>28.56986301369863</v>
      </c>
      <c r="Q2341" s="18">
        <v>0</v>
      </c>
      <c r="R2341" s="18">
        <f t="shared" si="388"/>
        <v>135.85</v>
      </c>
      <c r="S2341" s="18">
        <f t="shared" si="400"/>
        <v>0.71500000000000064</v>
      </c>
    </row>
    <row r="2342" spans="1:19" ht="18.75" customHeight="1" x14ac:dyDescent="0.25">
      <c r="A2342" s="14">
        <f t="shared" si="394"/>
        <v>2336</v>
      </c>
      <c r="B2342" s="31" t="s">
        <v>1994</v>
      </c>
      <c r="C2342" s="15" t="s">
        <v>3</v>
      </c>
      <c r="D2342" s="31" t="s">
        <v>1708</v>
      </c>
      <c r="E2342" s="31"/>
      <c r="F2342" s="73" t="s">
        <v>4</v>
      </c>
      <c r="G2342" s="32">
        <v>40466</v>
      </c>
      <c r="H2342" s="29">
        <v>1556.797808219178</v>
      </c>
      <c r="I2342" s="17">
        <v>0</v>
      </c>
      <c r="J2342" s="17">
        <v>0</v>
      </c>
      <c r="K2342" s="17">
        <f t="shared" si="390"/>
        <v>1556.797808219178</v>
      </c>
      <c r="L2342" s="23">
        <f t="shared" si="397"/>
        <v>77.839890410958901</v>
      </c>
      <c r="M2342" s="33">
        <v>10</v>
      </c>
      <c r="N2342" s="18">
        <f t="shared" si="391"/>
        <v>10.471232876712328</v>
      </c>
      <c r="O2342" s="23">
        <v>1371.5230684931503</v>
      </c>
      <c r="P2342" s="18">
        <f t="shared" si="392"/>
        <v>10.972602739726028</v>
      </c>
      <c r="Q2342" s="18">
        <v>0</v>
      </c>
      <c r="R2342" s="18">
        <f t="shared" si="388"/>
        <v>1371.5230684931503</v>
      </c>
      <c r="S2342" s="18">
        <f t="shared" si="389"/>
        <v>185.27473972602775</v>
      </c>
    </row>
    <row r="2343" spans="1:19" ht="18.75" customHeight="1" x14ac:dyDescent="0.25">
      <c r="A2343" s="14">
        <f t="shared" si="394"/>
        <v>2337</v>
      </c>
      <c r="B2343" s="31" t="s">
        <v>1928</v>
      </c>
      <c r="C2343" s="15" t="s">
        <v>3</v>
      </c>
      <c r="D2343" s="31" t="s">
        <v>1708</v>
      </c>
      <c r="E2343" s="31"/>
      <c r="F2343" s="73" t="s">
        <v>4</v>
      </c>
      <c r="G2343" s="32">
        <v>41228</v>
      </c>
      <c r="H2343" s="29">
        <v>2186.8587493150685</v>
      </c>
      <c r="I2343" s="17">
        <v>0</v>
      </c>
      <c r="J2343" s="17">
        <v>0</v>
      </c>
      <c r="K2343" s="17">
        <f t="shared" si="390"/>
        <v>2186.8587493150685</v>
      </c>
      <c r="L2343" s="23">
        <f t="shared" si="397"/>
        <v>109.34293746575344</v>
      </c>
      <c r="M2343" s="33">
        <v>10</v>
      </c>
      <c r="N2343" s="18">
        <f t="shared" si="391"/>
        <v>8.3835616438356162</v>
      </c>
      <c r="O2343" s="23">
        <v>1427.6056105479452</v>
      </c>
      <c r="P2343" s="18">
        <f t="shared" si="392"/>
        <v>8.8849315068493144</v>
      </c>
      <c r="Q2343" s="18">
        <f t="shared" si="398"/>
        <v>104.16038179956833</v>
      </c>
      <c r="R2343" s="18">
        <f t="shared" si="388"/>
        <v>1531.7659923475135</v>
      </c>
      <c r="S2343" s="18">
        <f t="shared" si="389"/>
        <v>655.09275696755503</v>
      </c>
    </row>
    <row r="2344" spans="1:19" ht="18.75" customHeight="1" x14ac:dyDescent="0.25">
      <c r="A2344" s="14">
        <f t="shared" si="394"/>
        <v>2338</v>
      </c>
      <c r="B2344" s="31" t="s">
        <v>1995</v>
      </c>
      <c r="C2344" s="15" t="s">
        <v>3</v>
      </c>
      <c r="D2344" s="31" t="s">
        <v>1708</v>
      </c>
      <c r="E2344" s="31"/>
      <c r="F2344" s="73" t="s">
        <v>4</v>
      </c>
      <c r="G2344" s="32">
        <v>34059</v>
      </c>
      <c r="H2344" s="29">
        <v>221.25</v>
      </c>
      <c r="I2344" s="17">
        <v>0</v>
      </c>
      <c r="J2344" s="17">
        <v>0</v>
      </c>
      <c r="K2344" s="17">
        <f t="shared" si="390"/>
        <v>221.25</v>
      </c>
      <c r="L2344" s="23">
        <f t="shared" si="397"/>
        <v>11.0625</v>
      </c>
      <c r="M2344" s="33">
        <v>10</v>
      </c>
      <c r="N2344" s="18">
        <f t="shared" si="391"/>
        <v>28.024657534246575</v>
      </c>
      <c r="O2344" s="23">
        <v>2101.875</v>
      </c>
      <c r="P2344" s="18">
        <f t="shared" si="392"/>
        <v>28.526027397260275</v>
      </c>
      <c r="Q2344" s="18">
        <v>0</v>
      </c>
      <c r="R2344" s="18">
        <f t="shared" si="388"/>
        <v>2101.875</v>
      </c>
      <c r="S2344" s="18">
        <f t="shared" ref="S2344:S2346" si="401">L2344</f>
        <v>11.0625</v>
      </c>
    </row>
    <row r="2345" spans="1:19" ht="18.75" customHeight="1" x14ac:dyDescent="0.25">
      <c r="A2345" s="14">
        <f t="shared" si="394"/>
        <v>2339</v>
      </c>
      <c r="B2345" s="31" t="s">
        <v>1996</v>
      </c>
      <c r="C2345" s="15" t="s">
        <v>3</v>
      </c>
      <c r="D2345" s="31" t="s">
        <v>1708</v>
      </c>
      <c r="E2345" s="31"/>
      <c r="F2345" s="73" t="s">
        <v>4</v>
      </c>
      <c r="G2345" s="32">
        <v>34104</v>
      </c>
      <c r="H2345" s="29">
        <v>1.3000000000000007</v>
      </c>
      <c r="I2345" s="17">
        <v>0</v>
      </c>
      <c r="J2345" s="17">
        <v>0</v>
      </c>
      <c r="K2345" s="17">
        <f t="shared" si="390"/>
        <v>1.3000000000000007</v>
      </c>
      <c r="L2345" s="23">
        <f t="shared" si="397"/>
        <v>6.5000000000000044E-2</v>
      </c>
      <c r="M2345" s="33">
        <v>10</v>
      </c>
      <c r="N2345" s="18">
        <f t="shared" si="391"/>
        <v>27.901369863013699</v>
      </c>
      <c r="O2345" s="23">
        <v>12.35</v>
      </c>
      <c r="P2345" s="18">
        <f t="shared" si="392"/>
        <v>28.402739726027399</v>
      </c>
      <c r="Q2345" s="18">
        <v>0</v>
      </c>
      <c r="R2345" s="18">
        <f t="shared" si="388"/>
        <v>12.35</v>
      </c>
      <c r="S2345" s="18">
        <f t="shared" si="401"/>
        <v>6.5000000000000044E-2</v>
      </c>
    </row>
    <row r="2346" spans="1:19" ht="18.75" customHeight="1" x14ac:dyDescent="0.25">
      <c r="A2346" s="14">
        <f t="shared" si="394"/>
        <v>2340</v>
      </c>
      <c r="B2346" s="31" t="s">
        <v>1997</v>
      </c>
      <c r="C2346" s="15" t="s">
        <v>3</v>
      </c>
      <c r="D2346" s="31" t="s">
        <v>1708</v>
      </c>
      <c r="E2346" s="31"/>
      <c r="F2346" s="73" t="s">
        <v>4</v>
      </c>
      <c r="G2346" s="32">
        <v>34120</v>
      </c>
      <c r="H2346" s="29">
        <v>22.399999999999977</v>
      </c>
      <c r="I2346" s="17">
        <v>0</v>
      </c>
      <c r="J2346" s="17">
        <v>0</v>
      </c>
      <c r="K2346" s="17">
        <f t="shared" si="390"/>
        <v>22.399999999999977</v>
      </c>
      <c r="L2346" s="23">
        <f t="shared" si="397"/>
        <v>1.119999999999999</v>
      </c>
      <c r="M2346" s="33">
        <v>10</v>
      </c>
      <c r="N2346" s="18">
        <f t="shared" si="391"/>
        <v>27.857534246575341</v>
      </c>
      <c r="O2346" s="23">
        <v>212.8</v>
      </c>
      <c r="P2346" s="18">
        <f t="shared" si="392"/>
        <v>28.358904109589041</v>
      </c>
      <c r="Q2346" s="18">
        <v>0</v>
      </c>
      <c r="R2346" s="18">
        <f t="shared" si="388"/>
        <v>212.8</v>
      </c>
      <c r="S2346" s="18">
        <f t="shared" si="401"/>
        <v>1.119999999999999</v>
      </c>
    </row>
    <row r="2347" spans="1:19" ht="18.75" customHeight="1" x14ac:dyDescent="0.25">
      <c r="A2347" s="14">
        <f t="shared" si="394"/>
        <v>2341</v>
      </c>
      <c r="B2347" s="31" t="s">
        <v>1994</v>
      </c>
      <c r="C2347" s="15" t="s">
        <v>3</v>
      </c>
      <c r="D2347" s="31" t="s">
        <v>1708</v>
      </c>
      <c r="E2347" s="31"/>
      <c r="F2347" s="73" t="s">
        <v>4</v>
      </c>
      <c r="G2347" s="32">
        <v>40589</v>
      </c>
      <c r="H2347" s="29">
        <v>1640.0219178082191</v>
      </c>
      <c r="I2347" s="17">
        <v>0</v>
      </c>
      <c r="J2347" s="17">
        <v>0</v>
      </c>
      <c r="K2347" s="17">
        <f t="shared" si="390"/>
        <v>1640.0219178082191</v>
      </c>
      <c r="L2347" s="23">
        <f t="shared" si="397"/>
        <v>82.001095890410966</v>
      </c>
      <c r="M2347" s="33">
        <v>10</v>
      </c>
      <c r="N2347" s="18">
        <f t="shared" si="391"/>
        <v>10.134246575342466</v>
      </c>
      <c r="O2347" s="23">
        <v>1364.8350684931506</v>
      </c>
      <c r="P2347" s="18">
        <f t="shared" si="392"/>
        <v>10.635616438356164</v>
      </c>
      <c r="Q2347" s="18">
        <v>0</v>
      </c>
      <c r="R2347" s="18">
        <f t="shared" si="388"/>
        <v>1364.8350684931506</v>
      </c>
      <c r="S2347" s="18">
        <f t="shared" si="389"/>
        <v>275.18684931506846</v>
      </c>
    </row>
    <row r="2348" spans="1:19" ht="18.75" customHeight="1" x14ac:dyDescent="0.25">
      <c r="A2348" s="14">
        <f t="shared" si="394"/>
        <v>2342</v>
      </c>
      <c r="B2348" s="31" t="s">
        <v>1998</v>
      </c>
      <c r="C2348" s="15" t="s">
        <v>3</v>
      </c>
      <c r="D2348" s="31" t="s">
        <v>1708</v>
      </c>
      <c r="E2348" s="31"/>
      <c r="F2348" s="73" t="s">
        <v>4</v>
      </c>
      <c r="G2348" s="32">
        <v>34150</v>
      </c>
      <c r="H2348" s="29">
        <v>376.94999999999982</v>
      </c>
      <c r="I2348" s="17">
        <v>0</v>
      </c>
      <c r="J2348" s="17">
        <v>0</v>
      </c>
      <c r="K2348" s="17">
        <f t="shared" si="390"/>
        <v>376.94999999999982</v>
      </c>
      <c r="L2348" s="23">
        <f t="shared" si="397"/>
        <v>18.847499999999993</v>
      </c>
      <c r="M2348" s="33">
        <v>10</v>
      </c>
      <c r="N2348" s="18">
        <f t="shared" si="391"/>
        <v>27.775342465753425</v>
      </c>
      <c r="O2348" s="23">
        <v>3581.0250000000001</v>
      </c>
      <c r="P2348" s="18">
        <f t="shared" si="392"/>
        <v>28.276712328767122</v>
      </c>
      <c r="Q2348" s="18">
        <v>0</v>
      </c>
      <c r="R2348" s="18">
        <f t="shared" si="388"/>
        <v>3581.0250000000001</v>
      </c>
      <c r="S2348" s="18">
        <f t="shared" ref="S2348:S2352" si="402">L2348</f>
        <v>18.847499999999993</v>
      </c>
    </row>
    <row r="2349" spans="1:19" ht="18.75" customHeight="1" x14ac:dyDescent="0.25">
      <c r="A2349" s="14">
        <f t="shared" si="394"/>
        <v>2343</v>
      </c>
      <c r="B2349" s="31" t="s">
        <v>1999</v>
      </c>
      <c r="C2349" s="15" t="s">
        <v>3</v>
      </c>
      <c r="D2349" s="31" t="s">
        <v>1708</v>
      </c>
      <c r="E2349" s="31"/>
      <c r="F2349" s="73" t="s">
        <v>4</v>
      </c>
      <c r="G2349" s="32">
        <v>34293</v>
      </c>
      <c r="H2349" s="29">
        <v>65.549999999999955</v>
      </c>
      <c r="I2349" s="17">
        <v>0</v>
      </c>
      <c r="J2349" s="17">
        <v>0</v>
      </c>
      <c r="K2349" s="17">
        <f t="shared" si="390"/>
        <v>65.549999999999955</v>
      </c>
      <c r="L2349" s="23">
        <f t="shared" si="397"/>
        <v>3.2774999999999981</v>
      </c>
      <c r="M2349" s="33">
        <v>10</v>
      </c>
      <c r="N2349" s="18">
        <f t="shared" si="391"/>
        <v>27.383561643835616</v>
      </c>
      <c r="O2349" s="23">
        <v>622.72500000000002</v>
      </c>
      <c r="P2349" s="18">
        <f t="shared" si="392"/>
        <v>27.884931506849316</v>
      </c>
      <c r="Q2349" s="18">
        <v>0</v>
      </c>
      <c r="R2349" s="18">
        <f t="shared" si="388"/>
        <v>622.72500000000002</v>
      </c>
      <c r="S2349" s="18">
        <f t="shared" si="402"/>
        <v>3.2774999999999981</v>
      </c>
    </row>
    <row r="2350" spans="1:19" ht="18.75" customHeight="1" x14ac:dyDescent="0.25">
      <c r="A2350" s="14">
        <f t="shared" si="394"/>
        <v>2344</v>
      </c>
      <c r="B2350" s="31" t="s">
        <v>2000</v>
      </c>
      <c r="C2350" s="15" t="s">
        <v>3</v>
      </c>
      <c r="D2350" s="31" t="s">
        <v>1708</v>
      </c>
      <c r="E2350" s="31"/>
      <c r="F2350" s="73" t="s">
        <v>4</v>
      </c>
      <c r="G2350" s="32">
        <v>41654</v>
      </c>
      <c r="H2350" s="29">
        <v>155.80749999999989</v>
      </c>
      <c r="I2350" s="17">
        <v>0</v>
      </c>
      <c r="J2350" s="17">
        <v>0</v>
      </c>
      <c r="K2350" s="17">
        <f t="shared" si="390"/>
        <v>155.80749999999989</v>
      </c>
      <c r="L2350" s="23">
        <f t="shared" si="397"/>
        <v>7.7903749999999947</v>
      </c>
      <c r="M2350" s="33">
        <v>5</v>
      </c>
      <c r="N2350" s="18">
        <f t="shared" si="391"/>
        <v>7.2164383561643834</v>
      </c>
      <c r="O2350" s="23">
        <v>1480.1712500000001</v>
      </c>
      <c r="P2350" s="18">
        <f t="shared" si="392"/>
        <v>7.7178082191780826</v>
      </c>
      <c r="Q2350" s="18">
        <v>0</v>
      </c>
      <c r="R2350" s="18">
        <f t="shared" si="388"/>
        <v>1480.1712500000001</v>
      </c>
      <c r="S2350" s="18">
        <f t="shared" si="402"/>
        <v>7.7903749999999947</v>
      </c>
    </row>
    <row r="2351" spans="1:19" ht="18.75" customHeight="1" x14ac:dyDescent="0.25">
      <c r="A2351" s="14">
        <f t="shared" si="394"/>
        <v>2345</v>
      </c>
      <c r="B2351" s="31" t="s">
        <v>2001</v>
      </c>
      <c r="C2351" s="15" t="s">
        <v>3</v>
      </c>
      <c r="D2351" s="31" t="s">
        <v>1708</v>
      </c>
      <c r="E2351" s="31"/>
      <c r="F2351" s="73" t="s">
        <v>4</v>
      </c>
      <c r="G2351" s="32">
        <v>34316</v>
      </c>
      <c r="H2351" s="29">
        <v>605.64999999999964</v>
      </c>
      <c r="I2351" s="17">
        <v>0</v>
      </c>
      <c r="J2351" s="17">
        <v>0</v>
      </c>
      <c r="K2351" s="17">
        <f t="shared" si="390"/>
        <v>605.64999999999964</v>
      </c>
      <c r="L2351" s="23">
        <f t="shared" si="397"/>
        <v>30.282499999999985</v>
      </c>
      <c r="M2351" s="33">
        <v>10</v>
      </c>
      <c r="N2351" s="18">
        <f t="shared" si="391"/>
        <v>27.32054794520548</v>
      </c>
      <c r="O2351" s="23">
        <v>5753.6750000000002</v>
      </c>
      <c r="P2351" s="18">
        <f t="shared" si="392"/>
        <v>27.82191780821918</v>
      </c>
      <c r="Q2351" s="18">
        <v>0</v>
      </c>
      <c r="R2351" s="18">
        <f t="shared" si="388"/>
        <v>5753.6750000000002</v>
      </c>
      <c r="S2351" s="18">
        <f t="shared" si="402"/>
        <v>30.282499999999985</v>
      </c>
    </row>
    <row r="2352" spans="1:19" ht="18.75" customHeight="1" x14ac:dyDescent="0.25">
      <c r="A2352" s="14">
        <f t="shared" si="394"/>
        <v>2346</v>
      </c>
      <c r="B2352" s="31" t="s">
        <v>2002</v>
      </c>
      <c r="C2352" s="15" t="s">
        <v>3</v>
      </c>
      <c r="D2352" s="31" t="s">
        <v>1708</v>
      </c>
      <c r="E2352" s="31"/>
      <c r="F2352" s="73" t="s">
        <v>4</v>
      </c>
      <c r="G2352" s="32">
        <v>39828</v>
      </c>
      <c r="H2352" s="29">
        <v>150</v>
      </c>
      <c r="I2352" s="17">
        <v>0</v>
      </c>
      <c r="J2352" s="17">
        <v>0</v>
      </c>
      <c r="K2352" s="17">
        <f t="shared" si="390"/>
        <v>150</v>
      </c>
      <c r="L2352" s="23">
        <f t="shared" si="397"/>
        <v>7.5</v>
      </c>
      <c r="M2352" s="33">
        <v>10</v>
      </c>
      <c r="N2352" s="18">
        <f t="shared" si="391"/>
        <v>12.219178082191782</v>
      </c>
      <c r="O2352" s="23">
        <v>1425</v>
      </c>
      <c r="P2352" s="18">
        <f t="shared" si="392"/>
        <v>12.72054794520548</v>
      </c>
      <c r="Q2352" s="18">
        <v>0</v>
      </c>
      <c r="R2352" s="18">
        <f t="shared" si="388"/>
        <v>1425</v>
      </c>
      <c r="S2352" s="18">
        <f t="shared" si="402"/>
        <v>7.5</v>
      </c>
    </row>
    <row r="2353" spans="1:19" ht="18.75" customHeight="1" x14ac:dyDescent="0.25">
      <c r="A2353" s="14">
        <f t="shared" si="394"/>
        <v>2347</v>
      </c>
      <c r="B2353" s="31" t="s">
        <v>2003</v>
      </c>
      <c r="C2353" s="15" t="s">
        <v>3</v>
      </c>
      <c r="D2353" s="31" t="s">
        <v>1708</v>
      </c>
      <c r="E2353" s="31"/>
      <c r="F2353" s="73" t="s">
        <v>4</v>
      </c>
      <c r="G2353" s="32">
        <v>41320</v>
      </c>
      <c r="H2353" s="29">
        <v>2108.3013698630139</v>
      </c>
      <c r="I2353" s="17">
        <v>0</v>
      </c>
      <c r="J2353" s="17">
        <v>0</v>
      </c>
      <c r="K2353" s="17">
        <f t="shared" si="390"/>
        <v>2108.3013698630139</v>
      </c>
      <c r="L2353" s="23">
        <f t="shared" si="397"/>
        <v>105.4150684931507</v>
      </c>
      <c r="M2353" s="33">
        <v>10</v>
      </c>
      <c r="N2353" s="18">
        <f t="shared" si="391"/>
        <v>8.131506849315068</v>
      </c>
      <c r="O2353" s="23">
        <v>1336.6109589041093</v>
      </c>
      <c r="P2353" s="18">
        <f t="shared" si="392"/>
        <v>8.632876712328768</v>
      </c>
      <c r="Q2353" s="18">
        <f t="shared" si="398"/>
        <v>100.41868305498245</v>
      </c>
      <c r="R2353" s="18">
        <f t="shared" si="388"/>
        <v>1437.0296419590918</v>
      </c>
      <c r="S2353" s="18">
        <f t="shared" si="389"/>
        <v>671.27172790392206</v>
      </c>
    </row>
    <row r="2354" spans="1:19" ht="18.75" customHeight="1" x14ac:dyDescent="0.25">
      <c r="A2354" s="14">
        <f t="shared" si="394"/>
        <v>2348</v>
      </c>
      <c r="B2354" s="31" t="s">
        <v>2004</v>
      </c>
      <c r="C2354" s="15" t="s">
        <v>3</v>
      </c>
      <c r="D2354" s="31" t="s">
        <v>1708</v>
      </c>
      <c r="E2354" s="31"/>
      <c r="F2354" s="73" t="s">
        <v>4</v>
      </c>
      <c r="G2354" s="32">
        <v>39083</v>
      </c>
      <c r="H2354" s="29">
        <v>148.5</v>
      </c>
      <c r="I2354" s="17">
        <v>0</v>
      </c>
      <c r="J2354" s="17">
        <v>0</v>
      </c>
      <c r="K2354" s="17">
        <f t="shared" si="390"/>
        <v>148.5</v>
      </c>
      <c r="L2354" s="23">
        <f t="shared" si="397"/>
        <v>7.4250000000000007</v>
      </c>
      <c r="M2354" s="33">
        <v>10</v>
      </c>
      <c r="N2354" s="18">
        <f t="shared" si="391"/>
        <v>14.260273972602739</v>
      </c>
      <c r="O2354" s="23">
        <v>1410.75</v>
      </c>
      <c r="P2354" s="18">
        <f t="shared" si="392"/>
        <v>14.761643835616438</v>
      </c>
      <c r="Q2354" s="18">
        <v>0</v>
      </c>
      <c r="R2354" s="18">
        <f t="shared" si="388"/>
        <v>1410.75</v>
      </c>
      <c r="S2354" s="18">
        <f>L2354</f>
        <v>7.4250000000000007</v>
      </c>
    </row>
    <row r="2355" spans="1:19" ht="18.75" customHeight="1" x14ac:dyDescent="0.25">
      <c r="A2355" s="14">
        <f t="shared" si="394"/>
        <v>2349</v>
      </c>
      <c r="B2355" s="31" t="s">
        <v>2005</v>
      </c>
      <c r="C2355" s="15" t="s">
        <v>3</v>
      </c>
      <c r="D2355" s="31" t="s">
        <v>1708</v>
      </c>
      <c r="E2355" s="31"/>
      <c r="F2355" s="73" t="s">
        <v>4</v>
      </c>
      <c r="G2355" s="32">
        <v>41578</v>
      </c>
      <c r="H2355" s="29">
        <v>2250.0462986301368</v>
      </c>
      <c r="I2355" s="17">
        <v>0</v>
      </c>
      <c r="J2355" s="17">
        <v>0</v>
      </c>
      <c r="K2355" s="17">
        <f t="shared" si="390"/>
        <v>2250.0462986301368</v>
      </c>
      <c r="L2355" s="23">
        <f t="shared" si="397"/>
        <v>112.50231493150685</v>
      </c>
      <c r="M2355" s="33">
        <v>10</v>
      </c>
      <c r="N2355" s="18">
        <f t="shared" si="391"/>
        <v>7.4246575342465757</v>
      </c>
      <c r="O2355" s="23">
        <v>1321.6840175342465</v>
      </c>
      <c r="P2355" s="18">
        <f t="shared" si="392"/>
        <v>7.9260273972602739</v>
      </c>
      <c r="Q2355" s="18">
        <f t="shared" si="398"/>
        <v>107.17001342927368</v>
      </c>
      <c r="R2355" s="18">
        <f t="shared" si="388"/>
        <v>1428.8540309635202</v>
      </c>
      <c r="S2355" s="18">
        <f t="shared" si="389"/>
        <v>821.19226766661654</v>
      </c>
    </row>
    <row r="2356" spans="1:19" ht="18.75" customHeight="1" x14ac:dyDescent="0.25">
      <c r="A2356" s="14">
        <f t="shared" si="394"/>
        <v>2350</v>
      </c>
      <c r="B2356" s="31" t="s">
        <v>1846</v>
      </c>
      <c r="C2356" s="15" t="s">
        <v>3</v>
      </c>
      <c r="D2356" s="31" t="s">
        <v>1708</v>
      </c>
      <c r="E2356" s="31"/>
      <c r="F2356" s="73" t="s">
        <v>4</v>
      </c>
      <c r="G2356" s="32">
        <v>40709</v>
      </c>
      <c r="H2356" s="29">
        <v>1575.2139863013697</v>
      </c>
      <c r="I2356" s="17">
        <v>0</v>
      </c>
      <c r="J2356" s="17">
        <v>0</v>
      </c>
      <c r="K2356" s="17">
        <f t="shared" si="390"/>
        <v>1575.2139863013697</v>
      </c>
      <c r="L2356" s="23">
        <f t="shared" si="397"/>
        <v>78.760699315068493</v>
      </c>
      <c r="M2356" s="33">
        <v>10</v>
      </c>
      <c r="N2356" s="18">
        <f t="shared" si="391"/>
        <v>9.8054794520547937</v>
      </c>
      <c r="O2356" s="23">
        <v>1244.6504123287668</v>
      </c>
      <c r="P2356" s="18">
        <f t="shared" si="392"/>
        <v>10.306849315068494</v>
      </c>
      <c r="Q2356" s="18">
        <v>0</v>
      </c>
      <c r="R2356" s="18">
        <f t="shared" si="388"/>
        <v>1244.6504123287668</v>
      </c>
      <c r="S2356" s="18">
        <f t="shared" si="389"/>
        <v>330.56357397260285</v>
      </c>
    </row>
    <row r="2357" spans="1:19" ht="18.75" customHeight="1" x14ac:dyDescent="0.25">
      <c r="A2357" s="14">
        <f t="shared" si="394"/>
        <v>2351</v>
      </c>
      <c r="B2357" s="31" t="s">
        <v>2006</v>
      </c>
      <c r="C2357" s="15" t="s">
        <v>3</v>
      </c>
      <c r="D2357" s="31" t="s">
        <v>1708</v>
      </c>
      <c r="E2357" s="31"/>
      <c r="F2357" s="73" t="s">
        <v>4</v>
      </c>
      <c r="G2357" s="32">
        <v>41324</v>
      </c>
      <c r="H2357" s="29">
        <v>2005.8534246575343</v>
      </c>
      <c r="I2357" s="17">
        <v>0</v>
      </c>
      <c r="J2357" s="17">
        <v>0</v>
      </c>
      <c r="K2357" s="17">
        <f t="shared" si="390"/>
        <v>2005.8534246575343</v>
      </c>
      <c r="L2357" s="23">
        <f t="shared" si="397"/>
        <v>100.29267123287673</v>
      </c>
      <c r="M2357" s="33">
        <v>10</v>
      </c>
      <c r="N2357" s="18">
        <f t="shared" si="391"/>
        <v>8.1205479452054803</v>
      </c>
      <c r="O2357" s="23">
        <v>1270.0771232876716</v>
      </c>
      <c r="P2357" s="18">
        <f t="shared" si="392"/>
        <v>8.6219178082191785</v>
      </c>
      <c r="Q2357" s="18">
        <f t="shared" si="398"/>
        <v>95.53907339088002</v>
      </c>
      <c r="R2357" s="18">
        <f t="shared" si="388"/>
        <v>1365.6161966785517</v>
      </c>
      <c r="S2357" s="18">
        <f t="shared" si="389"/>
        <v>640.23722797898267</v>
      </c>
    </row>
    <row r="2358" spans="1:19" ht="18.75" customHeight="1" x14ac:dyDescent="0.25">
      <c r="A2358" s="14">
        <f t="shared" si="394"/>
        <v>2352</v>
      </c>
      <c r="B2358" s="31" t="s">
        <v>1820</v>
      </c>
      <c r="C2358" s="15" t="s">
        <v>3</v>
      </c>
      <c r="D2358" s="31" t="s">
        <v>1708</v>
      </c>
      <c r="E2358" s="31"/>
      <c r="F2358" s="73" t="s">
        <v>4</v>
      </c>
      <c r="G2358" s="32">
        <v>34316</v>
      </c>
      <c r="H2358" s="29">
        <v>196.65000000000009</v>
      </c>
      <c r="I2358" s="17">
        <v>0</v>
      </c>
      <c r="J2358" s="17">
        <v>0</v>
      </c>
      <c r="K2358" s="17">
        <f t="shared" si="390"/>
        <v>196.65000000000009</v>
      </c>
      <c r="L2358" s="23">
        <f t="shared" si="397"/>
        <v>9.8325000000000049</v>
      </c>
      <c r="M2358" s="33">
        <v>10</v>
      </c>
      <c r="N2358" s="18">
        <f t="shared" si="391"/>
        <v>27.32054794520548</v>
      </c>
      <c r="O2358" s="23">
        <v>1868.175</v>
      </c>
      <c r="P2358" s="18">
        <f t="shared" si="392"/>
        <v>27.82191780821918</v>
      </c>
      <c r="Q2358" s="18">
        <v>0</v>
      </c>
      <c r="R2358" s="18">
        <f t="shared" si="388"/>
        <v>1868.175</v>
      </c>
      <c r="S2358" s="18">
        <f t="shared" ref="S2358:S2363" si="403">L2358</f>
        <v>9.8325000000000049</v>
      </c>
    </row>
    <row r="2359" spans="1:19" ht="18.75" customHeight="1" x14ac:dyDescent="0.25">
      <c r="A2359" s="14">
        <f t="shared" si="394"/>
        <v>2353</v>
      </c>
      <c r="B2359" s="31" t="s">
        <v>2007</v>
      </c>
      <c r="C2359" s="15" t="s">
        <v>3</v>
      </c>
      <c r="D2359" s="31" t="s">
        <v>1708</v>
      </c>
      <c r="E2359" s="31"/>
      <c r="F2359" s="73" t="s">
        <v>4</v>
      </c>
      <c r="G2359" s="32">
        <v>34316</v>
      </c>
      <c r="H2359" s="29">
        <v>135</v>
      </c>
      <c r="I2359" s="17">
        <v>0</v>
      </c>
      <c r="J2359" s="17">
        <v>0</v>
      </c>
      <c r="K2359" s="17">
        <f t="shared" si="390"/>
        <v>135</v>
      </c>
      <c r="L2359" s="23">
        <f t="shared" si="397"/>
        <v>6.75</v>
      </c>
      <c r="M2359" s="33">
        <v>10</v>
      </c>
      <c r="N2359" s="18">
        <f t="shared" si="391"/>
        <v>27.32054794520548</v>
      </c>
      <c r="O2359" s="23">
        <v>1282.5</v>
      </c>
      <c r="P2359" s="18">
        <f t="shared" si="392"/>
        <v>27.82191780821918</v>
      </c>
      <c r="Q2359" s="18">
        <v>0</v>
      </c>
      <c r="R2359" s="18">
        <f t="shared" si="388"/>
        <v>1282.5</v>
      </c>
      <c r="S2359" s="18">
        <f t="shared" si="403"/>
        <v>6.75</v>
      </c>
    </row>
    <row r="2360" spans="1:19" ht="18.75" customHeight="1" x14ac:dyDescent="0.25">
      <c r="A2360" s="14">
        <f t="shared" si="394"/>
        <v>2354</v>
      </c>
      <c r="B2360" s="31" t="s">
        <v>2008</v>
      </c>
      <c r="C2360" s="15" t="s">
        <v>3</v>
      </c>
      <c r="D2360" s="31" t="s">
        <v>1708</v>
      </c>
      <c r="E2360" s="31"/>
      <c r="F2360" s="73" t="s">
        <v>4</v>
      </c>
      <c r="G2360" s="32">
        <v>39083</v>
      </c>
      <c r="H2360" s="29">
        <v>134.9994999999999</v>
      </c>
      <c r="I2360" s="17">
        <v>0</v>
      </c>
      <c r="J2360" s="17">
        <v>0</v>
      </c>
      <c r="K2360" s="17">
        <f t="shared" si="390"/>
        <v>134.9994999999999</v>
      </c>
      <c r="L2360" s="23">
        <f t="shared" si="397"/>
        <v>6.7499749999999956</v>
      </c>
      <c r="M2360" s="33">
        <v>10</v>
      </c>
      <c r="N2360" s="18">
        <f t="shared" si="391"/>
        <v>14.260273972602739</v>
      </c>
      <c r="O2360" s="23">
        <v>1282.4952499999999</v>
      </c>
      <c r="P2360" s="18">
        <f t="shared" si="392"/>
        <v>14.761643835616438</v>
      </c>
      <c r="Q2360" s="18">
        <v>0</v>
      </c>
      <c r="R2360" s="18">
        <f t="shared" si="388"/>
        <v>1282.4952499999999</v>
      </c>
      <c r="S2360" s="18">
        <f t="shared" si="403"/>
        <v>6.7499749999999956</v>
      </c>
    </row>
    <row r="2361" spans="1:19" ht="18.75" customHeight="1" x14ac:dyDescent="0.25">
      <c r="A2361" s="14">
        <f t="shared" si="394"/>
        <v>2355</v>
      </c>
      <c r="B2361" s="31" t="s">
        <v>2009</v>
      </c>
      <c r="C2361" s="15" t="s">
        <v>3</v>
      </c>
      <c r="D2361" s="31" t="s">
        <v>1708</v>
      </c>
      <c r="E2361" s="31"/>
      <c r="F2361" s="73" t="s">
        <v>4</v>
      </c>
      <c r="G2361" s="32">
        <v>34316</v>
      </c>
      <c r="H2361" s="29">
        <v>117.5</v>
      </c>
      <c r="I2361" s="17">
        <v>0</v>
      </c>
      <c r="J2361" s="17">
        <v>0</v>
      </c>
      <c r="K2361" s="17">
        <f t="shared" si="390"/>
        <v>117.5</v>
      </c>
      <c r="L2361" s="23">
        <f t="shared" si="397"/>
        <v>5.875</v>
      </c>
      <c r="M2361" s="33">
        <v>10</v>
      </c>
      <c r="N2361" s="18">
        <f t="shared" si="391"/>
        <v>27.32054794520548</v>
      </c>
      <c r="O2361" s="23">
        <v>1116.25</v>
      </c>
      <c r="P2361" s="18">
        <f t="shared" si="392"/>
        <v>27.82191780821918</v>
      </c>
      <c r="Q2361" s="18">
        <v>0</v>
      </c>
      <c r="R2361" s="18">
        <f t="shared" si="388"/>
        <v>1116.25</v>
      </c>
      <c r="S2361" s="18">
        <f t="shared" si="403"/>
        <v>5.875</v>
      </c>
    </row>
    <row r="2362" spans="1:19" ht="18.75" customHeight="1" x14ac:dyDescent="0.25">
      <c r="A2362" s="14">
        <f t="shared" si="394"/>
        <v>2356</v>
      </c>
      <c r="B2362" s="31" t="s">
        <v>2010</v>
      </c>
      <c r="C2362" s="15" t="s">
        <v>3</v>
      </c>
      <c r="D2362" s="31" t="s">
        <v>1708</v>
      </c>
      <c r="E2362" s="31"/>
      <c r="F2362" s="73" t="s">
        <v>4</v>
      </c>
      <c r="G2362" s="32">
        <v>34316</v>
      </c>
      <c r="H2362" s="29">
        <v>87.400000000000091</v>
      </c>
      <c r="I2362" s="17">
        <v>0</v>
      </c>
      <c r="J2362" s="17">
        <v>0</v>
      </c>
      <c r="K2362" s="17">
        <f t="shared" si="390"/>
        <v>87.400000000000091</v>
      </c>
      <c r="L2362" s="23">
        <f t="shared" si="397"/>
        <v>4.3700000000000045</v>
      </c>
      <c r="M2362" s="33">
        <v>10</v>
      </c>
      <c r="N2362" s="18">
        <f t="shared" si="391"/>
        <v>27.32054794520548</v>
      </c>
      <c r="O2362" s="23">
        <v>830.3</v>
      </c>
      <c r="P2362" s="18">
        <f t="shared" si="392"/>
        <v>27.82191780821918</v>
      </c>
      <c r="Q2362" s="18">
        <v>0</v>
      </c>
      <c r="R2362" s="18">
        <f t="shared" si="388"/>
        <v>830.3</v>
      </c>
      <c r="S2362" s="18">
        <f t="shared" si="403"/>
        <v>4.3700000000000045</v>
      </c>
    </row>
    <row r="2363" spans="1:19" ht="18.75" customHeight="1" x14ac:dyDescent="0.25">
      <c r="A2363" s="14">
        <f t="shared" si="394"/>
        <v>2357</v>
      </c>
      <c r="B2363" s="31" t="s">
        <v>2011</v>
      </c>
      <c r="C2363" s="15" t="s">
        <v>3</v>
      </c>
      <c r="D2363" s="31" t="s">
        <v>1708</v>
      </c>
      <c r="E2363" s="31"/>
      <c r="F2363" s="73" t="s">
        <v>4</v>
      </c>
      <c r="G2363" s="32">
        <v>41713</v>
      </c>
      <c r="H2363" s="29">
        <v>127.5</v>
      </c>
      <c r="I2363" s="17">
        <v>0</v>
      </c>
      <c r="J2363" s="17">
        <v>0</v>
      </c>
      <c r="K2363" s="17">
        <f t="shared" si="390"/>
        <v>127.5</v>
      </c>
      <c r="L2363" s="23">
        <f t="shared" si="397"/>
        <v>6.375</v>
      </c>
      <c r="M2363" s="33">
        <v>5</v>
      </c>
      <c r="N2363" s="18">
        <f t="shared" si="391"/>
        <v>7.0547945205479454</v>
      </c>
      <c r="O2363" s="23">
        <v>1211.25</v>
      </c>
      <c r="P2363" s="18">
        <f t="shared" si="392"/>
        <v>7.5561643835616437</v>
      </c>
      <c r="Q2363" s="18">
        <v>0</v>
      </c>
      <c r="R2363" s="18">
        <f t="shared" si="388"/>
        <v>1211.25</v>
      </c>
      <c r="S2363" s="18">
        <f t="shared" si="403"/>
        <v>6.375</v>
      </c>
    </row>
    <row r="2364" spans="1:19" ht="18.75" customHeight="1" x14ac:dyDescent="0.25">
      <c r="A2364" s="14">
        <f t="shared" si="394"/>
        <v>2358</v>
      </c>
      <c r="B2364" s="31" t="s">
        <v>2012</v>
      </c>
      <c r="C2364" s="15" t="s">
        <v>3</v>
      </c>
      <c r="D2364" s="31" t="s">
        <v>1708</v>
      </c>
      <c r="E2364" s="31"/>
      <c r="F2364" s="73" t="s">
        <v>4</v>
      </c>
      <c r="G2364" s="32">
        <v>40954</v>
      </c>
      <c r="H2364" s="29">
        <v>1545.6979019178082</v>
      </c>
      <c r="I2364" s="17">
        <v>0</v>
      </c>
      <c r="J2364" s="17">
        <v>0</v>
      </c>
      <c r="K2364" s="17">
        <f t="shared" si="390"/>
        <v>1545.6979019178082</v>
      </c>
      <c r="L2364" s="23">
        <f t="shared" si="397"/>
        <v>77.28489509589042</v>
      </c>
      <c r="M2364" s="33">
        <v>10</v>
      </c>
      <c r="N2364" s="18">
        <f t="shared" si="391"/>
        <v>9.1342465753424662</v>
      </c>
      <c r="O2364" s="23">
        <v>1109.3557630684932</v>
      </c>
      <c r="P2364" s="18">
        <f t="shared" si="392"/>
        <v>9.6356164383561644</v>
      </c>
      <c r="Q2364" s="18">
        <f t="shared" si="398"/>
        <v>73.62180280778378</v>
      </c>
      <c r="R2364" s="18">
        <f t="shared" si="388"/>
        <v>1182.9775658762769</v>
      </c>
      <c r="S2364" s="18">
        <f t="shared" si="389"/>
        <v>362.72033604153125</v>
      </c>
    </row>
    <row r="2365" spans="1:19" ht="18.75" customHeight="1" x14ac:dyDescent="0.25">
      <c r="A2365" s="14">
        <f t="shared" si="394"/>
        <v>2359</v>
      </c>
      <c r="B2365" s="31" t="s">
        <v>2013</v>
      </c>
      <c r="C2365" s="15" t="s">
        <v>3</v>
      </c>
      <c r="D2365" s="31" t="s">
        <v>1708</v>
      </c>
      <c r="E2365" s="31"/>
      <c r="F2365" s="73" t="s">
        <v>4</v>
      </c>
      <c r="G2365" s="32">
        <v>34316</v>
      </c>
      <c r="H2365" s="29">
        <v>57</v>
      </c>
      <c r="I2365" s="17">
        <v>0</v>
      </c>
      <c r="J2365" s="17">
        <v>0</v>
      </c>
      <c r="K2365" s="17">
        <f t="shared" si="390"/>
        <v>57</v>
      </c>
      <c r="L2365" s="23">
        <f t="shared" si="397"/>
        <v>2.85</v>
      </c>
      <c r="M2365" s="33">
        <v>10</v>
      </c>
      <c r="N2365" s="18">
        <f t="shared" si="391"/>
        <v>27.32054794520548</v>
      </c>
      <c r="O2365" s="23">
        <v>541.5</v>
      </c>
      <c r="P2365" s="18">
        <f t="shared" si="392"/>
        <v>27.82191780821918</v>
      </c>
      <c r="Q2365" s="18">
        <v>0</v>
      </c>
      <c r="R2365" s="18">
        <f t="shared" si="388"/>
        <v>541.5</v>
      </c>
      <c r="S2365" s="18">
        <f t="shared" ref="S2365:S2366" si="404">L2365</f>
        <v>2.85</v>
      </c>
    </row>
    <row r="2366" spans="1:19" ht="18.75" customHeight="1" x14ac:dyDescent="0.25">
      <c r="A2366" s="14">
        <f t="shared" si="394"/>
        <v>2360</v>
      </c>
      <c r="B2366" s="31" t="s">
        <v>2014</v>
      </c>
      <c r="C2366" s="15" t="s">
        <v>3</v>
      </c>
      <c r="D2366" s="31" t="s">
        <v>1708</v>
      </c>
      <c r="E2366" s="31"/>
      <c r="F2366" s="73" t="s">
        <v>4</v>
      </c>
      <c r="G2366" s="32">
        <v>34316</v>
      </c>
      <c r="H2366" s="29">
        <v>32.799999999999955</v>
      </c>
      <c r="I2366" s="17">
        <v>0</v>
      </c>
      <c r="J2366" s="17">
        <v>0</v>
      </c>
      <c r="K2366" s="17">
        <f t="shared" si="390"/>
        <v>32.799999999999955</v>
      </c>
      <c r="L2366" s="23">
        <f t="shared" si="397"/>
        <v>1.6399999999999979</v>
      </c>
      <c r="M2366" s="33">
        <v>10</v>
      </c>
      <c r="N2366" s="18">
        <f t="shared" si="391"/>
        <v>27.32054794520548</v>
      </c>
      <c r="O2366" s="23">
        <v>311.60000000000002</v>
      </c>
      <c r="P2366" s="18">
        <f t="shared" si="392"/>
        <v>27.82191780821918</v>
      </c>
      <c r="Q2366" s="18">
        <v>0</v>
      </c>
      <c r="R2366" s="18">
        <f t="shared" si="388"/>
        <v>311.60000000000002</v>
      </c>
      <c r="S2366" s="18">
        <f t="shared" si="404"/>
        <v>1.6399999999999979</v>
      </c>
    </row>
    <row r="2367" spans="1:19" ht="18.75" customHeight="1" x14ac:dyDescent="0.25">
      <c r="A2367" s="14">
        <f t="shared" si="394"/>
        <v>2361</v>
      </c>
      <c r="B2367" s="31" t="s">
        <v>2015</v>
      </c>
      <c r="C2367" s="15" t="s">
        <v>3</v>
      </c>
      <c r="D2367" s="31" t="s">
        <v>1708</v>
      </c>
      <c r="E2367" s="31"/>
      <c r="F2367" s="73" t="s">
        <v>4</v>
      </c>
      <c r="G2367" s="32">
        <v>40648</v>
      </c>
      <c r="H2367" s="29">
        <v>1296.8855238356164</v>
      </c>
      <c r="I2367" s="17">
        <v>0</v>
      </c>
      <c r="J2367" s="17">
        <v>0</v>
      </c>
      <c r="K2367" s="17">
        <f t="shared" si="390"/>
        <v>1296.8855238356164</v>
      </c>
      <c r="L2367" s="23">
        <f t="shared" si="397"/>
        <v>64.844276191780821</v>
      </c>
      <c r="M2367" s="33">
        <v>10</v>
      </c>
      <c r="N2367" s="18">
        <f t="shared" si="391"/>
        <v>9.9726027397260282</v>
      </c>
      <c r="O2367" s="23">
        <v>1051.6505090958906</v>
      </c>
      <c r="P2367" s="18">
        <f t="shared" si="392"/>
        <v>10.473972602739726</v>
      </c>
      <c r="Q2367" s="18">
        <v>0</v>
      </c>
      <c r="R2367" s="18">
        <f t="shared" si="388"/>
        <v>1051.6505090958906</v>
      </c>
      <c r="S2367" s="18">
        <f t="shared" si="389"/>
        <v>245.23501473972578</v>
      </c>
    </row>
    <row r="2368" spans="1:19" ht="18.75" customHeight="1" x14ac:dyDescent="0.25">
      <c r="A2368" s="14">
        <f t="shared" si="394"/>
        <v>2362</v>
      </c>
      <c r="B2368" s="31" t="s">
        <v>2016</v>
      </c>
      <c r="C2368" s="15" t="s">
        <v>3</v>
      </c>
      <c r="D2368" s="31" t="s">
        <v>1708</v>
      </c>
      <c r="E2368" s="31"/>
      <c r="F2368" s="73" t="s">
        <v>4</v>
      </c>
      <c r="G2368" s="32">
        <v>41654</v>
      </c>
      <c r="H2368" s="29">
        <v>1886.0609293150685</v>
      </c>
      <c r="I2368" s="17">
        <v>0</v>
      </c>
      <c r="J2368" s="17">
        <v>0</v>
      </c>
      <c r="K2368" s="17">
        <f t="shared" si="390"/>
        <v>1886.0609293150685</v>
      </c>
      <c r="L2368" s="23">
        <f t="shared" si="397"/>
        <v>94.303046465753425</v>
      </c>
      <c r="M2368" s="33">
        <v>10</v>
      </c>
      <c r="N2368" s="18">
        <f t="shared" si="391"/>
        <v>7.2164383561643834</v>
      </c>
      <c r="O2368" s="23">
        <v>1084.8514630684936</v>
      </c>
      <c r="P2368" s="18">
        <f t="shared" si="392"/>
        <v>7.7178082191780826</v>
      </c>
      <c r="Q2368" s="18">
        <f t="shared" si="398"/>
        <v>89.833340427787661</v>
      </c>
      <c r="R2368" s="18">
        <f t="shared" si="388"/>
        <v>1174.6848034962811</v>
      </c>
      <c r="S2368" s="18">
        <f t="shared" si="389"/>
        <v>711.37612581878739</v>
      </c>
    </row>
    <row r="2369" spans="1:19" ht="18.75" customHeight="1" x14ac:dyDescent="0.25">
      <c r="A2369" s="14">
        <f t="shared" si="394"/>
        <v>2363</v>
      </c>
      <c r="B2369" s="31" t="s">
        <v>2017</v>
      </c>
      <c r="C2369" s="15" t="s">
        <v>3</v>
      </c>
      <c r="D2369" s="31" t="s">
        <v>1708</v>
      </c>
      <c r="E2369" s="31"/>
      <c r="F2369" s="73" t="s">
        <v>4</v>
      </c>
      <c r="G2369" s="32">
        <v>34318</v>
      </c>
      <c r="H2369" s="29">
        <v>79.200000000000045</v>
      </c>
      <c r="I2369" s="17">
        <v>0</v>
      </c>
      <c r="J2369" s="17">
        <v>0</v>
      </c>
      <c r="K2369" s="17">
        <f t="shared" si="390"/>
        <v>79.200000000000045</v>
      </c>
      <c r="L2369" s="23">
        <f t="shared" si="397"/>
        <v>3.9600000000000026</v>
      </c>
      <c r="M2369" s="33">
        <v>10</v>
      </c>
      <c r="N2369" s="18">
        <f t="shared" si="391"/>
        <v>27.315068493150687</v>
      </c>
      <c r="O2369" s="23">
        <v>752.4</v>
      </c>
      <c r="P2369" s="18">
        <f t="shared" si="392"/>
        <v>27.816438356164383</v>
      </c>
      <c r="Q2369" s="18">
        <v>0</v>
      </c>
      <c r="R2369" s="18">
        <f t="shared" si="388"/>
        <v>752.4</v>
      </c>
      <c r="S2369" s="18">
        <f t="shared" ref="S2369:S2371" si="405">L2369</f>
        <v>3.9600000000000026</v>
      </c>
    </row>
    <row r="2370" spans="1:19" ht="18.75" customHeight="1" x14ac:dyDescent="0.25">
      <c r="A2370" s="14">
        <f t="shared" si="394"/>
        <v>2364</v>
      </c>
      <c r="B2370" s="31" t="s">
        <v>2018</v>
      </c>
      <c r="C2370" s="15" t="s">
        <v>3</v>
      </c>
      <c r="D2370" s="31" t="s">
        <v>1708</v>
      </c>
      <c r="E2370" s="31"/>
      <c r="F2370" s="73" t="s">
        <v>4</v>
      </c>
      <c r="G2370" s="32">
        <v>41501</v>
      </c>
      <c r="H2370" s="29">
        <v>117.05650000000014</v>
      </c>
      <c r="I2370" s="17">
        <v>0</v>
      </c>
      <c r="J2370" s="17">
        <v>0</v>
      </c>
      <c r="K2370" s="17">
        <f t="shared" si="390"/>
        <v>117.05650000000014</v>
      </c>
      <c r="L2370" s="23">
        <f t="shared" si="397"/>
        <v>5.8528250000000073</v>
      </c>
      <c r="M2370" s="33">
        <v>5</v>
      </c>
      <c r="N2370" s="18">
        <f t="shared" si="391"/>
        <v>7.6356164383561644</v>
      </c>
      <c r="O2370" s="23">
        <v>1112.03675</v>
      </c>
      <c r="P2370" s="18">
        <f t="shared" si="392"/>
        <v>8.1369863013698627</v>
      </c>
      <c r="Q2370" s="18">
        <v>0</v>
      </c>
      <c r="R2370" s="18">
        <f t="shared" si="388"/>
        <v>1112.03675</v>
      </c>
      <c r="S2370" s="18">
        <f t="shared" si="405"/>
        <v>5.8528250000000073</v>
      </c>
    </row>
    <row r="2371" spans="1:19" ht="18.75" customHeight="1" x14ac:dyDescent="0.25">
      <c r="A2371" s="14">
        <f t="shared" si="394"/>
        <v>2365</v>
      </c>
      <c r="B2371" s="31" t="s">
        <v>1809</v>
      </c>
      <c r="C2371" s="15" t="s">
        <v>3</v>
      </c>
      <c r="D2371" s="31" t="s">
        <v>1708</v>
      </c>
      <c r="E2371" s="31"/>
      <c r="F2371" s="73" t="s">
        <v>4</v>
      </c>
      <c r="G2371" s="32">
        <v>34323</v>
      </c>
      <c r="H2371" s="29">
        <v>290.64999999999964</v>
      </c>
      <c r="I2371" s="17">
        <v>0</v>
      </c>
      <c r="J2371" s="17">
        <v>0</v>
      </c>
      <c r="K2371" s="17">
        <f t="shared" si="390"/>
        <v>290.64999999999964</v>
      </c>
      <c r="L2371" s="23">
        <f t="shared" si="397"/>
        <v>14.532499999999983</v>
      </c>
      <c r="M2371" s="33">
        <v>10</v>
      </c>
      <c r="N2371" s="18">
        <f t="shared" si="391"/>
        <v>27.301369863013697</v>
      </c>
      <c r="O2371" s="23">
        <v>2761.1750000000002</v>
      </c>
      <c r="P2371" s="18">
        <f t="shared" si="392"/>
        <v>27.802739726027397</v>
      </c>
      <c r="Q2371" s="18">
        <v>0</v>
      </c>
      <c r="R2371" s="18">
        <f t="shared" si="388"/>
        <v>2761.1750000000002</v>
      </c>
      <c r="S2371" s="18">
        <f t="shared" si="405"/>
        <v>14.532499999999983</v>
      </c>
    </row>
    <row r="2372" spans="1:19" ht="18.75" customHeight="1" x14ac:dyDescent="0.25">
      <c r="A2372" s="14">
        <f t="shared" si="394"/>
        <v>2366</v>
      </c>
      <c r="B2372" s="31" t="s">
        <v>2019</v>
      </c>
      <c r="C2372" s="15" t="s">
        <v>3</v>
      </c>
      <c r="D2372" s="31" t="s">
        <v>1708</v>
      </c>
      <c r="E2372" s="31"/>
      <c r="F2372" s="73" t="s">
        <v>4</v>
      </c>
      <c r="G2372" s="32">
        <v>40589</v>
      </c>
      <c r="H2372" s="29">
        <v>1171.0012746575339</v>
      </c>
      <c r="I2372" s="17">
        <v>0</v>
      </c>
      <c r="J2372" s="17">
        <v>0</v>
      </c>
      <c r="K2372" s="17">
        <f t="shared" si="390"/>
        <v>1171.0012746575339</v>
      </c>
      <c r="L2372" s="23">
        <f t="shared" si="397"/>
        <v>58.550063732876701</v>
      </c>
      <c r="M2372" s="33">
        <v>10</v>
      </c>
      <c r="N2372" s="18">
        <f t="shared" si="391"/>
        <v>10.134246575342466</v>
      </c>
      <c r="O2372" s="23">
        <v>974.51356445205477</v>
      </c>
      <c r="P2372" s="18">
        <f t="shared" si="392"/>
        <v>10.635616438356164</v>
      </c>
      <c r="Q2372" s="18">
        <v>0</v>
      </c>
      <c r="R2372" s="18">
        <f t="shared" ref="R2372:R2435" si="406">Q2372+O2372</f>
        <v>974.51356445205477</v>
      </c>
      <c r="S2372" s="18">
        <f t="shared" ref="S2372:S2430" si="407">K2372-R2372</f>
        <v>196.48771020547917</v>
      </c>
    </row>
    <row r="2373" spans="1:19" ht="18.75" customHeight="1" x14ac:dyDescent="0.25">
      <c r="A2373" s="14">
        <f t="shared" si="394"/>
        <v>2367</v>
      </c>
      <c r="B2373" s="31" t="s">
        <v>2020</v>
      </c>
      <c r="C2373" s="15" t="s">
        <v>3</v>
      </c>
      <c r="D2373" s="31" t="s">
        <v>1708</v>
      </c>
      <c r="E2373" s="31"/>
      <c r="F2373" s="73" t="s">
        <v>4</v>
      </c>
      <c r="G2373" s="32">
        <v>34334</v>
      </c>
      <c r="H2373" s="29">
        <v>33.75</v>
      </c>
      <c r="I2373" s="17">
        <v>0</v>
      </c>
      <c r="J2373" s="17">
        <v>0</v>
      </c>
      <c r="K2373" s="17">
        <f t="shared" ref="K2373:K2436" si="408">H2373+I2373-J2373</f>
        <v>33.75</v>
      </c>
      <c r="L2373" s="23">
        <f t="shared" si="397"/>
        <v>1.6875</v>
      </c>
      <c r="M2373" s="33">
        <v>10</v>
      </c>
      <c r="N2373" s="18">
        <f t="shared" ref="N2373:N2436" si="409">IF(($N$2-G2373+1)/365&gt;0,($N$2-G2373+1)/365,0)</f>
        <v>27.271232876712329</v>
      </c>
      <c r="O2373" s="23">
        <v>320.625</v>
      </c>
      <c r="P2373" s="18">
        <f t="shared" ref="P2373:P2436" si="410">($P$2-G2373+1)/365</f>
        <v>27.772602739726029</v>
      </c>
      <c r="Q2373" s="18">
        <v>0</v>
      </c>
      <c r="R2373" s="18">
        <f t="shared" si="406"/>
        <v>320.625</v>
      </c>
      <c r="S2373" s="18">
        <f t="shared" ref="S2373:S2380" si="411">L2373</f>
        <v>1.6875</v>
      </c>
    </row>
    <row r="2374" spans="1:19" ht="18.75" customHeight="1" x14ac:dyDescent="0.25">
      <c r="A2374" s="14">
        <f t="shared" ref="A2374:A2437" si="412">+A2373+1</f>
        <v>2368</v>
      </c>
      <c r="B2374" s="31" t="s">
        <v>2021</v>
      </c>
      <c r="C2374" s="15" t="s">
        <v>3</v>
      </c>
      <c r="D2374" s="31" t="s">
        <v>1708</v>
      </c>
      <c r="E2374" s="31"/>
      <c r="F2374" s="73" t="s">
        <v>4</v>
      </c>
      <c r="G2374" s="32">
        <v>34380</v>
      </c>
      <c r="H2374" s="29">
        <v>28.75</v>
      </c>
      <c r="I2374" s="17">
        <v>0</v>
      </c>
      <c r="J2374" s="17">
        <v>0</v>
      </c>
      <c r="K2374" s="17">
        <f t="shared" si="408"/>
        <v>28.75</v>
      </c>
      <c r="L2374" s="23">
        <f t="shared" si="397"/>
        <v>1.4375</v>
      </c>
      <c r="M2374" s="33">
        <v>10</v>
      </c>
      <c r="N2374" s="18">
        <f t="shared" si="409"/>
        <v>27.145205479452056</v>
      </c>
      <c r="O2374" s="23">
        <v>273.125</v>
      </c>
      <c r="P2374" s="18">
        <f t="shared" si="410"/>
        <v>27.646575342465752</v>
      </c>
      <c r="Q2374" s="18">
        <v>0</v>
      </c>
      <c r="R2374" s="18">
        <f t="shared" si="406"/>
        <v>273.125</v>
      </c>
      <c r="S2374" s="18">
        <f t="shared" si="411"/>
        <v>1.4375</v>
      </c>
    </row>
    <row r="2375" spans="1:19" ht="18.75" customHeight="1" x14ac:dyDescent="0.25">
      <c r="A2375" s="14">
        <f t="shared" si="412"/>
        <v>2369</v>
      </c>
      <c r="B2375" s="31" t="s">
        <v>2022</v>
      </c>
      <c r="C2375" s="15" t="s">
        <v>3</v>
      </c>
      <c r="D2375" s="31" t="s">
        <v>1708</v>
      </c>
      <c r="E2375" s="31"/>
      <c r="F2375" s="73" t="s">
        <v>4</v>
      </c>
      <c r="G2375" s="32">
        <v>34408</v>
      </c>
      <c r="H2375" s="29">
        <v>337.30000000000018</v>
      </c>
      <c r="I2375" s="17">
        <v>0</v>
      </c>
      <c r="J2375" s="17">
        <v>0</v>
      </c>
      <c r="K2375" s="17">
        <f t="shared" si="408"/>
        <v>337.30000000000018</v>
      </c>
      <c r="L2375" s="23">
        <f t="shared" si="397"/>
        <v>16.865000000000009</v>
      </c>
      <c r="M2375" s="33">
        <v>10</v>
      </c>
      <c r="N2375" s="18">
        <f t="shared" si="409"/>
        <v>27.068493150684933</v>
      </c>
      <c r="O2375" s="23">
        <v>3204.35</v>
      </c>
      <c r="P2375" s="18">
        <f t="shared" si="410"/>
        <v>27.56986301369863</v>
      </c>
      <c r="Q2375" s="18">
        <v>0</v>
      </c>
      <c r="R2375" s="18">
        <f t="shared" si="406"/>
        <v>3204.35</v>
      </c>
      <c r="S2375" s="18">
        <f t="shared" si="411"/>
        <v>16.865000000000009</v>
      </c>
    </row>
    <row r="2376" spans="1:19" ht="18.75" customHeight="1" x14ac:dyDescent="0.25">
      <c r="A2376" s="14">
        <f t="shared" si="412"/>
        <v>2370</v>
      </c>
      <c r="B2376" s="31" t="s">
        <v>2023</v>
      </c>
      <c r="C2376" s="15" t="s">
        <v>3</v>
      </c>
      <c r="D2376" s="31" t="s">
        <v>1708</v>
      </c>
      <c r="E2376" s="31"/>
      <c r="F2376" s="73" t="s">
        <v>4</v>
      </c>
      <c r="G2376" s="32">
        <v>34500</v>
      </c>
      <c r="H2376" s="29">
        <v>189.44999999999982</v>
      </c>
      <c r="I2376" s="17">
        <v>0</v>
      </c>
      <c r="J2376" s="17">
        <v>0</v>
      </c>
      <c r="K2376" s="17">
        <f t="shared" si="408"/>
        <v>189.44999999999982</v>
      </c>
      <c r="L2376" s="23">
        <f t="shared" si="397"/>
        <v>9.4724999999999913</v>
      </c>
      <c r="M2376" s="33">
        <v>10</v>
      </c>
      <c r="N2376" s="18">
        <f t="shared" si="409"/>
        <v>26.816438356164383</v>
      </c>
      <c r="O2376" s="23">
        <v>1799.7750000000001</v>
      </c>
      <c r="P2376" s="18">
        <f t="shared" si="410"/>
        <v>27.317808219178083</v>
      </c>
      <c r="Q2376" s="18">
        <v>0</v>
      </c>
      <c r="R2376" s="18">
        <f t="shared" si="406"/>
        <v>1799.7750000000001</v>
      </c>
      <c r="S2376" s="18">
        <f t="shared" si="411"/>
        <v>9.4724999999999913</v>
      </c>
    </row>
    <row r="2377" spans="1:19" ht="18.75" customHeight="1" x14ac:dyDescent="0.25">
      <c r="A2377" s="14">
        <f t="shared" si="412"/>
        <v>2371</v>
      </c>
      <c r="B2377" s="31" t="s">
        <v>2024</v>
      </c>
      <c r="C2377" s="15" t="s">
        <v>3</v>
      </c>
      <c r="D2377" s="31" t="s">
        <v>1708</v>
      </c>
      <c r="E2377" s="31"/>
      <c r="F2377" s="73" t="s">
        <v>4</v>
      </c>
      <c r="G2377" s="32">
        <v>41348</v>
      </c>
      <c r="H2377" s="29">
        <v>111.62350000000015</v>
      </c>
      <c r="I2377" s="17">
        <v>0</v>
      </c>
      <c r="J2377" s="17">
        <v>0</v>
      </c>
      <c r="K2377" s="17">
        <f t="shared" si="408"/>
        <v>111.62350000000015</v>
      </c>
      <c r="L2377" s="23">
        <f t="shared" si="397"/>
        <v>5.581175000000008</v>
      </c>
      <c r="M2377" s="33">
        <v>5</v>
      </c>
      <c r="N2377" s="18">
        <f t="shared" si="409"/>
        <v>8.0547945205479454</v>
      </c>
      <c r="O2377" s="23">
        <v>1060.4232499999998</v>
      </c>
      <c r="P2377" s="18">
        <f t="shared" si="410"/>
        <v>8.5561643835616437</v>
      </c>
      <c r="Q2377" s="18">
        <v>0</v>
      </c>
      <c r="R2377" s="18">
        <f t="shared" si="406"/>
        <v>1060.4232499999998</v>
      </c>
      <c r="S2377" s="18">
        <f t="shared" si="411"/>
        <v>5.581175000000008</v>
      </c>
    </row>
    <row r="2378" spans="1:19" ht="18.75" customHeight="1" x14ac:dyDescent="0.25">
      <c r="A2378" s="14">
        <f t="shared" si="412"/>
        <v>2372</v>
      </c>
      <c r="B2378" s="31" t="s">
        <v>2025</v>
      </c>
      <c r="C2378" s="15" t="s">
        <v>3</v>
      </c>
      <c r="D2378" s="31" t="s">
        <v>1708</v>
      </c>
      <c r="E2378" s="31"/>
      <c r="F2378" s="73" t="s">
        <v>4</v>
      </c>
      <c r="G2378" s="32">
        <v>34789</v>
      </c>
      <c r="H2378" s="29">
        <v>19.949999999999989</v>
      </c>
      <c r="I2378" s="17">
        <v>0</v>
      </c>
      <c r="J2378" s="17">
        <v>0</v>
      </c>
      <c r="K2378" s="17">
        <f t="shared" si="408"/>
        <v>19.949999999999989</v>
      </c>
      <c r="L2378" s="23">
        <f t="shared" si="397"/>
        <v>0.9974999999999995</v>
      </c>
      <c r="M2378" s="33">
        <v>10</v>
      </c>
      <c r="N2378" s="18">
        <f t="shared" si="409"/>
        <v>26.024657534246575</v>
      </c>
      <c r="O2378" s="23">
        <v>189.52500000000001</v>
      </c>
      <c r="P2378" s="18">
        <f t="shared" si="410"/>
        <v>26.526027397260275</v>
      </c>
      <c r="Q2378" s="18">
        <v>0</v>
      </c>
      <c r="R2378" s="18">
        <f t="shared" si="406"/>
        <v>189.52500000000001</v>
      </c>
      <c r="S2378" s="18">
        <f t="shared" si="411"/>
        <v>0.9974999999999995</v>
      </c>
    </row>
    <row r="2379" spans="1:19" ht="18.75" customHeight="1" x14ac:dyDescent="0.25">
      <c r="A2379" s="14">
        <f t="shared" si="412"/>
        <v>2373</v>
      </c>
      <c r="B2379" s="31" t="s">
        <v>1831</v>
      </c>
      <c r="C2379" s="15" t="s">
        <v>3</v>
      </c>
      <c r="D2379" s="31" t="s">
        <v>1708</v>
      </c>
      <c r="E2379" s="31"/>
      <c r="F2379" s="73" t="s">
        <v>4</v>
      </c>
      <c r="G2379" s="32">
        <v>34500</v>
      </c>
      <c r="H2379" s="29">
        <v>48.399999999999977</v>
      </c>
      <c r="I2379" s="17">
        <v>0</v>
      </c>
      <c r="J2379" s="17">
        <v>0</v>
      </c>
      <c r="K2379" s="17">
        <f t="shared" si="408"/>
        <v>48.399999999999977</v>
      </c>
      <c r="L2379" s="23">
        <f t="shared" si="397"/>
        <v>2.419999999999999</v>
      </c>
      <c r="M2379" s="33">
        <v>10</v>
      </c>
      <c r="N2379" s="18">
        <f t="shared" si="409"/>
        <v>26.816438356164383</v>
      </c>
      <c r="O2379" s="23">
        <v>459.8</v>
      </c>
      <c r="P2379" s="18">
        <f t="shared" si="410"/>
        <v>27.317808219178083</v>
      </c>
      <c r="Q2379" s="18">
        <v>0</v>
      </c>
      <c r="R2379" s="18">
        <f t="shared" si="406"/>
        <v>459.8</v>
      </c>
      <c r="S2379" s="18">
        <f t="shared" si="411"/>
        <v>2.419999999999999</v>
      </c>
    </row>
    <row r="2380" spans="1:19" ht="18.75" customHeight="1" x14ac:dyDescent="0.25">
      <c r="A2380" s="14">
        <f t="shared" si="412"/>
        <v>2374</v>
      </c>
      <c r="B2380" s="31" t="s">
        <v>2026</v>
      </c>
      <c r="C2380" s="15" t="s">
        <v>3</v>
      </c>
      <c r="D2380" s="31" t="s">
        <v>1708</v>
      </c>
      <c r="E2380" s="31"/>
      <c r="F2380" s="73" t="s">
        <v>4</v>
      </c>
      <c r="G2380" s="32">
        <v>34865</v>
      </c>
      <c r="H2380" s="29">
        <v>625.35000000000036</v>
      </c>
      <c r="I2380" s="17">
        <v>0</v>
      </c>
      <c r="J2380" s="17">
        <v>0</v>
      </c>
      <c r="K2380" s="17">
        <f t="shared" si="408"/>
        <v>625.35000000000036</v>
      </c>
      <c r="L2380" s="23">
        <f t="shared" si="397"/>
        <v>31.26750000000002</v>
      </c>
      <c r="M2380" s="33">
        <v>5</v>
      </c>
      <c r="N2380" s="18">
        <f t="shared" si="409"/>
        <v>25.816438356164383</v>
      </c>
      <c r="O2380" s="23">
        <v>5940.8249999999998</v>
      </c>
      <c r="P2380" s="18">
        <f t="shared" si="410"/>
        <v>26.317808219178083</v>
      </c>
      <c r="Q2380" s="18">
        <v>0</v>
      </c>
      <c r="R2380" s="18">
        <f t="shared" si="406"/>
        <v>5940.8249999999998</v>
      </c>
      <c r="S2380" s="18">
        <f t="shared" si="411"/>
        <v>31.26750000000002</v>
      </c>
    </row>
    <row r="2381" spans="1:19" ht="18.75" customHeight="1" x14ac:dyDescent="0.25">
      <c r="A2381" s="14">
        <f t="shared" si="412"/>
        <v>2375</v>
      </c>
      <c r="B2381" s="31" t="s">
        <v>1846</v>
      </c>
      <c r="C2381" s="15" t="s">
        <v>3</v>
      </c>
      <c r="D2381" s="31" t="s">
        <v>1708</v>
      </c>
      <c r="E2381" s="31"/>
      <c r="F2381" s="73" t="s">
        <v>4</v>
      </c>
      <c r="G2381" s="32">
        <v>40648</v>
      </c>
      <c r="H2381" s="29">
        <v>1161.2986301369863</v>
      </c>
      <c r="I2381" s="17">
        <v>0</v>
      </c>
      <c r="J2381" s="17">
        <v>0</v>
      </c>
      <c r="K2381" s="17">
        <f t="shared" si="408"/>
        <v>1161.2986301369863</v>
      </c>
      <c r="L2381" s="23">
        <f t="shared" si="397"/>
        <v>58.064931506849319</v>
      </c>
      <c r="M2381" s="33">
        <v>10</v>
      </c>
      <c r="N2381" s="18">
        <f t="shared" si="409"/>
        <v>9.9726027397260282</v>
      </c>
      <c r="O2381" s="23">
        <v>941.7024657534248</v>
      </c>
      <c r="P2381" s="18">
        <f t="shared" si="410"/>
        <v>10.473972602739726</v>
      </c>
      <c r="Q2381" s="18">
        <v>0</v>
      </c>
      <c r="R2381" s="18">
        <f t="shared" si="406"/>
        <v>941.7024657534248</v>
      </c>
      <c r="S2381" s="18">
        <f t="shared" si="407"/>
        <v>219.59616438356147</v>
      </c>
    </row>
    <row r="2382" spans="1:19" ht="18.75" customHeight="1" x14ac:dyDescent="0.25">
      <c r="A2382" s="14">
        <f t="shared" si="412"/>
        <v>2376</v>
      </c>
      <c r="B2382" s="31" t="s">
        <v>2027</v>
      </c>
      <c r="C2382" s="15" t="s">
        <v>3</v>
      </c>
      <c r="D2382" s="31" t="s">
        <v>1708</v>
      </c>
      <c r="E2382" s="31"/>
      <c r="F2382" s="73" t="s">
        <v>4</v>
      </c>
      <c r="G2382" s="32">
        <v>34958</v>
      </c>
      <c r="H2382" s="29">
        <v>37483.649999999994</v>
      </c>
      <c r="I2382" s="17">
        <v>0</v>
      </c>
      <c r="J2382" s="17">
        <v>0</v>
      </c>
      <c r="K2382" s="17">
        <f t="shared" si="408"/>
        <v>37483.649999999994</v>
      </c>
      <c r="L2382" s="23">
        <f t="shared" si="397"/>
        <v>1874.1824999999999</v>
      </c>
      <c r="M2382" s="33">
        <v>5</v>
      </c>
      <c r="N2382" s="18">
        <f t="shared" si="409"/>
        <v>25.561643835616437</v>
      </c>
      <c r="O2382" s="23">
        <v>62094.675000000003</v>
      </c>
      <c r="P2382" s="18">
        <f t="shared" si="410"/>
        <v>26.063013698630137</v>
      </c>
      <c r="Q2382" s="18">
        <v>0</v>
      </c>
      <c r="R2382" s="18">
        <f t="shared" si="406"/>
        <v>62094.675000000003</v>
      </c>
      <c r="S2382" s="18">
        <f t="shared" ref="S2382:S2388" si="413">L2382</f>
        <v>1874.1824999999999</v>
      </c>
    </row>
    <row r="2383" spans="1:19" ht="18.75" customHeight="1" x14ac:dyDescent="0.25">
      <c r="A2383" s="14">
        <f t="shared" si="412"/>
        <v>2377</v>
      </c>
      <c r="B2383" s="31" t="s">
        <v>2028</v>
      </c>
      <c r="C2383" s="15" t="s">
        <v>3</v>
      </c>
      <c r="D2383" s="31" t="s">
        <v>1708</v>
      </c>
      <c r="E2383" s="31"/>
      <c r="F2383" s="73" t="s">
        <v>4</v>
      </c>
      <c r="G2383" s="32">
        <v>41440</v>
      </c>
      <c r="H2383" s="29">
        <v>110</v>
      </c>
      <c r="I2383" s="17">
        <v>0</v>
      </c>
      <c r="J2383" s="17">
        <v>0</v>
      </c>
      <c r="K2383" s="17">
        <f t="shared" si="408"/>
        <v>110</v>
      </c>
      <c r="L2383" s="23">
        <f t="shared" si="397"/>
        <v>5.5</v>
      </c>
      <c r="M2383" s="33">
        <v>5</v>
      </c>
      <c r="N2383" s="18">
        <f t="shared" si="409"/>
        <v>7.8027397260273972</v>
      </c>
      <c r="O2383" s="23">
        <v>1045</v>
      </c>
      <c r="P2383" s="18">
        <f t="shared" si="410"/>
        <v>8.3041095890410954</v>
      </c>
      <c r="Q2383" s="18">
        <v>0</v>
      </c>
      <c r="R2383" s="18">
        <f t="shared" si="406"/>
        <v>1045</v>
      </c>
      <c r="S2383" s="18">
        <f t="shared" si="413"/>
        <v>5.5</v>
      </c>
    </row>
    <row r="2384" spans="1:19" ht="18.75" customHeight="1" x14ac:dyDescent="0.25">
      <c r="A2384" s="14">
        <f t="shared" si="412"/>
        <v>2378</v>
      </c>
      <c r="B2384" s="31" t="s">
        <v>2029</v>
      </c>
      <c r="C2384" s="15" t="s">
        <v>3</v>
      </c>
      <c r="D2384" s="31" t="s">
        <v>1708</v>
      </c>
      <c r="E2384" s="31"/>
      <c r="F2384" s="73" t="s">
        <v>4</v>
      </c>
      <c r="G2384" s="32">
        <v>34500</v>
      </c>
      <c r="H2384" s="29">
        <v>20.75</v>
      </c>
      <c r="I2384" s="17">
        <v>0</v>
      </c>
      <c r="J2384" s="17">
        <v>0</v>
      </c>
      <c r="K2384" s="17">
        <f t="shared" si="408"/>
        <v>20.75</v>
      </c>
      <c r="L2384" s="23">
        <f t="shared" si="397"/>
        <v>1.0375000000000001</v>
      </c>
      <c r="M2384" s="33">
        <v>10</v>
      </c>
      <c r="N2384" s="18">
        <f t="shared" si="409"/>
        <v>26.816438356164383</v>
      </c>
      <c r="O2384" s="23">
        <v>197.125</v>
      </c>
      <c r="P2384" s="18">
        <f t="shared" si="410"/>
        <v>27.317808219178083</v>
      </c>
      <c r="Q2384" s="18">
        <v>0</v>
      </c>
      <c r="R2384" s="18">
        <f t="shared" si="406"/>
        <v>197.125</v>
      </c>
      <c r="S2384" s="18">
        <f t="shared" si="413"/>
        <v>1.0375000000000001</v>
      </c>
    </row>
    <row r="2385" spans="1:19" ht="18.75" customHeight="1" x14ac:dyDescent="0.25">
      <c r="A2385" s="14">
        <f t="shared" si="412"/>
        <v>2379</v>
      </c>
      <c r="B2385" s="31" t="s">
        <v>2030</v>
      </c>
      <c r="C2385" s="15" t="s">
        <v>3</v>
      </c>
      <c r="D2385" s="31" t="s">
        <v>1708</v>
      </c>
      <c r="E2385" s="31"/>
      <c r="F2385" s="73" t="s">
        <v>4</v>
      </c>
      <c r="G2385" s="32">
        <v>34699</v>
      </c>
      <c r="H2385" s="29">
        <v>141.19999999999982</v>
      </c>
      <c r="I2385" s="17">
        <v>0</v>
      </c>
      <c r="J2385" s="17">
        <v>0</v>
      </c>
      <c r="K2385" s="17">
        <f t="shared" si="408"/>
        <v>141.19999999999982</v>
      </c>
      <c r="L2385" s="23">
        <f t="shared" si="397"/>
        <v>7.0599999999999916</v>
      </c>
      <c r="M2385" s="33">
        <v>10</v>
      </c>
      <c r="N2385" s="18">
        <f t="shared" si="409"/>
        <v>26.271232876712329</v>
      </c>
      <c r="O2385" s="23">
        <v>1341.4</v>
      </c>
      <c r="P2385" s="18">
        <f t="shared" si="410"/>
        <v>26.772602739726029</v>
      </c>
      <c r="Q2385" s="18">
        <v>0</v>
      </c>
      <c r="R2385" s="18">
        <f t="shared" si="406"/>
        <v>1341.4</v>
      </c>
      <c r="S2385" s="18">
        <f t="shared" si="413"/>
        <v>7.0599999999999916</v>
      </c>
    </row>
    <row r="2386" spans="1:19" ht="18.75" customHeight="1" x14ac:dyDescent="0.25">
      <c r="A2386" s="14">
        <f t="shared" si="412"/>
        <v>2380</v>
      </c>
      <c r="B2386" s="31" t="s">
        <v>2031</v>
      </c>
      <c r="C2386" s="15" t="s">
        <v>3</v>
      </c>
      <c r="D2386" s="31" t="s">
        <v>1708</v>
      </c>
      <c r="E2386" s="31"/>
      <c r="F2386" s="73" t="s">
        <v>4</v>
      </c>
      <c r="G2386" s="32">
        <v>35018</v>
      </c>
      <c r="H2386" s="29">
        <v>624.85000000000036</v>
      </c>
      <c r="I2386" s="17">
        <v>0</v>
      </c>
      <c r="J2386" s="17">
        <v>0</v>
      </c>
      <c r="K2386" s="17">
        <f t="shared" si="408"/>
        <v>624.85000000000036</v>
      </c>
      <c r="L2386" s="23">
        <f t="shared" si="397"/>
        <v>31.242500000000021</v>
      </c>
      <c r="M2386" s="33">
        <v>5</v>
      </c>
      <c r="N2386" s="18">
        <f t="shared" si="409"/>
        <v>25.397260273972602</v>
      </c>
      <c r="O2386" s="23">
        <v>5936.0749999999998</v>
      </c>
      <c r="P2386" s="18">
        <f t="shared" si="410"/>
        <v>25.898630136986302</v>
      </c>
      <c r="Q2386" s="18">
        <v>0</v>
      </c>
      <c r="R2386" s="18">
        <f t="shared" si="406"/>
        <v>5936.0749999999998</v>
      </c>
      <c r="S2386" s="18">
        <f t="shared" si="413"/>
        <v>31.242500000000021</v>
      </c>
    </row>
    <row r="2387" spans="1:19" ht="18.75" customHeight="1" x14ac:dyDescent="0.25">
      <c r="A2387" s="14">
        <f t="shared" si="412"/>
        <v>2381</v>
      </c>
      <c r="B2387" s="31" t="s">
        <v>2032</v>
      </c>
      <c r="C2387" s="15" t="s">
        <v>3</v>
      </c>
      <c r="D2387" s="31" t="s">
        <v>1708</v>
      </c>
      <c r="E2387" s="31"/>
      <c r="F2387" s="73" t="s">
        <v>4</v>
      </c>
      <c r="G2387" s="32">
        <v>34700</v>
      </c>
      <c r="H2387" s="29">
        <v>330</v>
      </c>
      <c r="I2387" s="17">
        <v>0</v>
      </c>
      <c r="J2387" s="17">
        <v>0</v>
      </c>
      <c r="K2387" s="17">
        <f t="shared" si="408"/>
        <v>330</v>
      </c>
      <c r="L2387" s="23">
        <f t="shared" si="397"/>
        <v>16.5</v>
      </c>
      <c r="M2387" s="33">
        <v>10</v>
      </c>
      <c r="N2387" s="18">
        <f t="shared" si="409"/>
        <v>26.268493150684932</v>
      </c>
      <c r="O2387" s="23">
        <v>3135</v>
      </c>
      <c r="P2387" s="18">
        <f t="shared" si="410"/>
        <v>26.769863013698629</v>
      </c>
      <c r="Q2387" s="18">
        <v>0</v>
      </c>
      <c r="R2387" s="18">
        <f t="shared" si="406"/>
        <v>3135</v>
      </c>
      <c r="S2387" s="18">
        <f t="shared" si="413"/>
        <v>16.5</v>
      </c>
    </row>
    <row r="2388" spans="1:19" ht="18.75" customHeight="1" x14ac:dyDescent="0.25">
      <c r="A2388" s="14">
        <f t="shared" si="412"/>
        <v>2382</v>
      </c>
      <c r="B2388" s="31" t="s">
        <v>2033</v>
      </c>
      <c r="C2388" s="15" t="s">
        <v>3</v>
      </c>
      <c r="D2388" s="31" t="s">
        <v>1708</v>
      </c>
      <c r="E2388" s="31"/>
      <c r="F2388" s="73" t="s">
        <v>4</v>
      </c>
      <c r="G2388" s="32">
        <v>34700</v>
      </c>
      <c r="H2388" s="29">
        <v>161</v>
      </c>
      <c r="I2388" s="17">
        <v>0</v>
      </c>
      <c r="J2388" s="17">
        <v>0</v>
      </c>
      <c r="K2388" s="17">
        <f t="shared" si="408"/>
        <v>161</v>
      </c>
      <c r="L2388" s="23">
        <f t="shared" si="397"/>
        <v>8.0500000000000007</v>
      </c>
      <c r="M2388" s="33">
        <v>10</v>
      </c>
      <c r="N2388" s="18">
        <f t="shared" si="409"/>
        <v>26.268493150684932</v>
      </c>
      <c r="O2388" s="23">
        <v>1529.5</v>
      </c>
      <c r="P2388" s="18">
        <f t="shared" si="410"/>
        <v>26.769863013698629</v>
      </c>
      <c r="Q2388" s="18">
        <v>0</v>
      </c>
      <c r="R2388" s="18">
        <f t="shared" si="406"/>
        <v>1529.5</v>
      </c>
      <c r="S2388" s="18">
        <f t="shared" si="413"/>
        <v>8.0500000000000007</v>
      </c>
    </row>
    <row r="2389" spans="1:19" ht="18.75" customHeight="1" x14ac:dyDescent="0.25">
      <c r="A2389" s="14">
        <f t="shared" si="412"/>
        <v>2383</v>
      </c>
      <c r="B2389" s="31" t="s">
        <v>2034</v>
      </c>
      <c r="C2389" s="15" t="s">
        <v>3</v>
      </c>
      <c r="D2389" s="31" t="s">
        <v>1708</v>
      </c>
      <c r="E2389" s="31"/>
      <c r="F2389" s="73" t="s">
        <v>4</v>
      </c>
      <c r="G2389" s="32">
        <v>40983</v>
      </c>
      <c r="H2389" s="29">
        <v>1322.9213575342467</v>
      </c>
      <c r="I2389" s="17">
        <v>0</v>
      </c>
      <c r="J2389" s="17">
        <v>0</v>
      </c>
      <c r="K2389" s="17">
        <f t="shared" si="408"/>
        <v>1322.9213575342467</v>
      </c>
      <c r="L2389" s="23">
        <f t="shared" si="397"/>
        <v>66.146067876712337</v>
      </c>
      <c r="M2389" s="33">
        <v>10</v>
      </c>
      <c r="N2389" s="18">
        <f t="shared" si="409"/>
        <v>9.0547945205479454</v>
      </c>
      <c r="O2389" s="23">
        <v>939.43945904109592</v>
      </c>
      <c r="P2389" s="18">
        <f t="shared" si="410"/>
        <v>9.5561643835616437</v>
      </c>
      <c r="Q2389" s="18">
        <f t="shared" si="398"/>
        <v>63.010925481459893</v>
      </c>
      <c r="R2389" s="18">
        <f t="shared" si="406"/>
        <v>1002.4503845225559</v>
      </c>
      <c r="S2389" s="18">
        <f t="shared" si="407"/>
        <v>320.47097301169083</v>
      </c>
    </row>
    <row r="2390" spans="1:19" ht="18.75" customHeight="1" x14ac:dyDescent="0.25">
      <c r="A2390" s="14">
        <f t="shared" si="412"/>
        <v>2384</v>
      </c>
      <c r="B2390" s="31" t="s">
        <v>2035</v>
      </c>
      <c r="C2390" s="15" t="s">
        <v>3</v>
      </c>
      <c r="D2390" s="31" t="s">
        <v>1708</v>
      </c>
      <c r="E2390" s="31"/>
      <c r="F2390" s="73" t="s">
        <v>4</v>
      </c>
      <c r="G2390" s="32">
        <v>34700</v>
      </c>
      <c r="H2390" s="29">
        <v>96.900000000000091</v>
      </c>
      <c r="I2390" s="17">
        <v>0</v>
      </c>
      <c r="J2390" s="17">
        <v>0</v>
      </c>
      <c r="K2390" s="17">
        <f t="shared" si="408"/>
        <v>96.900000000000091</v>
      </c>
      <c r="L2390" s="23">
        <f t="shared" si="397"/>
        <v>4.8450000000000051</v>
      </c>
      <c r="M2390" s="33">
        <v>10</v>
      </c>
      <c r="N2390" s="18">
        <f t="shared" si="409"/>
        <v>26.268493150684932</v>
      </c>
      <c r="O2390" s="23">
        <v>920.55</v>
      </c>
      <c r="P2390" s="18">
        <f t="shared" si="410"/>
        <v>26.769863013698629</v>
      </c>
      <c r="Q2390" s="18">
        <v>0</v>
      </c>
      <c r="R2390" s="18">
        <f t="shared" si="406"/>
        <v>920.55</v>
      </c>
      <c r="S2390" s="18">
        <f t="shared" ref="S2390:S2396" si="414">L2390</f>
        <v>4.8450000000000051</v>
      </c>
    </row>
    <row r="2391" spans="1:19" ht="18.75" customHeight="1" x14ac:dyDescent="0.25">
      <c r="A2391" s="14">
        <f t="shared" si="412"/>
        <v>2385</v>
      </c>
      <c r="B2391" s="31" t="s">
        <v>2036</v>
      </c>
      <c r="C2391" s="15" t="s">
        <v>3</v>
      </c>
      <c r="D2391" s="31" t="s">
        <v>1708</v>
      </c>
      <c r="E2391" s="31"/>
      <c r="F2391" s="73" t="s">
        <v>4</v>
      </c>
      <c r="G2391" s="32">
        <v>39767</v>
      </c>
      <c r="H2391" s="29">
        <v>105.11249999999995</v>
      </c>
      <c r="I2391" s="17">
        <v>0</v>
      </c>
      <c r="J2391" s="17">
        <v>0</v>
      </c>
      <c r="K2391" s="17">
        <f t="shared" si="408"/>
        <v>105.11249999999995</v>
      </c>
      <c r="L2391" s="23">
        <f t="shared" ref="L2391:L2454" si="415">H2391*0.05</f>
        <v>5.2556249999999984</v>
      </c>
      <c r="M2391" s="33">
        <v>10</v>
      </c>
      <c r="N2391" s="18">
        <f t="shared" si="409"/>
        <v>12.386301369863014</v>
      </c>
      <c r="O2391" s="23">
        <v>998.56875000000002</v>
      </c>
      <c r="P2391" s="18">
        <f t="shared" si="410"/>
        <v>12.887671232876713</v>
      </c>
      <c r="Q2391" s="18">
        <v>0</v>
      </c>
      <c r="R2391" s="18">
        <f t="shared" si="406"/>
        <v>998.56875000000002</v>
      </c>
      <c r="S2391" s="18">
        <f t="shared" si="414"/>
        <v>5.2556249999999984</v>
      </c>
    </row>
    <row r="2392" spans="1:19" ht="18.75" customHeight="1" x14ac:dyDescent="0.25">
      <c r="A2392" s="14">
        <f t="shared" si="412"/>
        <v>2386</v>
      </c>
      <c r="B2392" s="31" t="s">
        <v>2037</v>
      </c>
      <c r="C2392" s="15" t="s">
        <v>3</v>
      </c>
      <c r="D2392" s="31" t="s">
        <v>1708</v>
      </c>
      <c r="E2392" s="31"/>
      <c r="F2392" s="73" t="s">
        <v>4</v>
      </c>
      <c r="G2392" s="32">
        <v>41654</v>
      </c>
      <c r="H2392" s="29">
        <v>105.05999999999995</v>
      </c>
      <c r="I2392" s="17">
        <v>0</v>
      </c>
      <c r="J2392" s="17">
        <v>0</v>
      </c>
      <c r="K2392" s="17">
        <f t="shared" si="408"/>
        <v>105.05999999999995</v>
      </c>
      <c r="L2392" s="23">
        <f t="shared" si="415"/>
        <v>5.2529999999999974</v>
      </c>
      <c r="M2392" s="33">
        <v>5</v>
      </c>
      <c r="N2392" s="18">
        <f t="shared" si="409"/>
        <v>7.2164383561643834</v>
      </c>
      <c r="O2392" s="23">
        <v>998.06999999999994</v>
      </c>
      <c r="P2392" s="18">
        <f t="shared" si="410"/>
        <v>7.7178082191780826</v>
      </c>
      <c r="Q2392" s="18">
        <v>0</v>
      </c>
      <c r="R2392" s="18">
        <f t="shared" si="406"/>
        <v>998.06999999999994</v>
      </c>
      <c r="S2392" s="18">
        <f t="shared" si="414"/>
        <v>5.2529999999999974</v>
      </c>
    </row>
    <row r="2393" spans="1:19" ht="18.75" customHeight="1" x14ac:dyDescent="0.25">
      <c r="A2393" s="14">
        <f t="shared" si="412"/>
        <v>2387</v>
      </c>
      <c r="B2393" s="31" t="s">
        <v>2038</v>
      </c>
      <c r="C2393" s="15" t="s">
        <v>3</v>
      </c>
      <c r="D2393" s="31" t="s">
        <v>1708</v>
      </c>
      <c r="E2393" s="31"/>
      <c r="F2393" s="73" t="s">
        <v>4</v>
      </c>
      <c r="G2393" s="32">
        <v>34700</v>
      </c>
      <c r="H2393" s="29">
        <v>60</v>
      </c>
      <c r="I2393" s="17">
        <v>0</v>
      </c>
      <c r="J2393" s="17">
        <v>0</v>
      </c>
      <c r="K2393" s="17">
        <f t="shared" si="408"/>
        <v>60</v>
      </c>
      <c r="L2393" s="23">
        <f t="shared" si="415"/>
        <v>3</v>
      </c>
      <c r="M2393" s="33">
        <v>10</v>
      </c>
      <c r="N2393" s="18">
        <f t="shared" si="409"/>
        <v>26.268493150684932</v>
      </c>
      <c r="O2393" s="23">
        <v>570</v>
      </c>
      <c r="P2393" s="18">
        <f t="shared" si="410"/>
        <v>26.769863013698629</v>
      </c>
      <c r="Q2393" s="18">
        <v>0</v>
      </c>
      <c r="R2393" s="18">
        <f t="shared" si="406"/>
        <v>570</v>
      </c>
      <c r="S2393" s="18">
        <f t="shared" si="414"/>
        <v>3</v>
      </c>
    </row>
    <row r="2394" spans="1:19" ht="18.75" customHeight="1" x14ac:dyDescent="0.25">
      <c r="A2394" s="14">
        <f t="shared" si="412"/>
        <v>2388</v>
      </c>
      <c r="B2394" s="31" t="s">
        <v>2039</v>
      </c>
      <c r="C2394" s="15" t="s">
        <v>3</v>
      </c>
      <c r="D2394" s="31" t="s">
        <v>1708</v>
      </c>
      <c r="E2394" s="31"/>
      <c r="F2394" s="73" t="s">
        <v>4</v>
      </c>
      <c r="G2394" s="32">
        <v>34700</v>
      </c>
      <c r="H2394" s="29">
        <v>42.350000000000023</v>
      </c>
      <c r="I2394" s="17">
        <v>0</v>
      </c>
      <c r="J2394" s="17">
        <v>0</v>
      </c>
      <c r="K2394" s="17">
        <f t="shared" si="408"/>
        <v>42.350000000000023</v>
      </c>
      <c r="L2394" s="23">
        <f t="shared" si="415"/>
        <v>2.117500000000001</v>
      </c>
      <c r="M2394" s="33">
        <v>10</v>
      </c>
      <c r="N2394" s="18">
        <f t="shared" si="409"/>
        <v>26.268493150684932</v>
      </c>
      <c r="O2394" s="23">
        <v>402.32499999999999</v>
      </c>
      <c r="P2394" s="18">
        <f t="shared" si="410"/>
        <v>26.769863013698629</v>
      </c>
      <c r="Q2394" s="18">
        <v>0</v>
      </c>
      <c r="R2394" s="18">
        <f t="shared" si="406"/>
        <v>402.32499999999999</v>
      </c>
      <c r="S2394" s="18">
        <f t="shared" si="414"/>
        <v>2.117500000000001</v>
      </c>
    </row>
    <row r="2395" spans="1:19" ht="18.75" customHeight="1" x14ac:dyDescent="0.25">
      <c r="A2395" s="14">
        <f t="shared" si="412"/>
        <v>2389</v>
      </c>
      <c r="B2395" s="31" t="s">
        <v>2040</v>
      </c>
      <c r="C2395" s="15" t="s">
        <v>3</v>
      </c>
      <c r="D2395" s="31" t="s">
        <v>1708</v>
      </c>
      <c r="E2395" s="31"/>
      <c r="F2395" s="73" t="s">
        <v>4</v>
      </c>
      <c r="G2395" s="32">
        <v>34700</v>
      </c>
      <c r="H2395" s="29">
        <v>6.2999999999999972</v>
      </c>
      <c r="I2395" s="17">
        <v>0</v>
      </c>
      <c r="J2395" s="17">
        <v>0</v>
      </c>
      <c r="K2395" s="17">
        <f t="shared" si="408"/>
        <v>6.2999999999999972</v>
      </c>
      <c r="L2395" s="23">
        <f t="shared" si="415"/>
        <v>0.31499999999999989</v>
      </c>
      <c r="M2395" s="33">
        <v>10</v>
      </c>
      <c r="N2395" s="18">
        <f t="shared" si="409"/>
        <v>26.268493150684932</v>
      </c>
      <c r="O2395" s="23">
        <v>59.85</v>
      </c>
      <c r="P2395" s="18">
        <f t="shared" si="410"/>
        <v>26.769863013698629</v>
      </c>
      <c r="Q2395" s="18">
        <v>0</v>
      </c>
      <c r="R2395" s="18">
        <f t="shared" si="406"/>
        <v>59.85</v>
      </c>
      <c r="S2395" s="18">
        <f t="shared" si="414"/>
        <v>0.31499999999999989</v>
      </c>
    </row>
    <row r="2396" spans="1:19" ht="18.75" customHeight="1" x14ac:dyDescent="0.25">
      <c r="A2396" s="14">
        <f t="shared" si="412"/>
        <v>2390</v>
      </c>
      <c r="B2396" s="31" t="s">
        <v>2041</v>
      </c>
      <c r="C2396" s="15" t="s">
        <v>3</v>
      </c>
      <c r="D2396" s="31" t="s">
        <v>1708</v>
      </c>
      <c r="E2396" s="31"/>
      <c r="F2396" s="73" t="s">
        <v>4</v>
      </c>
      <c r="G2396" s="32">
        <v>34700</v>
      </c>
      <c r="H2396" s="29">
        <v>2.4500000000000028</v>
      </c>
      <c r="I2396" s="17">
        <v>0</v>
      </c>
      <c r="J2396" s="17">
        <v>0</v>
      </c>
      <c r="K2396" s="17">
        <f t="shared" si="408"/>
        <v>2.4500000000000028</v>
      </c>
      <c r="L2396" s="23">
        <f t="shared" si="415"/>
        <v>0.12250000000000015</v>
      </c>
      <c r="M2396" s="33">
        <v>10</v>
      </c>
      <c r="N2396" s="18">
        <f t="shared" si="409"/>
        <v>26.268493150684932</v>
      </c>
      <c r="O2396" s="23">
        <v>23.274999999999999</v>
      </c>
      <c r="P2396" s="18">
        <f t="shared" si="410"/>
        <v>26.769863013698629</v>
      </c>
      <c r="Q2396" s="18">
        <v>0</v>
      </c>
      <c r="R2396" s="18">
        <f t="shared" si="406"/>
        <v>23.274999999999999</v>
      </c>
      <c r="S2396" s="18">
        <f t="shared" si="414"/>
        <v>0.12250000000000015</v>
      </c>
    </row>
    <row r="2397" spans="1:19" ht="18.75" customHeight="1" x14ac:dyDescent="0.25">
      <c r="A2397" s="14">
        <f t="shared" si="412"/>
        <v>2391</v>
      </c>
      <c r="B2397" s="31" t="s">
        <v>1900</v>
      </c>
      <c r="C2397" s="15" t="s">
        <v>3</v>
      </c>
      <c r="D2397" s="31" t="s">
        <v>1708</v>
      </c>
      <c r="E2397" s="31"/>
      <c r="F2397" s="73" t="s">
        <v>4</v>
      </c>
      <c r="G2397" s="32">
        <v>40589</v>
      </c>
      <c r="H2397" s="29">
        <v>984.01315068493136</v>
      </c>
      <c r="I2397" s="17">
        <v>0</v>
      </c>
      <c r="J2397" s="17">
        <v>0</v>
      </c>
      <c r="K2397" s="17">
        <f t="shared" si="408"/>
        <v>984.01315068493136</v>
      </c>
      <c r="L2397" s="23">
        <f t="shared" si="415"/>
        <v>49.200657534246574</v>
      </c>
      <c r="M2397" s="33">
        <v>10</v>
      </c>
      <c r="N2397" s="18">
        <f t="shared" si="409"/>
        <v>10.134246575342466</v>
      </c>
      <c r="O2397" s="23">
        <v>818.90104109589049</v>
      </c>
      <c r="P2397" s="18">
        <f t="shared" si="410"/>
        <v>10.635616438356164</v>
      </c>
      <c r="Q2397" s="18">
        <v>0</v>
      </c>
      <c r="R2397" s="18">
        <f t="shared" si="406"/>
        <v>818.90104109589049</v>
      </c>
      <c r="S2397" s="18">
        <f t="shared" si="407"/>
        <v>165.11210958904087</v>
      </c>
    </row>
    <row r="2398" spans="1:19" ht="18.75" customHeight="1" x14ac:dyDescent="0.25">
      <c r="A2398" s="14">
        <f t="shared" si="412"/>
        <v>2392</v>
      </c>
      <c r="B2398" s="31" t="s">
        <v>1900</v>
      </c>
      <c r="C2398" s="15" t="s">
        <v>3</v>
      </c>
      <c r="D2398" s="31" t="s">
        <v>1708</v>
      </c>
      <c r="E2398" s="31"/>
      <c r="F2398" s="73" t="s">
        <v>4</v>
      </c>
      <c r="G2398" s="32">
        <v>40617</v>
      </c>
      <c r="H2398" s="29">
        <v>998.00547945205471</v>
      </c>
      <c r="I2398" s="17">
        <v>0</v>
      </c>
      <c r="J2398" s="17">
        <v>0</v>
      </c>
      <c r="K2398" s="17">
        <f t="shared" si="408"/>
        <v>998.00547945205471</v>
      </c>
      <c r="L2398" s="23">
        <f t="shared" si="415"/>
        <v>49.90027397260274</v>
      </c>
      <c r="M2398" s="33">
        <v>10</v>
      </c>
      <c r="N2398" s="18">
        <f t="shared" si="409"/>
        <v>10.057534246575342</v>
      </c>
      <c r="O2398" s="23">
        <v>820.30027397260255</v>
      </c>
      <c r="P2398" s="18">
        <f t="shared" si="410"/>
        <v>10.558904109589042</v>
      </c>
      <c r="Q2398" s="18">
        <v>0</v>
      </c>
      <c r="R2398" s="18">
        <f t="shared" si="406"/>
        <v>820.30027397260255</v>
      </c>
      <c r="S2398" s="18">
        <f t="shared" si="407"/>
        <v>177.70520547945216</v>
      </c>
    </row>
    <row r="2399" spans="1:19" ht="18.75" customHeight="1" x14ac:dyDescent="0.25">
      <c r="A2399" s="14">
        <f t="shared" si="412"/>
        <v>2393</v>
      </c>
      <c r="B2399" s="31" t="s">
        <v>2042</v>
      </c>
      <c r="C2399" s="15" t="s">
        <v>3</v>
      </c>
      <c r="D2399" s="31" t="s">
        <v>1708</v>
      </c>
      <c r="E2399" s="31"/>
      <c r="F2399" s="73" t="s">
        <v>4</v>
      </c>
      <c r="G2399" s="32">
        <v>34700</v>
      </c>
      <c r="H2399" s="29">
        <v>0.89999999999999858</v>
      </c>
      <c r="I2399" s="17">
        <v>0</v>
      </c>
      <c r="J2399" s="17">
        <v>0</v>
      </c>
      <c r="K2399" s="17">
        <f t="shared" si="408"/>
        <v>0.89999999999999858</v>
      </c>
      <c r="L2399" s="23">
        <f t="shared" si="415"/>
        <v>4.4999999999999929E-2</v>
      </c>
      <c r="M2399" s="33">
        <v>10</v>
      </c>
      <c r="N2399" s="18">
        <f t="shared" si="409"/>
        <v>26.268493150684932</v>
      </c>
      <c r="O2399" s="23">
        <v>8.5500000000000007</v>
      </c>
      <c r="P2399" s="18">
        <f t="shared" si="410"/>
        <v>26.769863013698629</v>
      </c>
      <c r="Q2399" s="18">
        <v>0</v>
      </c>
      <c r="R2399" s="18">
        <f t="shared" si="406"/>
        <v>8.5500000000000007</v>
      </c>
      <c r="S2399" s="18">
        <f t="shared" ref="S2399:S2400" si="416">L2399</f>
        <v>4.4999999999999929E-2</v>
      </c>
    </row>
    <row r="2400" spans="1:19" ht="18.75" customHeight="1" x14ac:dyDescent="0.25">
      <c r="A2400" s="14">
        <f t="shared" si="412"/>
        <v>2394</v>
      </c>
      <c r="B2400" s="31" t="s">
        <v>2043</v>
      </c>
      <c r="C2400" s="15" t="s">
        <v>3</v>
      </c>
      <c r="D2400" s="31" t="s">
        <v>1708</v>
      </c>
      <c r="E2400" s="31"/>
      <c r="F2400" s="73" t="s">
        <v>4</v>
      </c>
      <c r="G2400" s="32">
        <v>39887</v>
      </c>
      <c r="H2400" s="29">
        <v>92.35349999999994</v>
      </c>
      <c r="I2400" s="17">
        <v>0</v>
      </c>
      <c r="J2400" s="17">
        <v>0</v>
      </c>
      <c r="K2400" s="17">
        <f t="shared" si="408"/>
        <v>92.35349999999994</v>
      </c>
      <c r="L2400" s="23">
        <f t="shared" si="415"/>
        <v>4.6176749999999975</v>
      </c>
      <c r="M2400" s="33">
        <v>10</v>
      </c>
      <c r="N2400" s="18">
        <f t="shared" si="409"/>
        <v>12.057534246575342</v>
      </c>
      <c r="O2400" s="23">
        <v>877.35825</v>
      </c>
      <c r="P2400" s="18">
        <f t="shared" si="410"/>
        <v>12.558904109589042</v>
      </c>
      <c r="Q2400" s="18">
        <v>0</v>
      </c>
      <c r="R2400" s="18">
        <f t="shared" si="406"/>
        <v>877.35825</v>
      </c>
      <c r="S2400" s="18">
        <f t="shared" si="416"/>
        <v>4.6176749999999975</v>
      </c>
    </row>
    <row r="2401" spans="1:19" ht="18.75" customHeight="1" x14ac:dyDescent="0.25">
      <c r="A2401" s="14">
        <f t="shared" si="412"/>
        <v>2395</v>
      </c>
      <c r="B2401" s="31" t="s">
        <v>2044</v>
      </c>
      <c r="C2401" s="15" t="s">
        <v>3</v>
      </c>
      <c r="D2401" s="31" t="s">
        <v>1708</v>
      </c>
      <c r="E2401" s="31"/>
      <c r="F2401" s="73" t="s">
        <v>4</v>
      </c>
      <c r="G2401" s="32">
        <v>41654</v>
      </c>
      <c r="H2401" s="29">
        <v>1445.8039430136987</v>
      </c>
      <c r="I2401" s="17">
        <v>0</v>
      </c>
      <c r="J2401" s="17">
        <v>0</v>
      </c>
      <c r="K2401" s="17">
        <f t="shared" si="408"/>
        <v>1445.8039430136987</v>
      </c>
      <c r="L2401" s="23">
        <f t="shared" si="415"/>
        <v>72.290197150684932</v>
      </c>
      <c r="M2401" s="33">
        <v>10</v>
      </c>
      <c r="N2401" s="18">
        <f t="shared" si="409"/>
        <v>7.2164383561643834</v>
      </c>
      <c r="O2401" s="23">
        <v>831.61816169863027</v>
      </c>
      <c r="P2401" s="18">
        <f t="shared" si="410"/>
        <v>7.7178082191780826</v>
      </c>
      <c r="Q2401" s="18">
        <f t="shared" ref="Q2401:Q2443" si="417">(P2401-N2401)/M2401*(K2401-L2401)</f>
        <v>68.863839861077196</v>
      </c>
      <c r="R2401" s="18">
        <f t="shared" si="406"/>
        <v>900.48200155970744</v>
      </c>
      <c r="S2401" s="18">
        <f t="shared" si="407"/>
        <v>545.32194145399126</v>
      </c>
    </row>
    <row r="2402" spans="1:19" ht="18.75" customHeight="1" x14ac:dyDescent="0.25">
      <c r="A2402" s="14">
        <f t="shared" si="412"/>
        <v>2396</v>
      </c>
      <c r="B2402" s="31" t="s">
        <v>1793</v>
      </c>
      <c r="C2402" s="15" t="s">
        <v>3</v>
      </c>
      <c r="D2402" s="31" t="s">
        <v>1708</v>
      </c>
      <c r="E2402" s="31"/>
      <c r="F2402" s="73" t="s">
        <v>4</v>
      </c>
      <c r="G2402" s="32">
        <v>41348</v>
      </c>
      <c r="H2402" s="29">
        <v>1295.8499999999999</v>
      </c>
      <c r="I2402" s="17">
        <v>0</v>
      </c>
      <c r="J2402" s="17">
        <v>0</v>
      </c>
      <c r="K2402" s="17">
        <f t="shared" si="408"/>
        <v>1295.8499999999999</v>
      </c>
      <c r="L2402" s="23">
        <f t="shared" si="415"/>
        <v>64.792500000000004</v>
      </c>
      <c r="M2402" s="33">
        <v>10</v>
      </c>
      <c r="N2402" s="18">
        <f t="shared" si="409"/>
        <v>8.0547945205479454</v>
      </c>
      <c r="O2402" s="23">
        <v>814.43500000000006</v>
      </c>
      <c r="P2402" s="18">
        <f t="shared" si="410"/>
        <v>8.5561643835616437</v>
      </c>
      <c r="Q2402" s="18">
        <f t="shared" si="417"/>
        <v>61.721513013698576</v>
      </c>
      <c r="R2402" s="18">
        <f t="shared" si="406"/>
        <v>876.1565130136986</v>
      </c>
      <c r="S2402" s="18">
        <f t="shared" si="407"/>
        <v>419.69348698630131</v>
      </c>
    </row>
    <row r="2403" spans="1:19" ht="18.75" customHeight="1" x14ac:dyDescent="0.25">
      <c r="A2403" s="14">
        <f t="shared" si="412"/>
        <v>2397</v>
      </c>
      <c r="B2403" s="31" t="s">
        <v>2045</v>
      </c>
      <c r="C2403" s="15" t="s">
        <v>3</v>
      </c>
      <c r="D2403" s="31" t="s">
        <v>1708</v>
      </c>
      <c r="E2403" s="31"/>
      <c r="F2403" s="73" t="s">
        <v>4</v>
      </c>
      <c r="G2403" s="32">
        <v>40162</v>
      </c>
      <c r="H2403" s="29">
        <v>91</v>
      </c>
      <c r="I2403" s="17">
        <v>0</v>
      </c>
      <c r="J2403" s="17">
        <v>0</v>
      </c>
      <c r="K2403" s="17">
        <f t="shared" si="408"/>
        <v>91</v>
      </c>
      <c r="L2403" s="23">
        <f t="shared" si="415"/>
        <v>4.55</v>
      </c>
      <c r="M2403" s="33">
        <v>10</v>
      </c>
      <c r="N2403" s="18">
        <f t="shared" si="409"/>
        <v>11.304109589041095</v>
      </c>
      <c r="O2403" s="23">
        <v>864.5</v>
      </c>
      <c r="P2403" s="18">
        <f t="shared" si="410"/>
        <v>11.805479452054794</v>
      </c>
      <c r="Q2403" s="18">
        <v>0</v>
      </c>
      <c r="R2403" s="18">
        <f t="shared" si="406"/>
        <v>864.5</v>
      </c>
      <c r="S2403" s="18">
        <f>L2403</f>
        <v>4.55</v>
      </c>
    </row>
    <row r="2404" spans="1:19" ht="18.75" customHeight="1" x14ac:dyDescent="0.25">
      <c r="A2404" s="14">
        <f t="shared" si="412"/>
        <v>2398</v>
      </c>
      <c r="B2404" s="31" t="s">
        <v>2046</v>
      </c>
      <c r="C2404" s="15" t="s">
        <v>3</v>
      </c>
      <c r="D2404" s="31" t="s">
        <v>1708</v>
      </c>
      <c r="E2404" s="31"/>
      <c r="F2404" s="73" t="s">
        <v>4</v>
      </c>
      <c r="G2404" s="32">
        <v>41348</v>
      </c>
      <c r="H2404" s="29">
        <v>1278.0986301369862</v>
      </c>
      <c r="I2404" s="17">
        <v>0</v>
      </c>
      <c r="J2404" s="17">
        <v>0</v>
      </c>
      <c r="K2404" s="17">
        <f t="shared" si="408"/>
        <v>1278.0986301369862</v>
      </c>
      <c r="L2404" s="23">
        <f t="shared" si="415"/>
        <v>63.904931506849316</v>
      </c>
      <c r="M2404" s="33">
        <v>10</v>
      </c>
      <c r="N2404" s="18">
        <f t="shared" si="409"/>
        <v>8.0547945205479454</v>
      </c>
      <c r="O2404" s="23">
        <v>803.27835616438358</v>
      </c>
      <c r="P2404" s="18">
        <f t="shared" si="410"/>
        <v>8.5561643835616437</v>
      </c>
      <c r="Q2404" s="18">
        <f t="shared" si="417"/>
        <v>60.876012835428732</v>
      </c>
      <c r="R2404" s="18">
        <f t="shared" si="406"/>
        <v>864.15436899981228</v>
      </c>
      <c r="S2404" s="18">
        <f t="shared" si="407"/>
        <v>413.94426113717395</v>
      </c>
    </row>
    <row r="2405" spans="1:19" ht="18.75" customHeight="1" x14ac:dyDescent="0.25">
      <c r="A2405" s="14">
        <f t="shared" si="412"/>
        <v>2399</v>
      </c>
      <c r="B2405" s="31" t="s">
        <v>2047</v>
      </c>
      <c r="C2405" s="15" t="s">
        <v>3</v>
      </c>
      <c r="D2405" s="31" t="s">
        <v>1708</v>
      </c>
      <c r="E2405" s="31"/>
      <c r="F2405" s="73" t="s">
        <v>4</v>
      </c>
      <c r="G2405" s="32">
        <v>39736</v>
      </c>
      <c r="H2405" s="29">
        <v>89.9375</v>
      </c>
      <c r="I2405" s="17">
        <v>0</v>
      </c>
      <c r="J2405" s="17">
        <v>0</v>
      </c>
      <c r="K2405" s="17">
        <f t="shared" si="408"/>
        <v>89.9375</v>
      </c>
      <c r="L2405" s="23">
        <f t="shared" si="415"/>
        <v>4.4968750000000002</v>
      </c>
      <c r="M2405" s="33">
        <v>10</v>
      </c>
      <c r="N2405" s="18">
        <f t="shared" si="409"/>
        <v>12.471232876712328</v>
      </c>
      <c r="O2405" s="23">
        <v>854.40625</v>
      </c>
      <c r="P2405" s="18">
        <f t="shared" si="410"/>
        <v>12.972602739726028</v>
      </c>
      <c r="Q2405" s="18">
        <v>0</v>
      </c>
      <c r="R2405" s="18">
        <f t="shared" si="406"/>
        <v>854.40625</v>
      </c>
      <c r="S2405" s="18">
        <f>L2405</f>
        <v>4.4968750000000002</v>
      </c>
    </row>
    <row r="2406" spans="1:19" ht="18.75" customHeight="1" x14ac:dyDescent="0.25">
      <c r="A2406" s="14">
        <f t="shared" si="412"/>
        <v>2400</v>
      </c>
      <c r="B2406" s="31" t="s">
        <v>2048</v>
      </c>
      <c r="C2406" s="15" t="s">
        <v>3</v>
      </c>
      <c r="D2406" s="31" t="s">
        <v>1708</v>
      </c>
      <c r="E2406" s="31"/>
      <c r="F2406" s="73" t="s">
        <v>4</v>
      </c>
      <c r="G2406" s="32">
        <v>41228</v>
      </c>
      <c r="H2406" s="29">
        <v>1211.5070531506849</v>
      </c>
      <c r="I2406" s="17">
        <v>0</v>
      </c>
      <c r="J2406" s="17">
        <v>0</v>
      </c>
      <c r="K2406" s="17">
        <f t="shared" si="408"/>
        <v>1211.5070531506849</v>
      </c>
      <c r="L2406" s="23">
        <f t="shared" si="415"/>
        <v>60.575352657534246</v>
      </c>
      <c r="M2406" s="33">
        <v>10</v>
      </c>
      <c r="N2406" s="18">
        <f t="shared" si="409"/>
        <v>8.3835616438356162</v>
      </c>
      <c r="O2406" s="23">
        <v>790.88522147945184</v>
      </c>
      <c r="P2406" s="18">
        <f t="shared" si="410"/>
        <v>8.8849315068493144</v>
      </c>
      <c r="Q2406" s="18">
        <f t="shared" si="417"/>
        <v>57.704246901437372</v>
      </c>
      <c r="R2406" s="18">
        <f t="shared" si="406"/>
        <v>848.58946838088923</v>
      </c>
      <c r="S2406" s="18">
        <f t="shared" si="407"/>
        <v>362.91758476979567</v>
      </c>
    </row>
    <row r="2407" spans="1:19" ht="18.75" customHeight="1" x14ac:dyDescent="0.25">
      <c r="A2407" s="14">
        <f t="shared" si="412"/>
        <v>2401</v>
      </c>
      <c r="B2407" s="31" t="s">
        <v>2049</v>
      </c>
      <c r="C2407" s="15" t="s">
        <v>3</v>
      </c>
      <c r="D2407" s="31" t="s">
        <v>1708</v>
      </c>
      <c r="E2407" s="31"/>
      <c r="F2407" s="73" t="s">
        <v>4</v>
      </c>
      <c r="G2407" s="32">
        <v>41258</v>
      </c>
      <c r="H2407" s="29">
        <v>1213.0145326027396</v>
      </c>
      <c r="I2407" s="17">
        <v>0</v>
      </c>
      <c r="J2407" s="17">
        <v>0</v>
      </c>
      <c r="K2407" s="17">
        <f t="shared" si="408"/>
        <v>1213.0145326027396</v>
      </c>
      <c r="L2407" s="23">
        <f t="shared" si="415"/>
        <v>60.65072663013698</v>
      </c>
      <c r="M2407" s="33">
        <v>10</v>
      </c>
      <c r="N2407" s="18">
        <f t="shared" si="409"/>
        <v>8.3013698630136989</v>
      </c>
      <c r="O2407" s="23">
        <v>784.24375846575344</v>
      </c>
      <c r="P2407" s="18">
        <f t="shared" si="410"/>
        <v>8.8027397260273972</v>
      </c>
      <c r="Q2407" s="18">
        <f t="shared" si="417"/>
        <v>57.776048354242775</v>
      </c>
      <c r="R2407" s="18">
        <f t="shared" si="406"/>
        <v>842.01980681999623</v>
      </c>
      <c r="S2407" s="18">
        <f t="shared" si="407"/>
        <v>370.99472578274333</v>
      </c>
    </row>
    <row r="2408" spans="1:19" ht="18.75" customHeight="1" x14ac:dyDescent="0.25">
      <c r="A2408" s="14">
        <f t="shared" si="412"/>
        <v>2402</v>
      </c>
      <c r="B2408" s="31" t="s">
        <v>2050</v>
      </c>
      <c r="C2408" s="15" t="s">
        <v>3</v>
      </c>
      <c r="D2408" s="31" t="s">
        <v>1708</v>
      </c>
      <c r="E2408" s="31"/>
      <c r="F2408" s="73" t="s">
        <v>4</v>
      </c>
      <c r="G2408" s="32">
        <v>40892</v>
      </c>
      <c r="H2408" s="29">
        <v>1037.8541095890409</v>
      </c>
      <c r="I2408" s="17">
        <v>0</v>
      </c>
      <c r="J2408" s="17">
        <v>0</v>
      </c>
      <c r="K2408" s="17">
        <f t="shared" si="408"/>
        <v>1037.8541095890409</v>
      </c>
      <c r="L2408" s="23">
        <f t="shared" si="415"/>
        <v>51.892705479452047</v>
      </c>
      <c r="M2408" s="33">
        <v>10</v>
      </c>
      <c r="N2408" s="18">
        <f t="shared" si="409"/>
        <v>9.3041095890410954</v>
      </c>
      <c r="O2408" s="23">
        <v>762.36719178082171</v>
      </c>
      <c r="P2408" s="18">
        <f t="shared" si="410"/>
        <v>9.8054794520547937</v>
      </c>
      <c r="Q2408" s="18">
        <f t="shared" si="417"/>
        <v>49.433133411521816</v>
      </c>
      <c r="R2408" s="18">
        <f t="shared" si="406"/>
        <v>811.80032519234351</v>
      </c>
      <c r="S2408" s="18">
        <f t="shared" si="407"/>
        <v>226.05378439669744</v>
      </c>
    </row>
    <row r="2409" spans="1:19" ht="18.75" customHeight="1" x14ac:dyDescent="0.25">
      <c r="A2409" s="14">
        <f t="shared" si="412"/>
        <v>2403</v>
      </c>
      <c r="B2409" s="31" t="s">
        <v>2051</v>
      </c>
      <c r="C2409" s="15" t="s">
        <v>3</v>
      </c>
      <c r="D2409" s="31" t="s">
        <v>1708</v>
      </c>
      <c r="E2409" s="31"/>
      <c r="F2409" s="73" t="s">
        <v>4</v>
      </c>
      <c r="G2409" s="32">
        <v>35065</v>
      </c>
      <c r="H2409" s="29">
        <v>2601.75</v>
      </c>
      <c r="I2409" s="17">
        <v>0</v>
      </c>
      <c r="J2409" s="17">
        <v>0</v>
      </c>
      <c r="K2409" s="17">
        <f t="shared" si="408"/>
        <v>2601.75</v>
      </c>
      <c r="L2409" s="23">
        <f t="shared" si="415"/>
        <v>130.08750000000001</v>
      </c>
      <c r="M2409" s="33">
        <v>10</v>
      </c>
      <c r="N2409" s="18">
        <f t="shared" si="409"/>
        <v>25.268493150684932</v>
      </c>
      <c r="O2409" s="23">
        <v>24716.625</v>
      </c>
      <c r="P2409" s="18">
        <f t="shared" si="410"/>
        <v>25.769863013698629</v>
      </c>
      <c r="Q2409" s="18">
        <v>0</v>
      </c>
      <c r="R2409" s="18">
        <f t="shared" si="406"/>
        <v>24716.625</v>
      </c>
      <c r="S2409" s="18">
        <f>L2409</f>
        <v>130.08750000000001</v>
      </c>
    </row>
    <row r="2410" spans="1:19" ht="18.75" customHeight="1" x14ac:dyDescent="0.25">
      <c r="A2410" s="14">
        <f t="shared" si="412"/>
        <v>2404</v>
      </c>
      <c r="B2410" s="31" t="s">
        <v>2052</v>
      </c>
      <c r="C2410" s="15" t="s">
        <v>3</v>
      </c>
      <c r="D2410" s="31" t="s">
        <v>1708</v>
      </c>
      <c r="E2410" s="31"/>
      <c r="F2410" s="73" t="s">
        <v>4</v>
      </c>
      <c r="G2410" s="32">
        <v>41136</v>
      </c>
      <c r="H2410" s="29">
        <v>1137.278544931507</v>
      </c>
      <c r="I2410" s="17">
        <v>0</v>
      </c>
      <c r="J2410" s="17">
        <v>0</v>
      </c>
      <c r="K2410" s="17">
        <f t="shared" si="408"/>
        <v>1137.278544931507</v>
      </c>
      <c r="L2410" s="23">
        <f t="shared" si="415"/>
        <v>56.863927246575351</v>
      </c>
      <c r="M2410" s="33">
        <v>10</v>
      </c>
      <c r="N2410" s="18">
        <f t="shared" si="409"/>
        <v>8.6356164383561644</v>
      </c>
      <c r="O2410" s="23">
        <v>765.41610408219185</v>
      </c>
      <c r="P2410" s="18">
        <f t="shared" si="410"/>
        <v>9.1369863013698627</v>
      </c>
      <c r="Q2410" s="18">
        <f t="shared" si="417"/>
        <v>54.16873288666914</v>
      </c>
      <c r="R2410" s="18">
        <f t="shared" si="406"/>
        <v>819.58483696886094</v>
      </c>
      <c r="S2410" s="18">
        <f t="shared" si="407"/>
        <v>317.69370796264604</v>
      </c>
    </row>
    <row r="2411" spans="1:19" ht="18.75" customHeight="1" x14ac:dyDescent="0.25">
      <c r="A2411" s="14">
        <f t="shared" si="412"/>
        <v>2405</v>
      </c>
      <c r="B2411" s="31" t="s">
        <v>2053</v>
      </c>
      <c r="C2411" s="15" t="s">
        <v>3</v>
      </c>
      <c r="D2411" s="31" t="s">
        <v>1708</v>
      </c>
      <c r="E2411" s="31"/>
      <c r="F2411" s="73" t="s">
        <v>4</v>
      </c>
      <c r="G2411" s="32">
        <v>40983</v>
      </c>
      <c r="H2411" s="29">
        <v>1051.1040416438354</v>
      </c>
      <c r="I2411" s="17">
        <v>0</v>
      </c>
      <c r="J2411" s="17">
        <v>0</v>
      </c>
      <c r="K2411" s="17">
        <f t="shared" si="408"/>
        <v>1051.1040416438354</v>
      </c>
      <c r="L2411" s="23">
        <f t="shared" si="415"/>
        <v>52.555202082191776</v>
      </c>
      <c r="M2411" s="33">
        <v>10</v>
      </c>
      <c r="N2411" s="18">
        <f t="shared" si="409"/>
        <v>9.0547945205479454</v>
      </c>
      <c r="O2411" s="23">
        <v>746.41520197260263</v>
      </c>
      <c r="P2411" s="18">
        <f t="shared" si="410"/>
        <v>9.5561643835616437</v>
      </c>
      <c r="Q2411" s="18">
        <f t="shared" si="417"/>
        <v>50.064229490350868</v>
      </c>
      <c r="R2411" s="18">
        <f t="shared" si="406"/>
        <v>796.47943146295347</v>
      </c>
      <c r="S2411" s="18">
        <f t="shared" si="407"/>
        <v>254.62461018088197</v>
      </c>
    </row>
    <row r="2412" spans="1:19" ht="18.75" customHeight="1" x14ac:dyDescent="0.25">
      <c r="A2412" s="14">
        <f t="shared" si="412"/>
        <v>2406</v>
      </c>
      <c r="B2412" s="31" t="s">
        <v>2054</v>
      </c>
      <c r="C2412" s="15" t="s">
        <v>3</v>
      </c>
      <c r="D2412" s="31" t="s">
        <v>1708</v>
      </c>
      <c r="E2412" s="31"/>
      <c r="F2412" s="73" t="s">
        <v>4</v>
      </c>
      <c r="G2412" s="32">
        <v>35065</v>
      </c>
      <c r="H2412" s="29">
        <v>2059.1999999999971</v>
      </c>
      <c r="I2412" s="17">
        <v>0</v>
      </c>
      <c r="J2412" s="17">
        <v>0</v>
      </c>
      <c r="K2412" s="17">
        <f t="shared" si="408"/>
        <v>2059.1999999999971</v>
      </c>
      <c r="L2412" s="23">
        <f t="shared" si="415"/>
        <v>102.95999999999987</v>
      </c>
      <c r="M2412" s="33">
        <v>10</v>
      </c>
      <c r="N2412" s="18">
        <f t="shared" si="409"/>
        <v>25.268493150684932</v>
      </c>
      <c r="O2412" s="23">
        <v>19562.400000000001</v>
      </c>
      <c r="P2412" s="18">
        <f t="shared" si="410"/>
        <v>25.769863013698629</v>
      </c>
      <c r="Q2412" s="18">
        <v>0</v>
      </c>
      <c r="R2412" s="18">
        <f t="shared" si="406"/>
        <v>19562.400000000001</v>
      </c>
      <c r="S2412" s="18">
        <f t="shared" ref="S2412:S2414" si="418">L2412</f>
        <v>102.95999999999987</v>
      </c>
    </row>
    <row r="2413" spans="1:19" ht="18.75" customHeight="1" x14ac:dyDescent="0.25">
      <c r="A2413" s="14">
        <f t="shared" si="412"/>
        <v>2407</v>
      </c>
      <c r="B2413" s="31" t="s">
        <v>2055</v>
      </c>
      <c r="C2413" s="15" t="s">
        <v>3</v>
      </c>
      <c r="D2413" s="31" t="s">
        <v>1708</v>
      </c>
      <c r="E2413" s="31"/>
      <c r="F2413" s="73" t="s">
        <v>4</v>
      </c>
      <c r="G2413" s="32">
        <v>35065</v>
      </c>
      <c r="H2413" s="29">
        <v>558.95000000000073</v>
      </c>
      <c r="I2413" s="17">
        <v>0</v>
      </c>
      <c r="J2413" s="17">
        <v>0</v>
      </c>
      <c r="K2413" s="17">
        <f t="shared" si="408"/>
        <v>558.95000000000073</v>
      </c>
      <c r="L2413" s="23">
        <f t="shared" si="415"/>
        <v>27.947500000000037</v>
      </c>
      <c r="M2413" s="33">
        <v>10</v>
      </c>
      <c r="N2413" s="18">
        <f t="shared" si="409"/>
        <v>25.268493150684932</v>
      </c>
      <c r="O2413" s="23">
        <v>5310.0249999999996</v>
      </c>
      <c r="P2413" s="18">
        <f t="shared" si="410"/>
        <v>25.769863013698629</v>
      </c>
      <c r="Q2413" s="18">
        <v>0</v>
      </c>
      <c r="R2413" s="18">
        <f t="shared" si="406"/>
        <v>5310.0249999999996</v>
      </c>
      <c r="S2413" s="18">
        <f t="shared" si="418"/>
        <v>27.947500000000037</v>
      </c>
    </row>
    <row r="2414" spans="1:19" ht="18.75" customHeight="1" x14ac:dyDescent="0.25">
      <c r="A2414" s="14">
        <f t="shared" si="412"/>
        <v>2408</v>
      </c>
      <c r="B2414" s="31" t="s">
        <v>2056</v>
      </c>
      <c r="C2414" s="15" t="s">
        <v>3</v>
      </c>
      <c r="D2414" s="31" t="s">
        <v>1708</v>
      </c>
      <c r="E2414" s="31"/>
      <c r="F2414" s="73" t="s">
        <v>4</v>
      </c>
      <c r="G2414" s="32">
        <v>35065</v>
      </c>
      <c r="H2414" s="29">
        <v>520.75</v>
      </c>
      <c r="I2414" s="17">
        <v>0</v>
      </c>
      <c r="J2414" s="17">
        <v>0</v>
      </c>
      <c r="K2414" s="17">
        <f t="shared" si="408"/>
        <v>520.75</v>
      </c>
      <c r="L2414" s="23">
        <f t="shared" si="415"/>
        <v>26.037500000000001</v>
      </c>
      <c r="M2414" s="33">
        <v>10</v>
      </c>
      <c r="N2414" s="18">
        <f t="shared" si="409"/>
        <v>25.268493150684932</v>
      </c>
      <c r="O2414" s="23">
        <v>4947.125</v>
      </c>
      <c r="P2414" s="18">
        <f t="shared" si="410"/>
        <v>25.769863013698629</v>
      </c>
      <c r="Q2414" s="18">
        <v>0</v>
      </c>
      <c r="R2414" s="18">
        <f t="shared" si="406"/>
        <v>4947.125</v>
      </c>
      <c r="S2414" s="18">
        <f t="shared" si="418"/>
        <v>26.037500000000001</v>
      </c>
    </row>
    <row r="2415" spans="1:19" ht="18.75" customHeight="1" x14ac:dyDescent="0.25">
      <c r="A2415" s="14">
        <f t="shared" si="412"/>
        <v>2409</v>
      </c>
      <c r="B2415" s="31" t="s">
        <v>2047</v>
      </c>
      <c r="C2415" s="15" t="s">
        <v>3</v>
      </c>
      <c r="D2415" s="31" t="s">
        <v>1708</v>
      </c>
      <c r="E2415" s="31"/>
      <c r="F2415" s="73" t="s">
        <v>4</v>
      </c>
      <c r="G2415" s="32">
        <v>40678</v>
      </c>
      <c r="H2415" s="29">
        <v>905.63256986301371</v>
      </c>
      <c r="I2415" s="17">
        <v>0</v>
      </c>
      <c r="J2415" s="17">
        <v>0</v>
      </c>
      <c r="K2415" s="17">
        <f t="shared" si="408"/>
        <v>905.63256986301371</v>
      </c>
      <c r="L2415" s="23">
        <f t="shared" si="415"/>
        <v>45.281628493150691</v>
      </c>
      <c r="M2415" s="33">
        <v>10</v>
      </c>
      <c r="N2415" s="18">
        <f t="shared" si="409"/>
        <v>9.8904109589041092</v>
      </c>
      <c r="O2415" s="23">
        <v>724.9970391780821</v>
      </c>
      <c r="P2415" s="18">
        <f t="shared" si="410"/>
        <v>10.391780821917807</v>
      </c>
      <c r="Q2415" s="18">
        <v>0</v>
      </c>
      <c r="R2415" s="18">
        <f t="shared" si="406"/>
        <v>724.9970391780821</v>
      </c>
      <c r="S2415" s="18">
        <f t="shared" si="407"/>
        <v>180.63553068493161</v>
      </c>
    </row>
    <row r="2416" spans="1:19" ht="18.75" customHeight="1" x14ac:dyDescent="0.25">
      <c r="A2416" s="14">
        <f t="shared" si="412"/>
        <v>2410</v>
      </c>
      <c r="B2416" s="31" t="s">
        <v>2053</v>
      </c>
      <c r="C2416" s="15" t="s">
        <v>3</v>
      </c>
      <c r="D2416" s="31" t="s">
        <v>1708</v>
      </c>
      <c r="E2416" s="31"/>
      <c r="F2416" s="73" t="s">
        <v>4</v>
      </c>
      <c r="G2416" s="32">
        <v>41075</v>
      </c>
      <c r="H2416" s="29">
        <v>84.042999999999893</v>
      </c>
      <c r="I2416" s="17">
        <v>0</v>
      </c>
      <c r="J2416" s="17">
        <v>0</v>
      </c>
      <c r="K2416" s="17">
        <f t="shared" si="408"/>
        <v>84.042999999999893</v>
      </c>
      <c r="L2416" s="23">
        <f t="shared" si="415"/>
        <v>4.2021499999999952</v>
      </c>
      <c r="M2416" s="33">
        <v>5</v>
      </c>
      <c r="N2416" s="18">
        <f t="shared" si="409"/>
        <v>8.8027397260273972</v>
      </c>
      <c r="O2416" s="23">
        <v>798.4085</v>
      </c>
      <c r="P2416" s="18">
        <f t="shared" si="410"/>
        <v>9.3041095890410954</v>
      </c>
      <c r="Q2416" s="18">
        <v>0</v>
      </c>
      <c r="R2416" s="18">
        <f t="shared" si="406"/>
        <v>798.4085</v>
      </c>
      <c r="S2416" s="18">
        <f t="shared" ref="S2416:S2422" si="419">L2416</f>
        <v>4.2021499999999952</v>
      </c>
    </row>
    <row r="2417" spans="1:19" ht="18.75" customHeight="1" x14ac:dyDescent="0.25">
      <c r="A2417" s="14">
        <f t="shared" si="412"/>
        <v>2411</v>
      </c>
      <c r="B2417" s="31" t="s">
        <v>2057</v>
      </c>
      <c r="C2417" s="15" t="s">
        <v>3</v>
      </c>
      <c r="D2417" s="31" t="s">
        <v>1708</v>
      </c>
      <c r="E2417" s="31"/>
      <c r="F2417" s="73" t="s">
        <v>4</v>
      </c>
      <c r="G2417" s="32">
        <v>35065</v>
      </c>
      <c r="H2417" s="29">
        <v>452.5</v>
      </c>
      <c r="I2417" s="17">
        <v>0</v>
      </c>
      <c r="J2417" s="17">
        <v>0</v>
      </c>
      <c r="K2417" s="17">
        <f t="shared" si="408"/>
        <v>452.5</v>
      </c>
      <c r="L2417" s="23">
        <f t="shared" si="415"/>
        <v>22.625</v>
      </c>
      <c r="M2417" s="33">
        <v>10</v>
      </c>
      <c r="N2417" s="18">
        <f t="shared" si="409"/>
        <v>25.268493150684932</v>
      </c>
      <c r="O2417" s="23">
        <v>4298.75</v>
      </c>
      <c r="P2417" s="18">
        <f t="shared" si="410"/>
        <v>25.769863013698629</v>
      </c>
      <c r="Q2417" s="18">
        <v>0</v>
      </c>
      <c r="R2417" s="18">
        <f t="shared" si="406"/>
        <v>4298.75</v>
      </c>
      <c r="S2417" s="18">
        <f t="shared" si="419"/>
        <v>22.625</v>
      </c>
    </row>
    <row r="2418" spans="1:19" ht="18.75" customHeight="1" x14ac:dyDescent="0.25">
      <c r="A2418" s="14">
        <f t="shared" si="412"/>
        <v>2412</v>
      </c>
      <c r="B2418" s="31" t="s">
        <v>2058</v>
      </c>
      <c r="C2418" s="15" t="s">
        <v>3</v>
      </c>
      <c r="D2418" s="31" t="s">
        <v>1708</v>
      </c>
      <c r="E2418" s="31"/>
      <c r="F2418" s="73" t="s">
        <v>4</v>
      </c>
      <c r="G2418" s="32">
        <v>35065</v>
      </c>
      <c r="H2418" s="29">
        <v>338.55000000000018</v>
      </c>
      <c r="I2418" s="17">
        <v>0</v>
      </c>
      <c r="J2418" s="17">
        <v>0</v>
      </c>
      <c r="K2418" s="17">
        <f t="shared" si="408"/>
        <v>338.55000000000018</v>
      </c>
      <c r="L2418" s="23">
        <f t="shared" si="415"/>
        <v>16.927500000000009</v>
      </c>
      <c r="M2418" s="33">
        <v>10</v>
      </c>
      <c r="N2418" s="18">
        <f t="shared" si="409"/>
        <v>25.268493150684932</v>
      </c>
      <c r="O2418" s="23">
        <v>3216.2249999999999</v>
      </c>
      <c r="P2418" s="18">
        <f t="shared" si="410"/>
        <v>25.769863013698629</v>
      </c>
      <c r="Q2418" s="18">
        <v>0</v>
      </c>
      <c r="R2418" s="18">
        <f t="shared" si="406"/>
        <v>3216.2249999999999</v>
      </c>
      <c r="S2418" s="18">
        <f t="shared" si="419"/>
        <v>16.927500000000009</v>
      </c>
    </row>
    <row r="2419" spans="1:19" ht="18.75" customHeight="1" x14ac:dyDescent="0.25">
      <c r="A2419" s="14">
        <f t="shared" si="412"/>
        <v>2413</v>
      </c>
      <c r="B2419" s="31" t="s">
        <v>1854</v>
      </c>
      <c r="C2419" s="15" t="s">
        <v>3</v>
      </c>
      <c r="D2419" s="31" t="s">
        <v>1708</v>
      </c>
      <c r="E2419" s="31"/>
      <c r="F2419" s="73" t="s">
        <v>4</v>
      </c>
      <c r="G2419" s="32">
        <v>35065</v>
      </c>
      <c r="H2419" s="29">
        <v>227.19999999999982</v>
      </c>
      <c r="I2419" s="17">
        <v>0</v>
      </c>
      <c r="J2419" s="17">
        <v>0</v>
      </c>
      <c r="K2419" s="17">
        <f t="shared" si="408"/>
        <v>227.19999999999982</v>
      </c>
      <c r="L2419" s="23">
        <f t="shared" si="415"/>
        <v>11.359999999999992</v>
      </c>
      <c r="M2419" s="33">
        <v>10</v>
      </c>
      <c r="N2419" s="18">
        <f t="shared" si="409"/>
        <v>25.268493150684932</v>
      </c>
      <c r="O2419" s="23">
        <v>2158.4</v>
      </c>
      <c r="P2419" s="18">
        <f t="shared" si="410"/>
        <v>25.769863013698629</v>
      </c>
      <c r="Q2419" s="18">
        <v>0</v>
      </c>
      <c r="R2419" s="18">
        <f t="shared" si="406"/>
        <v>2158.4</v>
      </c>
      <c r="S2419" s="18">
        <f t="shared" si="419"/>
        <v>11.359999999999992</v>
      </c>
    </row>
    <row r="2420" spans="1:19" ht="18.75" customHeight="1" x14ac:dyDescent="0.25">
      <c r="A2420" s="14">
        <f t="shared" si="412"/>
        <v>2414</v>
      </c>
      <c r="B2420" s="31" t="s">
        <v>2059</v>
      </c>
      <c r="C2420" s="15" t="s">
        <v>3</v>
      </c>
      <c r="D2420" s="31" t="s">
        <v>1708</v>
      </c>
      <c r="E2420" s="31"/>
      <c r="F2420" s="73" t="s">
        <v>4</v>
      </c>
      <c r="G2420" s="32">
        <v>35065</v>
      </c>
      <c r="H2420" s="29">
        <v>192</v>
      </c>
      <c r="I2420" s="17">
        <v>0</v>
      </c>
      <c r="J2420" s="17">
        <v>0</v>
      </c>
      <c r="K2420" s="17">
        <f t="shared" si="408"/>
        <v>192</v>
      </c>
      <c r="L2420" s="23">
        <f t="shared" si="415"/>
        <v>9.6000000000000014</v>
      </c>
      <c r="M2420" s="33">
        <v>10</v>
      </c>
      <c r="N2420" s="18">
        <f t="shared" si="409"/>
        <v>25.268493150684932</v>
      </c>
      <c r="O2420" s="23">
        <v>1824</v>
      </c>
      <c r="P2420" s="18">
        <f t="shared" si="410"/>
        <v>25.769863013698629</v>
      </c>
      <c r="Q2420" s="18">
        <v>0</v>
      </c>
      <c r="R2420" s="18">
        <f t="shared" si="406"/>
        <v>1824</v>
      </c>
      <c r="S2420" s="18">
        <f t="shared" si="419"/>
        <v>9.6000000000000014</v>
      </c>
    </row>
    <row r="2421" spans="1:19" ht="18.75" customHeight="1" x14ac:dyDescent="0.25">
      <c r="A2421" s="14">
        <f t="shared" si="412"/>
        <v>2415</v>
      </c>
      <c r="B2421" s="31" t="s">
        <v>1287</v>
      </c>
      <c r="C2421" s="15" t="s">
        <v>3</v>
      </c>
      <c r="D2421" s="31" t="s">
        <v>1708</v>
      </c>
      <c r="E2421" s="31"/>
      <c r="F2421" s="73" t="s">
        <v>4</v>
      </c>
      <c r="G2421" s="32">
        <v>41258</v>
      </c>
      <c r="H2421" s="29">
        <v>80.058999999999969</v>
      </c>
      <c r="I2421" s="17">
        <v>0</v>
      </c>
      <c r="J2421" s="17">
        <v>0</v>
      </c>
      <c r="K2421" s="17">
        <f t="shared" si="408"/>
        <v>80.058999999999969</v>
      </c>
      <c r="L2421" s="23">
        <f t="shared" si="415"/>
        <v>4.0029499999999985</v>
      </c>
      <c r="M2421" s="33">
        <v>5</v>
      </c>
      <c r="N2421" s="18">
        <f t="shared" si="409"/>
        <v>8.3013698630136989</v>
      </c>
      <c r="O2421" s="23">
        <v>760.56050000000005</v>
      </c>
      <c r="P2421" s="18">
        <f t="shared" si="410"/>
        <v>8.8027397260273972</v>
      </c>
      <c r="Q2421" s="18">
        <v>0</v>
      </c>
      <c r="R2421" s="18">
        <f t="shared" si="406"/>
        <v>760.56050000000005</v>
      </c>
      <c r="S2421" s="18">
        <f t="shared" si="419"/>
        <v>4.0029499999999985</v>
      </c>
    </row>
    <row r="2422" spans="1:19" ht="18.75" customHeight="1" x14ac:dyDescent="0.25">
      <c r="A2422" s="14">
        <f t="shared" si="412"/>
        <v>2416</v>
      </c>
      <c r="B2422" s="31" t="s">
        <v>1287</v>
      </c>
      <c r="C2422" s="15" t="s">
        <v>3</v>
      </c>
      <c r="D2422" s="31" t="s">
        <v>1708</v>
      </c>
      <c r="E2422" s="31"/>
      <c r="F2422" s="73" t="s">
        <v>4</v>
      </c>
      <c r="G2422" s="32">
        <v>41320</v>
      </c>
      <c r="H2422" s="29">
        <v>80.058999999999969</v>
      </c>
      <c r="I2422" s="17">
        <v>0</v>
      </c>
      <c r="J2422" s="17">
        <v>0</v>
      </c>
      <c r="K2422" s="17">
        <f t="shared" si="408"/>
        <v>80.058999999999969</v>
      </c>
      <c r="L2422" s="23">
        <f t="shared" si="415"/>
        <v>4.0029499999999985</v>
      </c>
      <c r="M2422" s="33">
        <v>5</v>
      </c>
      <c r="N2422" s="18">
        <f t="shared" si="409"/>
        <v>8.131506849315068</v>
      </c>
      <c r="O2422" s="23">
        <v>760.56050000000005</v>
      </c>
      <c r="P2422" s="18">
        <f t="shared" si="410"/>
        <v>8.632876712328768</v>
      </c>
      <c r="Q2422" s="18">
        <v>0</v>
      </c>
      <c r="R2422" s="18">
        <f t="shared" si="406"/>
        <v>760.56050000000005</v>
      </c>
      <c r="S2422" s="18">
        <f t="shared" si="419"/>
        <v>4.0029499999999985</v>
      </c>
    </row>
    <row r="2423" spans="1:19" ht="18.75" customHeight="1" x14ac:dyDescent="0.25">
      <c r="A2423" s="14">
        <f t="shared" si="412"/>
        <v>2417</v>
      </c>
      <c r="B2423" s="31" t="s">
        <v>1840</v>
      </c>
      <c r="C2423" s="15" t="s">
        <v>3</v>
      </c>
      <c r="D2423" s="31" t="s">
        <v>1708</v>
      </c>
      <c r="E2423" s="31"/>
      <c r="F2423" s="73" t="s">
        <v>4</v>
      </c>
      <c r="G2423" s="32">
        <v>41320</v>
      </c>
      <c r="H2423" s="29">
        <v>1115.0665391780822</v>
      </c>
      <c r="I2423" s="17">
        <v>0</v>
      </c>
      <c r="J2423" s="17">
        <v>0</v>
      </c>
      <c r="K2423" s="17">
        <f t="shared" si="408"/>
        <v>1115.0665391780822</v>
      </c>
      <c r="L2423" s="23">
        <f t="shared" si="415"/>
        <v>55.753326958904111</v>
      </c>
      <c r="M2423" s="33">
        <v>10</v>
      </c>
      <c r="N2423" s="18">
        <f t="shared" si="409"/>
        <v>8.131506849315068</v>
      </c>
      <c r="O2423" s="23">
        <v>706.92462542465751</v>
      </c>
      <c r="P2423" s="18">
        <f t="shared" si="410"/>
        <v>8.632876712328768</v>
      </c>
      <c r="Q2423" s="18">
        <f t="shared" si="417"/>
        <v>53.110772009893182</v>
      </c>
      <c r="R2423" s="18">
        <f t="shared" si="406"/>
        <v>760.03539743455065</v>
      </c>
      <c r="S2423" s="18">
        <f t="shared" si="407"/>
        <v>355.03114174353152</v>
      </c>
    </row>
    <row r="2424" spans="1:19" ht="18.75" customHeight="1" x14ac:dyDescent="0.25">
      <c r="A2424" s="14">
        <f t="shared" si="412"/>
        <v>2418</v>
      </c>
      <c r="B2424" s="31" t="s">
        <v>2060</v>
      </c>
      <c r="C2424" s="15" t="s">
        <v>3</v>
      </c>
      <c r="D2424" s="31" t="s">
        <v>1708</v>
      </c>
      <c r="E2424" s="31"/>
      <c r="F2424" s="73" t="s">
        <v>4</v>
      </c>
      <c r="G2424" s="32">
        <v>35065</v>
      </c>
      <c r="H2424" s="29">
        <v>168</v>
      </c>
      <c r="I2424" s="17">
        <v>0</v>
      </c>
      <c r="J2424" s="17">
        <v>0</v>
      </c>
      <c r="K2424" s="17">
        <f t="shared" si="408"/>
        <v>168</v>
      </c>
      <c r="L2424" s="23">
        <f t="shared" si="415"/>
        <v>8.4</v>
      </c>
      <c r="M2424" s="33">
        <v>10</v>
      </c>
      <c r="N2424" s="18">
        <f t="shared" si="409"/>
        <v>25.268493150684932</v>
      </c>
      <c r="O2424" s="23">
        <v>1596</v>
      </c>
      <c r="P2424" s="18">
        <f t="shared" si="410"/>
        <v>25.769863013698629</v>
      </c>
      <c r="Q2424" s="18">
        <v>0</v>
      </c>
      <c r="R2424" s="18">
        <f t="shared" si="406"/>
        <v>1596</v>
      </c>
      <c r="S2424" s="18">
        <f t="shared" ref="S2424:S2426" si="420">L2424</f>
        <v>8.4</v>
      </c>
    </row>
    <row r="2425" spans="1:19" ht="18.75" customHeight="1" x14ac:dyDescent="0.25">
      <c r="A2425" s="14">
        <f t="shared" si="412"/>
        <v>2419</v>
      </c>
      <c r="B2425" s="31" t="s">
        <v>1840</v>
      </c>
      <c r="C2425" s="15" t="s">
        <v>3</v>
      </c>
      <c r="D2425" s="31" t="s">
        <v>1708</v>
      </c>
      <c r="E2425" s="31"/>
      <c r="F2425" s="73" t="s">
        <v>4</v>
      </c>
      <c r="G2425" s="32">
        <v>39828</v>
      </c>
      <c r="H2425" s="29">
        <v>78.586499999999887</v>
      </c>
      <c r="I2425" s="17">
        <v>0</v>
      </c>
      <c r="J2425" s="17">
        <v>0</v>
      </c>
      <c r="K2425" s="17">
        <f t="shared" si="408"/>
        <v>78.586499999999887</v>
      </c>
      <c r="L2425" s="23">
        <f t="shared" si="415"/>
        <v>3.9293249999999946</v>
      </c>
      <c r="M2425" s="33">
        <v>10</v>
      </c>
      <c r="N2425" s="18">
        <f t="shared" si="409"/>
        <v>12.219178082191782</v>
      </c>
      <c r="O2425" s="23">
        <v>746.57175000000007</v>
      </c>
      <c r="P2425" s="18">
        <f t="shared" si="410"/>
        <v>12.72054794520548</v>
      </c>
      <c r="Q2425" s="18">
        <v>0</v>
      </c>
      <c r="R2425" s="18">
        <f t="shared" si="406"/>
        <v>746.57175000000007</v>
      </c>
      <c r="S2425" s="18">
        <f t="shared" si="420"/>
        <v>3.9293249999999946</v>
      </c>
    </row>
    <row r="2426" spans="1:19" ht="18.75" customHeight="1" x14ac:dyDescent="0.25">
      <c r="A2426" s="14">
        <f t="shared" si="412"/>
        <v>2420</v>
      </c>
      <c r="B2426" s="31" t="s">
        <v>1817</v>
      </c>
      <c r="C2426" s="15" t="s">
        <v>3</v>
      </c>
      <c r="D2426" s="31" t="s">
        <v>1708</v>
      </c>
      <c r="E2426" s="31"/>
      <c r="F2426" s="73" t="s">
        <v>4</v>
      </c>
      <c r="G2426" s="32">
        <v>35065</v>
      </c>
      <c r="H2426" s="29">
        <v>150</v>
      </c>
      <c r="I2426" s="17">
        <v>0</v>
      </c>
      <c r="J2426" s="17">
        <v>0</v>
      </c>
      <c r="K2426" s="17">
        <f t="shared" si="408"/>
        <v>150</v>
      </c>
      <c r="L2426" s="23">
        <f t="shared" si="415"/>
        <v>7.5</v>
      </c>
      <c r="M2426" s="33">
        <v>10</v>
      </c>
      <c r="N2426" s="18">
        <f t="shared" si="409"/>
        <v>25.268493150684932</v>
      </c>
      <c r="O2426" s="23">
        <v>1425</v>
      </c>
      <c r="P2426" s="18">
        <f t="shared" si="410"/>
        <v>25.769863013698629</v>
      </c>
      <c r="Q2426" s="18">
        <v>0</v>
      </c>
      <c r="R2426" s="18">
        <f t="shared" si="406"/>
        <v>1425</v>
      </c>
      <c r="S2426" s="18">
        <f t="shared" si="420"/>
        <v>7.5</v>
      </c>
    </row>
    <row r="2427" spans="1:19" ht="18.75" customHeight="1" x14ac:dyDescent="0.25">
      <c r="A2427" s="14">
        <f t="shared" si="412"/>
        <v>2421</v>
      </c>
      <c r="B2427" s="31" t="s">
        <v>1831</v>
      </c>
      <c r="C2427" s="15" t="s">
        <v>3</v>
      </c>
      <c r="D2427" s="31" t="s">
        <v>1708</v>
      </c>
      <c r="E2427" s="31"/>
      <c r="F2427" s="73" t="s">
        <v>4</v>
      </c>
      <c r="G2427" s="32">
        <v>41379</v>
      </c>
      <c r="H2427" s="29">
        <v>1113.091095890411</v>
      </c>
      <c r="I2427" s="17">
        <v>0</v>
      </c>
      <c r="J2427" s="17">
        <v>0</v>
      </c>
      <c r="K2427" s="17">
        <f t="shared" si="408"/>
        <v>1113.091095890411</v>
      </c>
      <c r="L2427" s="23">
        <f t="shared" si="415"/>
        <v>55.65455479452055</v>
      </c>
      <c r="M2427" s="33">
        <v>10</v>
      </c>
      <c r="N2427" s="18">
        <f t="shared" si="409"/>
        <v>7.9698630136986299</v>
      </c>
      <c r="O2427" s="23">
        <v>692.96253424657539</v>
      </c>
      <c r="P2427" s="18">
        <f t="shared" si="410"/>
        <v>8.4712328767123282</v>
      </c>
      <c r="Q2427" s="18">
        <f t="shared" si="417"/>
        <v>53.016681375492546</v>
      </c>
      <c r="R2427" s="18">
        <f t="shared" si="406"/>
        <v>745.97921562206795</v>
      </c>
      <c r="S2427" s="18">
        <f t="shared" si="407"/>
        <v>367.11188026834304</v>
      </c>
    </row>
    <row r="2428" spans="1:19" ht="18.75" customHeight="1" x14ac:dyDescent="0.25">
      <c r="A2428" s="14">
        <f t="shared" si="412"/>
        <v>2422</v>
      </c>
      <c r="B2428" s="31" t="s">
        <v>2061</v>
      </c>
      <c r="C2428" s="15" t="s">
        <v>3</v>
      </c>
      <c r="D2428" s="31" t="s">
        <v>1708</v>
      </c>
      <c r="E2428" s="31"/>
      <c r="F2428" s="73" t="s">
        <v>4</v>
      </c>
      <c r="G2428" s="32">
        <v>35065</v>
      </c>
      <c r="H2428" s="29">
        <v>129.44999999999982</v>
      </c>
      <c r="I2428" s="17">
        <v>0</v>
      </c>
      <c r="J2428" s="17">
        <v>0</v>
      </c>
      <c r="K2428" s="17">
        <f t="shared" si="408"/>
        <v>129.44999999999982</v>
      </c>
      <c r="L2428" s="23">
        <f t="shared" si="415"/>
        <v>6.4724999999999913</v>
      </c>
      <c r="M2428" s="33">
        <v>10</v>
      </c>
      <c r="N2428" s="18">
        <f t="shared" si="409"/>
        <v>25.268493150684932</v>
      </c>
      <c r="O2428" s="23">
        <v>1229.7750000000001</v>
      </c>
      <c r="P2428" s="18">
        <f t="shared" si="410"/>
        <v>25.769863013698629</v>
      </c>
      <c r="Q2428" s="18">
        <v>0</v>
      </c>
      <c r="R2428" s="18">
        <f t="shared" si="406"/>
        <v>1229.7750000000001</v>
      </c>
      <c r="S2428" s="18">
        <f t="shared" ref="S2428:S2429" si="421">L2428</f>
        <v>6.4724999999999913</v>
      </c>
    </row>
    <row r="2429" spans="1:19" ht="18.75" customHeight="1" x14ac:dyDescent="0.25">
      <c r="A2429" s="14">
        <f t="shared" si="412"/>
        <v>2423</v>
      </c>
      <c r="B2429" s="31" t="s">
        <v>2062</v>
      </c>
      <c r="C2429" s="15" t="s">
        <v>3</v>
      </c>
      <c r="D2429" s="31" t="s">
        <v>1708</v>
      </c>
      <c r="E2429" s="31"/>
      <c r="F2429" s="73" t="s">
        <v>4</v>
      </c>
      <c r="G2429" s="32">
        <v>35065</v>
      </c>
      <c r="H2429" s="29">
        <v>114</v>
      </c>
      <c r="I2429" s="17">
        <v>0</v>
      </c>
      <c r="J2429" s="17">
        <v>0</v>
      </c>
      <c r="K2429" s="17">
        <f t="shared" si="408"/>
        <v>114</v>
      </c>
      <c r="L2429" s="23">
        <f t="shared" si="415"/>
        <v>5.7</v>
      </c>
      <c r="M2429" s="33">
        <v>10</v>
      </c>
      <c r="N2429" s="18">
        <f t="shared" si="409"/>
        <v>25.268493150684932</v>
      </c>
      <c r="O2429" s="23">
        <v>1083</v>
      </c>
      <c r="P2429" s="18">
        <f t="shared" si="410"/>
        <v>25.769863013698629</v>
      </c>
      <c r="Q2429" s="18">
        <v>0</v>
      </c>
      <c r="R2429" s="18">
        <f t="shared" si="406"/>
        <v>1083</v>
      </c>
      <c r="S2429" s="18">
        <f t="shared" si="421"/>
        <v>5.7</v>
      </c>
    </row>
    <row r="2430" spans="1:19" ht="18.75" customHeight="1" x14ac:dyDescent="0.25">
      <c r="A2430" s="14">
        <f t="shared" si="412"/>
        <v>2424</v>
      </c>
      <c r="B2430" s="31" t="s">
        <v>2063</v>
      </c>
      <c r="C2430" s="15" t="s">
        <v>3</v>
      </c>
      <c r="D2430" s="31" t="s">
        <v>1708</v>
      </c>
      <c r="E2430" s="31"/>
      <c r="F2430" s="73" t="s">
        <v>4</v>
      </c>
      <c r="G2430" s="32">
        <v>41348</v>
      </c>
      <c r="H2430" s="29">
        <v>1049.7947120547947</v>
      </c>
      <c r="I2430" s="17">
        <v>0</v>
      </c>
      <c r="J2430" s="17">
        <v>0</v>
      </c>
      <c r="K2430" s="17">
        <f t="shared" si="408"/>
        <v>1049.7947120547947</v>
      </c>
      <c r="L2430" s="23">
        <f t="shared" si="415"/>
        <v>52.489735602739735</v>
      </c>
      <c r="M2430" s="33">
        <v>10</v>
      </c>
      <c r="N2430" s="18">
        <f t="shared" si="409"/>
        <v>8.0547945205479454</v>
      </c>
      <c r="O2430" s="23">
        <v>659.79052846575337</v>
      </c>
      <c r="P2430" s="18">
        <f t="shared" si="410"/>
        <v>8.5561643835616437</v>
      </c>
      <c r="Q2430" s="18">
        <f t="shared" si="417"/>
        <v>50.001865942664637</v>
      </c>
      <c r="R2430" s="18">
        <f t="shared" si="406"/>
        <v>709.79239440841798</v>
      </c>
      <c r="S2430" s="18">
        <f t="shared" si="407"/>
        <v>340.0023176463767</v>
      </c>
    </row>
    <row r="2431" spans="1:19" ht="18.75" customHeight="1" x14ac:dyDescent="0.25">
      <c r="A2431" s="14">
        <f t="shared" si="412"/>
        <v>2425</v>
      </c>
      <c r="B2431" s="31" t="s">
        <v>2064</v>
      </c>
      <c r="C2431" s="15" t="s">
        <v>3</v>
      </c>
      <c r="D2431" s="31" t="s">
        <v>1708</v>
      </c>
      <c r="E2431" s="31"/>
      <c r="F2431" s="73" t="s">
        <v>4</v>
      </c>
      <c r="G2431" s="32">
        <v>35065</v>
      </c>
      <c r="H2431" s="29">
        <v>111.5</v>
      </c>
      <c r="I2431" s="17">
        <v>0</v>
      </c>
      <c r="J2431" s="17">
        <v>0</v>
      </c>
      <c r="K2431" s="17">
        <f t="shared" si="408"/>
        <v>111.5</v>
      </c>
      <c r="L2431" s="23">
        <f t="shared" si="415"/>
        <v>5.5750000000000002</v>
      </c>
      <c r="M2431" s="33">
        <v>10</v>
      </c>
      <c r="N2431" s="18">
        <f t="shared" si="409"/>
        <v>25.268493150684932</v>
      </c>
      <c r="O2431" s="23">
        <v>1059.25</v>
      </c>
      <c r="P2431" s="18">
        <f t="shared" si="410"/>
        <v>25.769863013698629</v>
      </c>
      <c r="Q2431" s="18">
        <v>0</v>
      </c>
      <c r="R2431" s="18">
        <f t="shared" si="406"/>
        <v>1059.25</v>
      </c>
      <c r="S2431" s="18">
        <f t="shared" ref="S2431:S2442" si="422">L2431</f>
        <v>5.5750000000000002</v>
      </c>
    </row>
    <row r="2432" spans="1:19" ht="18.75" customHeight="1" x14ac:dyDescent="0.25">
      <c r="A2432" s="14">
        <f t="shared" si="412"/>
        <v>2426</v>
      </c>
      <c r="B2432" s="31" t="s">
        <v>2065</v>
      </c>
      <c r="C2432" s="15" t="s">
        <v>3</v>
      </c>
      <c r="D2432" s="31" t="s">
        <v>1708</v>
      </c>
      <c r="E2432" s="31"/>
      <c r="F2432" s="73" t="s">
        <v>4</v>
      </c>
      <c r="G2432" s="32">
        <v>35065</v>
      </c>
      <c r="H2432" s="29">
        <v>73.099999999999909</v>
      </c>
      <c r="I2432" s="17">
        <v>0</v>
      </c>
      <c r="J2432" s="17">
        <v>0</v>
      </c>
      <c r="K2432" s="17">
        <f t="shared" si="408"/>
        <v>73.099999999999909</v>
      </c>
      <c r="L2432" s="23">
        <f t="shared" si="415"/>
        <v>3.6549999999999958</v>
      </c>
      <c r="M2432" s="33">
        <v>10</v>
      </c>
      <c r="N2432" s="18">
        <f t="shared" si="409"/>
        <v>25.268493150684932</v>
      </c>
      <c r="O2432" s="23">
        <v>694.45</v>
      </c>
      <c r="P2432" s="18">
        <f t="shared" si="410"/>
        <v>25.769863013698629</v>
      </c>
      <c r="Q2432" s="18">
        <v>0</v>
      </c>
      <c r="R2432" s="18">
        <f t="shared" si="406"/>
        <v>694.45</v>
      </c>
      <c r="S2432" s="18">
        <f t="shared" si="422"/>
        <v>3.6549999999999958</v>
      </c>
    </row>
    <row r="2433" spans="1:19" ht="18.75" customHeight="1" x14ac:dyDescent="0.25">
      <c r="A2433" s="14">
        <f t="shared" si="412"/>
        <v>2427</v>
      </c>
      <c r="B2433" s="31" t="s">
        <v>2066</v>
      </c>
      <c r="C2433" s="15" t="s">
        <v>3</v>
      </c>
      <c r="D2433" s="31" t="s">
        <v>1708</v>
      </c>
      <c r="E2433" s="31"/>
      <c r="F2433" s="73" t="s">
        <v>4</v>
      </c>
      <c r="G2433" s="32">
        <v>35065</v>
      </c>
      <c r="H2433" s="29">
        <v>73</v>
      </c>
      <c r="I2433" s="17">
        <v>0</v>
      </c>
      <c r="J2433" s="17">
        <v>0</v>
      </c>
      <c r="K2433" s="17">
        <f t="shared" si="408"/>
        <v>73</v>
      </c>
      <c r="L2433" s="23">
        <f t="shared" si="415"/>
        <v>3.6500000000000004</v>
      </c>
      <c r="M2433" s="33">
        <v>10</v>
      </c>
      <c r="N2433" s="18">
        <f t="shared" si="409"/>
        <v>25.268493150684932</v>
      </c>
      <c r="O2433" s="23">
        <v>693.5</v>
      </c>
      <c r="P2433" s="18">
        <f t="shared" si="410"/>
        <v>25.769863013698629</v>
      </c>
      <c r="Q2433" s="18">
        <v>0</v>
      </c>
      <c r="R2433" s="18">
        <f t="shared" si="406"/>
        <v>693.5</v>
      </c>
      <c r="S2433" s="18">
        <f t="shared" si="422"/>
        <v>3.6500000000000004</v>
      </c>
    </row>
    <row r="2434" spans="1:19" ht="18.75" customHeight="1" x14ac:dyDescent="0.25">
      <c r="A2434" s="14">
        <f t="shared" si="412"/>
        <v>2428</v>
      </c>
      <c r="B2434" s="31" t="s">
        <v>2067</v>
      </c>
      <c r="C2434" s="15" t="s">
        <v>3</v>
      </c>
      <c r="D2434" s="31" t="s">
        <v>1708</v>
      </c>
      <c r="E2434" s="31"/>
      <c r="F2434" s="73" t="s">
        <v>4</v>
      </c>
      <c r="G2434" s="32">
        <v>35140</v>
      </c>
      <c r="H2434" s="29">
        <v>1205.25</v>
      </c>
      <c r="I2434" s="17">
        <v>0</v>
      </c>
      <c r="J2434" s="17">
        <v>0</v>
      </c>
      <c r="K2434" s="17">
        <f t="shared" si="408"/>
        <v>1205.25</v>
      </c>
      <c r="L2434" s="23">
        <f t="shared" si="415"/>
        <v>60.262500000000003</v>
      </c>
      <c r="M2434" s="33">
        <v>5</v>
      </c>
      <c r="N2434" s="18">
        <f t="shared" si="409"/>
        <v>25.063013698630137</v>
      </c>
      <c r="O2434" s="23">
        <v>11449.875</v>
      </c>
      <c r="P2434" s="18">
        <f t="shared" si="410"/>
        <v>25.564383561643837</v>
      </c>
      <c r="Q2434" s="18">
        <v>0</v>
      </c>
      <c r="R2434" s="18">
        <f t="shared" si="406"/>
        <v>11449.875</v>
      </c>
      <c r="S2434" s="18">
        <f t="shared" si="422"/>
        <v>60.262500000000003</v>
      </c>
    </row>
    <row r="2435" spans="1:19" ht="18.75" customHeight="1" x14ac:dyDescent="0.25">
      <c r="A2435" s="14">
        <f t="shared" si="412"/>
        <v>2429</v>
      </c>
      <c r="B2435" s="31" t="s">
        <v>2068</v>
      </c>
      <c r="C2435" s="15" t="s">
        <v>3</v>
      </c>
      <c r="D2435" s="31" t="s">
        <v>1708</v>
      </c>
      <c r="E2435" s="31"/>
      <c r="F2435" s="73" t="s">
        <v>4</v>
      </c>
      <c r="G2435" s="32">
        <v>35065</v>
      </c>
      <c r="H2435" s="29">
        <v>65</v>
      </c>
      <c r="I2435" s="17">
        <v>0</v>
      </c>
      <c r="J2435" s="17">
        <v>0</v>
      </c>
      <c r="K2435" s="17">
        <f t="shared" si="408"/>
        <v>65</v>
      </c>
      <c r="L2435" s="23">
        <f t="shared" si="415"/>
        <v>3.25</v>
      </c>
      <c r="M2435" s="33">
        <v>10</v>
      </c>
      <c r="N2435" s="18">
        <f t="shared" si="409"/>
        <v>25.268493150684932</v>
      </c>
      <c r="O2435" s="23">
        <v>617.5</v>
      </c>
      <c r="P2435" s="18">
        <f t="shared" si="410"/>
        <v>25.769863013698629</v>
      </c>
      <c r="Q2435" s="18">
        <v>0</v>
      </c>
      <c r="R2435" s="18">
        <f t="shared" si="406"/>
        <v>617.5</v>
      </c>
      <c r="S2435" s="18">
        <f t="shared" si="422"/>
        <v>3.25</v>
      </c>
    </row>
    <row r="2436" spans="1:19" ht="18.75" customHeight="1" x14ac:dyDescent="0.25">
      <c r="A2436" s="14">
        <f t="shared" si="412"/>
        <v>2430</v>
      </c>
      <c r="B2436" s="31" t="s">
        <v>2069</v>
      </c>
      <c r="C2436" s="15" t="s">
        <v>3</v>
      </c>
      <c r="D2436" s="31" t="s">
        <v>1708</v>
      </c>
      <c r="E2436" s="31"/>
      <c r="F2436" s="73" t="s">
        <v>4</v>
      </c>
      <c r="G2436" s="32">
        <v>35065</v>
      </c>
      <c r="H2436" s="29">
        <v>52.850000000000023</v>
      </c>
      <c r="I2436" s="17">
        <v>0</v>
      </c>
      <c r="J2436" s="17">
        <v>0</v>
      </c>
      <c r="K2436" s="17">
        <f t="shared" si="408"/>
        <v>52.850000000000023</v>
      </c>
      <c r="L2436" s="23">
        <f t="shared" si="415"/>
        <v>2.6425000000000014</v>
      </c>
      <c r="M2436" s="33">
        <v>10</v>
      </c>
      <c r="N2436" s="18">
        <f t="shared" si="409"/>
        <v>25.268493150684932</v>
      </c>
      <c r="O2436" s="23">
        <v>502.07499999999999</v>
      </c>
      <c r="P2436" s="18">
        <f t="shared" si="410"/>
        <v>25.769863013698629</v>
      </c>
      <c r="Q2436" s="18">
        <v>0</v>
      </c>
      <c r="R2436" s="18">
        <f t="shared" ref="R2436:R2499" si="423">Q2436+O2436</f>
        <v>502.07499999999999</v>
      </c>
      <c r="S2436" s="18">
        <f t="shared" si="422"/>
        <v>2.6425000000000014</v>
      </c>
    </row>
    <row r="2437" spans="1:19" ht="18.75" customHeight="1" x14ac:dyDescent="0.25">
      <c r="A2437" s="14">
        <f t="shared" si="412"/>
        <v>2431</v>
      </c>
      <c r="B2437" s="31" t="s">
        <v>2070</v>
      </c>
      <c r="C2437" s="15" t="s">
        <v>3</v>
      </c>
      <c r="D2437" s="31" t="s">
        <v>1708</v>
      </c>
      <c r="E2437" s="31"/>
      <c r="F2437" s="73" t="s">
        <v>4</v>
      </c>
      <c r="G2437" s="32">
        <v>35065</v>
      </c>
      <c r="H2437" s="29">
        <v>35.899999999999977</v>
      </c>
      <c r="I2437" s="17">
        <v>0</v>
      </c>
      <c r="J2437" s="17">
        <v>0</v>
      </c>
      <c r="K2437" s="17">
        <f t="shared" ref="K2437:K2500" si="424">H2437+I2437-J2437</f>
        <v>35.899999999999977</v>
      </c>
      <c r="L2437" s="23">
        <f t="shared" si="415"/>
        <v>1.794999999999999</v>
      </c>
      <c r="M2437" s="33">
        <v>10</v>
      </c>
      <c r="N2437" s="18">
        <f t="shared" ref="N2437:N2500" si="425">IF(($N$2-G2437+1)/365&gt;0,($N$2-G2437+1)/365,0)</f>
        <v>25.268493150684932</v>
      </c>
      <c r="O2437" s="23">
        <v>341.05</v>
      </c>
      <c r="P2437" s="18">
        <f t="shared" ref="P2437:P2500" si="426">($P$2-G2437+1)/365</f>
        <v>25.769863013698629</v>
      </c>
      <c r="Q2437" s="18">
        <v>0</v>
      </c>
      <c r="R2437" s="18">
        <f t="shared" si="423"/>
        <v>341.05</v>
      </c>
      <c r="S2437" s="18">
        <f t="shared" si="422"/>
        <v>1.794999999999999</v>
      </c>
    </row>
    <row r="2438" spans="1:19" ht="18.75" customHeight="1" x14ac:dyDescent="0.25">
      <c r="A2438" s="14">
        <f t="shared" ref="A2438:A2501" si="427">+A2437+1</f>
        <v>2432</v>
      </c>
      <c r="B2438" s="31" t="s">
        <v>2047</v>
      </c>
      <c r="C2438" s="15" t="s">
        <v>3</v>
      </c>
      <c r="D2438" s="31" t="s">
        <v>1708</v>
      </c>
      <c r="E2438" s="31"/>
      <c r="F2438" s="73" t="s">
        <v>4</v>
      </c>
      <c r="G2438" s="32">
        <v>40436</v>
      </c>
      <c r="H2438" s="29">
        <v>70.403999999999996</v>
      </c>
      <c r="I2438" s="17">
        <v>0</v>
      </c>
      <c r="J2438" s="17">
        <v>0</v>
      </c>
      <c r="K2438" s="17">
        <f t="shared" si="424"/>
        <v>70.403999999999996</v>
      </c>
      <c r="L2438" s="23">
        <f t="shared" si="415"/>
        <v>3.5202</v>
      </c>
      <c r="M2438" s="33">
        <v>10</v>
      </c>
      <c r="N2438" s="18">
        <f t="shared" si="425"/>
        <v>10.553424657534247</v>
      </c>
      <c r="O2438" s="23">
        <v>1337.6759999999999</v>
      </c>
      <c r="P2438" s="18">
        <f t="shared" si="426"/>
        <v>11.054794520547945</v>
      </c>
      <c r="Q2438" s="18">
        <v>0</v>
      </c>
      <c r="R2438" s="18">
        <f t="shared" si="423"/>
        <v>1337.6759999999999</v>
      </c>
      <c r="S2438" s="18">
        <f t="shared" si="422"/>
        <v>3.5202</v>
      </c>
    </row>
    <row r="2439" spans="1:19" ht="18.75" customHeight="1" x14ac:dyDescent="0.25">
      <c r="A2439" s="14">
        <f t="shared" si="427"/>
        <v>2433</v>
      </c>
      <c r="B2439" s="31" t="s">
        <v>2071</v>
      </c>
      <c r="C2439" s="15" t="s">
        <v>3</v>
      </c>
      <c r="D2439" s="31" t="s">
        <v>1708</v>
      </c>
      <c r="E2439" s="31"/>
      <c r="F2439" s="73" t="s">
        <v>4</v>
      </c>
      <c r="G2439" s="32">
        <v>35065</v>
      </c>
      <c r="H2439" s="29">
        <v>26.399999999999977</v>
      </c>
      <c r="I2439" s="17">
        <v>0</v>
      </c>
      <c r="J2439" s="17">
        <v>0</v>
      </c>
      <c r="K2439" s="17">
        <f t="shared" si="424"/>
        <v>26.399999999999977</v>
      </c>
      <c r="L2439" s="23">
        <f t="shared" si="415"/>
        <v>1.319999999999999</v>
      </c>
      <c r="M2439" s="33">
        <v>10</v>
      </c>
      <c r="N2439" s="18">
        <f t="shared" si="425"/>
        <v>25.268493150684932</v>
      </c>
      <c r="O2439" s="23">
        <v>250.8</v>
      </c>
      <c r="P2439" s="18">
        <f t="shared" si="426"/>
        <v>25.769863013698629</v>
      </c>
      <c r="Q2439" s="18">
        <v>0</v>
      </c>
      <c r="R2439" s="18">
        <f t="shared" si="423"/>
        <v>250.8</v>
      </c>
      <c r="S2439" s="18">
        <f t="shared" si="422"/>
        <v>1.319999999999999</v>
      </c>
    </row>
    <row r="2440" spans="1:19" ht="18.75" customHeight="1" x14ac:dyDescent="0.25">
      <c r="A2440" s="14">
        <f t="shared" si="427"/>
        <v>2434</v>
      </c>
      <c r="B2440" s="31" t="s">
        <v>2072</v>
      </c>
      <c r="C2440" s="15" t="s">
        <v>3</v>
      </c>
      <c r="D2440" s="31" t="s">
        <v>1708</v>
      </c>
      <c r="E2440" s="31"/>
      <c r="F2440" s="73" t="s">
        <v>4</v>
      </c>
      <c r="G2440" s="32">
        <v>39828</v>
      </c>
      <c r="H2440" s="29">
        <v>68.25</v>
      </c>
      <c r="I2440" s="17">
        <v>0</v>
      </c>
      <c r="J2440" s="17">
        <v>0</v>
      </c>
      <c r="K2440" s="17">
        <f t="shared" si="424"/>
        <v>68.25</v>
      </c>
      <c r="L2440" s="23">
        <f t="shared" si="415"/>
        <v>3.4125000000000001</v>
      </c>
      <c r="M2440" s="33">
        <v>10</v>
      </c>
      <c r="N2440" s="18">
        <f t="shared" si="425"/>
        <v>12.219178082191782</v>
      </c>
      <c r="O2440" s="23">
        <v>648.375</v>
      </c>
      <c r="P2440" s="18">
        <f t="shared" si="426"/>
        <v>12.72054794520548</v>
      </c>
      <c r="Q2440" s="18">
        <v>0</v>
      </c>
      <c r="R2440" s="18">
        <f t="shared" si="423"/>
        <v>648.375</v>
      </c>
      <c r="S2440" s="18">
        <f t="shared" si="422"/>
        <v>3.4125000000000001</v>
      </c>
    </row>
    <row r="2441" spans="1:19" ht="18.75" customHeight="1" x14ac:dyDescent="0.25">
      <c r="A2441" s="14">
        <f t="shared" si="427"/>
        <v>2435</v>
      </c>
      <c r="B2441" s="31" t="s">
        <v>2073</v>
      </c>
      <c r="C2441" s="15" t="s">
        <v>3</v>
      </c>
      <c r="D2441" s="31" t="s">
        <v>1708</v>
      </c>
      <c r="E2441" s="31"/>
      <c r="F2441" s="73" t="s">
        <v>4</v>
      </c>
      <c r="G2441" s="32">
        <v>35065</v>
      </c>
      <c r="H2441" s="29">
        <v>23.75</v>
      </c>
      <c r="I2441" s="17">
        <v>0</v>
      </c>
      <c r="J2441" s="17">
        <v>0</v>
      </c>
      <c r="K2441" s="17">
        <f t="shared" si="424"/>
        <v>23.75</v>
      </c>
      <c r="L2441" s="23">
        <f t="shared" si="415"/>
        <v>1.1875</v>
      </c>
      <c r="M2441" s="33">
        <v>10</v>
      </c>
      <c r="N2441" s="18">
        <f t="shared" si="425"/>
        <v>25.268493150684932</v>
      </c>
      <c r="O2441" s="23">
        <v>225.625</v>
      </c>
      <c r="P2441" s="18">
        <f t="shared" si="426"/>
        <v>25.769863013698629</v>
      </c>
      <c r="Q2441" s="18">
        <v>0</v>
      </c>
      <c r="R2441" s="18">
        <f t="shared" si="423"/>
        <v>225.625</v>
      </c>
      <c r="S2441" s="18">
        <f t="shared" si="422"/>
        <v>1.1875</v>
      </c>
    </row>
    <row r="2442" spans="1:19" ht="18.75" customHeight="1" x14ac:dyDescent="0.25">
      <c r="A2442" s="14">
        <f t="shared" si="427"/>
        <v>2436</v>
      </c>
      <c r="B2442" s="31" t="s">
        <v>2074</v>
      </c>
      <c r="C2442" s="15" t="s">
        <v>3</v>
      </c>
      <c r="D2442" s="31" t="s">
        <v>1708</v>
      </c>
      <c r="E2442" s="31"/>
      <c r="F2442" s="73" t="s">
        <v>4</v>
      </c>
      <c r="G2442" s="32">
        <v>35065</v>
      </c>
      <c r="H2442" s="29">
        <v>17.5</v>
      </c>
      <c r="I2442" s="17">
        <v>0</v>
      </c>
      <c r="J2442" s="17">
        <v>0</v>
      </c>
      <c r="K2442" s="17">
        <f t="shared" si="424"/>
        <v>17.5</v>
      </c>
      <c r="L2442" s="23">
        <f t="shared" si="415"/>
        <v>0.875</v>
      </c>
      <c r="M2442" s="33">
        <v>10</v>
      </c>
      <c r="N2442" s="18">
        <f t="shared" si="425"/>
        <v>25.268493150684932</v>
      </c>
      <c r="O2442" s="23">
        <v>166.25</v>
      </c>
      <c r="P2442" s="18">
        <f t="shared" si="426"/>
        <v>25.769863013698629</v>
      </c>
      <c r="Q2442" s="18">
        <v>0</v>
      </c>
      <c r="R2442" s="18">
        <f t="shared" si="423"/>
        <v>166.25</v>
      </c>
      <c r="S2442" s="18">
        <f t="shared" si="422"/>
        <v>0.875</v>
      </c>
    </row>
    <row r="2443" spans="1:19" ht="18.75" customHeight="1" x14ac:dyDescent="0.25">
      <c r="A2443" s="14">
        <f t="shared" si="427"/>
        <v>2437</v>
      </c>
      <c r="B2443" s="31" t="s">
        <v>2075</v>
      </c>
      <c r="C2443" s="15" t="s">
        <v>3</v>
      </c>
      <c r="D2443" s="31" t="s">
        <v>1708</v>
      </c>
      <c r="E2443" s="31"/>
      <c r="F2443" s="73" t="s">
        <v>4</v>
      </c>
      <c r="G2443" s="32">
        <v>41289</v>
      </c>
      <c r="H2443" s="29">
        <v>932.27166767123299</v>
      </c>
      <c r="I2443" s="17">
        <v>0</v>
      </c>
      <c r="J2443" s="17">
        <v>0</v>
      </c>
      <c r="K2443" s="17">
        <f t="shared" si="424"/>
        <v>932.27166767123299</v>
      </c>
      <c r="L2443" s="23">
        <f t="shared" si="415"/>
        <v>46.613583383561654</v>
      </c>
      <c r="M2443" s="33">
        <v>10</v>
      </c>
      <c r="N2443" s="18">
        <f t="shared" si="425"/>
        <v>8.2164383561643834</v>
      </c>
      <c r="O2443" s="23">
        <v>596.81894923287678</v>
      </c>
      <c r="P2443" s="18">
        <f t="shared" si="426"/>
        <v>8.7178082191780817</v>
      </c>
      <c r="Q2443" s="18">
        <f t="shared" si="417"/>
        <v>44.404227239628426</v>
      </c>
      <c r="R2443" s="18">
        <f t="shared" si="423"/>
        <v>641.2231764725052</v>
      </c>
      <c r="S2443" s="18">
        <f t="shared" ref="S2443:S2499" si="428">K2443-R2443</f>
        <v>291.04849119872779</v>
      </c>
    </row>
    <row r="2444" spans="1:19" ht="18.75" customHeight="1" x14ac:dyDescent="0.25">
      <c r="A2444" s="14">
        <f t="shared" si="427"/>
        <v>2438</v>
      </c>
      <c r="B2444" s="31" t="s">
        <v>2076</v>
      </c>
      <c r="C2444" s="15" t="s">
        <v>3</v>
      </c>
      <c r="D2444" s="31" t="s">
        <v>1708</v>
      </c>
      <c r="E2444" s="31"/>
      <c r="F2444" s="73" t="s">
        <v>4</v>
      </c>
      <c r="G2444" s="32">
        <v>35065</v>
      </c>
      <c r="H2444" s="29">
        <v>17.5</v>
      </c>
      <c r="I2444" s="17">
        <v>0</v>
      </c>
      <c r="J2444" s="17">
        <v>0</v>
      </c>
      <c r="K2444" s="17">
        <f t="shared" si="424"/>
        <v>17.5</v>
      </c>
      <c r="L2444" s="23">
        <f t="shared" si="415"/>
        <v>0.875</v>
      </c>
      <c r="M2444" s="33">
        <v>10</v>
      </c>
      <c r="N2444" s="18">
        <f t="shared" si="425"/>
        <v>25.268493150684932</v>
      </c>
      <c r="O2444" s="23">
        <v>166.25</v>
      </c>
      <c r="P2444" s="18">
        <f t="shared" si="426"/>
        <v>25.769863013698629</v>
      </c>
      <c r="Q2444" s="18">
        <v>0</v>
      </c>
      <c r="R2444" s="18">
        <f t="shared" si="423"/>
        <v>166.25</v>
      </c>
      <c r="S2444" s="18">
        <f t="shared" ref="S2444:S2445" si="429">L2444</f>
        <v>0.875</v>
      </c>
    </row>
    <row r="2445" spans="1:19" ht="18.75" customHeight="1" x14ac:dyDescent="0.25">
      <c r="A2445" s="14">
        <f t="shared" si="427"/>
        <v>2439</v>
      </c>
      <c r="B2445" s="31" t="s">
        <v>2077</v>
      </c>
      <c r="C2445" s="15" t="s">
        <v>3</v>
      </c>
      <c r="D2445" s="31" t="s">
        <v>1708</v>
      </c>
      <c r="E2445" s="31"/>
      <c r="F2445" s="73" t="s">
        <v>4</v>
      </c>
      <c r="G2445" s="32">
        <v>35065</v>
      </c>
      <c r="H2445" s="29">
        <v>11.25</v>
      </c>
      <c r="I2445" s="17">
        <v>0</v>
      </c>
      <c r="J2445" s="17">
        <v>0</v>
      </c>
      <c r="K2445" s="17">
        <f t="shared" si="424"/>
        <v>11.25</v>
      </c>
      <c r="L2445" s="23">
        <f t="shared" si="415"/>
        <v>0.5625</v>
      </c>
      <c r="M2445" s="33">
        <v>10</v>
      </c>
      <c r="N2445" s="18">
        <f t="shared" si="425"/>
        <v>25.268493150684932</v>
      </c>
      <c r="O2445" s="23">
        <v>106.875</v>
      </c>
      <c r="P2445" s="18">
        <f t="shared" si="426"/>
        <v>25.769863013698629</v>
      </c>
      <c r="Q2445" s="18">
        <v>0</v>
      </c>
      <c r="R2445" s="18">
        <f t="shared" si="423"/>
        <v>106.875</v>
      </c>
      <c r="S2445" s="18">
        <f t="shared" si="429"/>
        <v>0.5625</v>
      </c>
    </row>
    <row r="2446" spans="1:19" ht="18.75" customHeight="1" x14ac:dyDescent="0.25">
      <c r="A2446" s="14">
        <f t="shared" si="427"/>
        <v>2440</v>
      </c>
      <c r="B2446" s="31" t="s">
        <v>2078</v>
      </c>
      <c r="C2446" s="15" t="s">
        <v>3</v>
      </c>
      <c r="D2446" s="31" t="s">
        <v>1708</v>
      </c>
      <c r="E2446" s="31"/>
      <c r="F2446" s="73" t="s">
        <v>4</v>
      </c>
      <c r="G2446" s="32">
        <v>40648</v>
      </c>
      <c r="H2446" s="29">
        <v>675.53797041095902</v>
      </c>
      <c r="I2446" s="17">
        <v>0</v>
      </c>
      <c r="J2446" s="17">
        <v>0</v>
      </c>
      <c r="K2446" s="17">
        <f t="shared" si="424"/>
        <v>675.53797041095902</v>
      </c>
      <c r="L2446" s="23">
        <f t="shared" si="415"/>
        <v>33.776898520547952</v>
      </c>
      <c r="M2446" s="33">
        <v>10</v>
      </c>
      <c r="N2446" s="18">
        <f t="shared" si="425"/>
        <v>9.9726027397260282</v>
      </c>
      <c r="O2446" s="23">
        <v>547.79688526027417</v>
      </c>
      <c r="P2446" s="18">
        <f t="shared" si="426"/>
        <v>10.473972602739726</v>
      </c>
      <c r="Q2446" s="18">
        <v>0</v>
      </c>
      <c r="R2446" s="18">
        <f t="shared" si="423"/>
        <v>547.79688526027417</v>
      </c>
      <c r="S2446" s="18">
        <f t="shared" si="428"/>
        <v>127.74108515068485</v>
      </c>
    </row>
    <row r="2447" spans="1:19" ht="18.75" customHeight="1" x14ac:dyDescent="0.25">
      <c r="A2447" s="14">
        <f t="shared" si="427"/>
        <v>2441</v>
      </c>
      <c r="B2447" s="31" t="s">
        <v>2079</v>
      </c>
      <c r="C2447" s="15" t="s">
        <v>3</v>
      </c>
      <c r="D2447" s="31" t="s">
        <v>1708</v>
      </c>
      <c r="E2447" s="31"/>
      <c r="F2447" s="73" t="s">
        <v>4</v>
      </c>
      <c r="G2447" s="32">
        <v>35065</v>
      </c>
      <c r="H2447" s="29">
        <v>11.25</v>
      </c>
      <c r="I2447" s="17">
        <v>0</v>
      </c>
      <c r="J2447" s="17">
        <v>0</v>
      </c>
      <c r="K2447" s="17">
        <f t="shared" si="424"/>
        <v>11.25</v>
      </c>
      <c r="L2447" s="23">
        <f t="shared" si="415"/>
        <v>0.5625</v>
      </c>
      <c r="M2447" s="33">
        <v>10</v>
      </c>
      <c r="N2447" s="18">
        <f t="shared" si="425"/>
        <v>25.268493150684932</v>
      </c>
      <c r="O2447" s="23">
        <v>106.875</v>
      </c>
      <c r="P2447" s="18">
        <f t="shared" si="426"/>
        <v>25.769863013698629</v>
      </c>
      <c r="Q2447" s="18">
        <v>0</v>
      </c>
      <c r="R2447" s="18">
        <f t="shared" si="423"/>
        <v>106.875</v>
      </c>
      <c r="S2447" s="18">
        <f t="shared" ref="S2447:S2457" si="430">L2447</f>
        <v>0.5625</v>
      </c>
    </row>
    <row r="2448" spans="1:19" ht="18.75" customHeight="1" x14ac:dyDescent="0.25">
      <c r="A2448" s="14">
        <f t="shared" si="427"/>
        <v>2442</v>
      </c>
      <c r="B2448" s="31" t="s">
        <v>2080</v>
      </c>
      <c r="C2448" s="15" t="s">
        <v>3</v>
      </c>
      <c r="D2448" s="31" t="s">
        <v>1708</v>
      </c>
      <c r="E2448" s="31"/>
      <c r="F2448" s="73" t="s">
        <v>4</v>
      </c>
      <c r="G2448" s="32">
        <v>35065</v>
      </c>
      <c r="H2448" s="29">
        <v>1.5</v>
      </c>
      <c r="I2448" s="17">
        <v>0</v>
      </c>
      <c r="J2448" s="17">
        <v>0</v>
      </c>
      <c r="K2448" s="17">
        <f t="shared" si="424"/>
        <v>1.5</v>
      </c>
      <c r="L2448" s="23">
        <f t="shared" si="415"/>
        <v>7.5000000000000011E-2</v>
      </c>
      <c r="M2448" s="33">
        <v>10</v>
      </c>
      <c r="N2448" s="18">
        <f t="shared" si="425"/>
        <v>25.268493150684932</v>
      </c>
      <c r="O2448" s="23">
        <v>14.25</v>
      </c>
      <c r="P2448" s="18">
        <f t="shared" si="426"/>
        <v>25.769863013698629</v>
      </c>
      <c r="Q2448" s="18">
        <v>0</v>
      </c>
      <c r="R2448" s="18">
        <f t="shared" si="423"/>
        <v>14.25</v>
      </c>
      <c r="S2448" s="18">
        <f t="shared" si="430"/>
        <v>7.5000000000000011E-2</v>
      </c>
    </row>
    <row r="2449" spans="1:19" ht="18.75" customHeight="1" x14ac:dyDescent="0.25">
      <c r="A2449" s="14">
        <f t="shared" si="427"/>
        <v>2443</v>
      </c>
      <c r="B2449" s="31" t="s">
        <v>2081</v>
      </c>
      <c r="C2449" s="15" t="s">
        <v>3</v>
      </c>
      <c r="D2449" s="31" t="s">
        <v>1708</v>
      </c>
      <c r="E2449" s="31"/>
      <c r="F2449" s="73" t="s">
        <v>4</v>
      </c>
      <c r="G2449" s="32">
        <v>39083</v>
      </c>
      <c r="H2449" s="29">
        <v>60.75</v>
      </c>
      <c r="I2449" s="17">
        <v>0</v>
      </c>
      <c r="J2449" s="17">
        <v>0</v>
      </c>
      <c r="K2449" s="17">
        <f t="shared" si="424"/>
        <v>60.75</v>
      </c>
      <c r="L2449" s="23">
        <f t="shared" si="415"/>
        <v>3.0375000000000001</v>
      </c>
      <c r="M2449" s="33">
        <v>10</v>
      </c>
      <c r="N2449" s="18">
        <f t="shared" si="425"/>
        <v>14.260273972602739</v>
      </c>
      <c r="O2449" s="23">
        <v>577.125</v>
      </c>
      <c r="P2449" s="18">
        <f t="shared" si="426"/>
        <v>14.761643835616438</v>
      </c>
      <c r="Q2449" s="18">
        <v>0</v>
      </c>
      <c r="R2449" s="18">
        <f t="shared" si="423"/>
        <v>577.125</v>
      </c>
      <c r="S2449" s="18">
        <f t="shared" si="430"/>
        <v>3.0375000000000001</v>
      </c>
    </row>
    <row r="2450" spans="1:19" ht="18.75" customHeight="1" x14ac:dyDescent="0.25">
      <c r="A2450" s="14">
        <f t="shared" si="427"/>
        <v>2444</v>
      </c>
      <c r="B2450" s="31" t="s">
        <v>2082</v>
      </c>
      <c r="C2450" s="15" t="s">
        <v>3</v>
      </c>
      <c r="D2450" s="31" t="s">
        <v>1708</v>
      </c>
      <c r="E2450" s="31"/>
      <c r="F2450" s="73" t="s">
        <v>4</v>
      </c>
      <c r="G2450" s="32">
        <v>35431</v>
      </c>
      <c r="H2450" s="29">
        <v>1366.5</v>
      </c>
      <c r="I2450" s="17">
        <v>0</v>
      </c>
      <c r="J2450" s="17">
        <v>0</v>
      </c>
      <c r="K2450" s="17">
        <f t="shared" si="424"/>
        <v>1366.5</v>
      </c>
      <c r="L2450" s="23">
        <f t="shared" si="415"/>
        <v>68.325000000000003</v>
      </c>
      <c r="M2450" s="33">
        <v>10</v>
      </c>
      <c r="N2450" s="18">
        <f t="shared" si="425"/>
        <v>24.265753424657536</v>
      </c>
      <c r="O2450" s="23">
        <v>12981.75</v>
      </c>
      <c r="P2450" s="18">
        <f t="shared" si="426"/>
        <v>24.767123287671232</v>
      </c>
      <c r="Q2450" s="18">
        <v>0</v>
      </c>
      <c r="R2450" s="18">
        <f t="shared" si="423"/>
        <v>12981.75</v>
      </c>
      <c r="S2450" s="18">
        <f t="shared" si="430"/>
        <v>68.325000000000003</v>
      </c>
    </row>
    <row r="2451" spans="1:19" ht="18.75" customHeight="1" x14ac:dyDescent="0.25">
      <c r="A2451" s="14">
        <f t="shared" si="427"/>
        <v>2445</v>
      </c>
      <c r="B2451" s="31" t="s">
        <v>1293</v>
      </c>
      <c r="C2451" s="15" t="s">
        <v>3</v>
      </c>
      <c r="D2451" s="31" t="s">
        <v>1708</v>
      </c>
      <c r="E2451" s="31"/>
      <c r="F2451" s="73" t="s">
        <v>4</v>
      </c>
      <c r="G2451" s="32">
        <v>41470</v>
      </c>
      <c r="H2451" s="29">
        <v>55.811999999999898</v>
      </c>
      <c r="I2451" s="17">
        <v>0</v>
      </c>
      <c r="J2451" s="17">
        <v>0</v>
      </c>
      <c r="K2451" s="17">
        <f t="shared" si="424"/>
        <v>55.811999999999898</v>
      </c>
      <c r="L2451" s="23">
        <f t="shared" si="415"/>
        <v>2.7905999999999951</v>
      </c>
      <c r="M2451" s="33">
        <v>5</v>
      </c>
      <c r="N2451" s="18">
        <f t="shared" si="425"/>
        <v>7.720547945205479</v>
      </c>
      <c r="O2451" s="23">
        <v>530.21400000000006</v>
      </c>
      <c r="P2451" s="18">
        <f t="shared" si="426"/>
        <v>8.2219178082191782</v>
      </c>
      <c r="Q2451" s="18">
        <v>0</v>
      </c>
      <c r="R2451" s="18">
        <f t="shared" si="423"/>
        <v>530.21400000000006</v>
      </c>
      <c r="S2451" s="18">
        <f t="shared" si="430"/>
        <v>2.7905999999999951</v>
      </c>
    </row>
    <row r="2452" spans="1:19" ht="18.75" customHeight="1" x14ac:dyDescent="0.25">
      <c r="A2452" s="14">
        <f t="shared" si="427"/>
        <v>2446</v>
      </c>
      <c r="B2452" s="31" t="s">
        <v>1293</v>
      </c>
      <c r="C2452" s="15" t="s">
        <v>3</v>
      </c>
      <c r="D2452" s="31" t="s">
        <v>1708</v>
      </c>
      <c r="E2452" s="31"/>
      <c r="F2452" s="73" t="s">
        <v>4</v>
      </c>
      <c r="G2452" s="32">
        <v>41440</v>
      </c>
      <c r="H2452" s="29">
        <v>55.811500000000024</v>
      </c>
      <c r="I2452" s="17">
        <v>0</v>
      </c>
      <c r="J2452" s="17">
        <v>0</v>
      </c>
      <c r="K2452" s="17">
        <f t="shared" si="424"/>
        <v>55.811500000000024</v>
      </c>
      <c r="L2452" s="23">
        <f t="shared" si="415"/>
        <v>2.7905750000000014</v>
      </c>
      <c r="M2452" s="33">
        <v>5</v>
      </c>
      <c r="N2452" s="18">
        <f t="shared" si="425"/>
        <v>7.8027397260273972</v>
      </c>
      <c r="O2452" s="23">
        <v>530.20925</v>
      </c>
      <c r="P2452" s="18">
        <f t="shared" si="426"/>
        <v>8.3041095890410954</v>
      </c>
      <c r="Q2452" s="18">
        <v>0</v>
      </c>
      <c r="R2452" s="18">
        <f t="shared" si="423"/>
        <v>530.20925</v>
      </c>
      <c r="S2452" s="18">
        <f t="shared" si="430"/>
        <v>2.7905750000000014</v>
      </c>
    </row>
    <row r="2453" spans="1:19" ht="18.75" customHeight="1" x14ac:dyDescent="0.25">
      <c r="A2453" s="14">
        <f t="shared" si="427"/>
        <v>2447</v>
      </c>
      <c r="B2453" s="31" t="s">
        <v>1287</v>
      </c>
      <c r="C2453" s="15" t="s">
        <v>3</v>
      </c>
      <c r="D2453" s="31" t="s">
        <v>1708</v>
      </c>
      <c r="E2453" s="31"/>
      <c r="F2453" s="73" t="s">
        <v>4</v>
      </c>
      <c r="G2453" s="32">
        <v>41044</v>
      </c>
      <c r="H2453" s="29">
        <v>54.832000000000107</v>
      </c>
      <c r="I2453" s="17">
        <v>0</v>
      </c>
      <c r="J2453" s="17">
        <v>0</v>
      </c>
      <c r="K2453" s="17">
        <f t="shared" si="424"/>
        <v>54.832000000000107</v>
      </c>
      <c r="L2453" s="23">
        <f t="shared" si="415"/>
        <v>2.7416000000000054</v>
      </c>
      <c r="M2453" s="33">
        <v>5</v>
      </c>
      <c r="N2453" s="18">
        <f t="shared" si="425"/>
        <v>8.8876712328767127</v>
      </c>
      <c r="O2453" s="23">
        <v>520.904</v>
      </c>
      <c r="P2453" s="18">
        <f t="shared" si="426"/>
        <v>9.3890410958904109</v>
      </c>
      <c r="Q2453" s="18">
        <v>0</v>
      </c>
      <c r="R2453" s="18">
        <f t="shared" si="423"/>
        <v>520.904</v>
      </c>
      <c r="S2453" s="18">
        <f t="shared" si="430"/>
        <v>2.7416000000000054</v>
      </c>
    </row>
    <row r="2454" spans="1:19" ht="18.75" customHeight="1" x14ac:dyDescent="0.25">
      <c r="A2454" s="14">
        <f t="shared" si="427"/>
        <v>2448</v>
      </c>
      <c r="B2454" s="31" t="s">
        <v>2083</v>
      </c>
      <c r="C2454" s="15" t="s">
        <v>3</v>
      </c>
      <c r="D2454" s="31" t="s">
        <v>1708</v>
      </c>
      <c r="E2454" s="31"/>
      <c r="F2454" s="73" t="s">
        <v>4</v>
      </c>
      <c r="G2454" s="32">
        <v>35431</v>
      </c>
      <c r="H2454" s="29">
        <v>522</v>
      </c>
      <c r="I2454" s="17">
        <v>0</v>
      </c>
      <c r="J2454" s="17">
        <v>0</v>
      </c>
      <c r="K2454" s="17">
        <f t="shared" si="424"/>
        <v>522</v>
      </c>
      <c r="L2454" s="23">
        <f t="shared" si="415"/>
        <v>26.1</v>
      </c>
      <c r="M2454" s="33">
        <v>10</v>
      </c>
      <c r="N2454" s="18">
        <f t="shared" si="425"/>
        <v>24.265753424657536</v>
      </c>
      <c r="O2454" s="23">
        <v>4959</v>
      </c>
      <c r="P2454" s="18">
        <f t="shared" si="426"/>
        <v>24.767123287671232</v>
      </c>
      <c r="Q2454" s="18">
        <v>0</v>
      </c>
      <c r="R2454" s="18">
        <f t="shared" si="423"/>
        <v>4959</v>
      </c>
      <c r="S2454" s="18">
        <f t="shared" si="430"/>
        <v>26.1</v>
      </c>
    </row>
    <row r="2455" spans="1:19" ht="18.75" customHeight="1" x14ac:dyDescent="0.25">
      <c r="A2455" s="14">
        <f t="shared" si="427"/>
        <v>2449</v>
      </c>
      <c r="B2455" s="31" t="s">
        <v>2084</v>
      </c>
      <c r="C2455" s="15" t="s">
        <v>3</v>
      </c>
      <c r="D2455" s="31" t="s">
        <v>1708</v>
      </c>
      <c r="E2455" s="31"/>
      <c r="F2455" s="73" t="s">
        <v>4</v>
      </c>
      <c r="G2455" s="32">
        <v>35431</v>
      </c>
      <c r="H2455" s="29">
        <v>402.05000000000018</v>
      </c>
      <c r="I2455" s="17">
        <v>0</v>
      </c>
      <c r="J2455" s="17">
        <v>0</v>
      </c>
      <c r="K2455" s="17">
        <f t="shared" si="424"/>
        <v>402.05000000000018</v>
      </c>
      <c r="L2455" s="23">
        <f t="shared" ref="L2455:L2518" si="431">H2455*0.05</f>
        <v>20.10250000000001</v>
      </c>
      <c r="M2455" s="33">
        <v>10</v>
      </c>
      <c r="N2455" s="18">
        <f t="shared" si="425"/>
        <v>24.265753424657536</v>
      </c>
      <c r="O2455" s="23">
        <v>3819.4749999999999</v>
      </c>
      <c r="P2455" s="18">
        <f t="shared" si="426"/>
        <v>24.767123287671232</v>
      </c>
      <c r="Q2455" s="18">
        <v>0</v>
      </c>
      <c r="R2455" s="18">
        <f t="shared" si="423"/>
        <v>3819.4749999999999</v>
      </c>
      <c r="S2455" s="18">
        <f t="shared" si="430"/>
        <v>20.10250000000001</v>
      </c>
    </row>
    <row r="2456" spans="1:19" ht="18.75" customHeight="1" x14ac:dyDescent="0.25">
      <c r="A2456" s="14">
        <f t="shared" si="427"/>
        <v>2450</v>
      </c>
      <c r="B2456" s="31" t="s">
        <v>2065</v>
      </c>
      <c r="C2456" s="15" t="s">
        <v>3</v>
      </c>
      <c r="D2456" s="31" t="s">
        <v>1708</v>
      </c>
      <c r="E2456" s="31"/>
      <c r="F2456" s="73" t="s">
        <v>4</v>
      </c>
      <c r="G2456" s="32">
        <v>35431</v>
      </c>
      <c r="H2456" s="29">
        <v>386.5</v>
      </c>
      <c r="I2456" s="17">
        <v>0</v>
      </c>
      <c r="J2456" s="17">
        <v>0</v>
      </c>
      <c r="K2456" s="17">
        <f t="shared" si="424"/>
        <v>386.5</v>
      </c>
      <c r="L2456" s="23">
        <f t="shared" si="431"/>
        <v>19.325000000000003</v>
      </c>
      <c r="M2456" s="33">
        <v>10</v>
      </c>
      <c r="N2456" s="18">
        <f t="shared" si="425"/>
        <v>24.265753424657536</v>
      </c>
      <c r="O2456" s="23">
        <v>3671.75</v>
      </c>
      <c r="P2456" s="18">
        <f t="shared" si="426"/>
        <v>24.767123287671232</v>
      </c>
      <c r="Q2456" s="18">
        <v>0</v>
      </c>
      <c r="R2456" s="18">
        <f t="shared" si="423"/>
        <v>3671.75</v>
      </c>
      <c r="S2456" s="18">
        <f t="shared" si="430"/>
        <v>19.325000000000003</v>
      </c>
    </row>
    <row r="2457" spans="1:19" ht="18.75" customHeight="1" x14ac:dyDescent="0.25">
      <c r="A2457" s="14">
        <f t="shared" si="427"/>
        <v>2451</v>
      </c>
      <c r="B2457" s="31" t="s">
        <v>2085</v>
      </c>
      <c r="C2457" s="15" t="s">
        <v>3</v>
      </c>
      <c r="D2457" s="31" t="s">
        <v>1708</v>
      </c>
      <c r="E2457" s="31"/>
      <c r="F2457" s="73" t="s">
        <v>4</v>
      </c>
      <c r="G2457" s="32">
        <v>35431</v>
      </c>
      <c r="H2457" s="29">
        <v>307</v>
      </c>
      <c r="I2457" s="17">
        <v>0</v>
      </c>
      <c r="J2457" s="17">
        <v>0</v>
      </c>
      <c r="K2457" s="17">
        <f t="shared" si="424"/>
        <v>307</v>
      </c>
      <c r="L2457" s="23">
        <f t="shared" si="431"/>
        <v>15.350000000000001</v>
      </c>
      <c r="M2457" s="33">
        <v>10</v>
      </c>
      <c r="N2457" s="18">
        <f t="shared" si="425"/>
        <v>24.265753424657536</v>
      </c>
      <c r="O2457" s="23">
        <v>2916.5</v>
      </c>
      <c r="P2457" s="18">
        <f t="shared" si="426"/>
        <v>24.767123287671232</v>
      </c>
      <c r="Q2457" s="18">
        <v>0</v>
      </c>
      <c r="R2457" s="18">
        <f t="shared" si="423"/>
        <v>2916.5</v>
      </c>
      <c r="S2457" s="18">
        <f t="shared" si="430"/>
        <v>15.350000000000001</v>
      </c>
    </row>
    <row r="2458" spans="1:19" ht="18.75" customHeight="1" x14ac:dyDescent="0.25">
      <c r="A2458" s="14">
        <f t="shared" si="427"/>
        <v>2452</v>
      </c>
      <c r="B2458" s="31" t="s">
        <v>2086</v>
      </c>
      <c r="C2458" s="15" t="s">
        <v>3</v>
      </c>
      <c r="D2458" s="31" t="s">
        <v>1708</v>
      </c>
      <c r="E2458" s="31"/>
      <c r="F2458" s="73" t="s">
        <v>4</v>
      </c>
      <c r="G2458" s="32">
        <v>41578</v>
      </c>
      <c r="H2458" s="29">
        <v>769.91780821917814</v>
      </c>
      <c r="I2458" s="17">
        <v>0</v>
      </c>
      <c r="J2458" s="17">
        <v>0</v>
      </c>
      <c r="K2458" s="17">
        <f t="shared" si="424"/>
        <v>769.91780821917814</v>
      </c>
      <c r="L2458" s="23">
        <f t="shared" si="431"/>
        <v>38.495890410958907</v>
      </c>
      <c r="M2458" s="33">
        <v>10</v>
      </c>
      <c r="N2458" s="18">
        <f t="shared" si="425"/>
        <v>7.4246575342465757</v>
      </c>
      <c r="O2458" s="23">
        <v>452.25205479452063</v>
      </c>
      <c r="P2458" s="18">
        <f t="shared" si="426"/>
        <v>7.9260273972602739</v>
      </c>
      <c r="Q2458" s="18">
        <f t="shared" ref="Q2458:Q2508" si="432">(P2458-N2458)/M2458*(K2458-L2458)</f>
        <v>36.671290673672331</v>
      </c>
      <c r="R2458" s="18">
        <f t="shared" si="423"/>
        <v>488.92334546819296</v>
      </c>
      <c r="S2458" s="18">
        <f t="shared" si="428"/>
        <v>280.99446275098518</v>
      </c>
    </row>
    <row r="2459" spans="1:19" ht="18.75" customHeight="1" x14ac:dyDescent="0.25">
      <c r="A2459" s="14">
        <f t="shared" si="427"/>
        <v>2453</v>
      </c>
      <c r="B2459" s="31" t="s">
        <v>1557</v>
      </c>
      <c r="C2459" s="15" t="s">
        <v>3</v>
      </c>
      <c r="D2459" s="31" t="s">
        <v>1708</v>
      </c>
      <c r="E2459" s="31"/>
      <c r="F2459" s="73" t="s">
        <v>4</v>
      </c>
      <c r="G2459" s="32">
        <v>41258</v>
      </c>
      <c r="H2459" s="29">
        <v>49.871999999999957</v>
      </c>
      <c r="I2459" s="17">
        <v>0</v>
      </c>
      <c r="J2459" s="17">
        <v>0</v>
      </c>
      <c r="K2459" s="17">
        <f t="shared" si="424"/>
        <v>49.871999999999957</v>
      </c>
      <c r="L2459" s="23">
        <f t="shared" si="431"/>
        <v>2.493599999999998</v>
      </c>
      <c r="M2459" s="33">
        <v>5</v>
      </c>
      <c r="N2459" s="18">
        <f t="shared" si="425"/>
        <v>8.3013698630136989</v>
      </c>
      <c r="O2459" s="23">
        <v>473.78400000000005</v>
      </c>
      <c r="P2459" s="18">
        <f t="shared" si="426"/>
        <v>8.8027397260273972</v>
      </c>
      <c r="Q2459" s="18">
        <v>0</v>
      </c>
      <c r="R2459" s="18">
        <f t="shared" si="423"/>
        <v>473.78400000000005</v>
      </c>
      <c r="S2459" s="18">
        <f>L2459</f>
        <v>2.493599999999998</v>
      </c>
    </row>
    <row r="2460" spans="1:19" ht="18.75" customHeight="1" x14ac:dyDescent="0.25">
      <c r="A2460" s="14">
        <f t="shared" si="427"/>
        <v>2454</v>
      </c>
      <c r="B2460" s="31" t="s">
        <v>2087</v>
      </c>
      <c r="C2460" s="15" t="s">
        <v>3</v>
      </c>
      <c r="D2460" s="31" t="s">
        <v>1708</v>
      </c>
      <c r="E2460" s="31"/>
      <c r="F2460" s="73" t="s">
        <v>4</v>
      </c>
      <c r="G2460" s="32">
        <v>40892</v>
      </c>
      <c r="H2460" s="29">
        <v>579.54246575342472</v>
      </c>
      <c r="I2460" s="17">
        <v>0</v>
      </c>
      <c r="J2460" s="17">
        <v>0</v>
      </c>
      <c r="K2460" s="17">
        <f t="shared" si="424"/>
        <v>579.54246575342472</v>
      </c>
      <c r="L2460" s="23">
        <f t="shared" si="431"/>
        <v>28.977123287671237</v>
      </c>
      <c r="M2460" s="33">
        <v>10</v>
      </c>
      <c r="N2460" s="18">
        <f t="shared" si="425"/>
        <v>9.3041095890410954</v>
      </c>
      <c r="O2460" s="23">
        <v>425.70931506849308</v>
      </c>
      <c r="P2460" s="18">
        <f t="shared" si="426"/>
        <v>9.8054794520547937</v>
      </c>
      <c r="Q2460" s="18">
        <f t="shared" si="432"/>
        <v>27.60368703321447</v>
      </c>
      <c r="R2460" s="18">
        <f t="shared" si="423"/>
        <v>453.31300210170753</v>
      </c>
      <c r="S2460" s="18">
        <f t="shared" si="428"/>
        <v>126.2294636517172</v>
      </c>
    </row>
    <row r="2461" spans="1:19" ht="18.75" customHeight="1" x14ac:dyDescent="0.25">
      <c r="A2461" s="14">
        <f t="shared" si="427"/>
        <v>2455</v>
      </c>
      <c r="B2461" s="31" t="s">
        <v>2087</v>
      </c>
      <c r="C2461" s="15" t="s">
        <v>3</v>
      </c>
      <c r="D2461" s="31" t="s">
        <v>1708</v>
      </c>
      <c r="E2461" s="31"/>
      <c r="F2461" s="73" t="s">
        <v>4</v>
      </c>
      <c r="G2461" s="32">
        <v>40954</v>
      </c>
      <c r="H2461" s="29">
        <v>591.34716712328759</v>
      </c>
      <c r="I2461" s="17">
        <v>0</v>
      </c>
      <c r="J2461" s="17">
        <v>0</v>
      </c>
      <c r="K2461" s="17">
        <f t="shared" si="424"/>
        <v>591.34716712328759</v>
      </c>
      <c r="L2461" s="23">
        <f t="shared" si="431"/>
        <v>29.56735835616438</v>
      </c>
      <c r="M2461" s="33">
        <v>10</v>
      </c>
      <c r="N2461" s="18">
        <f t="shared" si="425"/>
        <v>9.1342465753424662</v>
      </c>
      <c r="O2461" s="23">
        <v>424.41306739726031</v>
      </c>
      <c r="P2461" s="18">
        <f t="shared" si="426"/>
        <v>9.6356164383561644</v>
      </c>
      <c r="Q2461" s="18">
        <f t="shared" si="432"/>
        <v>28.165946576543416</v>
      </c>
      <c r="R2461" s="18">
        <f t="shared" si="423"/>
        <v>452.57901397380374</v>
      </c>
      <c r="S2461" s="18">
        <f t="shared" si="428"/>
        <v>138.76815314948385</v>
      </c>
    </row>
    <row r="2462" spans="1:19" ht="18.75" customHeight="1" x14ac:dyDescent="0.25">
      <c r="A2462" s="14">
        <f t="shared" si="427"/>
        <v>2456</v>
      </c>
      <c r="B2462" s="31" t="s">
        <v>1817</v>
      </c>
      <c r="C2462" s="15" t="s">
        <v>3</v>
      </c>
      <c r="D2462" s="31" t="s">
        <v>1708</v>
      </c>
      <c r="E2462" s="31"/>
      <c r="F2462" s="73" t="s">
        <v>4</v>
      </c>
      <c r="G2462" s="32">
        <v>35431</v>
      </c>
      <c r="H2462" s="29">
        <v>187.5</v>
      </c>
      <c r="I2462" s="17">
        <v>0</v>
      </c>
      <c r="J2462" s="17">
        <v>0</v>
      </c>
      <c r="K2462" s="17">
        <f t="shared" si="424"/>
        <v>187.5</v>
      </c>
      <c r="L2462" s="23">
        <f t="shared" si="431"/>
        <v>9.375</v>
      </c>
      <c r="M2462" s="33">
        <v>10</v>
      </c>
      <c r="N2462" s="18">
        <f t="shared" si="425"/>
        <v>24.265753424657536</v>
      </c>
      <c r="O2462" s="23">
        <v>1781.25</v>
      </c>
      <c r="P2462" s="18">
        <f t="shared" si="426"/>
        <v>24.767123287671232</v>
      </c>
      <c r="Q2462" s="18">
        <v>0</v>
      </c>
      <c r="R2462" s="18">
        <f t="shared" si="423"/>
        <v>1781.25</v>
      </c>
      <c r="S2462" s="18">
        <f t="shared" ref="S2462:S2466" si="433">L2462</f>
        <v>9.375</v>
      </c>
    </row>
    <row r="2463" spans="1:19" ht="18.75" customHeight="1" x14ac:dyDescent="0.25">
      <c r="A2463" s="14">
        <f t="shared" si="427"/>
        <v>2457</v>
      </c>
      <c r="B2463" s="31" t="s">
        <v>2088</v>
      </c>
      <c r="C2463" s="15" t="s">
        <v>3</v>
      </c>
      <c r="D2463" s="31" t="s">
        <v>1708</v>
      </c>
      <c r="E2463" s="31"/>
      <c r="F2463" s="73" t="s">
        <v>4</v>
      </c>
      <c r="G2463" s="32">
        <v>35431</v>
      </c>
      <c r="H2463" s="29">
        <v>180.44999999999982</v>
      </c>
      <c r="I2463" s="17">
        <v>0</v>
      </c>
      <c r="J2463" s="17">
        <v>0</v>
      </c>
      <c r="K2463" s="17">
        <f t="shared" si="424"/>
        <v>180.44999999999982</v>
      </c>
      <c r="L2463" s="23">
        <f t="shared" si="431"/>
        <v>9.022499999999992</v>
      </c>
      <c r="M2463" s="33">
        <v>10</v>
      </c>
      <c r="N2463" s="18">
        <f t="shared" si="425"/>
        <v>24.265753424657536</v>
      </c>
      <c r="O2463" s="23">
        <v>1714.2750000000001</v>
      </c>
      <c r="P2463" s="18">
        <f t="shared" si="426"/>
        <v>24.767123287671232</v>
      </c>
      <c r="Q2463" s="18">
        <v>0</v>
      </c>
      <c r="R2463" s="18">
        <f t="shared" si="423"/>
        <v>1714.2750000000001</v>
      </c>
      <c r="S2463" s="18">
        <f t="shared" si="433"/>
        <v>9.022499999999992</v>
      </c>
    </row>
    <row r="2464" spans="1:19" ht="18.75" customHeight="1" x14ac:dyDescent="0.25">
      <c r="A2464" s="14">
        <f t="shared" si="427"/>
        <v>2458</v>
      </c>
      <c r="B2464" s="31" t="s">
        <v>2089</v>
      </c>
      <c r="C2464" s="15" t="s">
        <v>3</v>
      </c>
      <c r="D2464" s="31" t="s">
        <v>1708</v>
      </c>
      <c r="E2464" s="31"/>
      <c r="F2464" s="73" t="s">
        <v>4</v>
      </c>
      <c r="G2464" s="32">
        <v>39948</v>
      </c>
      <c r="H2464" s="29">
        <v>47.152000000000044</v>
      </c>
      <c r="I2464" s="17">
        <v>0</v>
      </c>
      <c r="J2464" s="17">
        <v>0</v>
      </c>
      <c r="K2464" s="17">
        <f t="shared" si="424"/>
        <v>47.152000000000044</v>
      </c>
      <c r="L2464" s="23">
        <f t="shared" si="431"/>
        <v>2.3576000000000024</v>
      </c>
      <c r="M2464" s="33">
        <v>10</v>
      </c>
      <c r="N2464" s="18">
        <f t="shared" si="425"/>
        <v>11.890410958904109</v>
      </c>
      <c r="O2464" s="23">
        <v>447.94399999999996</v>
      </c>
      <c r="P2464" s="18">
        <f t="shared" si="426"/>
        <v>12.391780821917807</v>
      </c>
      <c r="Q2464" s="18">
        <v>0</v>
      </c>
      <c r="R2464" s="18">
        <f t="shared" si="423"/>
        <v>447.94399999999996</v>
      </c>
      <c r="S2464" s="18">
        <f t="shared" si="433"/>
        <v>2.3576000000000024</v>
      </c>
    </row>
    <row r="2465" spans="1:19" ht="18.75" customHeight="1" x14ac:dyDescent="0.25">
      <c r="A2465" s="14">
        <f t="shared" si="427"/>
        <v>2459</v>
      </c>
      <c r="B2465" s="31" t="s">
        <v>1840</v>
      </c>
      <c r="C2465" s="15" t="s">
        <v>3</v>
      </c>
      <c r="D2465" s="31" t="s">
        <v>1708</v>
      </c>
      <c r="E2465" s="31"/>
      <c r="F2465" s="73" t="s">
        <v>4</v>
      </c>
      <c r="G2465" s="32">
        <v>39767</v>
      </c>
      <c r="H2465" s="29">
        <v>46.579500000000053</v>
      </c>
      <c r="I2465" s="17">
        <v>0</v>
      </c>
      <c r="J2465" s="17">
        <v>0</v>
      </c>
      <c r="K2465" s="17">
        <f t="shared" si="424"/>
        <v>46.579500000000053</v>
      </c>
      <c r="L2465" s="23">
        <f t="shared" si="431"/>
        <v>2.3289750000000029</v>
      </c>
      <c r="M2465" s="33">
        <v>10</v>
      </c>
      <c r="N2465" s="18">
        <f t="shared" si="425"/>
        <v>12.386301369863014</v>
      </c>
      <c r="O2465" s="23">
        <v>442.50524999999999</v>
      </c>
      <c r="P2465" s="18">
        <f t="shared" si="426"/>
        <v>12.887671232876713</v>
      </c>
      <c r="Q2465" s="18">
        <v>0</v>
      </c>
      <c r="R2465" s="18">
        <f t="shared" si="423"/>
        <v>442.50524999999999</v>
      </c>
      <c r="S2465" s="18">
        <f t="shared" si="433"/>
        <v>2.3289750000000029</v>
      </c>
    </row>
    <row r="2466" spans="1:19" ht="18.75" customHeight="1" x14ac:dyDescent="0.25">
      <c r="A2466" s="14">
        <f t="shared" si="427"/>
        <v>2460</v>
      </c>
      <c r="B2466" s="31" t="s">
        <v>2090</v>
      </c>
      <c r="C2466" s="15" t="s">
        <v>3</v>
      </c>
      <c r="D2466" s="31" t="s">
        <v>1708</v>
      </c>
      <c r="E2466" s="31"/>
      <c r="F2466" s="73" t="s">
        <v>4</v>
      </c>
      <c r="G2466" s="32">
        <v>35431</v>
      </c>
      <c r="H2466" s="29">
        <v>158.5</v>
      </c>
      <c r="I2466" s="17">
        <v>0</v>
      </c>
      <c r="J2466" s="17">
        <v>0</v>
      </c>
      <c r="K2466" s="17">
        <f t="shared" si="424"/>
        <v>158.5</v>
      </c>
      <c r="L2466" s="23">
        <f t="shared" si="431"/>
        <v>7.9250000000000007</v>
      </c>
      <c r="M2466" s="33">
        <v>10</v>
      </c>
      <c r="N2466" s="18">
        <f t="shared" si="425"/>
        <v>24.265753424657536</v>
      </c>
      <c r="O2466" s="23">
        <v>1505.75</v>
      </c>
      <c r="P2466" s="18">
        <f t="shared" si="426"/>
        <v>24.767123287671232</v>
      </c>
      <c r="Q2466" s="18">
        <v>0</v>
      </c>
      <c r="R2466" s="18">
        <f t="shared" si="423"/>
        <v>1505.75</v>
      </c>
      <c r="S2466" s="18">
        <f t="shared" si="433"/>
        <v>7.9250000000000007</v>
      </c>
    </row>
    <row r="2467" spans="1:19" ht="18.75" customHeight="1" x14ac:dyDescent="0.25">
      <c r="A2467" s="14">
        <f t="shared" si="427"/>
        <v>2461</v>
      </c>
      <c r="B2467" s="31" t="s">
        <v>1958</v>
      </c>
      <c r="C2467" s="15" t="s">
        <v>3</v>
      </c>
      <c r="D2467" s="31" t="s">
        <v>1708</v>
      </c>
      <c r="E2467" s="31"/>
      <c r="F2467" s="73" t="s">
        <v>4</v>
      </c>
      <c r="G2467" s="32">
        <v>41320</v>
      </c>
      <c r="H2467" s="29">
        <v>632.49041095890414</v>
      </c>
      <c r="I2467" s="17">
        <v>0</v>
      </c>
      <c r="J2467" s="17">
        <v>0</v>
      </c>
      <c r="K2467" s="17">
        <f t="shared" si="424"/>
        <v>632.49041095890414</v>
      </c>
      <c r="L2467" s="23">
        <f t="shared" si="431"/>
        <v>31.62452054794521</v>
      </c>
      <c r="M2467" s="33">
        <v>10</v>
      </c>
      <c r="N2467" s="18">
        <f t="shared" si="425"/>
        <v>8.131506849315068</v>
      </c>
      <c r="O2467" s="23">
        <v>400.9832876712328</v>
      </c>
      <c r="P2467" s="18">
        <f t="shared" si="426"/>
        <v>8.632876712328768</v>
      </c>
      <c r="Q2467" s="18">
        <f t="shared" si="432"/>
        <v>30.125604916494737</v>
      </c>
      <c r="R2467" s="18">
        <f t="shared" si="423"/>
        <v>431.10889258772755</v>
      </c>
      <c r="S2467" s="18">
        <f t="shared" si="428"/>
        <v>201.38151837117658</v>
      </c>
    </row>
    <row r="2468" spans="1:19" ht="18.75" customHeight="1" x14ac:dyDescent="0.25">
      <c r="A2468" s="14">
        <f t="shared" si="427"/>
        <v>2462</v>
      </c>
      <c r="B2468" s="31" t="s">
        <v>1854</v>
      </c>
      <c r="C2468" s="15" t="s">
        <v>3</v>
      </c>
      <c r="D2468" s="31" t="s">
        <v>1708</v>
      </c>
      <c r="E2468" s="31"/>
      <c r="F2468" s="73" t="s">
        <v>4</v>
      </c>
      <c r="G2468" s="32">
        <v>35431</v>
      </c>
      <c r="H2468" s="29">
        <v>125.5</v>
      </c>
      <c r="I2468" s="17">
        <v>0</v>
      </c>
      <c r="J2468" s="17">
        <v>0</v>
      </c>
      <c r="K2468" s="17">
        <f t="shared" si="424"/>
        <v>125.5</v>
      </c>
      <c r="L2468" s="23">
        <f t="shared" si="431"/>
        <v>6.2750000000000004</v>
      </c>
      <c r="M2468" s="33">
        <v>10</v>
      </c>
      <c r="N2468" s="18">
        <f t="shared" si="425"/>
        <v>24.265753424657536</v>
      </c>
      <c r="O2468" s="23">
        <v>1192.25</v>
      </c>
      <c r="P2468" s="18">
        <f t="shared" si="426"/>
        <v>24.767123287671232</v>
      </c>
      <c r="Q2468" s="18">
        <v>0</v>
      </c>
      <c r="R2468" s="18">
        <f t="shared" si="423"/>
        <v>1192.25</v>
      </c>
      <c r="S2468" s="18">
        <f t="shared" ref="S2468:S2472" si="434">L2468</f>
        <v>6.2750000000000004</v>
      </c>
    </row>
    <row r="2469" spans="1:19" ht="18.75" customHeight="1" x14ac:dyDescent="0.25">
      <c r="A2469" s="14">
        <f t="shared" si="427"/>
        <v>2463</v>
      </c>
      <c r="B2469" s="31" t="s">
        <v>2091</v>
      </c>
      <c r="C2469" s="15" t="s">
        <v>3</v>
      </c>
      <c r="D2469" s="31" t="s">
        <v>1708</v>
      </c>
      <c r="E2469" s="31"/>
      <c r="F2469" s="73" t="s">
        <v>4</v>
      </c>
      <c r="G2469" s="32">
        <v>35431</v>
      </c>
      <c r="H2469" s="29">
        <v>92.099999999999909</v>
      </c>
      <c r="I2469" s="17">
        <v>0</v>
      </c>
      <c r="J2469" s="17">
        <v>0</v>
      </c>
      <c r="K2469" s="17">
        <f t="shared" si="424"/>
        <v>92.099999999999909</v>
      </c>
      <c r="L2469" s="23">
        <f t="shared" si="431"/>
        <v>4.604999999999996</v>
      </c>
      <c r="M2469" s="33">
        <v>10</v>
      </c>
      <c r="N2469" s="18">
        <f t="shared" si="425"/>
        <v>24.265753424657536</v>
      </c>
      <c r="O2469" s="23">
        <v>874.95</v>
      </c>
      <c r="P2469" s="18">
        <f t="shared" si="426"/>
        <v>24.767123287671232</v>
      </c>
      <c r="Q2469" s="18">
        <v>0</v>
      </c>
      <c r="R2469" s="18">
        <f t="shared" si="423"/>
        <v>874.95</v>
      </c>
      <c r="S2469" s="18">
        <f t="shared" si="434"/>
        <v>4.604999999999996</v>
      </c>
    </row>
    <row r="2470" spans="1:19" ht="18.75" customHeight="1" x14ac:dyDescent="0.25">
      <c r="A2470" s="14">
        <f t="shared" si="427"/>
        <v>2464</v>
      </c>
      <c r="B2470" s="31" t="s">
        <v>2092</v>
      </c>
      <c r="C2470" s="15" t="s">
        <v>3</v>
      </c>
      <c r="D2470" s="31" t="s">
        <v>1708</v>
      </c>
      <c r="E2470" s="31"/>
      <c r="F2470" s="73" t="s">
        <v>4</v>
      </c>
      <c r="G2470" s="32">
        <v>35431</v>
      </c>
      <c r="H2470" s="29">
        <v>6.4000000000000057</v>
      </c>
      <c r="I2470" s="17">
        <v>0</v>
      </c>
      <c r="J2470" s="17">
        <v>0</v>
      </c>
      <c r="K2470" s="17">
        <f t="shared" si="424"/>
        <v>6.4000000000000057</v>
      </c>
      <c r="L2470" s="23">
        <f t="shared" si="431"/>
        <v>0.32000000000000028</v>
      </c>
      <c r="M2470" s="33">
        <v>10</v>
      </c>
      <c r="N2470" s="18">
        <f t="shared" si="425"/>
        <v>24.265753424657536</v>
      </c>
      <c r="O2470" s="23">
        <v>60.8</v>
      </c>
      <c r="P2470" s="18">
        <f t="shared" si="426"/>
        <v>24.767123287671232</v>
      </c>
      <c r="Q2470" s="18">
        <v>0</v>
      </c>
      <c r="R2470" s="18">
        <f t="shared" si="423"/>
        <v>60.8</v>
      </c>
      <c r="S2470" s="18">
        <f t="shared" si="434"/>
        <v>0.32000000000000028</v>
      </c>
    </row>
    <row r="2471" spans="1:19" ht="18.75" customHeight="1" x14ac:dyDescent="0.25">
      <c r="A2471" s="14">
        <f t="shared" si="427"/>
        <v>2465</v>
      </c>
      <c r="B2471" s="31" t="s">
        <v>2093</v>
      </c>
      <c r="C2471" s="15" t="s">
        <v>3</v>
      </c>
      <c r="D2471" s="31" t="s">
        <v>1708</v>
      </c>
      <c r="E2471" s="31"/>
      <c r="F2471" s="73" t="s">
        <v>4</v>
      </c>
      <c r="G2471" s="32">
        <v>35431</v>
      </c>
      <c r="H2471" s="29">
        <v>2.2999999999999972</v>
      </c>
      <c r="I2471" s="17">
        <v>0</v>
      </c>
      <c r="J2471" s="17">
        <v>0</v>
      </c>
      <c r="K2471" s="17">
        <f t="shared" si="424"/>
        <v>2.2999999999999972</v>
      </c>
      <c r="L2471" s="23">
        <f t="shared" si="431"/>
        <v>0.11499999999999987</v>
      </c>
      <c r="M2471" s="33">
        <v>10</v>
      </c>
      <c r="N2471" s="18">
        <f t="shared" si="425"/>
        <v>24.265753424657536</v>
      </c>
      <c r="O2471" s="23">
        <v>21.85</v>
      </c>
      <c r="P2471" s="18">
        <f t="shared" si="426"/>
        <v>24.767123287671232</v>
      </c>
      <c r="Q2471" s="18">
        <v>0</v>
      </c>
      <c r="R2471" s="18">
        <f t="shared" si="423"/>
        <v>21.85</v>
      </c>
      <c r="S2471" s="18">
        <f t="shared" si="434"/>
        <v>0.11499999999999987</v>
      </c>
    </row>
    <row r="2472" spans="1:19" ht="18.75" customHeight="1" x14ac:dyDescent="0.25">
      <c r="A2472" s="14">
        <f t="shared" si="427"/>
        <v>2466</v>
      </c>
      <c r="B2472" s="31" t="s">
        <v>2094</v>
      </c>
      <c r="C2472" s="15" t="s">
        <v>3</v>
      </c>
      <c r="D2472" s="31" t="s">
        <v>1708</v>
      </c>
      <c r="E2472" s="31"/>
      <c r="F2472" s="73" t="s">
        <v>4</v>
      </c>
      <c r="G2472" s="32">
        <v>41105</v>
      </c>
      <c r="H2472" s="29">
        <v>42.277000000000044</v>
      </c>
      <c r="I2472" s="17">
        <v>0</v>
      </c>
      <c r="J2472" s="17">
        <v>0</v>
      </c>
      <c r="K2472" s="17">
        <f t="shared" si="424"/>
        <v>42.277000000000044</v>
      </c>
      <c r="L2472" s="23">
        <f t="shared" si="431"/>
        <v>2.1138500000000024</v>
      </c>
      <c r="M2472" s="33">
        <v>5</v>
      </c>
      <c r="N2472" s="18">
        <f t="shared" si="425"/>
        <v>8.7205479452054799</v>
      </c>
      <c r="O2472" s="23">
        <v>401.63149999999996</v>
      </c>
      <c r="P2472" s="18">
        <f t="shared" si="426"/>
        <v>9.2219178082191782</v>
      </c>
      <c r="Q2472" s="18">
        <v>0</v>
      </c>
      <c r="R2472" s="18">
        <f t="shared" si="423"/>
        <v>401.63149999999996</v>
      </c>
      <c r="S2472" s="18">
        <f t="shared" si="434"/>
        <v>2.1138500000000024</v>
      </c>
    </row>
    <row r="2473" spans="1:19" ht="18.75" customHeight="1" x14ac:dyDescent="0.25">
      <c r="A2473" s="14">
        <f t="shared" si="427"/>
        <v>2467</v>
      </c>
      <c r="B2473" s="31" t="s">
        <v>2095</v>
      </c>
      <c r="C2473" s="15" t="s">
        <v>3</v>
      </c>
      <c r="D2473" s="31" t="s">
        <v>1708</v>
      </c>
      <c r="E2473" s="31"/>
      <c r="F2473" s="73" t="s">
        <v>4</v>
      </c>
      <c r="G2473" s="32">
        <v>40739</v>
      </c>
      <c r="H2473" s="29">
        <v>466.23450904109592</v>
      </c>
      <c r="I2473" s="17">
        <v>0</v>
      </c>
      <c r="J2473" s="17">
        <v>0</v>
      </c>
      <c r="K2473" s="17">
        <f t="shared" si="424"/>
        <v>466.23450904109592</v>
      </c>
      <c r="L2473" s="23">
        <f t="shared" si="431"/>
        <v>23.311725452054798</v>
      </c>
      <c r="M2473" s="33">
        <v>10</v>
      </c>
      <c r="N2473" s="18">
        <f t="shared" si="425"/>
        <v>9.7232876712328764</v>
      </c>
      <c r="O2473" s="23">
        <v>363.83846569863022</v>
      </c>
      <c r="P2473" s="18">
        <f t="shared" si="426"/>
        <v>10.224657534246575</v>
      </c>
      <c r="Q2473" s="18">
        <v>0</v>
      </c>
      <c r="R2473" s="18">
        <f t="shared" si="423"/>
        <v>363.83846569863022</v>
      </c>
      <c r="S2473" s="18">
        <f t="shared" si="428"/>
        <v>102.3960433424657</v>
      </c>
    </row>
    <row r="2474" spans="1:19" ht="18.75" customHeight="1" x14ac:dyDescent="0.25">
      <c r="A2474" s="14">
        <f t="shared" si="427"/>
        <v>2468</v>
      </c>
      <c r="B2474" s="31" t="s">
        <v>1293</v>
      </c>
      <c r="C2474" s="15" t="s">
        <v>3</v>
      </c>
      <c r="D2474" s="31" t="s">
        <v>1708</v>
      </c>
      <c r="E2474" s="31"/>
      <c r="F2474" s="73" t="s">
        <v>4</v>
      </c>
      <c r="G2474" s="32">
        <v>41470</v>
      </c>
      <c r="H2474" s="29">
        <v>41.765999999999963</v>
      </c>
      <c r="I2474" s="17">
        <v>0</v>
      </c>
      <c r="J2474" s="17">
        <v>0</v>
      </c>
      <c r="K2474" s="17">
        <f t="shared" si="424"/>
        <v>41.765999999999963</v>
      </c>
      <c r="L2474" s="23">
        <f t="shared" si="431"/>
        <v>2.088299999999998</v>
      </c>
      <c r="M2474" s="33">
        <v>5</v>
      </c>
      <c r="N2474" s="18">
        <f t="shared" si="425"/>
        <v>7.720547945205479</v>
      </c>
      <c r="O2474" s="23">
        <v>396.77700000000004</v>
      </c>
      <c r="P2474" s="18">
        <f t="shared" si="426"/>
        <v>8.2219178082191782</v>
      </c>
      <c r="Q2474" s="18">
        <v>0</v>
      </c>
      <c r="R2474" s="18">
        <f t="shared" si="423"/>
        <v>396.77700000000004</v>
      </c>
      <c r="S2474" s="18">
        <f t="shared" ref="S2474:S2481" si="435">L2474</f>
        <v>2.088299999999998</v>
      </c>
    </row>
    <row r="2475" spans="1:19" ht="18.75" customHeight="1" x14ac:dyDescent="0.25">
      <c r="A2475" s="14">
        <f t="shared" si="427"/>
        <v>2469</v>
      </c>
      <c r="B2475" s="31" t="s">
        <v>2011</v>
      </c>
      <c r="C2475" s="15" t="s">
        <v>3</v>
      </c>
      <c r="D2475" s="31" t="s">
        <v>1708</v>
      </c>
      <c r="E2475" s="31"/>
      <c r="F2475" s="73" t="s">
        <v>4</v>
      </c>
      <c r="G2475" s="32">
        <v>41685</v>
      </c>
      <c r="H2475" s="29">
        <v>41.765999999999963</v>
      </c>
      <c r="I2475" s="17">
        <v>0</v>
      </c>
      <c r="J2475" s="17">
        <v>0</v>
      </c>
      <c r="K2475" s="17">
        <f t="shared" si="424"/>
        <v>41.765999999999963</v>
      </c>
      <c r="L2475" s="23">
        <f t="shared" si="431"/>
        <v>2.088299999999998</v>
      </c>
      <c r="M2475" s="33">
        <v>5</v>
      </c>
      <c r="N2475" s="18">
        <f t="shared" si="425"/>
        <v>7.1315068493150688</v>
      </c>
      <c r="O2475" s="23">
        <v>396.77700000000004</v>
      </c>
      <c r="P2475" s="18">
        <f t="shared" si="426"/>
        <v>7.6328767123287671</v>
      </c>
      <c r="Q2475" s="18">
        <v>0</v>
      </c>
      <c r="R2475" s="18">
        <f t="shared" si="423"/>
        <v>396.77700000000004</v>
      </c>
      <c r="S2475" s="18">
        <f t="shared" si="435"/>
        <v>2.088299999999998</v>
      </c>
    </row>
    <row r="2476" spans="1:19" ht="18.75" customHeight="1" x14ac:dyDescent="0.25">
      <c r="A2476" s="14">
        <f t="shared" si="427"/>
        <v>2470</v>
      </c>
      <c r="B2476" s="31" t="s">
        <v>2096</v>
      </c>
      <c r="C2476" s="15" t="s">
        <v>3</v>
      </c>
      <c r="D2476" s="31" t="s">
        <v>1708</v>
      </c>
      <c r="E2476" s="31"/>
      <c r="F2476" s="73" t="s">
        <v>4</v>
      </c>
      <c r="G2476" s="32">
        <v>35796</v>
      </c>
      <c r="H2476" s="29">
        <v>2061.8000000000029</v>
      </c>
      <c r="I2476" s="17">
        <v>0</v>
      </c>
      <c r="J2476" s="17">
        <v>0</v>
      </c>
      <c r="K2476" s="17">
        <f t="shared" si="424"/>
        <v>2061.8000000000029</v>
      </c>
      <c r="L2476" s="23">
        <f t="shared" si="431"/>
        <v>103.09000000000015</v>
      </c>
      <c r="M2476" s="33">
        <v>10</v>
      </c>
      <c r="N2476" s="18">
        <f t="shared" si="425"/>
        <v>23.265753424657536</v>
      </c>
      <c r="O2476" s="23">
        <v>19587.099999999999</v>
      </c>
      <c r="P2476" s="18">
        <f t="shared" si="426"/>
        <v>23.767123287671232</v>
      </c>
      <c r="Q2476" s="18">
        <v>0</v>
      </c>
      <c r="R2476" s="18">
        <f t="shared" si="423"/>
        <v>19587.099999999999</v>
      </c>
      <c r="S2476" s="18">
        <f t="shared" si="435"/>
        <v>103.09000000000015</v>
      </c>
    </row>
    <row r="2477" spans="1:19" ht="18.75" customHeight="1" x14ac:dyDescent="0.25">
      <c r="A2477" s="14">
        <f t="shared" si="427"/>
        <v>2471</v>
      </c>
      <c r="B2477" s="31" t="s">
        <v>2097</v>
      </c>
      <c r="C2477" s="15" t="s">
        <v>3</v>
      </c>
      <c r="D2477" s="31" t="s">
        <v>1708</v>
      </c>
      <c r="E2477" s="31"/>
      <c r="F2477" s="73" t="s">
        <v>4</v>
      </c>
      <c r="G2477" s="32">
        <v>35796</v>
      </c>
      <c r="H2477" s="29">
        <v>1908.25</v>
      </c>
      <c r="I2477" s="17">
        <v>0</v>
      </c>
      <c r="J2477" s="17">
        <v>0</v>
      </c>
      <c r="K2477" s="17">
        <f t="shared" si="424"/>
        <v>1908.25</v>
      </c>
      <c r="L2477" s="23">
        <f t="shared" si="431"/>
        <v>95.412500000000009</v>
      </c>
      <c r="M2477" s="33">
        <v>10</v>
      </c>
      <c r="N2477" s="18">
        <f t="shared" si="425"/>
        <v>23.265753424657536</v>
      </c>
      <c r="O2477" s="23">
        <v>18128.375</v>
      </c>
      <c r="P2477" s="18">
        <f t="shared" si="426"/>
        <v>23.767123287671232</v>
      </c>
      <c r="Q2477" s="18">
        <v>0</v>
      </c>
      <c r="R2477" s="18">
        <f t="shared" si="423"/>
        <v>18128.375</v>
      </c>
      <c r="S2477" s="18">
        <f t="shared" si="435"/>
        <v>95.412500000000009</v>
      </c>
    </row>
    <row r="2478" spans="1:19" ht="18.75" customHeight="1" x14ac:dyDescent="0.25">
      <c r="A2478" s="14">
        <f t="shared" si="427"/>
        <v>2472</v>
      </c>
      <c r="B2478" s="31" t="s">
        <v>2098</v>
      </c>
      <c r="C2478" s="15" t="s">
        <v>3</v>
      </c>
      <c r="D2478" s="31" t="s">
        <v>1708</v>
      </c>
      <c r="E2478" s="31"/>
      <c r="F2478" s="73" t="s">
        <v>4</v>
      </c>
      <c r="G2478" s="32">
        <v>35796</v>
      </c>
      <c r="H2478" s="29">
        <v>1556.25</v>
      </c>
      <c r="I2478" s="17">
        <v>0</v>
      </c>
      <c r="J2478" s="17">
        <v>0</v>
      </c>
      <c r="K2478" s="17">
        <f t="shared" si="424"/>
        <v>1556.25</v>
      </c>
      <c r="L2478" s="23">
        <f t="shared" si="431"/>
        <v>77.8125</v>
      </c>
      <c r="M2478" s="33">
        <v>10</v>
      </c>
      <c r="N2478" s="18">
        <f t="shared" si="425"/>
        <v>23.265753424657536</v>
      </c>
      <c r="O2478" s="23">
        <v>14784.375</v>
      </c>
      <c r="P2478" s="18">
        <f t="shared" si="426"/>
        <v>23.767123287671232</v>
      </c>
      <c r="Q2478" s="18">
        <v>0</v>
      </c>
      <c r="R2478" s="18">
        <f t="shared" si="423"/>
        <v>14784.375</v>
      </c>
      <c r="S2478" s="18">
        <f t="shared" si="435"/>
        <v>77.8125</v>
      </c>
    </row>
    <row r="2479" spans="1:19" ht="18.75" customHeight="1" x14ac:dyDescent="0.25">
      <c r="A2479" s="14">
        <f t="shared" si="427"/>
        <v>2473</v>
      </c>
      <c r="B2479" s="31" t="s">
        <v>2099</v>
      </c>
      <c r="C2479" s="15" t="s">
        <v>3</v>
      </c>
      <c r="D2479" s="31" t="s">
        <v>1708</v>
      </c>
      <c r="E2479" s="31"/>
      <c r="F2479" s="73" t="s">
        <v>4</v>
      </c>
      <c r="G2479" s="32">
        <v>35796</v>
      </c>
      <c r="H2479" s="29">
        <v>1256.2000000000007</v>
      </c>
      <c r="I2479" s="17">
        <v>0</v>
      </c>
      <c r="J2479" s="17">
        <v>0</v>
      </c>
      <c r="K2479" s="17">
        <f t="shared" si="424"/>
        <v>1256.2000000000007</v>
      </c>
      <c r="L2479" s="23">
        <f t="shared" si="431"/>
        <v>62.810000000000038</v>
      </c>
      <c r="M2479" s="33">
        <v>10</v>
      </c>
      <c r="N2479" s="18">
        <f t="shared" si="425"/>
        <v>23.265753424657536</v>
      </c>
      <c r="O2479" s="23">
        <v>11933.9</v>
      </c>
      <c r="P2479" s="18">
        <f t="shared" si="426"/>
        <v>23.767123287671232</v>
      </c>
      <c r="Q2479" s="18">
        <v>0</v>
      </c>
      <c r="R2479" s="18">
        <f t="shared" si="423"/>
        <v>11933.9</v>
      </c>
      <c r="S2479" s="18">
        <f t="shared" si="435"/>
        <v>62.810000000000038</v>
      </c>
    </row>
    <row r="2480" spans="1:19" ht="18.75" customHeight="1" x14ac:dyDescent="0.25">
      <c r="A2480" s="14">
        <f t="shared" si="427"/>
        <v>2474</v>
      </c>
      <c r="B2480" s="31" t="s">
        <v>2100</v>
      </c>
      <c r="C2480" s="15" t="s">
        <v>3</v>
      </c>
      <c r="D2480" s="31" t="s">
        <v>1708</v>
      </c>
      <c r="E2480" s="31"/>
      <c r="F2480" s="73" t="s">
        <v>4</v>
      </c>
      <c r="G2480" s="32">
        <v>35796</v>
      </c>
      <c r="H2480" s="29">
        <v>817.35000000000036</v>
      </c>
      <c r="I2480" s="17">
        <v>0</v>
      </c>
      <c r="J2480" s="17">
        <v>0</v>
      </c>
      <c r="K2480" s="17">
        <f t="shared" si="424"/>
        <v>817.35000000000036</v>
      </c>
      <c r="L2480" s="23">
        <f t="shared" si="431"/>
        <v>40.867500000000021</v>
      </c>
      <c r="M2480" s="33">
        <v>10</v>
      </c>
      <c r="N2480" s="18">
        <f t="shared" si="425"/>
        <v>23.265753424657536</v>
      </c>
      <c r="O2480" s="23">
        <v>7764.8249999999998</v>
      </c>
      <c r="P2480" s="18">
        <f t="shared" si="426"/>
        <v>23.767123287671232</v>
      </c>
      <c r="Q2480" s="18">
        <v>0</v>
      </c>
      <c r="R2480" s="18">
        <f t="shared" si="423"/>
        <v>7764.8249999999998</v>
      </c>
      <c r="S2480" s="18">
        <f t="shared" si="435"/>
        <v>40.867500000000021</v>
      </c>
    </row>
    <row r="2481" spans="1:19" ht="18.75" customHeight="1" x14ac:dyDescent="0.25">
      <c r="A2481" s="14">
        <f t="shared" si="427"/>
        <v>2475</v>
      </c>
      <c r="B2481" s="31" t="s">
        <v>2101</v>
      </c>
      <c r="C2481" s="15" t="s">
        <v>3</v>
      </c>
      <c r="D2481" s="31" t="s">
        <v>1708</v>
      </c>
      <c r="E2481" s="31"/>
      <c r="F2481" s="73" t="s">
        <v>4</v>
      </c>
      <c r="G2481" s="32">
        <v>35796</v>
      </c>
      <c r="H2481" s="29">
        <v>736.39999999999964</v>
      </c>
      <c r="I2481" s="17">
        <v>0</v>
      </c>
      <c r="J2481" s="17">
        <v>0</v>
      </c>
      <c r="K2481" s="17">
        <f t="shared" si="424"/>
        <v>736.39999999999964</v>
      </c>
      <c r="L2481" s="23">
        <f t="shared" si="431"/>
        <v>36.819999999999986</v>
      </c>
      <c r="M2481" s="33">
        <v>10</v>
      </c>
      <c r="N2481" s="18">
        <f t="shared" si="425"/>
        <v>23.265753424657536</v>
      </c>
      <c r="O2481" s="23">
        <v>6995.8</v>
      </c>
      <c r="P2481" s="18">
        <f t="shared" si="426"/>
        <v>23.767123287671232</v>
      </c>
      <c r="Q2481" s="18">
        <v>0</v>
      </c>
      <c r="R2481" s="18">
        <f t="shared" si="423"/>
        <v>6995.8</v>
      </c>
      <c r="S2481" s="18">
        <f t="shared" si="435"/>
        <v>36.819999999999986</v>
      </c>
    </row>
    <row r="2482" spans="1:19" ht="18.75" customHeight="1" x14ac:dyDescent="0.25">
      <c r="A2482" s="14">
        <f t="shared" si="427"/>
        <v>2476</v>
      </c>
      <c r="B2482" s="31" t="s">
        <v>2102</v>
      </c>
      <c r="C2482" s="15" t="s">
        <v>3</v>
      </c>
      <c r="D2482" s="31" t="s">
        <v>1708</v>
      </c>
      <c r="E2482" s="31"/>
      <c r="F2482" s="73" t="s">
        <v>4</v>
      </c>
      <c r="G2482" s="32">
        <v>40436</v>
      </c>
      <c r="H2482" s="29">
        <v>326.62528767123285</v>
      </c>
      <c r="I2482" s="17">
        <v>0</v>
      </c>
      <c r="J2482" s="17">
        <v>0</v>
      </c>
      <c r="K2482" s="17">
        <f t="shared" si="424"/>
        <v>326.62528767123285</v>
      </c>
      <c r="L2482" s="23">
        <f t="shared" si="431"/>
        <v>16.331264383561642</v>
      </c>
      <c r="M2482" s="33">
        <v>10</v>
      </c>
      <c r="N2482" s="18">
        <f t="shared" si="425"/>
        <v>10.553424657534247</v>
      </c>
      <c r="O2482" s="23">
        <v>291.96737808219194</v>
      </c>
      <c r="P2482" s="18">
        <f t="shared" si="426"/>
        <v>11.054794520547945</v>
      </c>
      <c r="Q2482" s="18">
        <v>0</v>
      </c>
      <c r="R2482" s="18">
        <f t="shared" si="423"/>
        <v>291.96737808219194</v>
      </c>
      <c r="S2482" s="18">
        <f t="shared" si="428"/>
        <v>34.657909589040912</v>
      </c>
    </row>
    <row r="2483" spans="1:19" ht="18.75" customHeight="1" x14ac:dyDescent="0.25">
      <c r="A2483" s="14">
        <f t="shared" si="427"/>
        <v>2477</v>
      </c>
      <c r="B2483" s="31" t="s">
        <v>2103</v>
      </c>
      <c r="C2483" s="15" t="s">
        <v>3</v>
      </c>
      <c r="D2483" s="31" t="s">
        <v>1708</v>
      </c>
      <c r="E2483" s="31"/>
      <c r="F2483" s="73" t="s">
        <v>4</v>
      </c>
      <c r="G2483" s="32">
        <v>35796</v>
      </c>
      <c r="H2483" s="29">
        <v>606.5</v>
      </c>
      <c r="I2483" s="17">
        <v>0</v>
      </c>
      <c r="J2483" s="17">
        <v>0</v>
      </c>
      <c r="K2483" s="17">
        <f t="shared" si="424"/>
        <v>606.5</v>
      </c>
      <c r="L2483" s="23">
        <f t="shared" si="431"/>
        <v>30.325000000000003</v>
      </c>
      <c r="M2483" s="33">
        <v>10</v>
      </c>
      <c r="N2483" s="18">
        <f t="shared" si="425"/>
        <v>23.265753424657536</v>
      </c>
      <c r="O2483" s="23">
        <v>5761.75</v>
      </c>
      <c r="P2483" s="18">
        <f t="shared" si="426"/>
        <v>23.767123287671232</v>
      </c>
      <c r="Q2483" s="18">
        <v>0</v>
      </c>
      <c r="R2483" s="18">
        <f t="shared" si="423"/>
        <v>5761.75</v>
      </c>
      <c r="S2483" s="18">
        <f t="shared" ref="S2483:S2495" si="436">L2483</f>
        <v>30.325000000000003</v>
      </c>
    </row>
    <row r="2484" spans="1:19" ht="18.75" customHeight="1" x14ac:dyDescent="0.25">
      <c r="A2484" s="14">
        <f t="shared" si="427"/>
        <v>2478</v>
      </c>
      <c r="B2484" s="31" t="s">
        <v>2104</v>
      </c>
      <c r="C2484" s="15" t="s">
        <v>3</v>
      </c>
      <c r="D2484" s="31" t="s">
        <v>1708</v>
      </c>
      <c r="E2484" s="31"/>
      <c r="F2484" s="73" t="s">
        <v>4</v>
      </c>
      <c r="G2484" s="32">
        <v>35796</v>
      </c>
      <c r="H2484" s="29">
        <v>549</v>
      </c>
      <c r="I2484" s="17">
        <v>0</v>
      </c>
      <c r="J2484" s="17">
        <v>0</v>
      </c>
      <c r="K2484" s="17">
        <f t="shared" si="424"/>
        <v>549</v>
      </c>
      <c r="L2484" s="23">
        <f t="shared" si="431"/>
        <v>27.450000000000003</v>
      </c>
      <c r="M2484" s="33">
        <v>10</v>
      </c>
      <c r="N2484" s="18">
        <f t="shared" si="425"/>
        <v>23.265753424657536</v>
      </c>
      <c r="O2484" s="23">
        <v>5215.5</v>
      </c>
      <c r="P2484" s="18">
        <f t="shared" si="426"/>
        <v>23.767123287671232</v>
      </c>
      <c r="Q2484" s="18">
        <v>0</v>
      </c>
      <c r="R2484" s="18">
        <f t="shared" si="423"/>
        <v>5215.5</v>
      </c>
      <c r="S2484" s="18">
        <f t="shared" si="436"/>
        <v>27.450000000000003</v>
      </c>
    </row>
    <row r="2485" spans="1:19" ht="18.75" customHeight="1" x14ac:dyDescent="0.25">
      <c r="A2485" s="14">
        <f t="shared" si="427"/>
        <v>2479</v>
      </c>
      <c r="B2485" s="31" t="s">
        <v>2105</v>
      </c>
      <c r="C2485" s="15" t="s">
        <v>3</v>
      </c>
      <c r="D2485" s="31" t="s">
        <v>1708</v>
      </c>
      <c r="E2485" s="31"/>
      <c r="F2485" s="73" t="s">
        <v>4</v>
      </c>
      <c r="G2485" s="32">
        <v>35796</v>
      </c>
      <c r="H2485" s="29">
        <v>452</v>
      </c>
      <c r="I2485" s="17">
        <v>0</v>
      </c>
      <c r="J2485" s="17">
        <v>0</v>
      </c>
      <c r="K2485" s="17">
        <f t="shared" si="424"/>
        <v>452</v>
      </c>
      <c r="L2485" s="23">
        <f t="shared" si="431"/>
        <v>22.6</v>
      </c>
      <c r="M2485" s="33">
        <v>10</v>
      </c>
      <c r="N2485" s="18">
        <f t="shared" si="425"/>
        <v>23.265753424657536</v>
      </c>
      <c r="O2485" s="23">
        <v>4294</v>
      </c>
      <c r="P2485" s="18">
        <f t="shared" si="426"/>
        <v>23.767123287671232</v>
      </c>
      <c r="Q2485" s="18">
        <v>0</v>
      </c>
      <c r="R2485" s="18">
        <f t="shared" si="423"/>
        <v>4294</v>
      </c>
      <c r="S2485" s="18">
        <f t="shared" si="436"/>
        <v>22.6</v>
      </c>
    </row>
    <row r="2486" spans="1:19" ht="18.75" customHeight="1" x14ac:dyDescent="0.25">
      <c r="A2486" s="14">
        <f t="shared" si="427"/>
        <v>2480</v>
      </c>
      <c r="B2486" s="31" t="s">
        <v>2106</v>
      </c>
      <c r="C2486" s="15" t="s">
        <v>3</v>
      </c>
      <c r="D2486" s="31" t="s">
        <v>1708</v>
      </c>
      <c r="E2486" s="31"/>
      <c r="F2486" s="73" t="s">
        <v>4</v>
      </c>
      <c r="G2486" s="32">
        <v>35796</v>
      </c>
      <c r="H2486" s="29">
        <v>330</v>
      </c>
      <c r="I2486" s="17">
        <v>0</v>
      </c>
      <c r="J2486" s="17">
        <v>0</v>
      </c>
      <c r="K2486" s="17">
        <f t="shared" si="424"/>
        <v>330</v>
      </c>
      <c r="L2486" s="23">
        <f t="shared" si="431"/>
        <v>16.5</v>
      </c>
      <c r="M2486" s="33">
        <v>10</v>
      </c>
      <c r="N2486" s="18">
        <f t="shared" si="425"/>
        <v>23.265753424657536</v>
      </c>
      <c r="O2486" s="23">
        <v>3135</v>
      </c>
      <c r="P2486" s="18">
        <f t="shared" si="426"/>
        <v>23.767123287671232</v>
      </c>
      <c r="Q2486" s="18">
        <v>0</v>
      </c>
      <c r="R2486" s="18">
        <f t="shared" si="423"/>
        <v>3135</v>
      </c>
      <c r="S2486" s="18">
        <f t="shared" si="436"/>
        <v>16.5</v>
      </c>
    </row>
    <row r="2487" spans="1:19" ht="18.75" customHeight="1" x14ac:dyDescent="0.25">
      <c r="A2487" s="14">
        <f t="shared" si="427"/>
        <v>2481</v>
      </c>
      <c r="B2487" s="31" t="s">
        <v>2107</v>
      </c>
      <c r="C2487" s="15" t="s">
        <v>3</v>
      </c>
      <c r="D2487" s="31" t="s">
        <v>1708</v>
      </c>
      <c r="E2487" s="31"/>
      <c r="F2487" s="73" t="s">
        <v>4</v>
      </c>
      <c r="G2487" s="32">
        <v>35796</v>
      </c>
      <c r="H2487" s="29">
        <v>283.25</v>
      </c>
      <c r="I2487" s="17">
        <v>0</v>
      </c>
      <c r="J2487" s="17">
        <v>0</v>
      </c>
      <c r="K2487" s="17">
        <f t="shared" si="424"/>
        <v>283.25</v>
      </c>
      <c r="L2487" s="23">
        <f t="shared" si="431"/>
        <v>14.162500000000001</v>
      </c>
      <c r="M2487" s="33">
        <v>10</v>
      </c>
      <c r="N2487" s="18">
        <f t="shared" si="425"/>
        <v>23.265753424657536</v>
      </c>
      <c r="O2487" s="23">
        <v>2690.875</v>
      </c>
      <c r="P2487" s="18">
        <f t="shared" si="426"/>
        <v>23.767123287671232</v>
      </c>
      <c r="Q2487" s="18">
        <v>0</v>
      </c>
      <c r="R2487" s="18">
        <f t="shared" si="423"/>
        <v>2690.875</v>
      </c>
      <c r="S2487" s="18">
        <f t="shared" si="436"/>
        <v>14.162500000000001</v>
      </c>
    </row>
    <row r="2488" spans="1:19" ht="18.75" customHeight="1" x14ac:dyDescent="0.25">
      <c r="A2488" s="14">
        <f t="shared" si="427"/>
        <v>2482</v>
      </c>
      <c r="B2488" s="31" t="s">
        <v>1811</v>
      </c>
      <c r="C2488" s="15" t="s">
        <v>3</v>
      </c>
      <c r="D2488" s="31" t="s">
        <v>1708</v>
      </c>
      <c r="E2488" s="31"/>
      <c r="F2488" s="73" t="s">
        <v>4</v>
      </c>
      <c r="G2488" s="32">
        <v>35796</v>
      </c>
      <c r="H2488" s="29">
        <v>225</v>
      </c>
      <c r="I2488" s="17">
        <v>0</v>
      </c>
      <c r="J2488" s="17">
        <v>0</v>
      </c>
      <c r="K2488" s="17">
        <f t="shared" si="424"/>
        <v>225</v>
      </c>
      <c r="L2488" s="23">
        <f t="shared" si="431"/>
        <v>11.25</v>
      </c>
      <c r="M2488" s="33">
        <v>10</v>
      </c>
      <c r="N2488" s="18">
        <f t="shared" si="425"/>
        <v>23.265753424657536</v>
      </c>
      <c r="O2488" s="23">
        <v>2137.5</v>
      </c>
      <c r="P2488" s="18">
        <f t="shared" si="426"/>
        <v>23.767123287671232</v>
      </c>
      <c r="Q2488" s="18">
        <v>0</v>
      </c>
      <c r="R2488" s="18">
        <f t="shared" si="423"/>
        <v>2137.5</v>
      </c>
      <c r="S2488" s="18">
        <f t="shared" si="436"/>
        <v>11.25</v>
      </c>
    </row>
    <row r="2489" spans="1:19" ht="18.75" customHeight="1" x14ac:dyDescent="0.25">
      <c r="A2489" s="14">
        <f t="shared" si="427"/>
        <v>2483</v>
      </c>
      <c r="B2489" s="31" t="s">
        <v>2108</v>
      </c>
      <c r="C2489" s="15" t="s">
        <v>3</v>
      </c>
      <c r="D2489" s="31" t="s">
        <v>1708</v>
      </c>
      <c r="E2489" s="31"/>
      <c r="F2489" s="73" t="s">
        <v>4</v>
      </c>
      <c r="G2489" s="32">
        <v>35796</v>
      </c>
      <c r="H2489" s="29">
        <v>158.69999999999982</v>
      </c>
      <c r="I2489" s="17">
        <v>0</v>
      </c>
      <c r="J2489" s="17">
        <v>0</v>
      </c>
      <c r="K2489" s="17">
        <f t="shared" si="424"/>
        <v>158.69999999999982</v>
      </c>
      <c r="L2489" s="23">
        <f t="shared" si="431"/>
        <v>7.9349999999999916</v>
      </c>
      <c r="M2489" s="33">
        <v>10</v>
      </c>
      <c r="N2489" s="18">
        <f t="shared" si="425"/>
        <v>23.265753424657536</v>
      </c>
      <c r="O2489" s="23">
        <v>1507.65</v>
      </c>
      <c r="P2489" s="18">
        <f t="shared" si="426"/>
        <v>23.767123287671232</v>
      </c>
      <c r="Q2489" s="18">
        <v>0</v>
      </c>
      <c r="R2489" s="18">
        <f t="shared" si="423"/>
        <v>1507.65</v>
      </c>
      <c r="S2489" s="18">
        <f t="shared" si="436"/>
        <v>7.9349999999999916</v>
      </c>
    </row>
    <row r="2490" spans="1:19" ht="18.75" customHeight="1" x14ac:dyDescent="0.25">
      <c r="A2490" s="14">
        <f t="shared" si="427"/>
        <v>2484</v>
      </c>
      <c r="B2490" s="31" t="s">
        <v>1822</v>
      </c>
      <c r="C2490" s="15" t="s">
        <v>3</v>
      </c>
      <c r="D2490" s="31" t="s">
        <v>1708</v>
      </c>
      <c r="E2490" s="31"/>
      <c r="F2490" s="73" t="s">
        <v>4</v>
      </c>
      <c r="G2490" s="32">
        <v>35796</v>
      </c>
      <c r="H2490" s="29">
        <v>114</v>
      </c>
      <c r="I2490" s="17">
        <v>0</v>
      </c>
      <c r="J2490" s="17">
        <v>0</v>
      </c>
      <c r="K2490" s="17">
        <f t="shared" si="424"/>
        <v>114</v>
      </c>
      <c r="L2490" s="23">
        <f t="shared" si="431"/>
        <v>5.7</v>
      </c>
      <c r="M2490" s="33">
        <v>10</v>
      </c>
      <c r="N2490" s="18">
        <f t="shared" si="425"/>
        <v>23.265753424657536</v>
      </c>
      <c r="O2490" s="23">
        <v>1083</v>
      </c>
      <c r="P2490" s="18">
        <f t="shared" si="426"/>
        <v>23.767123287671232</v>
      </c>
      <c r="Q2490" s="18">
        <v>0</v>
      </c>
      <c r="R2490" s="18">
        <f t="shared" si="423"/>
        <v>1083</v>
      </c>
      <c r="S2490" s="18">
        <f t="shared" si="436"/>
        <v>5.7</v>
      </c>
    </row>
    <row r="2491" spans="1:19" ht="18.75" customHeight="1" x14ac:dyDescent="0.25">
      <c r="A2491" s="14">
        <f t="shared" si="427"/>
        <v>2485</v>
      </c>
      <c r="B2491" s="31" t="s">
        <v>1831</v>
      </c>
      <c r="C2491" s="15" t="s">
        <v>3</v>
      </c>
      <c r="D2491" s="31" t="s">
        <v>1708</v>
      </c>
      <c r="E2491" s="31"/>
      <c r="F2491" s="73" t="s">
        <v>4</v>
      </c>
      <c r="G2491" s="32">
        <v>39887</v>
      </c>
      <c r="H2491" s="29">
        <v>30</v>
      </c>
      <c r="I2491" s="17">
        <v>0</v>
      </c>
      <c r="J2491" s="17">
        <v>0</v>
      </c>
      <c r="K2491" s="17">
        <f t="shared" si="424"/>
        <v>30</v>
      </c>
      <c r="L2491" s="23">
        <f t="shared" si="431"/>
        <v>1.5</v>
      </c>
      <c r="M2491" s="33">
        <v>10</v>
      </c>
      <c r="N2491" s="18">
        <f t="shared" si="425"/>
        <v>12.057534246575342</v>
      </c>
      <c r="O2491" s="23">
        <v>285</v>
      </c>
      <c r="P2491" s="18">
        <f t="shared" si="426"/>
        <v>12.558904109589042</v>
      </c>
      <c r="Q2491" s="18">
        <v>0</v>
      </c>
      <c r="R2491" s="18">
        <f t="shared" si="423"/>
        <v>285</v>
      </c>
      <c r="S2491" s="18">
        <f t="shared" si="436"/>
        <v>1.5</v>
      </c>
    </row>
    <row r="2492" spans="1:19" ht="18.75" customHeight="1" x14ac:dyDescent="0.25">
      <c r="A2492" s="14">
        <f t="shared" si="427"/>
        <v>2486</v>
      </c>
      <c r="B2492" s="31" t="s">
        <v>1831</v>
      </c>
      <c r="C2492" s="15" t="s">
        <v>3</v>
      </c>
      <c r="D2492" s="31" t="s">
        <v>1708</v>
      </c>
      <c r="E2492" s="31"/>
      <c r="F2492" s="73" t="s">
        <v>4</v>
      </c>
      <c r="G2492" s="32">
        <v>40101</v>
      </c>
      <c r="H2492" s="29">
        <v>30</v>
      </c>
      <c r="I2492" s="17">
        <v>0</v>
      </c>
      <c r="J2492" s="17">
        <v>0</v>
      </c>
      <c r="K2492" s="17">
        <f t="shared" si="424"/>
        <v>30</v>
      </c>
      <c r="L2492" s="23">
        <f t="shared" si="431"/>
        <v>1.5</v>
      </c>
      <c r="M2492" s="33">
        <v>10</v>
      </c>
      <c r="N2492" s="18">
        <f t="shared" si="425"/>
        <v>11.471232876712328</v>
      </c>
      <c r="O2492" s="23">
        <v>285</v>
      </c>
      <c r="P2492" s="18">
        <f t="shared" si="426"/>
        <v>11.972602739726028</v>
      </c>
      <c r="Q2492" s="18">
        <v>0</v>
      </c>
      <c r="R2492" s="18">
        <f t="shared" si="423"/>
        <v>285</v>
      </c>
      <c r="S2492" s="18">
        <f t="shared" si="436"/>
        <v>1.5</v>
      </c>
    </row>
    <row r="2493" spans="1:19" ht="18.75" customHeight="1" x14ac:dyDescent="0.25">
      <c r="A2493" s="14">
        <f t="shared" si="427"/>
        <v>2487</v>
      </c>
      <c r="B2493" s="31" t="s">
        <v>2109</v>
      </c>
      <c r="C2493" s="15" t="s">
        <v>3</v>
      </c>
      <c r="D2493" s="31" t="s">
        <v>1708</v>
      </c>
      <c r="E2493" s="31"/>
      <c r="F2493" s="73" t="s">
        <v>4</v>
      </c>
      <c r="G2493" s="32">
        <v>35796</v>
      </c>
      <c r="H2493" s="29">
        <v>91.549999999999955</v>
      </c>
      <c r="I2493" s="17">
        <v>0</v>
      </c>
      <c r="J2493" s="17">
        <v>0</v>
      </c>
      <c r="K2493" s="17">
        <f t="shared" si="424"/>
        <v>91.549999999999955</v>
      </c>
      <c r="L2493" s="23">
        <f t="shared" si="431"/>
        <v>4.5774999999999979</v>
      </c>
      <c r="M2493" s="33">
        <v>10</v>
      </c>
      <c r="N2493" s="18">
        <f t="shared" si="425"/>
        <v>23.265753424657536</v>
      </c>
      <c r="O2493" s="23">
        <v>869.72500000000002</v>
      </c>
      <c r="P2493" s="18">
        <f t="shared" si="426"/>
        <v>23.767123287671232</v>
      </c>
      <c r="Q2493" s="18">
        <v>0</v>
      </c>
      <c r="R2493" s="18">
        <f t="shared" si="423"/>
        <v>869.72500000000002</v>
      </c>
      <c r="S2493" s="18">
        <f t="shared" si="436"/>
        <v>4.5774999999999979</v>
      </c>
    </row>
    <row r="2494" spans="1:19" ht="18.75" customHeight="1" x14ac:dyDescent="0.25">
      <c r="A2494" s="14">
        <f t="shared" si="427"/>
        <v>2488</v>
      </c>
      <c r="B2494" s="31" t="s">
        <v>2110</v>
      </c>
      <c r="C2494" s="15" t="s">
        <v>3</v>
      </c>
      <c r="D2494" s="31" t="s">
        <v>1708</v>
      </c>
      <c r="E2494" s="31"/>
      <c r="F2494" s="73" t="s">
        <v>4</v>
      </c>
      <c r="G2494" s="32">
        <v>35796</v>
      </c>
      <c r="H2494" s="29">
        <v>31</v>
      </c>
      <c r="I2494" s="17">
        <v>0</v>
      </c>
      <c r="J2494" s="17">
        <v>0</v>
      </c>
      <c r="K2494" s="17">
        <f t="shared" si="424"/>
        <v>31</v>
      </c>
      <c r="L2494" s="23">
        <f t="shared" si="431"/>
        <v>1.55</v>
      </c>
      <c r="M2494" s="33">
        <v>10</v>
      </c>
      <c r="N2494" s="18">
        <f t="shared" si="425"/>
        <v>23.265753424657536</v>
      </c>
      <c r="O2494" s="23">
        <v>294.5</v>
      </c>
      <c r="P2494" s="18">
        <f t="shared" si="426"/>
        <v>23.767123287671232</v>
      </c>
      <c r="Q2494" s="18">
        <v>0</v>
      </c>
      <c r="R2494" s="18">
        <f t="shared" si="423"/>
        <v>294.5</v>
      </c>
      <c r="S2494" s="18">
        <f t="shared" si="436"/>
        <v>1.55</v>
      </c>
    </row>
    <row r="2495" spans="1:19" ht="18.75" customHeight="1" x14ac:dyDescent="0.25">
      <c r="A2495" s="14">
        <f t="shared" si="427"/>
        <v>2489</v>
      </c>
      <c r="B2495" s="31" t="s">
        <v>2111</v>
      </c>
      <c r="C2495" s="15" t="s">
        <v>3</v>
      </c>
      <c r="D2495" s="31" t="s">
        <v>1708</v>
      </c>
      <c r="E2495" s="31"/>
      <c r="F2495" s="73" t="s">
        <v>4</v>
      </c>
      <c r="G2495" s="32">
        <v>35796</v>
      </c>
      <c r="H2495" s="29">
        <v>28.899999999999977</v>
      </c>
      <c r="I2495" s="17">
        <v>0</v>
      </c>
      <c r="J2495" s="17">
        <v>0</v>
      </c>
      <c r="K2495" s="17">
        <f t="shared" si="424"/>
        <v>28.899999999999977</v>
      </c>
      <c r="L2495" s="23">
        <f t="shared" si="431"/>
        <v>1.444999999999999</v>
      </c>
      <c r="M2495" s="33">
        <v>10</v>
      </c>
      <c r="N2495" s="18">
        <f t="shared" si="425"/>
        <v>23.265753424657536</v>
      </c>
      <c r="O2495" s="23">
        <v>274.55</v>
      </c>
      <c r="P2495" s="18">
        <f t="shared" si="426"/>
        <v>23.767123287671232</v>
      </c>
      <c r="Q2495" s="18">
        <v>0</v>
      </c>
      <c r="R2495" s="18">
        <f t="shared" si="423"/>
        <v>274.55</v>
      </c>
      <c r="S2495" s="18">
        <f t="shared" si="436"/>
        <v>1.444999999999999</v>
      </c>
    </row>
    <row r="2496" spans="1:19" ht="18.75" customHeight="1" x14ac:dyDescent="0.25">
      <c r="A2496" s="14">
        <f t="shared" si="427"/>
        <v>2490</v>
      </c>
      <c r="B2496" s="31" t="s">
        <v>2112</v>
      </c>
      <c r="C2496" s="15" t="s">
        <v>3</v>
      </c>
      <c r="D2496" s="31" t="s">
        <v>1708</v>
      </c>
      <c r="E2496" s="31"/>
      <c r="F2496" s="73" t="s">
        <v>4</v>
      </c>
      <c r="G2496" s="32">
        <v>40739</v>
      </c>
      <c r="H2496" s="29">
        <v>308.86684931506852</v>
      </c>
      <c r="I2496" s="17">
        <v>0</v>
      </c>
      <c r="J2496" s="17">
        <v>0</v>
      </c>
      <c r="K2496" s="17">
        <f t="shared" si="424"/>
        <v>308.86684931506852</v>
      </c>
      <c r="L2496" s="23">
        <f t="shared" si="431"/>
        <v>15.443342465753426</v>
      </c>
      <c r="M2496" s="33">
        <v>10</v>
      </c>
      <c r="N2496" s="18">
        <f t="shared" si="425"/>
        <v>9.7232876712328764</v>
      </c>
      <c r="O2496" s="23">
        <v>241.03243835616442</v>
      </c>
      <c r="P2496" s="18">
        <f t="shared" si="426"/>
        <v>10.224657534246575</v>
      </c>
      <c r="Q2496" s="18">
        <v>0</v>
      </c>
      <c r="R2496" s="18">
        <f t="shared" si="423"/>
        <v>241.03243835616442</v>
      </c>
      <c r="S2496" s="18">
        <f t="shared" si="428"/>
        <v>67.834410958904101</v>
      </c>
    </row>
    <row r="2497" spans="1:19" ht="18.75" customHeight="1" x14ac:dyDescent="0.25">
      <c r="A2497" s="14">
        <f t="shared" si="427"/>
        <v>2491</v>
      </c>
      <c r="B2497" s="31" t="s">
        <v>1772</v>
      </c>
      <c r="C2497" s="15" t="s">
        <v>3</v>
      </c>
      <c r="D2497" s="31" t="s">
        <v>1708</v>
      </c>
      <c r="E2497" s="31"/>
      <c r="F2497" s="73" t="s">
        <v>4</v>
      </c>
      <c r="G2497" s="32">
        <v>39675</v>
      </c>
      <c r="H2497" s="29">
        <v>27.741499999999974</v>
      </c>
      <c r="I2497" s="17">
        <v>0</v>
      </c>
      <c r="J2497" s="17">
        <v>0</v>
      </c>
      <c r="K2497" s="17">
        <f t="shared" si="424"/>
        <v>27.741499999999974</v>
      </c>
      <c r="L2497" s="23">
        <f t="shared" si="431"/>
        <v>1.3870749999999987</v>
      </c>
      <c r="M2497" s="33">
        <v>10</v>
      </c>
      <c r="N2497" s="18">
        <f t="shared" si="425"/>
        <v>12.638356164383561</v>
      </c>
      <c r="O2497" s="23">
        <v>263.54425000000003</v>
      </c>
      <c r="P2497" s="18">
        <f t="shared" si="426"/>
        <v>13.139726027397261</v>
      </c>
      <c r="Q2497" s="18">
        <v>0</v>
      </c>
      <c r="R2497" s="18">
        <f t="shared" si="423"/>
        <v>263.54425000000003</v>
      </c>
      <c r="S2497" s="18">
        <f t="shared" ref="S2497:S2498" si="437">L2497</f>
        <v>1.3870749999999987</v>
      </c>
    </row>
    <row r="2498" spans="1:19" ht="18.75" customHeight="1" x14ac:dyDescent="0.25">
      <c r="A2498" s="14">
        <f t="shared" si="427"/>
        <v>2492</v>
      </c>
      <c r="B2498" s="31" t="s">
        <v>2113</v>
      </c>
      <c r="C2498" s="15" t="s">
        <v>3</v>
      </c>
      <c r="D2498" s="31" t="s">
        <v>1708</v>
      </c>
      <c r="E2498" s="31"/>
      <c r="F2498" s="73" t="s">
        <v>4</v>
      </c>
      <c r="G2498" s="32">
        <v>39083</v>
      </c>
      <c r="H2498" s="29">
        <v>27</v>
      </c>
      <c r="I2498" s="17">
        <v>0</v>
      </c>
      <c r="J2498" s="17">
        <v>0</v>
      </c>
      <c r="K2498" s="17">
        <f t="shared" si="424"/>
        <v>27</v>
      </c>
      <c r="L2498" s="23">
        <f t="shared" si="431"/>
        <v>1.35</v>
      </c>
      <c r="M2498" s="33">
        <v>10</v>
      </c>
      <c r="N2498" s="18">
        <f t="shared" si="425"/>
        <v>14.260273972602739</v>
      </c>
      <c r="O2498" s="23">
        <v>256.5</v>
      </c>
      <c r="P2498" s="18">
        <f t="shared" si="426"/>
        <v>14.761643835616438</v>
      </c>
      <c r="Q2498" s="18">
        <v>0</v>
      </c>
      <c r="R2498" s="18">
        <f t="shared" si="423"/>
        <v>256.5</v>
      </c>
      <c r="S2498" s="18">
        <f t="shared" si="437"/>
        <v>1.35</v>
      </c>
    </row>
    <row r="2499" spans="1:19" ht="18.75" customHeight="1" x14ac:dyDescent="0.25">
      <c r="A2499" s="14">
        <f t="shared" si="427"/>
        <v>2493</v>
      </c>
      <c r="B2499" s="31" t="s">
        <v>1840</v>
      </c>
      <c r="C2499" s="15" t="s">
        <v>3</v>
      </c>
      <c r="D2499" s="31" t="s">
        <v>1708</v>
      </c>
      <c r="E2499" s="31"/>
      <c r="F2499" s="73" t="s">
        <v>4</v>
      </c>
      <c r="G2499" s="32">
        <v>41348</v>
      </c>
      <c r="H2499" s="29">
        <v>374.90893150684929</v>
      </c>
      <c r="I2499" s="17">
        <v>0</v>
      </c>
      <c r="J2499" s="17">
        <v>0</v>
      </c>
      <c r="K2499" s="17">
        <f t="shared" si="424"/>
        <v>374.90893150684929</v>
      </c>
      <c r="L2499" s="23">
        <f t="shared" si="431"/>
        <v>18.745446575342466</v>
      </c>
      <c r="M2499" s="33">
        <v>10</v>
      </c>
      <c r="N2499" s="18">
        <f t="shared" si="425"/>
        <v>8.0547945205479454</v>
      </c>
      <c r="O2499" s="23">
        <v>235.62831780821918</v>
      </c>
      <c r="P2499" s="18">
        <f t="shared" si="426"/>
        <v>8.5561643835616437</v>
      </c>
      <c r="Q2499" s="18">
        <f t="shared" si="432"/>
        <v>17.856963765059096</v>
      </c>
      <c r="R2499" s="18">
        <f t="shared" si="423"/>
        <v>253.48528157327829</v>
      </c>
      <c r="S2499" s="18">
        <f t="shared" si="428"/>
        <v>121.423649933571</v>
      </c>
    </row>
    <row r="2500" spans="1:19" ht="18.75" customHeight="1" x14ac:dyDescent="0.25">
      <c r="A2500" s="14">
        <f t="shared" si="427"/>
        <v>2494</v>
      </c>
      <c r="B2500" s="31" t="s">
        <v>2114</v>
      </c>
      <c r="C2500" s="15" t="s">
        <v>3</v>
      </c>
      <c r="D2500" s="31" t="s">
        <v>1708</v>
      </c>
      <c r="E2500" s="31"/>
      <c r="F2500" s="73" t="s">
        <v>4</v>
      </c>
      <c r="G2500" s="32">
        <v>36161</v>
      </c>
      <c r="H2500" s="29">
        <v>4829.25</v>
      </c>
      <c r="I2500" s="17">
        <v>0</v>
      </c>
      <c r="J2500" s="17">
        <v>0</v>
      </c>
      <c r="K2500" s="17">
        <f t="shared" si="424"/>
        <v>4829.25</v>
      </c>
      <c r="L2500" s="23">
        <f t="shared" si="431"/>
        <v>241.46250000000001</v>
      </c>
      <c r="M2500" s="33">
        <v>10</v>
      </c>
      <c r="N2500" s="18">
        <f t="shared" si="425"/>
        <v>22.265753424657536</v>
      </c>
      <c r="O2500" s="23">
        <v>45877.875</v>
      </c>
      <c r="P2500" s="18">
        <f t="shared" si="426"/>
        <v>22.767123287671232</v>
      </c>
      <c r="Q2500" s="18">
        <v>0</v>
      </c>
      <c r="R2500" s="18">
        <f t="shared" ref="R2500:R2563" si="438">Q2500+O2500</f>
        <v>45877.875</v>
      </c>
      <c r="S2500" s="18">
        <f t="shared" ref="S2500:S2501" si="439">L2500</f>
        <v>241.46250000000001</v>
      </c>
    </row>
    <row r="2501" spans="1:19" ht="18.75" customHeight="1" x14ac:dyDescent="0.25">
      <c r="A2501" s="14">
        <f t="shared" si="427"/>
        <v>2495</v>
      </c>
      <c r="B2501" s="31" t="s">
        <v>2115</v>
      </c>
      <c r="C2501" s="15" t="s">
        <v>3</v>
      </c>
      <c r="D2501" s="31" t="s">
        <v>1708</v>
      </c>
      <c r="E2501" s="31"/>
      <c r="F2501" s="73" t="s">
        <v>4</v>
      </c>
      <c r="G2501" s="32">
        <v>36161</v>
      </c>
      <c r="H2501" s="29">
        <v>2160.4499999999971</v>
      </c>
      <c r="I2501" s="17">
        <v>0</v>
      </c>
      <c r="J2501" s="17">
        <v>0</v>
      </c>
      <c r="K2501" s="17">
        <f t="shared" ref="K2501:K2564" si="440">H2501+I2501-J2501</f>
        <v>2160.4499999999971</v>
      </c>
      <c r="L2501" s="23">
        <f t="shared" si="431"/>
        <v>108.02249999999987</v>
      </c>
      <c r="M2501" s="33">
        <v>10</v>
      </c>
      <c r="N2501" s="18">
        <f t="shared" ref="N2501:N2564" si="441">IF(($N$2-G2501+1)/365&gt;0,($N$2-G2501+1)/365,0)</f>
        <v>22.265753424657536</v>
      </c>
      <c r="O2501" s="23">
        <v>20524.275000000001</v>
      </c>
      <c r="P2501" s="18">
        <f t="shared" ref="P2501:P2564" si="442">($P$2-G2501+1)/365</f>
        <v>22.767123287671232</v>
      </c>
      <c r="Q2501" s="18">
        <v>0</v>
      </c>
      <c r="R2501" s="18">
        <f t="shared" si="438"/>
        <v>20524.275000000001</v>
      </c>
      <c r="S2501" s="18">
        <f t="shared" si="439"/>
        <v>108.02249999999987</v>
      </c>
    </row>
    <row r="2502" spans="1:19" ht="18.75" customHeight="1" x14ac:dyDescent="0.25">
      <c r="A2502" s="14">
        <f t="shared" ref="A2502:A2565" si="443">+A2501+1</f>
        <v>2496</v>
      </c>
      <c r="B2502" s="31" t="s">
        <v>2116</v>
      </c>
      <c r="C2502" s="15" t="s">
        <v>3</v>
      </c>
      <c r="D2502" s="31" t="s">
        <v>1708</v>
      </c>
      <c r="E2502" s="31"/>
      <c r="F2502" s="73" t="s">
        <v>4</v>
      </c>
      <c r="G2502" s="32">
        <v>40983</v>
      </c>
      <c r="H2502" s="29">
        <v>300.20824520547944</v>
      </c>
      <c r="I2502" s="17">
        <v>0</v>
      </c>
      <c r="J2502" s="17">
        <v>0</v>
      </c>
      <c r="K2502" s="17">
        <f t="shared" si="440"/>
        <v>300.20824520547944</v>
      </c>
      <c r="L2502" s="23">
        <f t="shared" si="431"/>
        <v>15.010412260273974</v>
      </c>
      <c r="M2502" s="33">
        <v>10</v>
      </c>
      <c r="N2502" s="18">
        <f t="shared" si="441"/>
        <v>9.0547945205479454</v>
      </c>
      <c r="O2502" s="23">
        <v>213.18536424657535</v>
      </c>
      <c r="P2502" s="18">
        <f t="shared" si="442"/>
        <v>9.5561643835616437</v>
      </c>
      <c r="Q2502" s="18">
        <f t="shared" si="432"/>
        <v>14.298959843554126</v>
      </c>
      <c r="R2502" s="18">
        <f t="shared" si="438"/>
        <v>227.48432409012946</v>
      </c>
      <c r="S2502" s="18">
        <f t="shared" ref="S2502:S2539" si="444">K2502-R2502</f>
        <v>72.723921115349981</v>
      </c>
    </row>
    <row r="2503" spans="1:19" ht="18.75" customHeight="1" x14ac:dyDescent="0.25">
      <c r="A2503" s="14">
        <f t="shared" si="443"/>
        <v>2497</v>
      </c>
      <c r="B2503" s="31" t="s">
        <v>2117</v>
      </c>
      <c r="C2503" s="15" t="s">
        <v>3</v>
      </c>
      <c r="D2503" s="31" t="s">
        <v>1708</v>
      </c>
      <c r="E2503" s="31"/>
      <c r="F2503" s="73" t="s">
        <v>4</v>
      </c>
      <c r="G2503" s="32">
        <v>40983</v>
      </c>
      <c r="H2503" s="29">
        <v>299.32256630136987</v>
      </c>
      <c r="I2503" s="17">
        <v>0</v>
      </c>
      <c r="J2503" s="17">
        <v>0</v>
      </c>
      <c r="K2503" s="17">
        <f t="shared" si="440"/>
        <v>299.32256630136987</v>
      </c>
      <c r="L2503" s="23">
        <f t="shared" si="431"/>
        <v>14.966128315068495</v>
      </c>
      <c r="M2503" s="33">
        <v>10</v>
      </c>
      <c r="N2503" s="18">
        <f t="shared" si="441"/>
        <v>9.0547945205479454</v>
      </c>
      <c r="O2503" s="23">
        <v>212.55642156164384</v>
      </c>
      <c r="P2503" s="18">
        <f t="shared" si="442"/>
        <v>9.5561643835616437</v>
      </c>
      <c r="Q2503" s="18">
        <f t="shared" si="432"/>
        <v>14.256774836025512</v>
      </c>
      <c r="R2503" s="18">
        <f t="shared" si="438"/>
        <v>226.81319639766934</v>
      </c>
      <c r="S2503" s="18">
        <f t="shared" si="444"/>
        <v>72.509369903700531</v>
      </c>
    </row>
    <row r="2504" spans="1:19" ht="18.75" customHeight="1" x14ac:dyDescent="0.25">
      <c r="A2504" s="14">
        <f t="shared" si="443"/>
        <v>2498</v>
      </c>
      <c r="B2504" s="31" t="s">
        <v>2118</v>
      </c>
      <c r="C2504" s="15" t="s">
        <v>3</v>
      </c>
      <c r="D2504" s="31" t="s">
        <v>1708</v>
      </c>
      <c r="E2504" s="31"/>
      <c r="F2504" s="73" t="s">
        <v>4</v>
      </c>
      <c r="G2504" s="32">
        <v>36161</v>
      </c>
      <c r="H2504" s="29">
        <v>2136.5500000000029</v>
      </c>
      <c r="I2504" s="17">
        <v>0</v>
      </c>
      <c r="J2504" s="17">
        <v>0</v>
      </c>
      <c r="K2504" s="17">
        <f t="shared" si="440"/>
        <v>2136.5500000000029</v>
      </c>
      <c r="L2504" s="23">
        <f t="shared" si="431"/>
        <v>106.82750000000016</v>
      </c>
      <c r="M2504" s="33">
        <v>10</v>
      </c>
      <c r="N2504" s="18">
        <f t="shared" si="441"/>
        <v>22.265753424657536</v>
      </c>
      <c r="O2504" s="23">
        <v>20297.224999999999</v>
      </c>
      <c r="P2504" s="18">
        <f t="shared" si="442"/>
        <v>22.767123287671232</v>
      </c>
      <c r="Q2504" s="18">
        <v>0</v>
      </c>
      <c r="R2504" s="18">
        <f t="shared" si="438"/>
        <v>20297.224999999999</v>
      </c>
      <c r="S2504" s="18">
        <f t="shared" ref="S2504:S2506" si="445">L2504</f>
        <v>106.82750000000016</v>
      </c>
    </row>
    <row r="2505" spans="1:19" ht="18.75" customHeight="1" x14ac:dyDescent="0.25">
      <c r="A2505" s="14">
        <f t="shared" si="443"/>
        <v>2499</v>
      </c>
      <c r="B2505" s="31" t="s">
        <v>2119</v>
      </c>
      <c r="C2505" s="15" t="s">
        <v>3</v>
      </c>
      <c r="D2505" s="31" t="s">
        <v>1708</v>
      </c>
      <c r="E2505" s="31"/>
      <c r="F2505" s="73" t="s">
        <v>4</v>
      </c>
      <c r="G2505" s="32">
        <v>36161</v>
      </c>
      <c r="H2505" s="29">
        <v>2073.75</v>
      </c>
      <c r="I2505" s="17">
        <v>0</v>
      </c>
      <c r="J2505" s="17">
        <v>0</v>
      </c>
      <c r="K2505" s="17">
        <f t="shared" si="440"/>
        <v>2073.75</v>
      </c>
      <c r="L2505" s="23">
        <f t="shared" si="431"/>
        <v>103.6875</v>
      </c>
      <c r="M2505" s="33">
        <v>10</v>
      </c>
      <c r="N2505" s="18">
        <f t="shared" si="441"/>
        <v>22.265753424657536</v>
      </c>
      <c r="O2505" s="23">
        <v>19700.625</v>
      </c>
      <c r="P2505" s="18">
        <f t="shared" si="442"/>
        <v>22.767123287671232</v>
      </c>
      <c r="Q2505" s="18">
        <v>0</v>
      </c>
      <c r="R2505" s="18">
        <f t="shared" si="438"/>
        <v>19700.625</v>
      </c>
      <c r="S2505" s="18">
        <f t="shared" si="445"/>
        <v>103.6875</v>
      </c>
    </row>
    <row r="2506" spans="1:19" ht="18.75" customHeight="1" x14ac:dyDescent="0.25">
      <c r="A2506" s="14">
        <f t="shared" si="443"/>
        <v>2500</v>
      </c>
      <c r="B2506" s="31" t="s">
        <v>2120</v>
      </c>
      <c r="C2506" s="15" t="s">
        <v>3</v>
      </c>
      <c r="D2506" s="31" t="s">
        <v>1708</v>
      </c>
      <c r="E2506" s="31"/>
      <c r="F2506" s="73" t="s">
        <v>4</v>
      </c>
      <c r="G2506" s="32">
        <v>36161</v>
      </c>
      <c r="H2506" s="29">
        <v>1953.9499999999971</v>
      </c>
      <c r="I2506" s="17">
        <v>0</v>
      </c>
      <c r="J2506" s="17">
        <v>0</v>
      </c>
      <c r="K2506" s="17">
        <f t="shared" si="440"/>
        <v>1953.9499999999971</v>
      </c>
      <c r="L2506" s="23">
        <f t="shared" si="431"/>
        <v>97.697499999999863</v>
      </c>
      <c r="M2506" s="33">
        <v>10</v>
      </c>
      <c r="N2506" s="18">
        <f t="shared" si="441"/>
        <v>22.265753424657536</v>
      </c>
      <c r="O2506" s="23">
        <v>18562.525000000001</v>
      </c>
      <c r="P2506" s="18">
        <f t="shared" si="442"/>
        <v>22.767123287671232</v>
      </c>
      <c r="Q2506" s="18">
        <v>0</v>
      </c>
      <c r="R2506" s="18">
        <f t="shared" si="438"/>
        <v>18562.525000000001</v>
      </c>
      <c r="S2506" s="18">
        <f t="shared" si="445"/>
        <v>97.697499999999863</v>
      </c>
    </row>
    <row r="2507" spans="1:19" ht="18.75" customHeight="1" x14ac:dyDescent="0.25">
      <c r="A2507" s="14">
        <f t="shared" si="443"/>
        <v>2501</v>
      </c>
      <c r="B2507" s="31" t="s">
        <v>1831</v>
      </c>
      <c r="C2507" s="15" t="s">
        <v>3</v>
      </c>
      <c r="D2507" s="31" t="s">
        <v>1708</v>
      </c>
      <c r="E2507" s="31"/>
      <c r="F2507" s="73" t="s">
        <v>4</v>
      </c>
      <c r="G2507" s="32">
        <v>41200</v>
      </c>
      <c r="H2507" s="29">
        <v>318.97876712328764</v>
      </c>
      <c r="I2507" s="17">
        <v>0</v>
      </c>
      <c r="J2507" s="17">
        <v>0</v>
      </c>
      <c r="K2507" s="17">
        <f t="shared" si="440"/>
        <v>318.97876712328764</v>
      </c>
      <c r="L2507" s="23">
        <f t="shared" si="431"/>
        <v>15.948938356164383</v>
      </c>
      <c r="M2507" s="33">
        <v>10</v>
      </c>
      <c r="N2507" s="18">
        <f t="shared" si="441"/>
        <v>8.4602739726027405</v>
      </c>
      <c r="O2507" s="23">
        <v>210.14650684931507</v>
      </c>
      <c r="P2507" s="18">
        <f t="shared" si="442"/>
        <v>8.9616438356164387</v>
      </c>
      <c r="Q2507" s="18">
        <f t="shared" si="432"/>
        <v>15.193002373803703</v>
      </c>
      <c r="R2507" s="18">
        <f t="shared" si="438"/>
        <v>225.33950922311877</v>
      </c>
      <c r="S2507" s="18">
        <f t="shared" si="444"/>
        <v>93.639257900168872</v>
      </c>
    </row>
    <row r="2508" spans="1:19" ht="18.75" customHeight="1" x14ac:dyDescent="0.25">
      <c r="A2508" s="14">
        <f t="shared" si="443"/>
        <v>2502</v>
      </c>
      <c r="B2508" s="31" t="s">
        <v>2121</v>
      </c>
      <c r="C2508" s="15" t="s">
        <v>3</v>
      </c>
      <c r="D2508" s="31" t="s">
        <v>1708</v>
      </c>
      <c r="E2508" s="31"/>
      <c r="F2508" s="73" t="s">
        <v>4</v>
      </c>
      <c r="G2508" s="32">
        <v>41348</v>
      </c>
      <c r="H2508" s="29">
        <v>337.27602739726024</v>
      </c>
      <c r="I2508" s="17">
        <v>0</v>
      </c>
      <c r="J2508" s="17">
        <v>0</v>
      </c>
      <c r="K2508" s="17">
        <f t="shared" si="440"/>
        <v>337.27602739726024</v>
      </c>
      <c r="L2508" s="23">
        <f t="shared" si="431"/>
        <v>16.863801369863012</v>
      </c>
      <c r="M2508" s="33">
        <v>10</v>
      </c>
      <c r="N2508" s="18">
        <f t="shared" si="441"/>
        <v>8.0547945205479454</v>
      </c>
      <c r="O2508" s="23">
        <v>211.97623287671232</v>
      </c>
      <c r="P2508" s="18">
        <f t="shared" si="442"/>
        <v>8.5561643835616437</v>
      </c>
      <c r="Q2508" s="18">
        <f t="shared" si="432"/>
        <v>16.064503387127026</v>
      </c>
      <c r="R2508" s="18">
        <f t="shared" si="438"/>
        <v>228.04073626383934</v>
      </c>
      <c r="S2508" s="18">
        <f t="shared" si="444"/>
        <v>109.2352911334209</v>
      </c>
    </row>
    <row r="2509" spans="1:19" ht="18.75" customHeight="1" x14ac:dyDescent="0.25">
      <c r="A2509" s="14">
        <f t="shared" si="443"/>
        <v>2503</v>
      </c>
      <c r="B2509" s="31" t="s">
        <v>1831</v>
      </c>
      <c r="C2509" s="15" t="s">
        <v>3</v>
      </c>
      <c r="D2509" s="31" t="s">
        <v>1708</v>
      </c>
      <c r="E2509" s="31"/>
      <c r="F2509" s="73" t="s">
        <v>4</v>
      </c>
      <c r="G2509" s="32">
        <v>39736</v>
      </c>
      <c r="H2509" s="29">
        <v>23.662500000000023</v>
      </c>
      <c r="I2509" s="17">
        <v>0</v>
      </c>
      <c r="J2509" s="17">
        <v>0</v>
      </c>
      <c r="K2509" s="17">
        <f t="shared" si="440"/>
        <v>23.662500000000023</v>
      </c>
      <c r="L2509" s="23">
        <f t="shared" si="431"/>
        <v>1.1831250000000011</v>
      </c>
      <c r="M2509" s="33">
        <v>10</v>
      </c>
      <c r="N2509" s="18">
        <f t="shared" si="441"/>
        <v>12.471232876712328</v>
      </c>
      <c r="O2509" s="23">
        <v>224.79374999999999</v>
      </c>
      <c r="P2509" s="18">
        <f t="shared" si="442"/>
        <v>12.972602739726028</v>
      </c>
      <c r="Q2509" s="18">
        <v>0</v>
      </c>
      <c r="R2509" s="18">
        <f t="shared" si="438"/>
        <v>224.79374999999999</v>
      </c>
      <c r="S2509" s="18">
        <f>L2509</f>
        <v>1.1831250000000011</v>
      </c>
    </row>
    <row r="2510" spans="1:19" ht="18.75" customHeight="1" x14ac:dyDescent="0.25">
      <c r="A2510" s="14">
        <f t="shared" si="443"/>
        <v>2504</v>
      </c>
      <c r="B2510" s="31" t="s">
        <v>2078</v>
      </c>
      <c r="C2510" s="15" t="s">
        <v>3</v>
      </c>
      <c r="D2510" s="31" t="s">
        <v>1708</v>
      </c>
      <c r="E2510" s="31"/>
      <c r="F2510" s="73" t="s">
        <v>4</v>
      </c>
      <c r="G2510" s="32">
        <v>40589</v>
      </c>
      <c r="H2510" s="29">
        <v>235.75315068493148</v>
      </c>
      <c r="I2510" s="17">
        <v>0</v>
      </c>
      <c r="J2510" s="17">
        <v>0</v>
      </c>
      <c r="K2510" s="17">
        <f t="shared" si="440"/>
        <v>235.75315068493148</v>
      </c>
      <c r="L2510" s="23">
        <f t="shared" si="431"/>
        <v>11.787657534246575</v>
      </c>
      <c r="M2510" s="33">
        <v>10</v>
      </c>
      <c r="N2510" s="18">
        <f t="shared" si="441"/>
        <v>10.134246575342466</v>
      </c>
      <c r="O2510" s="23">
        <v>196.19504109589045</v>
      </c>
      <c r="P2510" s="18">
        <f t="shared" si="442"/>
        <v>10.635616438356164</v>
      </c>
      <c r="Q2510" s="18">
        <v>0</v>
      </c>
      <c r="R2510" s="18">
        <f t="shared" si="438"/>
        <v>196.19504109589045</v>
      </c>
      <c r="S2510" s="18">
        <f t="shared" si="444"/>
        <v>39.558109589041038</v>
      </c>
    </row>
    <row r="2511" spans="1:19" ht="18.75" customHeight="1" x14ac:dyDescent="0.25">
      <c r="A2511" s="14">
        <f t="shared" si="443"/>
        <v>2505</v>
      </c>
      <c r="B2511" s="31" t="s">
        <v>2122</v>
      </c>
      <c r="C2511" s="15" t="s">
        <v>3</v>
      </c>
      <c r="D2511" s="31" t="s">
        <v>1708</v>
      </c>
      <c r="E2511" s="31"/>
      <c r="F2511" s="73" t="s">
        <v>4</v>
      </c>
      <c r="G2511" s="32">
        <v>36161</v>
      </c>
      <c r="H2511" s="29">
        <v>1512.9500000000007</v>
      </c>
      <c r="I2511" s="17">
        <v>0</v>
      </c>
      <c r="J2511" s="17">
        <v>0</v>
      </c>
      <c r="K2511" s="17">
        <f t="shared" si="440"/>
        <v>1512.9500000000007</v>
      </c>
      <c r="L2511" s="23">
        <f t="shared" si="431"/>
        <v>75.647500000000036</v>
      </c>
      <c r="M2511" s="33">
        <v>10</v>
      </c>
      <c r="N2511" s="18">
        <f t="shared" si="441"/>
        <v>22.265753424657536</v>
      </c>
      <c r="O2511" s="23">
        <v>14373.025</v>
      </c>
      <c r="P2511" s="18">
        <f t="shared" si="442"/>
        <v>22.767123287671232</v>
      </c>
      <c r="Q2511" s="18">
        <v>0</v>
      </c>
      <c r="R2511" s="18">
        <f t="shared" si="438"/>
        <v>14373.025</v>
      </c>
      <c r="S2511" s="18">
        <f t="shared" ref="S2511:S2515" si="446">L2511</f>
        <v>75.647500000000036</v>
      </c>
    </row>
    <row r="2512" spans="1:19" ht="18.75" customHeight="1" x14ac:dyDescent="0.25">
      <c r="A2512" s="14">
        <f t="shared" si="443"/>
        <v>2506</v>
      </c>
      <c r="B2512" s="31" t="s">
        <v>2123</v>
      </c>
      <c r="C2512" s="15" t="s">
        <v>3</v>
      </c>
      <c r="D2512" s="31" t="s">
        <v>1708</v>
      </c>
      <c r="E2512" s="31"/>
      <c r="F2512" s="73" t="s">
        <v>4</v>
      </c>
      <c r="G2512" s="32">
        <v>36161</v>
      </c>
      <c r="H2512" s="29">
        <v>1282.75</v>
      </c>
      <c r="I2512" s="17">
        <v>0</v>
      </c>
      <c r="J2512" s="17">
        <v>0</v>
      </c>
      <c r="K2512" s="17">
        <f t="shared" si="440"/>
        <v>1282.75</v>
      </c>
      <c r="L2512" s="23">
        <f t="shared" si="431"/>
        <v>64.137500000000003</v>
      </c>
      <c r="M2512" s="33">
        <v>10</v>
      </c>
      <c r="N2512" s="18">
        <f t="shared" si="441"/>
        <v>22.265753424657536</v>
      </c>
      <c r="O2512" s="23">
        <v>12186.125</v>
      </c>
      <c r="P2512" s="18">
        <f t="shared" si="442"/>
        <v>22.767123287671232</v>
      </c>
      <c r="Q2512" s="18">
        <v>0</v>
      </c>
      <c r="R2512" s="18">
        <f t="shared" si="438"/>
        <v>12186.125</v>
      </c>
      <c r="S2512" s="18">
        <f t="shared" si="446"/>
        <v>64.137500000000003</v>
      </c>
    </row>
    <row r="2513" spans="1:19" ht="18.75" customHeight="1" x14ac:dyDescent="0.25">
      <c r="A2513" s="14">
        <f t="shared" si="443"/>
        <v>2507</v>
      </c>
      <c r="B2513" s="31" t="s">
        <v>2124</v>
      </c>
      <c r="C2513" s="15" t="s">
        <v>3</v>
      </c>
      <c r="D2513" s="31" t="s">
        <v>1708</v>
      </c>
      <c r="E2513" s="31"/>
      <c r="F2513" s="73" t="s">
        <v>4</v>
      </c>
      <c r="G2513" s="32">
        <v>36161</v>
      </c>
      <c r="H2513" s="29">
        <v>1044.7000000000007</v>
      </c>
      <c r="I2513" s="17">
        <v>0</v>
      </c>
      <c r="J2513" s="17">
        <v>0</v>
      </c>
      <c r="K2513" s="17">
        <f t="shared" si="440"/>
        <v>1044.7000000000007</v>
      </c>
      <c r="L2513" s="23">
        <f t="shared" si="431"/>
        <v>52.235000000000042</v>
      </c>
      <c r="M2513" s="33">
        <v>10</v>
      </c>
      <c r="N2513" s="18">
        <f t="shared" si="441"/>
        <v>22.265753424657536</v>
      </c>
      <c r="O2513" s="23">
        <v>9924.65</v>
      </c>
      <c r="P2513" s="18">
        <f t="shared" si="442"/>
        <v>22.767123287671232</v>
      </c>
      <c r="Q2513" s="18">
        <v>0</v>
      </c>
      <c r="R2513" s="18">
        <f t="shared" si="438"/>
        <v>9924.65</v>
      </c>
      <c r="S2513" s="18">
        <f t="shared" si="446"/>
        <v>52.235000000000042</v>
      </c>
    </row>
    <row r="2514" spans="1:19" ht="18.75" customHeight="1" x14ac:dyDescent="0.25">
      <c r="A2514" s="14">
        <f t="shared" si="443"/>
        <v>2508</v>
      </c>
      <c r="B2514" s="31" t="s">
        <v>2125</v>
      </c>
      <c r="C2514" s="15" t="s">
        <v>3</v>
      </c>
      <c r="D2514" s="31" t="s">
        <v>1708</v>
      </c>
      <c r="E2514" s="31"/>
      <c r="F2514" s="73" t="s">
        <v>4</v>
      </c>
      <c r="G2514" s="32">
        <v>36161</v>
      </c>
      <c r="H2514" s="29">
        <v>874.54999999999927</v>
      </c>
      <c r="I2514" s="17">
        <v>0</v>
      </c>
      <c r="J2514" s="17">
        <v>0</v>
      </c>
      <c r="K2514" s="17">
        <f t="shared" si="440"/>
        <v>874.54999999999927</v>
      </c>
      <c r="L2514" s="23">
        <f t="shared" si="431"/>
        <v>43.727499999999964</v>
      </c>
      <c r="M2514" s="33">
        <v>10</v>
      </c>
      <c r="N2514" s="18">
        <f t="shared" si="441"/>
        <v>22.265753424657536</v>
      </c>
      <c r="O2514" s="23">
        <v>8308.2250000000004</v>
      </c>
      <c r="P2514" s="18">
        <f t="shared" si="442"/>
        <v>22.767123287671232</v>
      </c>
      <c r="Q2514" s="18">
        <v>0</v>
      </c>
      <c r="R2514" s="18">
        <f t="shared" si="438"/>
        <v>8308.2250000000004</v>
      </c>
      <c r="S2514" s="18">
        <f t="shared" si="446"/>
        <v>43.727499999999964</v>
      </c>
    </row>
    <row r="2515" spans="1:19" ht="18.75" customHeight="1" x14ac:dyDescent="0.25">
      <c r="A2515" s="14">
        <f t="shared" si="443"/>
        <v>2509</v>
      </c>
      <c r="B2515" s="31" t="s">
        <v>2126</v>
      </c>
      <c r="C2515" s="15" t="s">
        <v>3</v>
      </c>
      <c r="D2515" s="31" t="s">
        <v>1708</v>
      </c>
      <c r="E2515" s="31"/>
      <c r="F2515" s="73" t="s">
        <v>4</v>
      </c>
      <c r="G2515" s="32">
        <v>36161</v>
      </c>
      <c r="H2515" s="29">
        <v>837</v>
      </c>
      <c r="I2515" s="17">
        <v>0</v>
      </c>
      <c r="J2515" s="17">
        <v>0</v>
      </c>
      <c r="K2515" s="17">
        <f t="shared" si="440"/>
        <v>837</v>
      </c>
      <c r="L2515" s="23">
        <f t="shared" si="431"/>
        <v>41.85</v>
      </c>
      <c r="M2515" s="33">
        <v>10</v>
      </c>
      <c r="N2515" s="18">
        <f t="shared" si="441"/>
        <v>22.265753424657536</v>
      </c>
      <c r="O2515" s="23">
        <v>7951.5</v>
      </c>
      <c r="P2515" s="18">
        <f t="shared" si="442"/>
        <v>22.767123287671232</v>
      </c>
      <c r="Q2515" s="18">
        <v>0</v>
      </c>
      <c r="R2515" s="18">
        <f t="shared" si="438"/>
        <v>7951.5</v>
      </c>
      <c r="S2515" s="18">
        <f t="shared" si="446"/>
        <v>41.85</v>
      </c>
    </row>
    <row r="2516" spans="1:19" ht="18.75" customHeight="1" x14ac:dyDescent="0.25">
      <c r="A2516" s="14">
        <f t="shared" si="443"/>
        <v>2510</v>
      </c>
      <c r="B2516" s="31" t="s">
        <v>2078</v>
      </c>
      <c r="C2516" s="15" t="s">
        <v>3</v>
      </c>
      <c r="D2516" s="31" t="s">
        <v>1708</v>
      </c>
      <c r="E2516" s="31"/>
      <c r="F2516" s="73" t="s">
        <v>4</v>
      </c>
      <c r="G2516" s="32">
        <v>40678</v>
      </c>
      <c r="H2516" s="29">
        <v>219.62520547945203</v>
      </c>
      <c r="I2516" s="17">
        <v>0</v>
      </c>
      <c r="J2516" s="17">
        <v>0</v>
      </c>
      <c r="K2516" s="17">
        <f t="shared" si="440"/>
        <v>219.62520547945203</v>
      </c>
      <c r="L2516" s="23">
        <f t="shared" si="431"/>
        <v>10.981260273972602</v>
      </c>
      <c r="M2516" s="33">
        <v>10</v>
      </c>
      <c r="N2516" s="18">
        <f t="shared" si="441"/>
        <v>9.8904109589041092</v>
      </c>
      <c r="O2516" s="23">
        <v>175.81923287671231</v>
      </c>
      <c r="P2516" s="18">
        <f t="shared" si="442"/>
        <v>10.391780821917807</v>
      </c>
      <c r="Q2516" s="18">
        <v>0</v>
      </c>
      <c r="R2516" s="18">
        <f t="shared" si="438"/>
        <v>175.81923287671231</v>
      </c>
      <c r="S2516" s="18">
        <f t="shared" si="444"/>
        <v>43.805972602739729</v>
      </c>
    </row>
    <row r="2517" spans="1:19" ht="18.75" customHeight="1" x14ac:dyDescent="0.25">
      <c r="A2517" s="14">
        <f t="shared" si="443"/>
        <v>2511</v>
      </c>
      <c r="B2517" s="31" t="s">
        <v>1772</v>
      </c>
      <c r="C2517" s="15" t="s">
        <v>3</v>
      </c>
      <c r="D2517" s="31" t="s">
        <v>1708</v>
      </c>
      <c r="E2517" s="31"/>
      <c r="F2517" s="73" t="s">
        <v>4</v>
      </c>
      <c r="G2517" s="32">
        <v>40283</v>
      </c>
      <c r="H2517" s="29">
        <v>175.74238356164383</v>
      </c>
      <c r="I2517" s="17">
        <v>0</v>
      </c>
      <c r="J2517" s="17">
        <v>0</v>
      </c>
      <c r="K2517" s="17">
        <f t="shared" si="440"/>
        <v>175.74238356164383</v>
      </c>
      <c r="L2517" s="23">
        <f t="shared" si="431"/>
        <v>8.7871191780821913</v>
      </c>
      <c r="M2517" s="33">
        <v>10</v>
      </c>
      <c r="N2517" s="18">
        <f t="shared" si="441"/>
        <v>10.972602739726028</v>
      </c>
      <c r="O2517" s="23">
        <v>169.9299095890411</v>
      </c>
      <c r="P2517" s="18">
        <f t="shared" si="442"/>
        <v>11.473972602739726</v>
      </c>
      <c r="Q2517" s="18">
        <v>0</v>
      </c>
      <c r="R2517" s="18">
        <f t="shared" si="438"/>
        <v>169.9299095890411</v>
      </c>
      <c r="S2517" s="18">
        <f t="shared" si="444"/>
        <v>5.8124739726027315</v>
      </c>
    </row>
    <row r="2518" spans="1:19" ht="18.75" customHeight="1" x14ac:dyDescent="0.25">
      <c r="A2518" s="14">
        <f t="shared" si="443"/>
        <v>2512</v>
      </c>
      <c r="B2518" s="31" t="s">
        <v>2127</v>
      </c>
      <c r="C2518" s="15" t="s">
        <v>3</v>
      </c>
      <c r="D2518" s="31" t="s">
        <v>1708</v>
      </c>
      <c r="E2518" s="31"/>
      <c r="F2518" s="73" t="s">
        <v>4</v>
      </c>
      <c r="G2518" s="32">
        <v>39448</v>
      </c>
      <c r="H2518" s="29">
        <v>18.95999999999998</v>
      </c>
      <c r="I2518" s="17">
        <v>0</v>
      </c>
      <c r="J2518" s="17">
        <v>0</v>
      </c>
      <c r="K2518" s="17">
        <f t="shared" si="440"/>
        <v>18.95999999999998</v>
      </c>
      <c r="L2518" s="23">
        <f t="shared" si="431"/>
        <v>0.94799999999999907</v>
      </c>
      <c r="M2518" s="33">
        <v>10</v>
      </c>
      <c r="N2518" s="18">
        <f t="shared" si="441"/>
        <v>13.260273972602739</v>
      </c>
      <c r="O2518" s="23">
        <v>180.12</v>
      </c>
      <c r="P2518" s="18">
        <f t="shared" si="442"/>
        <v>13.761643835616438</v>
      </c>
      <c r="Q2518" s="18">
        <v>0</v>
      </c>
      <c r="R2518" s="18">
        <f t="shared" si="438"/>
        <v>180.12</v>
      </c>
      <c r="S2518" s="18">
        <f t="shared" ref="S2518:S2531" si="447">L2518</f>
        <v>0.94799999999999907</v>
      </c>
    </row>
    <row r="2519" spans="1:19" ht="18.75" customHeight="1" x14ac:dyDescent="0.25">
      <c r="A2519" s="14">
        <f t="shared" si="443"/>
        <v>2513</v>
      </c>
      <c r="B2519" s="31" t="s">
        <v>2128</v>
      </c>
      <c r="C2519" s="15" t="s">
        <v>3</v>
      </c>
      <c r="D2519" s="31" t="s">
        <v>1708</v>
      </c>
      <c r="E2519" s="31"/>
      <c r="F2519" s="73" t="s">
        <v>4</v>
      </c>
      <c r="G2519" s="32">
        <v>36161</v>
      </c>
      <c r="H2519" s="29">
        <v>805</v>
      </c>
      <c r="I2519" s="17">
        <v>0</v>
      </c>
      <c r="J2519" s="17">
        <v>0</v>
      </c>
      <c r="K2519" s="17">
        <f t="shared" si="440"/>
        <v>805</v>
      </c>
      <c r="L2519" s="23">
        <f t="shared" ref="L2519:L2582" si="448">H2519*0.05</f>
        <v>40.25</v>
      </c>
      <c r="M2519" s="33">
        <v>10</v>
      </c>
      <c r="N2519" s="18">
        <f t="shared" si="441"/>
        <v>22.265753424657536</v>
      </c>
      <c r="O2519" s="23">
        <v>7647.5</v>
      </c>
      <c r="P2519" s="18">
        <f t="shared" si="442"/>
        <v>22.767123287671232</v>
      </c>
      <c r="Q2519" s="18">
        <v>0</v>
      </c>
      <c r="R2519" s="18">
        <f t="shared" si="438"/>
        <v>7647.5</v>
      </c>
      <c r="S2519" s="18">
        <f t="shared" si="447"/>
        <v>40.25</v>
      </c>
    </row>
    <row r="2520" spans="1:19" ht="18.75" customHeight="1" x14ac:dyDescent="0.25">
      <c r="A2520" s="14">
        <f t="shared" si="443"/>
        <v>2514</v>
      </c>
      <c r="B2520" s="31" t="s">
        <v>2129</v>
      </c>
      <c r="C2520" s="15" t="s">
        <v>3</v>
      </c>
      <c r="D2520" s="31" t="s">
        <v>1708</v>
      </c>
      <c r="E2520" s="31"/>
      <c r="F2520" s="73" t="s">
        <v>4</v>
      </c>
      <c r="G2520" s="32">
        <v>36161</v>
      </c>
      <c r="H2520" s="29">
        <v>337.5</v>
      </c>
      <c r="I2520" s="17">
        <v>0</v>
      </c>
      <c r="J2520" s="17">
        <v>0</v>
      </c>
      <c r="K2520" s="17">
        <f t="shared" si="440"/>
        <v>337.5</v>
      </c>
      <c r="L2520" s="23">
        <f t="shared" si="448"/>
        <v>16.875</v>
      </c>
      <c r="M2520" s="33">
        <v>10</v>
      </c>
      <c r="N2520" s="18">
        <f t="shared" si="441"/>
        <v>22.265753424657536</v>
      </c>
      <c r="O2520" s="23">
        <v>3206.25</v>
      </c>
      <c r="P2520" s="18">
        <f t="shared" si="442"/>
        <v>22.767123287671232</v>
      </c>
      <c r="Q2520" s="18">
        <v>0</v>
      </c>
      <c r="R2520" s="18">
        <f t="shared" si="438"/>
        <v>3206.25</v>
      </c>
      <c r="S2520" s="18">
        <f t="shared" si="447"/>
        <v>16.875</v>
      </c>
    </row>
    <row r="2521" spans="1:19" ht="18.75" customHeight="1" x14ac:dyDescent="0.25">
      <c r="A2521" s="14">
        <f t="shared" si="443"/>
        <v>2515</v>
      </c>
      <c r="B2521" s="31" t="s">
        <v>2130</v>
      </c>
      <c r="C2521" s="15" t="s">
        <v>3</v>
      </c>
      <c r="D2521" s="31" t="s">
        <v>1708</v>
      </c>
      <c r="E2521" s="31"/>
      <c r="F2521" s="73" t="s">
        <v>4</v>
      </c>
      <c r="G2521" s="32">
        <v>36161</v>
      </c>
      <c r="H2521" s="29">
        <v>297.19999999999982</v>
      </c>
      <c r="I2521" s="17">
        <v>0</v>
      </c>
      <c r="J2521" s="17">
        <v>0</v>
      </c>
      <c r="K2521" s="17">
        <f t="shared" si="440"/>
        <v>297.19999999999982</v>
      </c>
      <c r="L2521" s="23">
        <f t="shared" si="448"/>
        <v>14.859999999999992</v>
      </c>
      <c r="M2521" s="33">
        <v>10</v>
      </c>
      <c r="N2521" s="18">
        <f t="shared" si="441"/>
        <v>22.265753424657536</v>
      </c>
      <c r="O2521" s="23">
        <v>2823.4</v>
      </c>
      <c r="P2521" s="18">
        <f t="shared" si="442"/>
        <v>22.767123287671232</v>
      </c>
      <c r="Q2521" s="18">
        <v>0</v>
      </c>
      <c r="R2521" s="18">
        <f t="shared" si="438"/>
        <v>2823.4</v>
      </c>
      <c r="S2521" s="18">
        <f t="shared" si="447"/>
        <v>14.859999999999992</v>
      </c>
    </row>
    <row r="2522" spans="1:19" ht="18.75" customHeight="1" x14ac:dyDescent="0.25">
      <c r="A2522" s="14">
        <f t="shared" si="443"/>
        <v>2516</v>
      </c>
      <c r="B2522" s="31" t="s">
        <v>2131</v>
      </c>
      <c r="C2522" s="15" t="s">
        <v>3</v>
      </c>
      <c r="D2522" s="31" t="s">
        <v>1708</v>
      </c>
      <c r="E2522" s="31"/>
      <c r="F2522" s="73" t="s">
        <v>4</v>
      </c>
      <c r="G2522" s="32">
        <v>36161</v>
      </c>
      <c r="H2522" s="29">
        <v>248.5</v>
      </c>
      <c r="I2522" s="17">
        <v>0</v>
      </c>
      <c r="J2522" s="17">
        <v>0</v>
      </c>
      <c r="K2522" s="17">
        <f t="shared" si="440"/>
        <v>248.5</v>
      </c>
      <c r="L2522" s="23">
        <f t="shared" si="448"/>
        <v>12.425000000000001</v>
      </c>
      <c r="M2522" s="33">
        <v>10</v>
      </c>
      <c r="N2522" s="18">
        <f t="shared" si="441"/>
        <v>22.265753424657536</v>
      </c>
      <c r="O2522" s="23">
        <v>2360.75</v>
      </c>
      <c r="P2522" s="18">
        <f t="shared" si="442"/>
        <v>22.767123287671232</v>
      </c>
      <c r="Q2522" s="18">
        <v>0</v>
      </c>
      <c r="R2522" s="18">
        <f t="shared" si="438"/>
        <v>2360.75</v>
      </c>
      <c r="S2522" s="18">
        <f t="shared" si="447"/>
        <v>12.425000000000001</v>
      </c>
    </row>
    <row r="2523" spans="1:19" ht="18.75" customHeight="1" x14ac:dyDescent="0.25">
      <c r="A2523" s="14">
        <f t="shared" si="443"/>
        <v>2517</v>
      </c>
      <c r="B2523" s="31" t="s">
        <v>1840</v>
      </c>
      <c r="C2523" s="15" t="s">
        <v>3</v>
      </c>
      <c r="D2523" s="31" t="s">
        <v>1708</v>
      </c>
      <c r="E2523" s="31"/>
      <c r="F2523" s="73" t="s">
        <v>4</v>
      </c>
      <c r="G2523" s="32">
        <v>39859</v>
      </c>
      <c r="H2523" s="29">
        <v>15.717499999999973</v>
      </c>
      <c r="I2523" s="17">
        <v>0</v>
      </c>
      <c r="J2523" s="17">
        <v>0</v>
      </c>
      <c r="K2523" s="17">
        <f t="shared" si="440"/>
        <v>15.717499999999973</v>
      </c>
      <c r="L2523" s="23">
        <f t="shared" si="448"/>
        <v>0.78587499999999866</v>
      </c>
      <c r="M2523" s="33">
        <v>10</v>
      </c>
      <c r="N2523" s="18">
        <f t="shared" si="441"/>
        <v>12.134246575342466</v>
      </c>
      <c r="O2523" s="23">
        <v>149.31625000000003</v>
      </c>
      <c r="P2523" s="18">
        <f t="shared" si="442"/>
        <v>12.635616438356164</v>
      </c>
      <c r="Q2523" s="18">
        <v>0</v>
      </c>
      <c r="R2523" s="18">
        <f t="shared" si="438"/>
        <v>149.31625000000003</v>
      </c>
      <c r="S2523" s="18">
        <f t="shared" si="447"/>
        <v>0.78587499999999866</v>
      </c>
    </row>
    <row r="2524" spans="1:19" ht="18.75" customHeight="1" x14ac:dyDescent="0.25">
      <c r="A2524" s="14">
        <f t="shared" si="443"/>
        <v>2518</v>
      </c>
      <c r="B2524" s="31" t="s">
        <v>1840</v>
      </c>
      <c r="C2524" s="15" t="s">
        <v>3</v>
      </c>
      <c r="D2524" s="31" t="s">
        <v>1708</v>
      </c>
      <c r="E2524" s="31"/>
      <c r="F2524" s="73" t="s">
        <v>4</v>
      </c>
      <c r="G2524" s="32">
        <v>39887</v>
      </c>
      <c r="H2524" s="29">
        <v>15.717499999999973</v>
      </c>
      <c r="I2524" s="17">
        <v>0</v>
      </c>
      <c r="J2524" s="17">
        <v>0</v>
      </c>
      <c r="K2524" s="17">
        <f t="shared" si="440"/>
        <v>15.717499999999973</v>
      </c>
      <c r="L2524" s="23">
        <f t="shared" si="448"/>
        <v>0.78587499999999866</v>
      </c>
      <c r="M2524" s="33">
        <v>10</v>
      </c>
      <c r="N2524" s="18">
        <f t="shared" si="441"/>
        <v>12.057534246575342</v>
      </c>
      <c r="O2524" s="23">
        <v>149.31625000000003</v>
      </c>
      <c r="P2524" s="18">
        <f t="shared" si="442"/>
        <v>12.558904109589042</v>
      </c>
      <c r="Q2524" s="18">
        <v>0</v>
      </c>
      <c r="R2524" s="18">
        <f t="shared" si="438"/>
        <v>149.31625000000003</v>
      </c>
      <c r="S2524" s="18">
        <f t="shared" si="447"/>
        <v>0.78587499999999866</v>
      </c>
    </row>
    <row r="2525" spans="1:19" ht="18.75" customHeight="1" x14ac:dyDescent="0.25">
      <c r="A2525" s="14">
        <f t="shared" si="443"/>
        <v>2519</v>
      </c>
      <c r="B2525" s="31" t="s">
        <v>1840</v>
      </c>
      <c r="C2525" s="15" t="s">
        <v>3</v>
      </c>
      <c r="D2525" s="31" t="s">
        <v>1708</v>
      </c>
      <c r="E2525" s="31"/>
      <c r="F2525" s="73" t="s">
        <v>4</v>
      </c>
      <c r="G2525" s="32">
        <v>39918</v>
      </c>
      <c r="H2525" s="29">
        <v>15.716999999999985</v>
      </c>
      <c r="I2525" s="17">
        <v>0</v>
      </c>
      <c r="J2525" s="17">
        <v>0</v>
      </c>
      <c r="K2525" s="17">
        <f t="shared" si="440"/>
        <v>15.716999999999985</v>
      </c>
      <c r="L2525" s="23">
        <f t="shared" si="448"/>
        <v>0.78584999999999927</v>
      </c>
      <c r="M2525" s="33">
        <v>10</v>
      </c>
      <c r="N2525" s="18">
        <f t="shared" si="441"/>
        <v>11.972602739726028</v>
      </c>
      <c r="O2525" s="23">
        <v>149.3115</v>
      </c>
      <c r="P2525" s="18">
        <f t="shared" si="442"/>
        <v>12.473972602739726</v>
      </c>
      <c r="Q2525" s="18">
        <v>0</v>
      </c>
      <c r="R2525" s="18">
        <f t="shared" si="438"/>
        <v>149.3115</v>
      </c>
      <c r="S2525" s="18">
        <f t="shared" si="447"/>
        <v>0.78584999999999927</v>
      </c>
    </row>
    <row r="2526" spans="1:19" ht="18.75" customHeight="1" x14ac:dyDescent="0.25">
      <c r="A2526" s="14">
        <f t="shared" si="443"/>
        <v>2520</v>
      </c>
      <c r="B2526" s="31" t="s">
        <v>2132</v>
      </c>
      <c r="C2526" s="15" t="s">
        <v>3</v>
      </c>
      <c r="D2526" s="31" t="s">
        <v>1708</v>
      </c>
      <c r="E2526" s="31"/>
      <c r="F2526" s="73" t="s">
        <v>4</v>
      </c>
      <c r="G2526" s="32">
        <v>36161</v>
      </c>
      <c r="H2526" s="29">
        <v>238.80000000000018</v>
      </c>
      <c r="I2526" s="17">
        <v>0</v>
      </c>
      <c r="J2526" s="17">
        <v>0</v>
      </c>
      <c r="K2526" s="17">
        <f t="shared" si="440"/>
        <v>238.80000000000018</v>
      </c>
      <c r="L2526" s="23">
        <f t="shared" si="448"/>
        <v>11.94000000000001</v>
      </c>
      <c r="M2526" s="33">
        <v>10</v>
      </c>
      <c r="N2526" s="18">
        <f t="shared" si="441"/>
        <v>22.265753424657536</v>
      </c>
      <c r="O2526" s="23">
        <v>2268.6</v>
      </c>
      <c r="P2526" s="18">
        <f t="shared" si="442"/>
        <v>22.767123287671232</v>
      </c>
      <c r="Q2526" s="18">
        <v>0</v>
      </c>
      <c r="R2526" s="18">
        <f t="shared" si="438"/>
        <v>2268.6</v>
      </c>
      <c r="S2526" s="18">
        <f t="shared" si="447"/>
        <v>11.94000000000001</v>
      </c>
    </row>
    <row r="2527" spans="1:19" ht="18.75" customHeight="1" x14ac:dyDescent="0.25">
      <c r="A2527" s="14">
        <f t="shared" si="443"/>
        <v>2521</v>
      </c>
      <c r="B2527" s="31" t="s">
        <v>2067</v>
      </c>
      <c r="C2527" s="15" t="s">
        <v>3</v>
      </c>
      <c r="D2527" s="31" t="s">
        <v>1708</v>
      </c>
      <c r="E2527" s="31"/>
      <c r="F2527" s="73" t="s">
        <v>4</v>
      </c>
      <c r="G2527" s="32">
        <v>36341</v>
      </c>
      <c r="H2527" s="29">
        <v>725</v>
      </c>
      <c r="I2527" s="17">
        <v>0</v>
      </c>
      <c r="J2527" s="17">
        <v>0</v>
      </c>
      <c r="K2527" s="17">
        <f t="shared" si="440"/>
        <v>725</v>
      </c>
      <c r="L2527" s="23">
        <f t="shared" si="448"/>
        <v>36.25</v>
      </c>
      <c r="M2527" s="33">
        <v>5</v>
      </c>
      <c r="N2527" s="18">
        <f t="shared" si="441"/>
        <v>21.772602739726029</v>
      </c>
      <c r="O2527" s="23">
        <v>6887.5</v>
      </c>
      <c r="P2527" s="18">
        <f t="shared" si="442"/>
        <v>22.273972602739725</v>
      </c>
      <c r="Q2527" s="18">
        <v>0</v>
      </c>
      <c r="R2527" s="18">
        <f t="shared" si="438"/>
        <v>6887.5</v>
      </c>
      <c r="S2527" s="18">
        <f t="shared" si="447"/>
        <v>36.25</v>
      </c>
    </row>
    <row r="2528" spans="1:19" ht="18.75" customHeight="1" x14ac:dyDescent="0.25">
      <c r="A2528" s="14">
        <f t="shared" si="443"/>
        <v>2522</v>
      </c>
      <c r="B2528" s="31" t="s">
        <v>2133</v>
      </c>
      <c r="C2528" s="15" t="s">
        <v>3</v>
      </c>
      <c r="D2528" s="31" t="s">
        <v>1708</v>
      </c>
      <c r="E2528" s="31"/>
      <c r="F2528" s="73" t="s">
        <v>4</v>
      </c>
      <c r="G2528" s="32">
        <v>36161</v>
      </c>
      <c r="H2528" s="29">
        <v>82</v>
      </c>
      <c r="I2528" s="17">
        <v>0</v>
      </c>
      <c r="J2528" s="17">
        <v>0</v>
      </c>
      <c r="K2528" s="17">
        <f t="shared" si="440"/>
        <v>82</v>
      </c>
      <c r="L2528" s="23">
        <f t="shared" si="448"/>
        <v>4.1000000000000005</v>
      </c>
      <c r="M2528" s="33">
        <v>10</v>
      </c>
      <c r="N2528" s="18">
        <f t="shared" si="441"/>
        <v>22.265753424657536</v>
      </c>
      <c r="O2528" s="23">
        <v>779</v>
      </c>
      <c r="P2528" s="18">
        <f t="shared" si="442"/>
        <v>22.767123287671232</v>
      </c>
      <c r="Q2528" s="18">
        <v>0</v>
      </c>
      <c r="R2528" s="18">
        <f t="shared" si="438"/>
        <v>779</v>
      </c>
      <c r="S2528" s="18">
        <f t="shared" si="447"/>
        <v>4.1000000000000005</v>
      </c>
    </row>
    <row r="2529" spans="1:19" ht="18.75" customHeight="1" x14ac:dyDescent="0.25">
      <c r="A2529" s="14">
        <f t="shared" si="443"/>
        <v>2523</v>
      </c>
      <c r="B2529" s="31" t="s">
        <v>2134</v>
      </c>
      <c r="C2529" s="15" t="s">
        <v>3</v>
      </c>
      <c r="D2529" s="31" t="s">
        <v>1708</v>
      </c>
      <c r="E2529" s="31"/>
      <c r="F2529" s="73" t="s">
        <v>4</v>
      </c>
      <c r="G2529" s="32">
        <v>36161</v>
      </c>
      <c r="H2529" s="29">
        <v>37.649999999999977</v>
      </c>
      <c r="I2529" s="17">
        <v>0</v>
      </c>
      <c r="J2529" s="17">
        <v>0</v>
      </c>
      <c r="K2529" s="17">
        <f t="shared" si="440"/>
        <v>37.649999999999977</v>
      </c>
      <c r="L2529" s="23">
        <f t="shared" si="448"/>
        <v>1.882499999999999</v>
      </c>
      <c r="M2529" s="33">
        <v>10</v>
      </c>
      <c r="N2529" s="18">
        <f t="shared" si="441"/>
        <v>22.265753424657536</v>
      </c>
      <c r="O2529" s="23">
        <v>357.67500000000001</v>
      </c>
      <c r="P2529" s="18">
        <f t="shared" si="442"/>
        <v>22.767123287671232</v>
      </c>
      <c r="Q2529" s="18">
        <v>0</v>
      </c>
      <c r="R2529" s="18">
        <f t="shared" si="438"/>
        <v>357.67500000000001</v>
      </c>
      <c r="S2529" s="18">
        <f t="shared" si="447"/>
        <v>1.882499999999999</v>
      </c>
    </row>
    <row r="2530" spans="1:19" ht="18.75" customHeight="1" x14ac:dyDescent="0.25">
      <c r="A2530" s="14">
        <f t="shared" si="443"/>
        <v>2524</v>
      </c>
      <c r="B2530" s="31" t="s">
        <v>2135</v>
      </c>
      <c r="C2530" s="15" t="s">
        <v>3</v>
      </c>
      <c r="D2530" s="31" t="s">
        <v>1708</v>
      </c>
      <c r="E2530" s="31"/>
      <c r="F2530" s="73" t="s">
        <v>4</v>
      </c>
      <c r="G2530" s="32">
        <v>36161</v>
      </c>
      <c r="H2530" s="29">
        <v>30</v>
      </c>
      <c r="I2530" s="17">
        <v>0</v>
      </c>
      <c r="J2530" s="17">
        <v>0</v>
      </c>
      <c r="K2530" s="17">
        <f t="shared" si="440"/>
        <v>30</v>
      </c>
      <c r="L2530" s="23">
        <f t="shared" si="448"/>
        <v>1.5</v>
      </c>
      <c r="M2530" s="33">
        <v>10</v>
      </c>
      <c r="N2530" s="18">
        <f t="shared" si="441"/>
        <v>22.265753424657536</v>
      </c>
      <c r="O2530" s="23">
        <v>285</v>
      </c>
      <c r="P2530" s="18">
        <f t="shared" si="442"/>
        <v>22.767123287671232</v>
      </c>
      <c r="Q2530" s="18">
        <v>0</v>
      </c>
      <c r="R2530" s="18">
        <f t="shared" si="438"/>
        <v>285</v>
      </c>
      <c r="S2530" s="18">
        <f t="shared" si="447"/>
        <v>1.5</v>
      </c>
    </row>
    <row r="2531" spans="1:19" ht="18.75" customHeight="1" x14ac:dyDescent="0.25">
      <c r="A2531" s="14">
        <f t="shared" si="443"/>
        <v>2525</v>
      </c>
      <c r="B2531" s="31" t="s">
        <v>2136</v>
      </c>
      <c r="C2531" s="15" t="s">
        <v>3</v>
      </c>
      <c r="D2531" s="31" t="s">
        <v>1708</v>
      </c>
      <c r="E2531" s="31"/>
      <c r="F2531" s="73" t="s">
        <v>4</v>
      </c>
      <c r="G2531" s="32">
        <v>36161</v>
      </c>
      <c r="H2531" s="29">
        <v>6</v>
      </c>
      <c r="I2531" s="17">
        <v>0</v>
      </c>
      <c r="J2531" s="17">
        <v>0</v>
      </c>
      <c r="K2531" s="17">
        <f t="shared" si="440"/>
        <v>6</v>
      </c>
      <c r="L2531" s="23">
        <f t="shared" si="448"/>
        <v>0.30000000000000004</v>
      </c>
      <c r="M2531" s="33">
        <v>10</v>
      </c>
      <c r="N2531" s="18">
        <f t="shared" si="441"/>
        <v>22.265753424657536</v>
      </c>
      <c r="O2531" s="23">
        <v>57</v>
      </c>
      <c r="P2531" s="18">
        <f t="shared" si="442"/>
        <v>22.767123287671232</v>
      </c>
      <c r="Q2531" s="18">
        <v>0</v>
      </c>
      <c r="R2531" s="18">
        <f t="shared" si="438"/>
        <v>57</v>
      </c>
      <c r="S2531" s="18">
        <f t="shared" si="447"/>
        <v>0.30000000000000004</v>
      </c>
    </row>
    <row r="2532" spans="1:19" ht="18.75" customHeight="1" x14ac:dyDescent="0.25">
      <c r="A2532" s="14">
        <f t="shared" si="443"/>
        <v>2526</v>
      </c>
      <c r="B2532" s="31" t="s">
        <v>2137</v>
      </c>
      <c r="C2532" s="15" t="s">
        <v>3</v>
      </c>
      <c r="D2532" s="31" t="s">
        <v>1708</v>
      </c>
      <c r="E2532" s="31"/>
      <c r="F2532" s="73" t="s">
        <v>4</v>
      </c>
      <c r="G2532" s="32">
        <v>41654</v>
      </c>
      <c r="H2532" s="29">
        <v>191.54929972602741</v>
      </c>
      <c r="I2532" s="17">
        <v>0</v>
      </c>
      <c r="J2532" s="17">
        <v>0</v>
      </c>
      <c r="K2532" s="17">
        <f t="shared" si="440"/>
        <v>191.54929972602741</v>
      </c>
      <c r="L2532" s="23">
        <f t="shared" si="448"/>
        <v>9.5774649863013703</v>
      </c>
      <c r="M2532" s="33">
        <v>10</v>
      </c>
      <c r="N2532" s="18">
        <f t="shared" si="441"/>
        <v>7.2164383561643834</v>
      </c>
      <c r="O2532" s="23">
        <v>110.17806202739727</v>
      </c>
      <c r="P2532" s="18">
        <f t="shared" si="442"/>
        <v>7.7178082191780826</v>
      </c>
      <c r="Q2532" s="18">
        <f t="shared" ref="Q2532:Q2581" si="449">(P2532-N2532)/M2532*(K2532-L2532)</f>
        <v>9.1235193855807939</v>
      </c>
      <c r="R2532" s="18">
        <f t="shared" si="438"/>
        <v>119.30158141297807</v>
      </c>
      <c r="S2532" s="18">
        <f t="shared" si="444"/>
        <v>72.247718313049347</v>
      </c>
    </row>
    <row r="2533" spans="1:19" ht="18.75" customHeight="1" x14ac:dyDescent="0.25">
      <c r="A2533" s="14">
        <f t="shared" si="443"/>
        <v>2527</v>
      </c>
      <c r="B2533" s="31" t="s">
        <v>2138</v>
      </c>
      <c r="C2533" s="15" t="s">
        <v>3</v>
      </c>
      <c r="D2533" s="31" t="s">
        <v>1708</v>
      </c>
      <c r="E2533" s="31"/>
      <c r="F2533" s="73" t="s">
        <v>4</v>
      </c>
      <c r="G2533" s="32">
        <v>36526</v>
      </c>
      <c r="H2533" s="29">
        <v>2040.75</v>
      </c>
      <c r="I2533" s="17">
        <v>0</v>
      </c>
      <c r="J2533" s="17">
        <v>0</v>
      </c>
      <c r="K2533" s="17">
        <f t="shared" si="440"/>
        <v>2040.75</v>
      </c>
      <c r="L2533" s="23">
        <f t="shared" si="448"/>
        <v>102.03750000000001</v>
      </c>
      <c r="M2533" s="33">
        <v>10</v>
      </c>
      <c r="N2533" s="18">
        <f t="shared" si="441"/>
        <v>21.265753424657536</v>
      </c>
      <c r="O2533" s="23">
        <v>19387.125</v>
      </c>
      <c r="P2533" s="18">
        <f t="shared" si="442"/>
        <v>21.767123287671232</v>
      </c>
      <c r="Q2533" s="18">
        <v>0</v>
      </c>
      <c r="R2533" s="18">
        <f t="shared" si="438"/>
        <v>19387.125</v>
      </c>
      <c r="S2533" s="18">
        <f t="shared" ref="S2533:S2538" si="450">L2533</f>
        <v>102.03750000000001</v>
      </c>
    </row>
    <row r="2534" spans="1:19" ht="18.75" customHeight="1" x14ac:dyDescent="0.25">
      <c r="A2534" s="14">
        <f t="shared" si="443"/>
        <v>2528</v>
      </c>
      <c r="B2534" s="31" t="s">
        <v>2139</v>
      </c>
      <c r="C2534" s="15" t="s">
        <v>3</v>
      </c>
      <c r="D2534" s="31" t="s">
        <v>1708</v>
      </c>
      <c r="E2534" s="31"/>
      <c r="F2534" s="73" t="s">
        <v>4</v>
      </c>
      <c r="G2534" s="32">
        <v>36526</v>
      </c>
      <c r="H2534" s="29">
        <v>1059</v>
      </c>
      <c r="I2534" s="17">
        <v>0</v>
      </c>
      <c r="J2534" s="17">
        <v>0</v>
      </c>
      <c r="K2534" s="17">
        <f t="shared" si="440"/>
        <v>1059</v>
      </c>
      <c r="L2534" s="23">
        <f t="shared" si="448"/>
        <v>52.95</v>
      </c>
      <c r="M2534" s="33">
        <v>10</v>
      </c>
      <c r="N2534" s="18">
        <f t="shared" si="441"/>
        <v>21.265753424657536</v>
      </c>
      <c r="O2534" s="23">
        <v>10060.5</v>
      </c>
      <c r="P2534" s="18">
        <f t="shared" si="442"/>
        <v>21.767123287671232</v>
      </c>
      <c r="Q2534" s="18">
        <v>0</v>
      </c>
      <c r="R2534" s="18">
        <f t="shared" si="438"/>
        <v>10060.5</v>
      </c>
      <c r="S2534" s="18">
        <f t="shared" si="450"/>
        <v>52.95</v>
      </c>
    </row>
    <row r="2535" spans="1:19" ht="18.75" customHeight="1" x14ac:dyDescent="0.25">
      <c r="A2535" s="14">
        <f t="shared" si="443"/>
        <v>2529</v>
      </c>
      <c r="B2535" s="31" t="s">
        <v>2140</v>
      </c>
      <c r="C2535" s="15" t="s">
        <v>3</v>
      </c>
      <c r="D2535" s="31" t="s">
        <v>1708</v>
      </c>
      <c r="E2535" s="31"/>
      <c r="F2535" s="73" t="s">
        <v>4</v>
      </c>
      <c r="G2535" s="32">
        <v>36526</v>
      </c>
      <c r="H2535" s="29">
        <v>1041.25</v>
      </c>
      <c r="I2535" s="17">
        <v>0</v>
      </c>
      <c r="J2535" s="17">
        <v>0</v>
      </c>
      <c r="K2535" s="17">
        <f t="shared" si="440"/>
        <v>1041.25</v>
      </c>
      <c r="L2535" s="23">
        <f t="shared" si="448"/>
        <v>52.0625</v>
      </c>
      <c r="M2535" s="33">
        <v>10</v>
      </c>
      <c r="N2535" s="18">
        <f t="shared" si="441"/>
        <v>21.265753424657536</v>
      </c>
      <c r="O2535" s="23">
        <v>9891.875</v>
      </c>
      <c r="P2535" s="18">
        <f t="shared" si="442"/>
        <v>21.767123287671232</v>
      </c>
      <c r="Q2535" s="18">
        <v>0</v>
      </c>
      <c r="R2535" s="18">
        <f t="shared" si="438"/>
        <v>9891.875</v>
      </c>
      <c r="S2535" s="18">
        <f t="shared" si="450"/>
        <v>52.0625</v>
      </c>
    </row>
    <row r="2536" spans="1:19" ht="18.75" customHeight="1" x14ac:dyDescent="0.25">
      <c r="A2536" s="14">
        <f t="shared" si="443"/>
        <v>2530</v>
      </c>
      <c r="B2536" s="31" t="s">
        <v>2141</v>
      </c>
      <c r="C2536" s="15" t="s">
        <v>3</v>
      </c>
      <c r="D2536" s="31" t="s">
        <v>1708</v>
      </c>
      <c r="E2536" s="31"/>
      <c r="F2536" s="73" t="s">
        <v>4</v>
      </c>
      <c r="G2536" s="32">
        <v>36526</v>
      </c>
      <c r="H2536" s="29">
        <v>576.79999999999927</v>
      </c>
      <c r="I2536" s="17">
        <v>0</v>
      </c>
      <c r="J2536" s="17">
        <v>0</v>
      </c>
      <c r="K2536" s="17">
        <f t="shared" si="440"/>
        <v>576.79999999999927</v>
      </c>
      <c r="L2536" s="23">
        <f t="shared" si="448"/>
        <v>28.839999999999964</v>
      </c>
      <c r="M2536" s="33">
        <v>10</v>
      </c>
      <c r="N2536" s="18">
        <f t="shared" si="441"/>
        <v>21.265753424657536</v>
      </c>
      <c r="O2536" s="23">
        <v>5479.6</v>
      </c>
      <c r="P2536" s="18">
        <f t="shared" si="442"/>
        <v>21.767123287671232</v>
      </c>
      <c r="Q2536" s="18">
        <v>0</v>
      </c>
      <c r="R2536" s="18">
        <f t="shared" si="438"/>
        <v>5479.6</v>
      </c>
      <c r="S2536" s="18">
        <f t="shared" si="450"/>
        <v>28.839999999999964</v>
      </c>
    </row>
    <row r="2537" spans="1:19" ht="18.75" customHeight="1" x14ac:dyDescent="0.25">
      <c r="A2537" s="14">
        <f t="shared" si="443"/>
        <v>2531</v>
      </c>
      <c r="B2537" s="31" t="s">
        <v>2142</v>
      </c>
      <c r="C2537" s="15" t="s">
        <v>3</v>
      </c>
      <c r="D2537" s="31" t="s">
        <v>1708</v>
      </c>
      <c r="E2537" s="31"/>
      <c r="F2537" s="73" t="s">
        <v>4</v>
      </c>
      <c r="G2537" s="32">
        <v>36526</v>
      </c>
      <c r="H2537" s="29">
        <v>540</v>
      </c>
      <c r="I2537" s="17">
        <v>0</v>
      </c>
      <c r="J2537" s="17">
        <v>0</v>
      </c>
      <c r="K2537" s="17">
        <f t="shared" si="440"/>
        <v>540</v>
      </c>
      <c r="L2537" s="23">
        <f t="shared" si="448"/>
        <v>27</v>
      </c>
      <c r="M2537" s="33">
        <v>10</v>
      </c>
      <c r="N2537" s="18">
        <f t="shared" si="441"/>
        <v>21.265753424657536</v>
      </c>
      <c r="O2537" s="23">
        <v>5130</v>
      </c>
      <c r="P2537" s="18">
        <f t="shared" si="442"/>
        <v>21.767123287671232</v>
      </c>
      <c r="Q2537" s="18">
        <v>0</v>
      </c>
      <c r="R2537" s="18">
        <f t="shared" si="438"/>
        <v>5130</v>
      </c>
      <c r="S2537" s="18">
        <f t="shared" si="450"/>
        <v>27</v>
      </c>
    </row>
    <row r="2538" spans="1:19" ht="18.75" customHeight="1" x14ac:dyDescent="0.25">
      <c r="A2538" s="14">
        <f t="shared" si="443"/>
        <v>2532</v>
      </c>
      <c r="B2538" s="31" t="s">
        <v>2143</v>
      </c>
      <c r="C2538" s="15" t="s">
        <v>3</v>
      </c>
      <c r="D2538" s="31" t="s">
        <v>1708</v>
      </c>
      <c r="E2538" s="31"/>
      <c r="F2538" s="73" t="s">
        <v>4</v>
      </c>
      <c r="G2538" s="32">
        <v>36526</v>
      </c>
      <c r="H2538" s="29">
        <v>240</v>
      </c>
      <c r="I2538" s="17">
        <v>0</v>
      </c>
      <c r="J2538" s="17">
        <v>0</v>
      </c>
      <c r="K2538" s="17">
        <f t="shared" si="440"/>
        <v>240</v>
      </c>
      <c r="L2538" s="23">
        <f t="shared" si="448"/>
        <v>12</v>
      </c>
      <c r="M2538" s="33">
        <v>10</v>
      </c>
      <c r="N2538" s="18">
        <f t="shared" si="441"/>
        <v>21.265753424657536</v>
      </c>
      <c r="O2538" s="23">
        <v>2280</v>
      </c>
      <c r="P2538" s="18">
        <f t="shared" si="442"/>
        <v>21.767123287671232</v>
      </c>
      <c r="Q2538" s="18">
        <v>0</v>
      </c>
      <c r="R2538" s="18">
        <f t="shared" si="438"/>
        <v>2280</v>
      </c>
      <c r="S2538" s="18">
        <f t="shared" si="450"/>
        <v>12</v>
      </c>
    </row>
    <row r="2539" spans="1:19" ht="18.75" customHeight="1" x14ac:dyDescent="0.25">
      <c r="A2539" s="14">
        <f t="shared" si="443"/>
        <v>2533</v>
      </c>
      <c r="B2539" s="31" t="s">
        <v>1831</v>
      </c>
      <c r="C2539" s="15" t="s">
        <v>3</v>
      </c>
      <c r="D2539" s="31" t="s">
        <v>1708</v>
      </c>
      <c r="E2539" s="31"/>
      <c r="F2539" s="73" t="s">
        <v>4</v>
      </c>
      <c r="G2539" s="32">
        <v>40283</v>
      </c>
      <c r="H2539" s="29">
        <v>82.070827397260274</v>
      </c>
      <c r="I2539" s="17">
        <v>0</v>
      </c>
      <c r="J2539" s="17">
        <v>0</v>
      </c>
      <c r="K2539" s="17">
        <f t="shared" si="440"/>
        <v>82.070827397260274</v>
      </c>
      <c r="L2539" s="23">
        <f t="shared" si="448"/>
        <v>4.1035413698630139</v>
      </c>
      <c r="M2539" s="33">
        <v>10</v>
      </c>
      <c r="N2539" s="18">
        <f t="shared" si="441"/>
        <v>10.972602739726028</v>
      </c>
      <c r="O2539" s="23">
        <v>79.356430684931539</v>
      </c>
      <c r="P2539" s="18">
        <f t="shared" si="442"/>
        <v>11.473972602739726</v>
      </c>
      <c r="Q2539" s="18">
        <v>0</v>
      </c>
      <c r="R2539" s="18">
        <f t="shared" si="438"/>
        <v>79.356430684931539</v>
      </c>
      <c r="S2539" s="18">
        <f t="shared" si="444"/>
        <v>2.7143967123287354</v>
      </c>
    </row>
    <row r="2540" spans="1:19" ht="18.75" customHeight="1" x14ac:dyDescent="0.25">
      <c r="A2540" s="14">
        <f t="shared" si="443"/>
        <v>2534</v>
      </c>
      <c r="B2540" s="31" t="s">
        <v>2144</v>
      </c>
      <c r="C2540" s="15" t="s">
        <v>3</v>
      </c>
      <c r="D2540" s="31" t="s">
        <v>1708</v>
      </c>
      <c r="E2540" s="31"/>
      <c r="F2540" s="73" t="s">
        <v>4</v>
      </c>
      <c r="G2540" s="32">
        <v>36526</v>
      </c>
      <c r="H2540" s="29">
        <v>182</v>
      </c>
      <c r="I2540" s="17">
        <v>0</v>
      </c>
      <c r="J2540" s="17">
        <v>0</v>
      </c>
      <c r="K2540" s="17">
        <f t="shared" si="440"/>
        <v>182</v>
      </c>
      <c r="L2540" s="23">
        <f t="shared" si="448"/>
        <v>9.1</v>
      </c>
      <c r="M2540" s="33">
        <v>10</v>
      </c>
      <c r="N2540" s="18">
        <f t="shared" si="441"/>
        <v>21.265753424657536</v>
      </c>
      <c r="O2540" s="23">
        <v>1729</v>
      </c>
      <c r="P2540" s="18">
        <f t="shared" si="442"/>
        <v>21.767123287671232</v>
      </c>
      <c r="Q2540" s="18">
        <v>0</v>
      </c>
      <c r="R2540" s="18">
        <f t="shared" si="438"/>
        <v>1729</v>
      </c>
      <c r="S2540" s="18">
        <f t="shared" ref="S2540:S2578" si="451">L2540</f>
        <v>9.1</v>
      </c>
    </row>
    <row r="2541" spans="1:19" ht="18.75" customHeight="1" x14ac:dyDescent="0.25">
      <c r="A2541" s="14">
        <f t="shared" si="443"/>
        <v>2535</v>
      </c>
      <c r="B2541" s="31" t="s">
        <v>2145</v>
      </c>
      <c r="C2541" s="15" t="s">
        <v>3</v>
      </c>
      <c r="D2541" s="31" t="s">
        <v>1708</v>
      </c>
      <c r="E2541" s="31"/>
      <c r="F2541" s="73" t="s">
        <v>4</v>
      </c>
      <c r="G2541" s="32">
        <v>36526</v>
      </c>
      <c r="H2541" s="29">
        <v>67.5</v>
      </c>
      <c r="I2541" s="17">
        <v>0</v>
      </c>
      <c r="J2541" s="17">
        <v>0</v>
      </c>
      <c r="K2541" s="17">
        <f t="shared" si="440"/>
        <v>67.5</v>
      </c>
      <c r="L2541" s="23">
        <f t="shared" si="448"/>
        <v>3.375</v>
      </c>
      <c r="M2541" s="33">
        <v>10</v>
      </c>
      <c r="N2541" s="18">
        <f t="shared" si="441"/>
        <v>21.265753424657536</v>
      </c>
      <c r="O2541" s="23">
        <v>641.25</v>
      </c>
      <c r="P2541" s="18">
        <f t="shared" si="442"/>
        <v>21.767123287671232</v>
      </c>
      <c r="Q2541" s="18">
        <v>0</v>
      </c>
      <c r="R2541" s="18">
        <f t="shared" si="438"/>
        <v>641.25</v>
      </c>
      <c r="S2541" s="18">
        <f t="shared" si="451"/>
        <v>3.375</v>
      </c>
    </row>
    <row r="2542" spans="1:19" ht="18.75" customHeight="1" x14ac:dyDescent="0.25">
      <c r="A2542" s="14">
        <f t="shared" si="443"/>
        <v>2536</v>
      </c>
      <c r="B2542" s="31" t="s">
        <v>2146</v>
      </c>
      <c r="C2542" s="15" t="s">
        <v>3</v>
      </c>
      <c r="D2542" s="31" t="s">
        <v>1708</v>
      </c>
      <c r="E2542" s="31"/>
      <c r="F2542" s="73" t="s">
        <v>4</v>
      </c>
      <c r="G2542" s="32">
        <v>36526</v>
      </c>
      <c r="H2542" s="29">
        <v>35</v>
      </c>
      <c r="I2542" s="17">
        <v>0</v>
      </c>
      <c r="J2542" s="17">
        <v>0</v>
      </c>
      <c r="K2542" s="17">
        <f t="shared" si="440"/>
        <v>35</v>
      </c>
      <c r="L2542" s="23">
        <f t="shared" si="448"/>
        <v>1.75</v>
      </c>
      <c r="M2542" s="33">
        <v>10</v>
      </c>
      <c r="N2542" s="18">
        <f t="shared" si="441"/>
        <v>21.265753424657536</v>
      </c>
      <c r="O2542" s="23">
        <v>332.5</v>
      </c>
      <c r="P2542" s="18">
        <f t="shared" si="442"/>
        <v>21.767123287671232</v>
      </c>
      <c r="Q2542" s="18">
        <v>0</v>
      </c>
      <c r="R2542" s="18">
        <f t="shared" si="438"/>
        <v>332.5</v>
      </c>
      <c r="S2542" s="18">
        <f t="shared" si="451"/>
        <v>1.75</v>
      </c>
    </row>
    <row r="2543" spans="1:19" ht="18.75" customHeight="1" x14ac:dyDescent="0.25">
      <c r="A2543" s="14">
        <f t="shared" si="443"/>
        <v>2537</v>
      </c>
      <c r="B2543" s="31" t="s">
        <v>2147</v>
      </c>
      <c r="C2543" s="15" t="s">
        <v>3</v>
      </c>
      <c r="D2543" s="31" t="s">
        <v>1708</v>
      </c>
      <c r="E2543" s="31"/>
      <c r="F2543" s="73" t="s">
        <v>4</v>
      </c>
      <c r="G2543" s="32">
        <v>36892</v>
      </c>
      <c r="H2543" s="29">
        <v>1821.3000000000029</v>
      </c>
      <c r="I2543" s="17">
        <v>0</v>
      </c>
      <c r="J2543" s="17">
        <v>0</v>
      </c>
      <c r="K2543" s="17">
        <f t="shared" si="440"/>
        <v>1821.3000000000029</v>
      </c>
      <c r="L2543" s="23">
        <f t="shared" si="448"/>
        <v>91.065000000000154</v>
      </c>
      <c r="M2543" s="33">
        <v>10</v>
      </c>
      <c r="N2543" s="18">
        <f t="shared" si="441"/>
        <v>20.263013698630136</v>
      </c>
      <c r="O2543" s="23">
        <v>17302.349999999999</v>
      </c>
      <c r="P2543" s="18">
        <f t="shared" si="442"/>
        <v>20.764383561643836</v>
      </c>
      <c r="Q2543" s="18">
        <v>0</v>
      </c>
      <c r="R2543" s="18">
        <f t="shared" si="438"/>
        <v>17302.349999999999</v>
      </c>
      <c r="S2543" s="18">
        <f t="shared" si="451"/>
        <v>91.065000000000154</v>
      </c>
    </row>
    <row r="2544" spans="1:19" ht="18.75" customHeight="1" x14ac:dyDescent="0.25">
      <c r="A2544" s="14">
        <f t="shared" si="443"/>
        <v>2538</v>
      </c>
      <c r="B2544" s="31" t="s">
        <v>2148</v>
      </c>
      <c r="C2544" s="15" t="s">
        <v>3</v>
      </c>
      <c r="D2544" s="31" t="s">
        <v>1708</v>
      </c>
      <c r="E2544" s="31"/>
      <c r="F2544" s="73" t="s">
        <v>4</v>
      </c>
      <c r="G2544" s="32">
        <v>36892</v>
      </c>
      <c r="H2544" s="29">
        <v>1628.25</v>
      </c>
      <c r="I2544" s="17">
        <v>0</v>
      </c>
      <c r="J2544" s="17">
        <v>0</v>
      </c>
      <c r="K2544" s="17">
        <f t="shared" si="440"/>
        <v>1628.25</v>
      </c>
      <c r="L2544" s="23">
        <f t="shared" si="448"/>
        <v>81.412500000000009</v>
      </c>
      <c r="M2544" s="33">
        <v>10</v>
      </c>
      <c r="N2544" s="18">
        <f t="shared" si="441"/>
        <v>20.263013698630136</v>
      </c>
      <c r="O2544" s="23">
        <v>15468.375</v>
      </c>
      <c r="P2544" s="18">
        <f t="shared" si="442"/>
        <v>20.764383561643836</v>
      </c>
      <c r="Q2544" s="18">
        <v>0</v>
      </c>
      <c r="R2544" s="18">
        <f t="shared" si="438"/>
        <v>15468.375</v>
      </c>
      <c r="S2544" s="18">
        <f t="shared" si="451"/>
        <v>81.412500000000009</v>
      </c>
    </row>
    <row r="2545" spans="1:19" ht="18.75" customHeight="1" x14ac:dyDescent="0.25">
      <c r="A2545" s="14">
        <f t="shared" si="443"/>
        <v>2539</v>
      </c>
      <c r="B2545" s="31" t="s">
        <v>2149</v>
      </c>
      <c r="C2545" s="15" t="s">
        <v>3</v>
      </c>
      <c r="D2545" s="31" t="s">
        <v>1708</v>
      </c>
      <c r="E2545" s="31"/>
      <c r="F2545" s="73" t="s">
        <v>4</v>
      </c>
      <c r="G2545" s="32">
        <v>36892</v>
      </c>
      <c r="H2545" s="29">
        <v>562.14999999999964</v>
      </c>
      <c r="I2545" s="17">
        <v>0</v>
      </c>
      <c r="J2545" s="17">
        <v>0</v>
      </c>
      <c r="K2545" s="17">
        <f t="shared" si="440"/>
        <v>562.14999999999964</v>
      </c>
      <c r="L2545" s="23">
        <f t="shared" si="448"/>
        <v>28.107499999999984</v>
      </c>
      <c r="M2545" s="33">
        <v>10</v>
      </c>
      <c r="N2545" s="18">
        <f t="shared" si="441"/>
        <v>20.263013698630136</v>
      </c>
      <c r="O2545" s="23">
        <v>5340.4250000000002</v>
      </c>
      <c r="P2545" s="18">
        <f t="shared" si="442"/>
        <v>20.764383561643836</v>
      </c>
      <c r="Q2545" s="18">
        <v>0</v>
      </c>
      <c r="R2545" s="18">
        <f t="shared" si="438"/>
        <v>5340.4250000000002</v>
      </c>
      <c r="S2545" s="18">
        <f t="shared" si="451"/>
        <v>28.107499999999984</v>
      </c>
    </row>
    <row r="2546" spans="1:19" ht="18.75" customHeight="1" x14ac:dyDescent="0.25">
      <c r="A2546" s="14">
        <f t="shared" si="443"/>
        <v>2540</v>
      </c>
      <c r="B2546" s="31" t="s">
        <v>2150</v>
      </c>
      <c r="C2546" s="15" t="s">
        <v>3</v>
      </c>
      <c r="D2546" s="31" t="s">
        <v>1708</v>
      </c>
      <c r="E2546" s="31"/>
      <c r="F2546" s="73" t="s">
        <v>4</v>
      </c>
      <c r="G2546" s="32">
        <v>36892</v>
      </c>
      <c r="H2546" s="29">
        <v>331</v>
      </c>
      <c r="I2546" s="17">
        <v>0</v>
      </c>
      <c r="J2546" s="17">
        <v>0</v>
      </c>
      <c r="K2546" s="17">
        <f t="shared" si="440"/>
        <v>331</v>
      </c>
      <c r="L2546" s="23">
        <f t="shared" si="448"/>
        <v>16.55</v>
      </c>
      <c r="M2546" s="33">
        <v>10</v>
      </c>
      <c r="N2546" s="18">
        <f t="shared" si="441"/>
        <v>20.263013698630136</v>
      </c>
      <c r="O2546" s="23">
        <v>3144.5</v>
      </c>
      <c r="P2546" s="18">
        <f t="shared" si="442"/>
        <v>20.764383561643836</v>
      </c>
      <c r="Q2546" s="18">
        <v>0</v>
      </c>
      <c r="R2546" s="18">
        <f t="shared" si="438"/>
        <v>3144.5</v>
      </c>
      <c r="S2546" s="18">
        <f t="shared" si="451"/>
        <v>16.55</v>
      </c>
    </row>
    <row r="2547" spans="1:19" ht="18.75" customHeight="1" x14ac:dyDescent="0.25">
      <c r="A2547" s="14">
        <f t="shared" si="443"/>
        <v>2541</v>
      </c>
      <c r="B2547" s="31" t="s">
        <v>2151</v>
      </c>
      <c r="C2547" s="15" t="s">
        <v>3</v>
      </c>
      <c r="D2547" s="31" t="s">
        <v>1708</v>
      </c>
      <c r="E2547" s="31"/>
      <c r="F2547" s="73" t="s">
        <v>4</v>
      </c>
      <c r="G2547" s="32">
        <v>36892</v>
      </c>
      <c r="H2547" s="29">
        <v>285.25</v>
      </c>
      <c r="I2547" s="17">
        <v>0</v>
      </c>
      <c r="J2547" s="17">
        <v>0</v>
      </c>
      <c r="K2547" s="17">
        <f t="shared" si="440"/>
        <v>285.25</v>
      </c>
      <c r="L2547" s="23">
        <f t="shared" si="448"/>
        <v>14.262500000000001</v>
      </c>
      <c r="M2547" s="33">
        <v>10</v>
      </c>
      <c r="N2547" s="18">
        <f t="shared" si="441"/>
        <v>20.263013698630136</v>
      </c>
      <c r="O2547" s="23">
        <v>2709.875</v>
      </c>
      <c r="P2547" s="18">
        <f t="shared" si="442"/>
        <v>20.764383561643836</v>
      </c>
      <c r="Q2547" s="18">
        <v>0</v>
      </c>
      <c r="R2547" s="18">
        <f t="shared" si="438"/>
        <v>2709.875</v>
      </c>
      <c r="S2547" s="18">
        <f t="shared" si="451"/>
        <v>14.262500000000001</v>
      </c>
    </row>
    <row r="2548" spans="1:19" ht="18.75" customHeight="1" x14ac:dyDescent="0.25">
      <c r="A2548" s="14">
        <f t="shared" si="443"/>
        <v>2542</v>
      </c>
      <c r="B2548" s="31" t="s">
        <v>2152</v>
      </c>
      <c r="C2548" s="15" t="s">
        <v>3</v>
      </c>
      <c r="D2548" s="31" t="s">
        <v>1708</v>
      </c>
      <c r="E2548" s="31"/>
      <c r="F2548" s="73" t="s">
        <v>4</v>
      </c>
      <c r="G2548" s="32">
        <v>36978</v>
      </c>
      <c r="H2548" s="29">
        <v>64142.5</v>
      </c>
      <c r="I2548" s="17">
        <v>0</v>
      </c>
      <c r="J2548" s="17">
        <v>0</v>
      </c>
      <c r="K2548" s="17">
        <f t="shared" si="440"/>
        <v>64142.5</v>
      </c>
      <c r="L2548" s="23">
        <f t="shared" si="448"/>
        <v>3207.125</v>
      </c>
      <c r="M2548" s="33">
        <v>5</v>
      </c>
      <c r="N2548" s="18">
        <f t="shared" si="441"/>
        <v>20.027397260273972</v>
      </c>
      <c r="O2548" s="23">
        <v>119353.75</v>
      </c>
      <c r="P2548" s="18">
        <f t="shared" si="442"/>
        <v>20.528767123287672</v>
      </c>
      <c r="Q2548" s="18">
        <v>0</v>
      </c>
      <c r="R2548" s="18">
        <f t="shared" si="438"/>
        <v>119353.75</v>
      </c>
      <c r="S2548" s="18">
        <f t="shared" si="451"/>
        <v>3207.125</v>
      </c>
    </row>
    <row r="2549" spans="1:19" ht="18.75" customHeight="1" x14ac:dyDescent="0.25">
      <c r="A2549" s="14">
        <f t="shared" si="443"/>
        <v>2543</v>
      </c>
      <c r="B2549" s="31" t="s">
        <v>2153</v>
      </c>
      <c r="C2549" s="15" t="s">
        <v>3</v>
      </c>
      <c r="D2549" s="31" t="s">
        <v>1708</v>
      </c>
      <c r="E2549" s="31"/>
      <c r="F2549" s="73" t="s">
        <v>4</v>
      </c>
      <c r="G2549" s="32">
        <v>36981</v>
      </c>
      <c r="H2549" s="29">
        <v>312</v>
      </c>
      <c r="I2549" s="17">
        <v>0</v>
      </c>
      <c r="J2549" s="17">
        <v>0</v>
      </c>
      <c r="K2549" s="17">
        <f t="shared" si="440"/>
        <v>312</v>
      </c>
      <c r="L2549" s="23">
        <f t="shared" si="448"/>
        <v>15.600000000000001</v>
      </c>
      <c r="M2549" s="33">
        <v>5</v>
      </c>
      <c r="N2549" s="18">
        <f t="shared" si="441"/>
        <v>20.019178082191782</v>
      </c>
      <c r="O2549" s="23">
        <v>2964</v>
      </c>
      <c r="P2549" s="18">
        <f t="shared" si="442"/>
        <v>20.520547945205479</v>
      </c>
      <c r="Q2549" s="18">
        <v>0</v>
      </c>
      <c r="R2549" s="18">
        <f t="shared" si="438"/>
        <v>2964</v>
      </c>
      <c r="S2549" s="18">
        <f t="shared" si="451"/>
        <v>15.600000000000001</v>
      </c>
    </row>
    <row r="2550" spans="1:19" ht="18.75" customHeight="1" x14ac:dyDescent="0.25">
      <c r="A2550" s="14">
        <f t="shared" si="443"/>
        <v>2544</v>
      </c>
      <c r="B2550" s="31" t="s">
        <v>2154</v>
      </c>
      <c r="C2550" s="15" t="s">
        <v>3</v>
      </c>
      <c r="D2550" s="31" t="s">
        <v>1708</v>
      </c>
      <c r="E2550" s="31"/>
      <c r="F2550" s="73" t="s">
        <v>4</v>
      </c>
      <c r="G2550" s="32">
        <v>36892</v>
      </c>
      <c r="H2550" s="29">
        <v>108.5</v>
      </c>
      <c r="I2550" s="17">
        <v>0</v>
      </c>
      <c r="J2550" s="17">
        <v>0</v>
      </c>
      <c r="K2550" s="17">
        <f t="shared" si="440"/>
        <v>108.5</v>
      </c>
      <c r="L2550" s="23">
        <f t="shared" si="448"/>
        <v>5.4250000000000007</v>
      </c>
      <c r="M2550" s="33">
        <v>10</v>
      </c>
      <c r="N2550" s="18">
        <f t="shared" si="441"/>
        <v>20.263013698630136</v>
      </c>
      <c r="O2550" s="23">
        <v>1030.75</v>
      </c>
      <c r="P2550" s="18">
        <f t="shared" si="442"/>
        <v>20.764383561643836</v>
      </c>
      <c r="Q2550" s="18">
        <v>0</v>
      </c>
      <c r="R2550" s="18">
        <f t="shared" si="438"/>
        <v>1030.75</v>
      </c>
      <c r="S2550" s="18">
        <f t="shared" si="451"/>
        <v>5.4250000000000007</v>
      </c>
    </row>
    <row r="2551" spans="1:19" ht="18.75" customHeight="1" x14ac:dyDescent="0.25">
      <c r="A2551" s="14">
        <f t="shared" si="443"/>
        <v>2545</v>
      </c>
      <c r="B2551" s="31" t="s">
        <v>2155</v>
      </c>
      <c r="C2551" s="15" t="s">
        <v>3</v>
      </c>
      <c r="D2551" s="31" t="s">
        <v>1708</v>
      </c>
      <c r="E2551" s="31"/>
      <c r="F2551" s="73" t="s">
        <v>4</v>
      </c>
      <c r="G2551" s="32">
        <v>36892</v>
      </c>
      <c r="H2551" s="29">
        <v>67.5</v>
      </c>
      <c r="I2551" s="17">
        <v>0</v>
      </c>
      <c r="J2551" s="17">
        <v>0</v>
      </c>
      <c r="K2551" s="17">
        <f t="shared" si="440"/>
        <v>67.5</v>
      </c>
      <c r="L2551" s="23">
        <f t="shared" si="448"/>
        <v>3.375</v>
      </c>
      <c r="M2551" s="33">
        <v>10</v>
      </c>
      <c r="N2551" s="18">
        <f t="shared" si="441"/>
        <v>20.263013698630136</v>
      </c>
      <c r="O2551" s="23">
        <v>641.25</v>
      </c>
      <c r="P2551" s="18">
        <f t="shared" si="442"/>
        <v>20.764383561643836</v>
      </c>
      <c r="Q2551" s="18">
        <v>0</v>
      </c>
      <c r="R2551" s="18">
        <f t="shared" si="438"/>
        <v>641.25</v>
      </c>
      <c r="S2551" s="18">
        <f t="shared" si="451"/>
        <v>3.375</v>
      </c>
    </row>
    <row r="2552" spans="1:19" ht="18.75" customHeight="1" x14ac:dyDescent="0.25">
      <c r="A2552" s="14">
        <f t="shared" si="443"/>
        <v>2546</v>
      </c>
      <c r="B2552" s="31" t="s">
        <v>2156</v>
      </c>
      <c r="C2552" s="15" t="s">
        <v>3</v>
      </c>
      <c r="D2552" s="31" t="s">
        <v>1708</v>
      </c>
      <c r="E2552" s="31"/>
      <c r="F2552" s="73" t="s">
        <v>4</v>
      </c>
      <c r="G2552" s="32">
        <v>36892</v>
      </c>
      <c r="H2552" s="29">
        <v>45</v>
      </c>
      <c r="I2552" s="17">
        <v>0</v>
      </c>
      <c r="J2552" s="17">
        <v>0</v>
      </c>
      <c r="K2552" s="17">
        <f t="shared" si="440"/>
        <v>45</v>
      </c>
      <c r="L2552" s="23">
        <f t="shared" si="448"/>
        <v>2.25</v>
      </c>
      <c r="M2552" s="33">
        <v>10</v>
      </c>
      <c r="N2552" s="18">
        <f t="shared" si="441"/>
        <v>20.263013698630136</v>
      </c>
      <c r="O2552" s="23">
        <v>427.5</v>
      </c>
      <c r="P2552" s="18">
        <f t="shared" si="442"/>
        <v>20.764383561643836</v>
      </c>
      <c r="Q2552" s="18">
        <v>0</v>
      </c>
      <c r="R2552" s="18">
        <f t="shared" si="438"/>
        <v>427.5</v>
      </c>
      <c r="S2552" s="18">
        <f t="shared" si="451"/>
        <v>2.25</v>
      </c>
    </row>
    <row r="2553" spans="1:19" ht="18.75" customHeight="1" x14ac:dyDescent="0.25">
      <c r="A2553" s="14">
        <f t="shared" si="443"/>
        <v>2547</v>
      </c>
      <c r="B2553" s="31" t="s">
        <v>2157</v>
      </c>
      <c r="C2553" s="15" t="s">
        <v>3</v>
      </c>
      <c r="D2553" s="31" t="s">
        <v>1708</v>
      </c>
      <c r="E2553" s="31"/>
      <c r="F2553" s="73" t="s">
        <v>4</v>
      </c>
      <c r="G2553" s="32">
        <v>36892</v>
      </c>
      <c r="H2553" s="29">
        <v>44.25</v>
      </c>
      <c r="I2553" s="17">
        <v>0</v>
      </c>
      <c r="J2553" s="17">
        <v>0</v>
      </c>
      <c r="K2553" s="17">
        <f t="shared" si="440"/>
        <v>44.25</v>
      </c>
      <c r="L2553" s="23">
        <f t="shared" si="448"/>
        <v>2.2124999999999999</v>
      </c>
      <c r="M2553" s="33">
        <v>10</v>
      </c>
      <c r="N2553" s="18">
        <f t="shared" si="441"/>
        <v>20.263013698630136</v>
      </c>
      <c r="O2553" s="23">
        <v>420.375</v>
      </c>
      <c r="P2553" s="18">
        <f t="shared" si="442"/>
        <v>20.764383561643836</v>
      </c>
      <c r="Q2553" s="18">
        <v>0</v>
      </c>
      <c r="R2553" s="18">
        <f t="shared" si="438"/>
        <v>420.375</v>
      </c>
      <c r="S2553" s="18">
        <f t="shared" si="451"/>
        <v>2.2124999999999999</v>
      </c>
    </row>
    <row r="2554" spans="1:19" ht="18.75" customHeight="1" x14ac:dyDescent="0.25">
      <c r="A2554" s="14">
        <f t="shared" si="443"/>
        <v>2548</v>
      </c>
      <c r="B2554" s="31" t="s">
        <v>2158</v>
      </c>
      <c r="C2554" s="15" t="s">
        <v>3</v>
      </c>
      <c r="D2554" s="31" t="s">
        <v>1708</v>
      </c>
      <c r="E2554" s="31"/>
      <c r="F2554" s="73" t="s">
        <v>4</v>
      </c>
      <c r="G2554" s="32">
        <v>37257</v>
      </c>
      <c r="H2554" s="29">
        <v>2095.6999999999971</v>
      </c>
      <c r="I2554" s="17">
        <v>0</v>
      </c>
      <c r="J2554" s="17">
        <v>0</v>
      </c>
      <c r="K2554" s="17">
        <f t="shared" si="440"/>
        <v>2095.6999999999971</v>
      </c>
      <c r="L2554" s="23">
        <f t="shared" si="448"/>
        <v>104.78499999999985</v>
      </c>
      <c r="M2554" s="33">
        <v>10</v>
      </c>
      <c r="N2554" s="18">
        <f t="shared" si="441"/>
        <v>19.263013698630136</v>
      </c>
      <c r="O2554" s="23">
        <v>19909.150000000001</v>
      </c>
      <c r="P2554" s="18">
        <f t="shared" si="442"/>
        <v>19.764383561643836</v>
      </c>
      <c r="Q2554" s="18">
        <v>0</v>
      </c>
      <c r="R2554" s="18">
        <f t="shared" si="438"/>
        <v>19909.150000000001</v>
      </c>
      <c r="S2554" s="18">
        <f t="shared" si="451"/>
        <v>104.78499999999985</v>
      </c>
    </row>
    <row r="2555" spans="1:19" ht="18.75" customHeight="1" x14ac:dyDescent="0.25">
      <c r="A2555" s="14">
        <f t="shared" si="443"/>
        <v>2549</v>
      </c>
      <c r="B2555" s="31" t="s">
        <v>2159</v>
      </c>
      <c r="C2555" s="15" t="s">
        <v>3</v>
      </c>
      <c r="D2555" s="31" t="s">
        <v>1708</v>
      </c>
      <c r="E2555" s="31"/>
      <c r="F2555" s="73" t="s">
        <v>4</v>
      </c>
      <c r="G2555" s="32">
        <v>37257</v>
      </c>
      <c r="H2555" s="29">
        <v>1645.4000000000015</v>
      </c>
      <c r="I2555" s="17">
        <v>0</v>
      </c>
      <c r="J2555" s="17">
        <v>0</v>
      </c>
      <c r="K2555" s="17">
        <f t="shared" si="440"/>
        <v>1645.4000000000015</v>
      </c>
      <c r="L2555" s="23">
        <f t="shared" si="448"/>
        <v>82.270000000000081</v>
      </c>
      <c r="M2555" s="33">
        <v>10</v>
      </c>
      <c r="N2555" s="18">
        <f t="shared" si="441"/>
        <v>19.263013698630136</v>
      </c>
      <c r="O2555" s="23">
        <v>15631.3</v>
      </c>
      <c r="P2555" s="18">
        <f t="shared" si="442"/>
        <v>19.764383561643836</v>
      </c>
      <c r="Q2555" s="18">
        <v>0</v>
      </c>
      <c r="R2555" s="18">
        <f t="shared" si="438"/>
        <v>15631.3</v>
      </c>
      <c r="S2555" s="18">
        <f t="shared" si="451"/>
        <v>82.270000000000081</v>
      </c>
    </row>
    <row r="2556" spans="1:19" ht="18.75" customHeight="1" x14ac:dyDescent="0.25">
      <c r="A2556" s="14">
        <f t="shared" si="443"/>
        <v>2550</v>
      </c>
      <c r="B2556" s="31" t="s">
        <v>2160</v>
      </c>
      <c r="C2556" s="15" t="s">
        <v>3</v>
      </c>
      <c r="D2556" s="31" t="s">
        <v>1708</v>
      </c>
      <c r="E2556" s="31"/>
      <c r="F2556" s="73" t="s">
        <v>4</v>
      </c>
      <c r="G2556" s="32">
        <v>37257</v>
      </c>
      <c r="H2556" s="29">
        <v>1300.25</v>
      </c>
      <c r="I2556" s="17">
        <v>0</v>
      </c>
      <c r="J2556" s="17">
        <v>0</v>
      </c>
      <c r="K2556" s="17">
        <f t="shared" si="440"/>
        <v>1300.25</v>
      </c>
      <c r="L2556" s="23">
        <f t="shared" si="448"/>
        <v>65.012500000000003</v>
      </c>
      <c r="M2556" s="33">
        <v>10</v>
      </c>
      <c r="N2556" s="18">
        <f t="shared" si="441"/>
        <v>19.263013698630136</v>
      </c>
      <c r="O2556" s="23">
        <v>12352.375</v>
      </c>
      <c r="P2556" s="18">
        <f t="shared" si="442"/>
        <v>19.764383561643836</v>
      </c>
      <c r="Q2556" s="18">
        <v>0</v>
      </c>
      <c r="R2556" s="18">
        <f t="shared" si="438"/>
        <v>12352.375</v>
      </c>
      <c r="S2556" s="18">
        <f t="shared" si="451"/>
        <v>65.012500000000003</v>
      </c>
    </row>
    <row r="2557" spans="1:19" ht="18.75" customHeight="1" x14ac:dyDescent="0.25">
      <c r="A2557" s="14">
        <f t="shared" si="443"/>
        <v>2551</v>
      </c>
      <c r="B2557" s="14" t="s">
        <v>2161</v>
      </c>
      <c r="C2557" s="15" t="s">
        <v>3</v>
      </c>
      <c r="D2557" s="31" t="s">
        <v>1708</v>
      </c>
      <c r="E2557" s="31"/>
      <c r="F2557" s="73" t="s">
        <v>4</v>
      </c>
      <c r="G2557" s="32">
        <v>37257</v>
      </c>
      <c r="H2557" s="29">
        <v>806.70000000000073</v>
      </c>
      <c r="I2557" s="17">
        <v>0</v>
      </c>
      <c r="J2557" s="17">
        <v>0</v>
      </c>
      <c r="K2557" s="17">
        <f t="shared" si="440"/>
        <v>806.70000000000073</v>
      </c>
      <c r="L2557" s="23">
        <f t="shared" si="448"/>
        <v>40.335000000000036</v>
      </c>
      <c r="M2557" s="33">
        <v>10</v>
      </c>
      <c r="N2557" s="18">
        <f t="shared" si="441"/>
        <v>19.263013698630136</v>
      </c>
      <c r="O2557" s="23">
        <v>7663.65</v>
      </c>
      <c r="P2557" s="18">
        <f t="shared" si="442"/>
        <v>19.764383561643836</v>
      </c>
      <c r="Q2557" s="18">
        <v>0</v>
      </c>
      <c r="R2557" s="18">
        <f t="shared" si="438"/>
        <v>7663.65</v>
      </c>
      <c r="S2557" s="18">
        <f t="shared" si="451"/>
        <v>40.335000000000036</v>
      </c>
    </row>
    <row r="2558" spans="1:19" ht="18.75" customHeight="1" x14ac:dyDescent="0.25">
      <c r="A2558" s="14">
        <f t="shared" si="443"/>
        <v>2552</v>
      </c>
      <c r="B2558" s="14" t="s">
        <v>2162</v>
      </c>
      <c r="C2558" s="15" t="s">
        <v>3</v>
      </c>
      <c r="D2558" s="31" t="s">
        <v>1708</v>
      </c>
      <c r="E2558" s="31"/>
      <c r="F2558" s="73" t="s">
        <v>4</v>
      </c>
      <c r="G2558" s="32">
        <v>37257</v>
      </c>
      <c r="H2558" s="29">
        <v>740</v>
      </c>
      <c r="I2558" s="17">
        <v>0</v>
      </c>
      <c r="J2558" s="17">
        <v>0</v>
      </c>
      <c r="K2558" s="17">
        <f t="shared" si="440"/>
        <v>740</v>
      </c>
      <c r="L2558" s="23">
        <f t="shared" si="448"/>
        <v>37</v>
      </c>
      <c r="M2558" s="33">
        <v>10</v>
      </c>
      <c r="N2558" s="18">
        <f t="shared" si="441"/>
        <v>19.263013698630136</v>
      </c>
      <c r="O2558" s="23">
        <v>7030</v>
      </c>
      <c r="P2558" s="18">
        <f t="shared" si="442"/>
        <v>19.764383561643836</v>
      </c>
      <c r="Q2558" s="18">
        <v>0</v>
      </c>
      <c r="R2558" s="18">
        <f t="shared" si="438"/>
        <v>7030</v>
      </c>
      <c r="S2558" s="18">
        <f t="shared" si="451"/>
        <v>37</v>
      </c>
    </row>
    <row r="2559" spans="1:19" ht="18.75" customHeight="1" x14ac:dyDescent="0.25">
      <c r="A2559" s="14">
        <f t="shared" si="443"/>
        <v>2553</v>
      </c>
      <c r="B2559" s="14" t="s">
        <v>2163</v>
      </c>
      <c r="C2559" s="15" t="s">
        <v>3</v>
      </c>
      <c r="D2559" s="31" t="s">
        <v>1708</v>
      </c>
      <c r="E2559" s="31"/>
      <c r="F2559" s="73" t="s">
        <v>4</v>
      </c>
      <c r="G2559" s="32">
        <v>37257</v>
      </c>
      <c r="H2559" s="29">
        <v>195</v>
      </c>
      <c r="I2559" s="17">
        <v>0</v>
      </c>
      <c r="J2559" s="17">
        <v>0</v>
      </c>
      <c r="K2559" s="17">
        <f t="shared" si="440"/>
        <v>195</v>
      </c>
      <c r="L2559" s="23">
        <f t="shared" si="448"/>
        <v>9.75</v>
      </c>
      <c r="M2559" s="33">
        <v>10</v>
      </c>
      <c r="N2559" s="18">
        <f t="shared" si="441"/>
        <v>19.263013698630136</v>
      </c>
      <c r="O2559" s="23">
        <v>1852.5</v>
      </c>
      <c r="P2559" s="18">
        <f t="shared" si="442"/>
        <v>19.764383561643836</v>
      </c>
      <c r="Q2559" s="18">
        <v>0</v>
      </c>
      <c r="R2559" s="18">
        <f t="shared" si="438"/>
        <v>1852.5</v>
      </c>
      <c r="S2559" s="18">
        <f t="shared" si="451"/>
        <v>9.75</v>
      </c>
    </row>
    <row r="2560" spans="1:19" ht="18.75" customHeight="1" x14ac:dyDescent="0.25">
      <c r="A2560" s="14">
        <f t="shared" si="443"/>
        <v>2554</v>
      </c>
      <c r="B2560" s="14" t="s">
        <v>2164</v>
      </c>
      <c r="C2560" s="15" t="s">
        <v>3</v>
      </c>
      <c r="D2560" s="31" t="s">
        <v>1708</v>
      </c>
      <c r="E2560" s="31"/>
      <c r="F2560" s="73" t="s">
        <v>4</v>
      </c>
      <c r="G2560" s="32">
        <v>37257</v>
      </c>
      <c r="H2560" s="29">
        <v>176.90000000000009</v>
      </c>
      <c r="I2560" s="17">
        <v>0</v>
      </c>
      <c r="J2560" s="17">
        <v>0</v>
      </c>
      <c r="K2560" s="17">
        <f t="shared" si="440"/>
        <v>176.90000000000009</v>
      </c>
      <c r="L2560" s="23">
        <f t="shared" si="448"/>
        <v>8.8450000000000042</v>
      </c>
      <c r="M2560" s="33">
        <v>10</v>
      </c>
      <c r="N2560" s="18">
        <f t="shared" si="441"/>
        <v>19.263013698630136</v>
      </c>
      <c r="O2560" s="23">
        <v>1680.55</v>
      </c>
      <c r="P2560" s="18">
        <f t="shared" si="442"/>
        <v>19.764383561643836</v>
      </c>
      <c r="Q2560" s="18">
        <v>0</v>
      </c>
      <c r="R2560" s="18">
        <f t="shared" si="438"/>
        <v>1680.55</v>
      </c>
      <c r="S2560" s="18">
        <f t="shared" si="451"/>
        <v>8.8450000000000042</v>
      </c>
    </row>
    <row r="2561" spans="1:19" ht="18.75" customHeight="1" x14ac:dyDescent="0.25">
      <c r="A2561" s="14">
        <f t="shared" si="443"/>
        <v>2555</v>
      </c>
      <c r="B2561" s="14" t="s">
        <v>2165</v>
      </c>
      <c r="C2561" s="15" t="s">
        <v>3</v>
      </c>
      <c r="D2561" s="31" t="s">
        <v>1708</v>
      </c>
      <c r="E2561" s="31"/>
      <c r="F2561" s="73" t="s">
        <v>4</v>
      </c>
      <c r="G2561" s="32">
        <v>37257</v>
      </c>
      <c r="H2561" s="29">
        <v>112.5</v>
      </c>
      <c r="I2561" s="17">
        <v>0</v>
      </c>
      <c r="J2561" s="17">
        <v>0</v>
      </c>
      <c r="K2561" s="17">
        <f t="shared" si="440"/>
        <v>112.5</v>
      </c>
      <c r="L2561" s="23">
        <f t="shared" si="448"/>
        <v>5.625</v>
      </c>
      <c r="M2561" s="33">
        <v>10</v>
      </c>
      <c r="N2561" s="18">
        <f t="shared" si="441"/>
        <v>19.263013698630136</v>
      </c>
      <c r="O2561" s="23">
        <v>1068.75</v>
      </c>
      <c r="P2561" s="18">
        <f t="shared" si="442"/>
        <v>19.764383561643836</v>
      </c>
      <c r="Q2561" s="18">
        <v>0</v>
      </c>
      <c r="R2561" s="18">
        <f t="shared" si="438"/>
        <v>1068.75</v>
      </c>
      <c r="S2561" s="18">
        <f t="shared" si="451"/>
        <v>5.625</v>
      </c>
    </row>
    <row r="2562" spans="1:19" ht="18.75" customHeight="1" x14ac:dyDescent="0.25">
      <c r="A2562" s="14">
        <f t="shared" si="443"/>
        <v>2556</v>
      </c>
      <c r="B2562" s="14" t="s">
        <v>2166</v>
      </c>
      <c r="C2562" s="15" t="s">
        <v>3</v>
      </c>
      <c r="D2562" s="31" t="s">
        <v>1708</v>
      </c>
      <c r="E2562" s="31"/>
      <c r="F2562" s="73" t="s">
        <v>4</v>
      </c>
      <c r="G2562" s="32">
        <v>37257</v>
      </c>
      <c r="H2562" s="29">
        <v>52.5</v>
      </c>
      <c r="I2562" s="17">
        <v>0</v>
      </c>
      <c r="J2562" s="17">
        <v>0</v>
      </c>
      <c r="K2562" s="17">
        <f t="shared" si="440"/>
        <v>52.5</v>
      </c>
      <c r="L2562" s="23">
        <f t="shared" si="448"/>
        <v>2.625</v>
      </c>
      <c r="M2562" s="33">
        <v>10</v>
      </c>
      <c r="N2562" s="18">
        <f t="shared" si="441"/>
        <v>19.263013698630136</v>
      </c>
      <c r="O2562" s="23">
        <v>498.75</v>
      </c>
      <c r="P2562" s="18">
        <f t="shared" si="442"/>
        <v>19.764383561643836</v>
      </c>
      <c r="Q2562" s="18">
        <v>0</v>
      </c>
      <c r="R2562" s="18">
        <f t="shared" si="438"/>
        <v>498.75</v>
      </c>
      <c r="S2562" s="18">
        <f t="shared" si="451"/>
        <v>2.625</v>
      </c>
    </row>
    <row r="2563" spans="1:19" ht="18.75" customHeight="1" x14ac:dyDescent="0.25">
      <c r="A2563" s="14">
        <f t="shared" si="443"/>
        <v>2557</v>
      </c>
      <c r="B2563" s="14" t="s">
        <v>2167</v>
      </c>
      <c r="C2563" s="15" t="s">
        <v>3</v>
      </c>
      <c r="D2563" s="31" t="s">
        <v>1708</v>
      </c>
      <c r="E2563" s="31"/>
      <c r="F2563" s="73" t="s">
        <v>4</v>
      </c>
      <c r="G2563" s="32">
        <v>37622</v>
      </c>
      <c r="H2563" s="29">
        <v>930.75</v>
      </c>
      <c r="I2563" s="17">
        <v>0</v>
      </c>
      <c r="J2563" s="17">
        <v>0</v>
      </c>
      <c r="K2563" s="17">
        <f t="shared" si="440"/>
        <v>930.75</v>
      </c>
      <c r="L2563" s="23">
        <f t="shared" si="448"/>
        <v>46.537500000000001</v>
      </c>
      <c r="M2563" s="33">
        <v>10</v>
      </c>
      <c r="N2563" s="18">
        <f t="shared" si="441"/>
        <v>18.263013698630136</v>
      </c>
      <c r="O2563" s="23">
        <v>8842.125</v>
      </c>
      <c r="P2563" s="18">
        <f t="shared" si="442"/>
        <v>18.764383561643836</v>
      </c>
      <c r="Q2563" s="18">
        <v>0</v>
      </c>
      <c r="R2563" s="18">
        <f t="shared" si="438"/>
        <v>8842.125</v>
      </c>
      <c r="S2563" s="18">
        <f t="shared" si="451"/>
        <v>46.537500000000001</v>
      </c>
    </row>
    <row r="2564" spans="1:19" ht="18.75" customHeight="1" x14ac:dyDescent="0.25">
      <c r="A2564" s="14">
        <f t="shared" si="443"/>
        <v>2558</v>
      </c>
      <c r="B2564" s="14" t="s">
        <v>2168</v>
      </c>
      <c r="C2564" s="15" t="s">
        <v>3</v>
      </c>
      <c r="D2564" s="31" t="s">
        <v>1708</v>
      </c>
      <c r="E2564" s="31"/>
      <c r="F2564" s="73" t="s">
        <v>4</v>
      </c>
      <c r="G2564" s="32">
        <v>38267</v>
      </c>
      <c r="H2564" s="29">
        <v>2153.5080000000016</v>
      </c>
      <c r="I2564" s="17">
        <v>0</v>
      </c>
      <c r="J2564" s="17">
        <v>0</v>
      </c>
      <c r="K2564" s="17">
        <f t="shared" si="440"/>
        <v>2153.5080000000016</v>
      </c>
      <c r="L2564" s="23">
        <f t="shared" si="448"/>
        <v>107.67540000000008</v>
      </c>
      <c r="M2564" s="33">
        <v>5</v>
      </c>
      <c r="N2564" s="18">
        <f t="shared" si="441"/>
        <v>16.495890410958904</v>
      </c>
      <c r="O2564" s="23">
        <v>20458.326000000001</v>
      </c>
      <c r="P2564" s="18">
        <f t="shared" si="442"/>
        <v>16.997260273972604</v>
      </c>
      <c r="Q2564" s="18">
        <v>0</v>
      </c>
      <c r="R2564" s="18">
        <f t="shared" ref="R2564:R2627" si="452">Q2564+O2564</f>
        <v>20458.326000000001</v>
      </c>
      <c r="S2564" s="18">
        <f t="shared" si="451"/>
        <v>107.67540000000008</v>
      </c>
    </row>
    <row r="2565" spans="1:19" ht="18.75" customHeight="1" x14ac:dyDescent="0.25">
      <c r="A2565" s="14">
        <f t="shared" si="443"/>
        <v>2559</v>
      </c>
      <c r="B2565" s="14" t="s">
        <v>2169</v>
      </c>
      <c r="C2565" s="15" t="s">
        <v>3</v>
      </c>
      <c r="D2565" s="31" t="s">
        <v>1708</v>
      </c>
      <c r="E2565" s="31"/>
      <c r="F2565" s="73" t="s">
        <v>4</v>
      </c>
      <c r="G2565" s="32">
        <v>38569</v>
      </c>
      <c r="H2565" s="29">
        <v>900</v>
      </c>
      <c r="I2565" s="17">
        <v>0</v>
      </c>
      <c r="J2565" s="17">
        <v>0</v>
      </c>
      <c r="K2565" s="17">
        <f t="shared" ref="K2565:K2628" si="453">H2565+I2565-J2565</f>
        <v>900</v>
      </c>
      <c r="L2565" s="23">
        <f t="shared" si="448"/>
        <v>45</v>
      </c>
      <c r="M2565" s="33">
        <v>5</v>
      </c>
      <c r="N2565" s="18">
        <f t="shared" ref="N2565:N2628" si="454">IF(($N$2-G2565+1)/365&gt;0,($N$2-G2565+1)/365,0)</f>
        <v>15.668493150684931</v>
      </c>
      <c r="O2565" s="23">
        <v>8550</v>
      </c>
      <c r="P2565" s="18">
        <f t="shared" ref="P2565:P2628" si="455">($P$2-G2565+1)/365</f>
        <v>16.169863013698631</v>
      </c>
      <c r="Q2565" s="18">
        <v>0</v>
      </c>
      <c r="R2565" s="18">
        <f t="shared" si="452"/>
        <v>8550</v>
      </c>
      <c r="S2565" s="18">
        <f t="shared" si="451"/>
        <v>45</v>
      </c>
    </row>
    <row r="2566" spans="1:19" ht="18.75" customHeight="1" x14ac:dyDescent="0.25">
      <c r="A2566" s="14">
        <f t="shared" ref="A2566:A2629" si="456">+A2565+1</f>
        <v>2560</v>
      </c>
      <c r="B2566" s="14" t="s">
        <v>2170</v>
      </c>
      <c r="C2566" s="15" t="s">
        <v>3</v>
      </c>
      <c r="D2566" s="31" t="s">
        <v>1708</v>
      </c>
      <c r="E2566" s="31"/>
      <c r="F2566" s="73" t="s">
        <v>4</v>
      </c>
      <c r="G2566" s="32">
        <v>38595</v>
      </c>
      <c r="H2566" s="29">
        <v>325</v>
      </c>
      <c r="I2566" s="17">
        <v>0</v>
      </c>
      <c r="J2566" s="17">
        <v>0</v>
      </c>
      <c r="K2566" s="17">
        <f t="shared" si="453"/>
        <v>325</v>
      </c>
      <c r="L2566" s="23">
        <f t="shared" si="448"/>
        <v>16.25</v>
      </c>
      <c r="M2566" s="33">
        <v>5</v>
      </c>
      <c r="N2566" s="18">
        <f t="shared" si="454"/>
        <v>15.597260273972603</v>
      </c>
      <c r="O2566" s="23">
        <v>3087.5</v>
      </c>
      <c r="P2566" s="18">
        <f t="shared" si="455"/>
        <v>16.098630136986301</v>
      </c>
      <c r="Q2566" s="18">
        <v>0</v>
      </c>
      <c r="R2566" s="18">
        <f t="shared" si="452"/>
        <v>3087.5</v>
      </c>
      <c r="S2566" s="18">
        <f t="shared" si="451"/>
        <v>16.25</v>
      </c>
    </row>
    <row r="2567" spans="1:19" ht="18.75" customHeight="1" x14ac:dyDescent="0.25">
      <c r="A2567" s="14">
        <f t="shared" si="456"/>
        <v>2561</v>
      </c>
      <c r="B2567" s="14" t="s">
        <v>2170</v>
      </c>
      <c r="C2567" s="15" t="s">
        <v>3</v>
      </c>
      <c r="D2567" s="31" t="s">
        <v>1708</v>
      </c>
      <c r="E2567" s="31"/>
      <c r="F2567" s="73" t="s">
        <v>4</v>
      </c>
      <c r="G2567" s="32">
        <v>38611</v>
      </c>
      <c r="H2567" s="29">
        <v>350</v>
      </c>
      <c r="I2567" s="17">
        <v>0</v>
      </c>
      <c r="J2567" s="17">
        <v>0</v>
      </c>
      <c r="K2567" s="17">
        <f t="shared" si="453"/>
        <v>350</v>
      </c>
      <c r="L2567" s="23">
        <f t="shared" si="448"/>
        <v>17.5</v>
      </c>
      <c r="M2567" s="33">
        <v>5</v>
      </c>
      <c r="N2567" s="18">
        <f t="shared" si="454"/>
        <v>15.553424657534247</v>
      </c>
      <c r="O2567" s="23">
        <v>3325</v>
      </c>
      <c r="P2567" s="18">
        <f t="shared" si="455"/>
        <v>16.054794520547944</v>
      </c>
      <c r="Q2567" s="18">
        <v>0</v>
      </c>
      <c r="R2567" s="18">
        <f t="shared" si="452"/>
        <v>3325</v>
      </c>
      <c r="S2567" s="18">
        <f t="shared" si="451"/>
        <v>17.5</v>
      </c>
    </row>
    <row r="2568" spans="1:19" ht="18.75" customHeight="1" x14ac:dyDescent="0.25">
      <c r="A2568" s="14">
        <f t="shared" si="456"/>
        <v>2562</v>
      </c>
      <c r="B2568" s="14" t="s">
        <v>1261</v>
      </c>
      <c r="C2568" s="15" t="s">
        <v>3</v>
      </c>
      <c r="D2568" s="31" t="s">
        <v>1708</v>
      </c>
      <c r="E2568" s="31"/>
      <c r="F2568" s="73" t="s">
        <v>4</v>
      </c>
      <c r="G2568" s="32">
        <v>38705</v>
      </c>
      <c r="H2568" s="29">
        <v>4256.9799999999959</v>
      </c>
      <c r="I2568" s="17">
        <v>0</v>
      </c>
      <c r="J2568" s="17">
        <v>0</v>
      </c>
      <c r="K2568" s="17">
        <f t="shared" si="453"/>
        <v>4256.9799999999959</v>
      </c>
      <c r="L2568" s="23">
        <f t="shared" si="448"/>
        <v>212.84899999999982</v>
      </c>
      <c r="M2568" s="33">
        <v>5</v>
      </c>
      <c r="N2568" s="18">
        <f t="shared" si="454"/>
        <v>15.295890410958904</v>
      </c>
      <c r="O2568" s="23">
        <v>40441.310000000005</v>
      </c>
      <c r="P2568" s="18">
        <f t="shared" si="455"/>
        <v>15.797260273972602</v>
      </c>
      <c r="Q2568" s="18">
        <v>0</v>
      </c>
      <c r="R2568" s="18">
        <f t="shared" si="452"/>
        <v>40441.310000000005</v>
      </c>
      <c r="S2568" s="18">
        <f t="shared" si="451"/>
        <v>212.84899999999982</v>
      </c>
    </row>
    <row r="2569" spans="1:19" ht="18.75" customHeight="1" x14ac:dyDescent="0.25">
      <c r="A2569" s="14">
        <f t="shared" si="456"/>
        <v>2563</v>
      </c>
      <c r="B2569" s="14" t="s">
        <v>2171</v>
      </c>
      <c r="C2569" s="15" t="s">
        <v>3</v>
      </c>
      <c r="D2569" s="31" t="s">
        <v>1708</v>
      </c>
      <c r="E2569" s="31"/>
      <c r="F2569" s="73" t="s">
        <v>4</v>
      </c>
      <c r="G2569" s="32">
        <v>37622</v>
      </c>
      <c r="H2569" s="29">
        <v>320</v>
      </c>
      <c r="I2569" s="17">
        <v>0</v>
      </c>
      <c r="J2569" s="17">
        <v>0</v>
      </c>
      <c r="K2569" s="17">
        <f t="shared" si="453"/>
        <v>320</v>
      </c>
      <c r="L2569" s="23">
        <f t="shared" si="448"/>
        <v>16</v>
      </c>
      <c r="M2569" s="33">
        <v>10</v>
      </c>
      <c r="N2569" s="18">
        <f t="shared" si="454"/>
        <v>18.263013698630136</v>
      </c>
      <c r="O2569" s="23">
        <v>3040</v>
      </c>
      <c r="P2569" s="18">
        <f t="shared" si="455"/>
        <v>18.764383561643836</v>
      </c>
      <c r="Q2569" s="18">
        <v>0</v>
      </c>
      <c r="R2569" s="18">
        <f t="shared" si="452"/>
        <v>3040</v>
      </c>
      <c r="S2569" s="18">
        <f t="shared" si="451"/>
        <v>16</v>
      </c>
    </row>
    <row r="2570" spans="1:19" ht="18.75" customHeight="1" x14ac:dyDescent="0.25">
      <c r="A2570" s="14">
        <f t="shared" si="456"/>
        <v>2564</v>
      </c>
      <c r="B2570" s="14" t="s">
        <v>2172</v>
      </c>
      <c r="C2570" s="15" t="s">
        <v>3</v>
      </c>
      <c r="D2570" s="31" t="s">
        <v>1708</v>
      </c>
      <c r="E2570" s="31"/>
      <c r="F2570" s="73" t="s">
        <v>4</v>
      </c>
      <c r="G2570" s="32">
        <v>37622</v>
      </c>
      <c r="H2570" s="29">
        <v>260</v>
      </c>
      <c r="I2570" s="17">
        <v>0</v>
      </c>
      <c r="J2570" s="17">
        <v>0</v>
      </c>
      <c r="K2570" s="17">
        <f t="shared" si="453"/>
        <v>260</v>
      </c>
      <c r="L2570" s="23">
        <f t="shared" si="448"/>
        <v>13</v>
      </c>
      <c r="M2570" s="33">
        <v>10</v>
      </c>
      <c r="N2570" s="18">
        <f t="shared" si="454"/>
        <v>18.263013698630136</v>
      </c>
      <c r="O2570" s="23">
        <v>2470</v>
      </c>
      <c r="P2570" s="18">
        <f t="shared" si="455"/>
        <v>18.764383561643836</v>
      </c>
      <c r="Q2570" s="18">
        <v>0</v>
      </c>
      <c r="R2570" s="18">
        <f t="shared" si="452"/>
        <v>2470</v>
      </c>
      <c r="S2570" s="18">
        <f t="shared" si="451"/>
        <v>13</v>
      </c>
    </row>
    <row r="2571" spans="1:19" ht="18.75" customHeight="1" x14ac:dyDescent="0.25">
      <c r="A2571" s="14">
        <f t="shared" si="456"/>
        <v>2565</v>
      </c>
      <c r="B2571" s="14" t="s">
        <v>2173</v>
      </c>
      <c r="C2571" s="15" t="s">
        <v>3</v>
      </c>
      <c r="D2571" s="31" t="s">
        <v>1708</v>
      </c>
      <c r="E2571" s="31"/>
      <c r="F2571" s="73" t="s">
        <v>4</v>
      </c>
      <c r="G2571" s="32">
        <v>37622</v>
      </c>
      <c r="H2571" s="29">
        <v>225</v>
      </c>
      <c r="I2571" s="17">
        <v>0</v>
      </c>
      <c r="J2571" s="17">
        <v>0</v>
      </c>
      <c r="K2571" s="17">
        <f t="shared" si="453"/>
        <v>225</v>
      </c>
      <c r="L2571" s="23">
        <f t="shared" si="448"/>
        <v>11.25</v>
      </c>
      <c r="M2571" s="33">
        <v>10</v>
      </c>
      <c r="N2571" s="18">
        <f t="shared" si="454"/>
        <v>18.263013698630136</v>
      </c>
      <c r="O2571" s="23">
        <v>2137.5</v>
      </c>
      <c r="P2571" s="18">
        <f t="shared" si="455"/>
        <v>18.764383561643836</v>
      </c>
      <c r="Q2571" s="18">
        <v>0</v>
      </c>
      <c r="R2571" s="18">
        <f t="shared" si="452"/>
        <v>2137.5</v>
      </c>
      <c r="S2571" s="18">
        <f t="shared" si="451"/>
        <v>11.25</v>
      </c>
    </row>
    <row r="2572" spans="1:19" ht="18.75" customHeight="1" x14ac:dyDescent="0.25">
      <c r="A2572" s="14">
        <f t="shared" si="456"/>
        <v>2566</v>
      </c>
      <c r="B2572" s="14" t="s">
        <v>2174</v>
      </c>
      <c r="C2572" s="15" t="s">
        <v>3</v>
      </c>
      <c r="D2572" s="31" t="s">
        <v>1708</v>
      </c>
      <c r="E2572" s="31"/>
      <c r="F2572" s="73" t="s">
        <v>4</v>
      </c>
      <c r="G2572" s="32">
        <v>38839</v>
      </c>
      <c r="H2572" s="29">
        <v>71.849999999999909</v>
      </c>
      <c r="I2572" s="17">
        <v>0</v>
      </c>
      <c r="J2572" s="17">
        <v>0</v>
      </c>
      <c r="K2572" s="17">
        <f t="shared" si="453"/>
        <v>71.849999999999909</v>
      </c>
      <c r="L2572" s="23">
        <f t="shared" si="448"/>
        <v>3.5924999999999958</v>
      </c>
      <c r="M2572" s="33">
        <v>5</v>
      </c>
      <c r="N2572" s="18">
        <f t="shared" si="454"/>
        <v>14.92876712328767</v>
      </c>
      <c r="O2572" s="23">
        <v>682.57500000000005</v>
      </c>
      <c r="P2572" s="18">
        <f t="shared" si="455"/>
        <v>15.43013698630137</v>
      </c>
      <c r="Q2572" s="18">
        <v>0</v>
      </c>
      <c r="R2572" s="18">
        <f t="shared" si="452"/>
        <v>682.57500000000005</v>
      </c>
      <c r="S2572" s="18">
        <f t="shared" si="451"/>
        <v>3.5924999999999958</v>
      </c>
    </row>
    <row r="2573" spans="1:19" ht="18.75" customHeight="1" x14ac:dyDescent="0.25">
      <c r="A2573" s="14">
        <f t="shared" si="456"/>
        <v>2567</v>
      </c>
      <c r="B2573" s="14" t="s">
        <v>1343</v>
      </c>
      <c r="C2573" s="15" t="s">
        <v>3</v>
      </c>
      <c r="D2573" s="31" t="s">
        <v>1708</v>
      </c>
      <c r="E2573" s="31"/>
      <c r="F2573" s="73" t="s">
        <v>4</v>
      </c>
      <c r="G2573" s="32">
        <v>38859</v>
      </c>
      <c r="H2573" s="29">
        <v>111.90000000000009</v>
      </c>
      <c r="I2573" s="17">
        <v>0</v>
      </c>
      <c r="J2573" s="17">
        <v>0</v>
      </c>
      <c r="K2573" s="17">
        <f t="shared" si="453"/>
        <v>111.90000000000009</v>
      </c>
      <c r="L2573" s="23">
        <f t="shared" si="448"/>
        <v>5.5950000000000051</v>
      </c>
      <c r="M2573" s="33">
        <v>5</v>
      </c>
      <c r="N2573" s="18">
        <f t="shared" si="454"/>
        <v>14.873972602739727</v>
      </c>
      <c r="O2573" s="23">
        <v>1063.05</v>
      </c>
      <c r="P2573" s="18">
        <f t="shared" si="455"/>
        <v>15.375342465753425</v>
      </c>
      <c r="Q2573" s="18">
        <v>0</v>
      </c>
      <c r="R2573" s="18">
        <f t="shared" si="452"/>
        <v>1063.05</v>
      </c>
      <c r="S2573" s="18">
        <f t="shared" si="451"/>
        <v>5.5950000000000051</v>
      </c>
    </row>
    <row r="2574" spans="1:19" ht="18.75" customHeight="1" x14ac:dyDescent="0.25">
      <c r="A2574" s="14">
        <f t="shared" si="456"/>
        <v>2568</v>
      </c>
      <c r="B2574" s="14" t="s">
        <v>2175</v>
      </c>
      <c r="C2574" s="15" t="s">
        <v>3</v>
      </c>
      <c r="D2574" s="31" t="s">
        <v>1708</v>
      </c>
      <c r="E2574" s="31"/>
      <c r="F2574" s="73" t="s">
        <v>4</v>
      </c>
      <c r="G2574" s="32">
        <v>38859</v>
      </c>
      <c r="H2574" s="29">
        <v>92.349999999999909</v>
      </c>
      <c r="I2574" s="17">
        <v>0</v>
      </c>
      <c r="J2574" s="17">
        <v>0</v>
      </c>
      <c r="K2574" s="17">
        <f t="shared" si="453"/>
        <v>92.349999999999909</v>
      </c>
      <c r="L2574" s="23">
        <f t="shared" si="448"/>
        <v>4.6174999999999953</v>
      </c>
      <c r="M2574" s="33">
        <v>5</v>
      </c>
      <c r="N2574" s="18">
        <f t="shared" si="454"/>
        <v>14.873972602739727</v>
      </c>
      <c r="O2574" s="23">
        <v>877.32500000000005</v>
      </c>
      <c r="P2574" s="18">
        <f t="shared" si="455"/>
        <v>15.375342465753425</v>
      </c>
      <c r="Q2574" s="18">
        <v>0</v>
      </c>
      <c r="R2574" s="18">
        <f t="shared" si="452"/>
        <v>877.32500000000005</v>
      </c>
      <c r="S2574" s="18">
        <f t="shared" si="451"/>
        <v>4.6174999999999953</v>
      </c>
    </row>
    <row r="2575" spans="1:19" ht="18.75" customHeight="1" x14ac:dyDescent="0.25">
      <c r="A2575" s="14">
        <f t="shared" si="456"/>
        <v>2569</v>
      </c>
      <c r="B2575" s="14" t="s">
        <v>2176</v>
      </c>
      <c r="C2575" s="15" t="s">
        <v>3</v>
      </c>
      <c r="D2575" s="31" t="s">
        <v>1708</v>
      </c>
      <c r="E2575" s="31"/>
      <c r="F2575" s="73" t="s">
        <v>4</v>
      </c>
      <c r="G2575" s="32">
        <v>38975</v>
      </c>
      <c r="H2575" s="29">
        <v>2250</v>
      </c>
      <c r="I2575" s="17">
        <v>0</v>
      </c>
      <c r="J2575" s="17">
        <v>0</v>
      </c>
      <c r="K2575" s="17">
        <f t="shared" si="453"/>
        <v>2250</v>
      </c>
      <c r="L2575" s="23">
        <f t="shared" si="448"/>
        <v>112.5</v>
      </c>
      <c r="M2575" s="33">
        <v>5</v>
      </c>
      <c r="N2575" s="18">
        <f t="shared" si="454"/>
        <v>14.556164383561644</v>
      </c>
      <c r="O2575" s="23">
        <v>21375</v>
      </c>
      <c r="P2575" s="18">
        <f t="shared" si="455"/>
        <v>15.057534246575342</v>
      </c>
      <c r="Q2575" s="18">
        <v>0</v>
      </c>
      <c r="R2575" s="18">
        <f t="shared" si="452"/>
        <v>21375</v>
      </c>
      <c r="S2575" s="18">
        <f t="shared" si="451"/>
        <v>112.5</v>
      </c>
    </row>
    <row r="2576" spans="1:19" ht="18.75" customHeight="1" x14ac:dyDescent="0.25">
      <c r="A2576" s="14">
        <f t="shared" si="456"/>
        <v>2570</v>
      </c>
      <c r="B2576" s="14" t="s">
        <v>1201</v>
      </c>
      <c r="C2576" s="15" t="s">
        <v>3</v>
      </c>
      <c r="D2576" s="31" t="s">
        <v>1708</v>
      </c>
      <c r="E2576" s="31"/>
      <c r="F2576" s="73" t="s">
        <v>4</v>
      </c>
      <c r="G2576" s="32">
        <v>38892</v>
      </c>
      <c r="H2576" s="29">
        <v>160</v>
      </c>
      <c r="I2576" s="17">
        <v>0</v>
      </c>
      <c r="J2576" s="17">
        <v>0</v>
      </c>
      <c r="K2576" s="17">
        <f t="shared" si="453"/>
        <v>160</v>
      </c>
      <c r="L2576" s="23">
        <f t="shared" si="448"/>
        <v>8</v>
      </c>
      <c r="M2576" s="33">
        <v>5</v>
      </c>
      <c r="N2576" s="18">
        <f t="shared" si="454"/>
        <v>14.783561643835617</v>
      </c>
      <c r="O2576" s="23">
        <v>1520</v>
      </c>
      <c r="P2576" s="18">
        <f t="shared" si="455"/>
        <v>15.284931506849315</v>
      </c>
      <c r="Q2576" s="18">
        <v>0</v>
      </c>
      <c r="R2576" s="18">
        <f t="shared" si="452"/>
        <v>1520</v>
      </c>
      <c r="S2576" s="18">
        <f t="shared" si="451"/>
        <v>8</v>
      </c>
    </row>
    <row r="2577" spans="1:19" ht="18.75" customHeight="1" x14ac:dyDescent="0.25">
      <c r="A2577" s="14">
        <f t="shared" si="456"/>
        <v>2571</v>
      </c>
      <c r="B2577" s="14" t="s">
        <v>2177</v>
      </c>
      <c r="C2577" s="15" t="s">
        <v>3</v>
      </c>
      <c r="D2577" s="31" t="s">
        <v>1708</v>
      </c>
      <c r="E2577" s="31"/>
      <c r="F2577" s="73" t="s">
        <v>4</v>
      </c>
      <c r="G2577" s="32">
        <v>41548</v>
      </c>
      <c r="H2577" s="29">
        <v>59.950000000000045</v>
      </c>
      <c r="I2577" s="17">
        <v>0</v>
      </c>
      <c r="J2577" s="17">
        <v>0</v>
      </c>
      <c r="K2577" s="17">
        <f t="shared" si="453"/>
        <v>59.950000000000045</v>
      </c>
      <c r="L2577" s="23">
        <f t="shared" si="448"/>
        <v>2.9975000000000023</v>
      </c>
      <c r="M2577" s="33">
        <v>5</v>
      </c>
      <c r="N2577" s="18">
        <f t="shared" si="454"/>
        <v>7.506849315068493</v>
      </c>
      <c r="O2577" s="23">
        <v>569.52499999999998</v>
      </c>
      <c r="P2577" s="18">
        <f t="shared" si="455"/>
        <v>8.0082191780821912</v>
      </c>
      <c r="Q2577" s="18">
        <v>0</v>
      </c>
      <c r="R2577" s="18">
        <f t="shared" si="452"/>
        <v>569.52499999999998</v>
      </c>
      <c r="S2577" s="18">
        <f t="shared" si="451"/>
        <v>2.9975000000000023</v>
      </c>
    </row>
    <row r="2578" spans="1:19" ht="18.75" customHeight="1" x14ac:dyDescent="0.25">
      <c r="A2578" s="14">
        <f t="shared" si="456"/>
        <v>2572</v>
      </c>
      <c r="B2578" s="14" t="s">
        <v>1777</v>
      </c>
      <c r="C2578" s="15" t="s">
        <v>3</v>
      </c>
      <c r="D2578" s="31" t="s">
        <v>1708</v>
      </c>
      <c r="E2578" s="31"/>
      <c r="F2578" s="73" t="s">
        <v>4</v>
      </c>
      <c r="G2578" s="32">
        <v>41627</v>
      </c>
      <c r="H2578" s="29">
        <v>55</v>
      </c>
      <c r="I2578" s="17">
        <v>0</v>
      </c>
      <c r="J2578" s="17">
        <v>0</v>
      </c>
      <c r="K2578" s="17">
        <f t="shared" si="453"/>
        <v>55</v>
      </c>
      <c r="L2578" s="23">
        <f t="shared" si="448"/>
        <v>2.75</v>
      </c>
      <c r="M2578" s="33">
        <v>5</v>
      </c>
      <c r="N2578" s="18">
        <f t="shared" si="454"/>
        <v>7.2904109589041095</v>
      </c>
      <c r="O2578" s="23">
        <v>522.5</v>
      </c>
      <c r="P2578" s="18">
        <f t="shared" si="455"/>
        <v>7.7917808219178086</v>
      </c>
      <c r="Q2578" s="18">
        <v>0</v>
      </c>
      <c r="R2578" s="18">
        <f t="shared" si="452"/>
        <v>522.5</v>
      </c>
      <c r="S2578" s="18">
        <f t="shared" si="451"/>
        <v>2.75</v>
      </c>
    </row>
    <row r="2579" spans="1:19" ht="18.75" customHeight="1" x14ac:dyDescent="0.25">
      <c r="A2579" s="14">
        <f t="shared" si="456"/>
        <v>2573</v>
      </c>
      <c r="B2579" s="14" t="s">
        <v>1293</v>
      </c>
      <c r="C2579" s="15" t="s">
        <v>3</v>
      </c>
      <c r="D2579" s="31" t="s">
        <v>1708</v>
      </c>
      <c r="E2579" s="31"/>
      <c r="F2579" s="73" t="s">
        <v>4</v>
      </c>
      <c r="G2579" s="32">
        <v>41835</v>
      </c>
      <c r="H2579" s="29">
        <v>870.9332583561644</v>
      </c>
      <c r="I2579" s="17">
        <v>0</v>
      </c>
      <c r="J2579" s="17">
        <v>0</v>
      </c>
      <c r="K2579" s="17">
        <f t="shared" si="453"/>
        <v>870.9332583561644</v>
      </c>
      <c r="L2579" s="23">
        <f t="shared" si="448"/>
        <v>43.54666291780822</v>
      </c>
      <c r="M2579" s="33">
        <v>10</v>
      </c>
      <c r="N2579" s="18">
        <f t="shared" si="454"/>
        <v>6.720547945205479</v>
      </c>
      <c r="O2579" s="23">
        <v>477.65671378082192</v>
      </c>
      <c r="P2579" s="18">
        <f t="shared" si="455"/>
        <v>7.2219178082191782</v>
      </c>
      <c r="Q2579" s="18">
        <f t="shared" si="449"/>
        <v>41.482670401429949</v>
      </c>
      <c r="R2579" s="18">
        <f t="shared" si="452"/>
        <v>519.13938418225189</v>
      </c>
      <c r="S2579" s="18">
        <f t="shared" ref="S2579:S2627" si="457">K2579-R2579</f>
        <v>351.79387417391251</v>
      </c>
    </row>
    <row r="2580" spans="1:19" ht="18.75" customHeight="1" x14ac:dyDescent="0.25">
      <c r="A2580" s="14">
        <f t="shared" si="456"/>
        <v>2574</v>
      </c>
      <c r="B2580" s="14" t="s">
        <v>1522</v>
      </c>
      <c r="C2580" s="15" t="s">
        <v>3</v>
      </c>
      <c r="D2580" s="31" t="s">
        <v>1708</v>
      </c>
      <c r="E2580" s="31"/>
      <c r="F2580" s="73" t="s">
        <v>4</v>
      </c>
      <c r="G2580" s="32">
        <v>41835</v>
      </c>
      <c r="H2580" s="29">
        <v>1398.0052832876713</v>
      </c>
      <c r="I2580" s="17">
        <v>0</v>
      </c>
      <c r="J2580" s="17">
        <v>0</v>
      </c>
      <c r="K2580" s="17">
        <f t="shared" si="453"/>
        <v>1398.0052832876713</v>
      </c>
      <c r="L2580" s="23">
        <f t="shared" si="448"/>
        <v>69.900264164383572</v>
      </c>
      <c r="M2580" s="33">
        <v>10</v>
      </c>
      <c r="N2580" s="18">
        <f t="shared" si="454"/>
        <v>6.720547945205479</v>
      </c>
      <c r="O2580" s="23">
        <v>766.72535243835614</v>
      </c>
      <c r="P2580" s="18">
        <f t="shared" si="455"/>
        <v>7.2219178082191782</v>
      </c>
      <c r="Q2580" s="18">
        <f t="shared" si="449"/>
        <v>66.587183150564897</v>
      </c>
      <c r="R2580" s="18">
        <f t="shared" si="452"/>
        <v>833.31253558892104</v>
      </c>
      <c r="S2580" s="18">
        <f t="shared" si="457"/>
        <v>564.69274769875028</v>
      </c>
    </row>
    <row r="2581" spans="1:19" ht="18.75" customHeight="1" x14ac:dyDescent="0.25">
      <c r="A2581" s="14">
        <f t="shared" si="456"/>
        <v>2575</v>
      </c>
      <c r="B2581" s="14" t="s">
        <v>2178</v>
      </c>
      <c r="C2581" s="15" t="s">
        <v>3</v>
      </c>
      <c r="D2581" s="31" t="s">
        <v>1708</v>
      </c>
      <c r="E2581" s="31"/>
      <c r="F2581" s="73" t="s">
        <v>4</v>
      </c>
      <c r="G2581" s="32">
        <v>41866</v>
      </c>
      <c r="H2581" s="29">
        <v>1563.0219178082193</v>
      </c>
      <c r="I2581" s="17">
        <v>0</v>
      </c>
      <c r="J2581" s="17">
        <v>0</v>
      </c>
      <c r="K2581" s="17">
        <f t="shared" si="453"/>
        <v>1563.0219178082193</v>
      </c>
      <c r="L2581" s="23">
        <f t="shared" si="448"/>
        <v>78.151095890410971</v>
      </c>
      <c r="M2581" s="33">
        <v>10</v>
      </c>
      <c r="N2581" s="18">
        <f t="shared" si="454"/>
        <v>6.6356164383561644</v>
      </c>
      <c r="O2581" s="23">
        <v>850.533698630137</v>
      </c>
      <c r="P2581" s="18">
        <f t="shared" si="455"/>
        <v>7.1369863013698627</v>
      </c>
      <c r="Q2581" s="18">
        <f t="shared" si="449"/>
        <v>74.446948057796916</v>
      </c>
      <c r="R2581" s="18">
        <f t="shared" si="452"/>
        <v>924.98064668793393</v>
      </c>
      <c r="S2581" s="18">
        <f t="shared" si="457"/>
        <v>638.04127112028539</v>
      </c>
    </row>
    <row r="2582" spans="1:19" ht="18.75" customHeight="1" x14ac:dyDescent="0.25">
      <c r="A2582" s="14">
        <f t="shared" si="456"/>
        <v>2576</v>
      </c>
      <c r="B2582" s="14" t="s">
        <v>2179</v>
      </c>
      <c r="C2582" s="15" t="s">
        <v>3</v>
      </c>
      <c r="D2582" s="31" t="s">
        <v>1708</v>
      </c>
      <c r="E2582" s="31"/>
      <c r="F2582" s="73" t="s">
        <v>4</v>
      </c>
      <c r="G2582" s="32">
        <v>41835</v>
      </c>
      <c r="H2582" s="29">
        <v>1840.3672121917807</v>
      </c>
      <c r="I2582" s="17">
        <v>0</v>
      </c>
      <c r="J2582" s="17">
        <v>0</v>
      </c>
      <c r="K2582" s="17">
        <f t="shared" si="453"/>
        <v>1840.3672121917807</v>
      </c>
      <c r="L2582" s="23">
        <f t="shared" si="448"/>
        <v>92.018360609589038</v>
      </c>
      <c r="M2582" s="33">
        <v>10</v>
      </c>
      <c r="N2582" s="18">
        <f t="shared" si="454"/>
        <v>6.720547945205479</v>
      </c>
      <c r="O2582" s="23">
        <v>1009.335383958904</v>
      </c>
      <c r="P2582" s="18">
        <f t="shared" si="455"/>
        <v>7.2219178082191782</v>
      </c>
      <c r="Q2582" s="18">
        <f t="shared" ref="Q2582:Q2645" si="458">(P2582-N2582)/M2582*(K2582-L2582)</f>
        <v>87.656942421792152</v>
      </c>
      <c r="R2582" s="18">
        <f t="shared" si="452"/>
        <v>1096.9923263806961</v>
      </c>
      <c r="S2582" s="18">
        <f t="shared" si="457"/>
        <v>743.3748858110846</v>
      </c>
    </row>
    <row r="2583" spans="1:19" ht="18.75" customHeight="1" x14ac:dyDescent="0.25">
      <c r="A2583" s="14">
        <f t="shared" si="456"/>
        <v>2577</v>
      </c>
      <c r="B2583" s="14" t="s">
        <v>2180</v>
      </c>
      <c r="C2583" s="15" t="s">
        <v>3</v>
      </c>
      <c r="D2583" s="31" t="s">
        <v>1708</v>
      </c>
      <c r="E2583" s="31"/>
      <c r="F2583" s="73" t="s">
        <v>4</v>
      </c>
      <c r="G2583" s="32">
        <v>41835</v>
      </c>
      <c r="H2583" s="29">
        <v>2343.0630136986301</v>
      </c>
      <c r="I2583" s="17">
        <v>0</v>
      </c>
      <c r="J2583" s="17">
        <v>0</v>
      </c>
      <c r="K2583" s="17">
        <f t="shared" si="453"/>
        <v>2343.0630136986301</v>
      </c>
      <c r="L2583" s="23">
        <f t="shared" ref="L2583:L2646" si="459">H2583*0.05</f>
        <v>117.15315068493152</v>
      </c>
      <c r="M2583" s="33">
        <v>10</v>
      </c>
      <c r="N2583" s="18">
        <f t="shared" si="454"/>
        <v>6.720547945205479</v>
      </c>
      <c r="O2583" s="23">
        <v>1285.0350684931504</v>
      </c>
      <c r="P2583" s="18">
        <f t="shared" si="455"/>
        <v>7.2219178082191782</v>
      </c>
      <c r="Q2583" s="18">
        <f t="shared" si="458"/>
        <v>111.60041231000199</v>
      </c>
      <c r="R2583" s="18">
        <f t="shared" si="452"/>
        <v>1396.6354808031524</v>
      </c>
      <c r="S2583" s="18">
        <f t="shared" si="457"/>
        <v>946.42753289547773</v>
      </c>
    </row>
    <row r="2584" spans="1:19" ht="18.75" customHeight="1" x14ac:dyDescent="0.25">
      <c r="A2584" s="14">
        <f t="shared" si="456"/>
        <v>2578</v>
      </c>
      <c r="B2584" s="14" t="s">
        <v>2181</v>
      </c>
      <c r="C2584" s="15" t="s">
        <v>3</v>
      </c>
      <c r="D2584" s="31" t="s">
        <v>1708</v>
      </c>
      <c r="E2584" s="31"/>
      <c r="F2584" s="73" t="s">
        <v>4</v>
      </c>
      <c r="G2584" s="32">
        <v>41866</v>
      </c>
      <c r="H2584" s="29">
        <v>2637.9923539726028</v>
      </c>
      <c r="I2584" s="17">
        <v>0</v>
      </c>
      <c r="J2584" s="17">
        <v>0</v>
      </c>
      <c r="K2584" s="17">
        <f t="shared" si="453"/>
        <v>2637.9923539726028</v>
      </c>
      <c r="L2584" s="23">
        <f t="shared" si="459"/>
        <v>131.89961769863015</v>
      </c>
      <c r="M2584" s="33">
        <v>10</v>
      </c>
      <c r="N2584" s="18">
        <f t="shared" si="454"/>
        <v>6.6356164383561644</v>
      </c>
      <c r="O2584" s="23">
        <v>1435.4893992328768</v>
      </c>
      <c r="P2584" s="18">
        <f t="shared" si="455"/>
        <v>7.1369863013698627</v>
      </c>
      <c r="Q2584" s="18">
        <f t="shared" si="458"/>
        <v>125.64793718853059</v>
      </c>
      <c r="R2584" s="18">
        <f t="shared" si="452"/>
        <v>1561.1373364214073</v>
      </c>
      <c r="S2584" s="18">
        <f t="shared" si="457"/>
        <v>1076.8550175511955</v>
      </c>
    </row>
    <row r="2585" spans="1:19" ht="18.75" customHeight="1" x14ac:dyDescent="0.25">
      <c r="A2585" s="14">
        <f t="shared" si="456"/>
        <v>2579</v>
      </c>
      <c r="B2585" s="14" t="s">
        <v>2182</v>
      </c>
      <c r="C2585" s="15" t="s">
        <v>3</v>
      </c>
      <c r="D2585" s="31" t="s">
        <v>1708</v>
      </c>
      <c r="E2585" s="31"/>
      <c r="F2585" s="73" t="s">
        <v>4</v>
      </c>
      <c r="G2585" s="32">
        <v>41988</v>
      </c>
      <c r="H2585" s="29">
        <v>5525.9432641095891</v>
      </c>
      <c r="I2585" s="17">
        <v>0</v>
      </c>
      <c r="J2585" s="17">
        <v>0</v>
      </c>
      <c r="K2585" s="17">
        <f t="shared" si="453"/>
        <v>5525.9432641095891</v>
      </c>
      <c r="L2585" s="23">
        <f t="shared" si="459"/>
        <v>276.29716320547948</v>
      </c>
      <c r="M2585" s="33">
        <v>10</v>
      </c>
      <c r="N2585" s="18">
        <f t="shared" si="454"/>
        <v>6.3013698630136989</v>
      </c>
      <c r="O2585" s="23">
        <v>2918.0924946301375</v>
      </c>
      <c r="P2585" s="18">
        <f t="shared" si="455"/>
        <v>6.8027397260273972</v>
      </c>
      <c r="Q2585" s="18">
        <f t="shared" si="458"/>
        <v>263.20143464806887</v>
      </c>
      <c r="R2585" s="18">
        <f t="shared" si="452"/>
        <v>3181.2939292782062</v>
      </c>
      <c r="S2585" s="18">
        <f t="shared" si="457"/>
        <v>2344.6493348313829</v>
      </c>
    </row>
    <row r="2586" spans="1:19" ht="18.75" customHeight="1" x14ac:dyDescent="0.25">
      <c r="A2586" s="14">
        <f t="shared" si="456"/>
        <v>2580</v>
      </c>
      <c r="B2586" s="14" t="s">
        <v>2183</v>
      </c>
      <c r="C2586" s="15" t="s">
        <v>3</v>
      </c>
      <c r="D2586" s="31" t="s">
        <v>1708</v>
      </c>
      <c r="E2586" s="31"/>
      <c r="F2586" s="73" t="s">
        <v>4</v>
      </c>
      <c r="G2586" s="32">
        <v>41866</v>
      </c>
      <c r="H2586" s="29">
        <v>10756.970301369864</v>
      </c>
      <c r="I2586" s="17">
        <v>0</v>
      </c>
      <c r="J2586" s="17">
        <v>0</v>
      </c>
      <c r="K2586" s="17">
        <f t="shared" si="453"/>
        <v>10756.970301369864</v>
      </c>
      <c r="L2586" s="23">
        <f t="shared" si="459"/>
        <v>537.84851506849316</v>
      </c>
      <c r="M2586" s="33">
        <v>10</v>
      </c>
      <c r="N2586" s="18">
        <f t="shared" si="454"/>
        <v>6.6356164383561644</v>
      </c>
      <c r="O2586" s="23">
        <v>5853.5108383561646</v>
      </c>
      <c r="P2586" s="18">
        <f t="shared" si="455"/>
        <v>7.1369863013698627</v>
      </c>
      <c r="Q2586" s="18">
        <f t="shared" si="458"/>
        <v>512.35596901182168</v>
      </c>
      <c r="R2586" s="18">
        <f t="shared" si="452"/>
        <v>6365.8668073679864</v>
      </c>
      <c r="S2586" s="18">
        <f t="shared" si="457"/>
        <v>4391.1034940018772</v>
      </c>
    </row>
    <row r="2587" spans="1:19" ht="18.75" customHeight="1" x14ac:dyDescent="0.25">
      <c r="A2587" s="14">
        <f t="shared" si="456"/>
        <v>2581</v>
      </c>
      <c r="B2587" s="14" t="s">
        <v>2184</v>
      </c>
      <c r="C2587" s="15" t="s">
        <v>3</v>
      </c>
      <c r="D2587" s="31" t="s">
        <v>1708</v>
      </c>
      <c r="E2587" s="31"/>
      <c r="F2587" s="73" t="s">
        <v>4</v>
      </c>
      <c r="G2587" s="32">
        <v>41866</v>
      </c>
      <c r="H2587" s="29">
        <v>10756.970301369864</v>
      </c>
      <c r="I2587" s="17">
        <v>0</v>
      </c>
      <c r="J2587" s="17">
        <v>0</v>
      </c>
      <c r="K2587" s="17">
        <f t="shared" si="453"/>
        <v>10756.970301369864</v>
      </c>
      <c r="L2587" s="23">
        <f t="shared" si="459"/>
        <v>537.84851506849316</v>
      </c>
      <c r="M2587" s="33">
        <v>10</v>
      </c>
      <c r="N2587" s="18">
        <f t="shared" si="454"/>
        <v>6.6356164383561644</v>
      </c>
      <c r="O2587" s="23">
        <v>5853.5108383561646</v>
      </c>
      <c r="P2587" s="18">
        <f t="shared" si="455"/>
        <v>7.1369863013698627</v>
      </c>
      <c r="Q2587" s="18">
        <f t="shared" si="458"/>
        <v>512.35596901182168</v>
      </c>
      <c r="R2587" s="18">
        <f t="shared" si="452"/>
        <v>6365.8668073679864</v>
      </c>
      <c r="S2587" s="18">
        <f t="shared" si="457"/>
        <v>4391.1034940018772</v>
      </c>
    </row>
    <row r="2588" spans="1:19" ht="18.75" customHeight="1" x14ac:dyDescent="0.25">
      <c r="A2588" s="14">
        <f t="shared" si="456"/>
        <v>2582</v>
      </c>
      <c r="B2588" s="14" t="s">
        <v>2185</v>
      </c>
      <c r="C2588" s="15" t="s">
        <v>3</v>
      </c>
      <c r="D2588" s="31" t="s">
        <v>1708</v>
      </c>
      <c r="E2588" s="31"/>
      <c r="F2588" s="73" t="s">
        <v>4</v>
      </c>
      <c r="G2588" s="32">
        <v>41988</v>
      </c>
      <c r="H2588" s="29">
        <v>11682.341390136986</v>
      </c>
      <c r="I2588" s="17">
        <v>0</v>
      </c>
      <c r="J2588" s="17">
        <v>0</v>
      </c>
      <c r="K2588" s="17">
        <f t="shared" si="453"/>
        <v>11682.341390136986</v>
      </c>
      <c r="L2588" s="23">
        <f t="shared" si="459"/>
        <v>584.11706950684936</v>
      </c>
      <c r="M2588" s="33">
        <v>10</v>
      </c>
      <c r="N2588" s="18">
        <f t="shared" si="454"/>
        <v>6.3013698630136989</v>
      </c>
      <c r="O2588" s="23">
        <v>6169.1101592876712</v>
      </c>
      <c r="P2588" s="18">
        <f t="shared" si="455"/>
        <v>6.8027397260273972</v>
      </c>
      <c r="Q2588" s="18">
        <f t="shared" si="458"/>
        <v>556.43152073296267</v>
      </c>
      <c r="R2588" s="18">
        <f t="shared" si="452"/>
        <v>6725.541680020634</v>
      </c>
      <c r="S2588" s="18">
        <f t="shared" si="457"/>
        <v>4956.7997101163519</v>
      </c>
    </row>
    <row r="2589" spans="1:19" ht="18.75" customHeight="1" x14ac:dyDescent="0.25">
      <c r="A2589" s="14">
        <f t="shared" si="456"/>
        <v>2583</v>
      </c>
      <c r="B2589" s="14" t="s">
        <v>2186</v>
      </c>
      <c r="C2589" s="15" t="s">
        <v>3</v>
      </c>
      <c r="D2589" s="31" t="s">
        <v>1708</v>
      </c>
      <c r="E2589" s="31"/>
      <c r="F2589" s="73" t="s">
        <v>4</v>
      </c>
      <c r="G2589" s="32">
        <v>41988</v>
      </c>
      <c r="H2589" s="29">
        <v>11684.611862191781</v>
      </c>
      <c r="I2589" s="17">
        <v>0</v>
      </c>
      <c r="J2589" s="17">
        <v>0</v>
      </c>
      <c r="K2589" s="17">
        <f t="shared" si="453"/>
        <v>11684.611862191781</v>
      </c>
      <c r="L2589" s="23">
        <f t="shared" si="459"/>
        <v>584.23059310958911</v>
      </c>
      <c r="M2589" s="33">
        <v>10</v>
      </c>
      <c r="N2589" s="18">
        <f t="shared" si="454"/>
        <v>6.3013698630136989</v>
      </c>
      <c r="O2589" s="23">
        <v>6170.30913060274</v>
      </c>
      <c r="P2589" s="18">
        <f t="shared" si="455"/>
        <v>6.8027397260273972</v>
      </c>
      <c r="Q2589" s="18">
        <f t="shared" si="458"/>
        <v>556.53966362795609</v>
      </c>
      <c r="R2589" s="18">
        <f t="shared" si="452"/>
        <v>6726.8487942306965</v>
      </c>
      <c r="S2589" s="18">
        <f t="shared" si="457"/>
        <v>4957.7630679610847</v>
      </c>
    </row>
    <row r="2590" spans="1:19" ht="18.75" customHeight="1" x14ac:dyDescent="0.25">
      <c r="A2590" s="14">
        <f t="shared" si="456"/>
        <v>2584</v>
      </c>
      <c r="B2590" s="14" t="s">
        <v>2187</v>
      </c>
      <c r="C2590" s="15" t="s">
        <v>3</v>
      </c>
      <c r="D2590" s="31" t="s">
        <v>1708</v>
      </c>
      <c r="E2590" s="31"/>
      <c r="F2590" s="73" t="s">
        <v>4</v>
      </c>
      <c r="G2590" s="32">
        <v>41988</v>
      </c>
      <c r="H2590" s="29">
        <v>16791.517154520549</v>
      </c>
      <c r="I2590" s="17">
        <v>0</v>
      </c>
      <c r="J2590" s="17">
        <v>0</v>
      </c>
      <c r="K2590" s="17">
        <f t="shared" si="453"/>
        <v>16791.517154520549</v>
      </c>
      <c r="L2590" s="23">
        <f t="shared" si="459"/>
        <v>839.57585772602749</v>
      </c>
      <c r="M2590" s="33">
        <v>10</v>
      </c>
      <c r="N2590" s="18">
        <f t="shared" si="454"/>
        <v>6.3013698630136989</v>
      </c>
      <c r="O2590" s="23">
        <v>8867.1196644931497</v>
      </c>
      <c r="P2590" s="18">
        <f t="shared" si="455"/>
        <v>6.8027397260273972</v>
      </c>
      <c r="Q2590" s="18">
        <f t="shared" si="458"/>
        <v>799.78226227764253</v>
      </c>
      <c r="R2590" s="18">
        <f t="shared" si="452"/>
        <v>9666.9019267707918</v>
      </c>
      <c r="S2590" s="18">
        <f t="shared" si="457"/>
        <v>7124.6152277497567</v>
      </c>
    </row>
    <row r="2591" spans="1:19" ht="18.75" customHeight="1" x14ac:dyDescent="0.25">
      <c r="A2591" s="14">
        <f t="shared" si="456"/>
        <v>2585</v>
      </c>
      <c r="B2591" s="14" t="s">
        <v>1755</v>
      </c>
      <c r="C2591" s="15" t="s">
        <v>3</v>
      </c>
      <c r="D2591" s="31" t="s">
        <v>1708</v>
      </c>
      <c r="E2591" s="31"/>
      <c r="F2591" s="73" t="s">
        <v>4</v>
      </c>
      <c r="G2591" s="32">
        <v>41988</v>
      </c>
      <c r="H2591" s="29">
        <v>40105.82876712329</v>
      </c>
      <c r="I2591" s="17">
        <v>0</v>
      </c>
      <c r="J2591" s="17">
        <v>0</v>
      </c>
      <c r="K2591" s="17">
        <f t="shared" si="453"/>
        <v>40105.82876712329</v>
      </c>
      <c r="L2591" s="23">
        <f t="shared" si="459"/>
        <v>2005.2914383561647</v>
      </c>
      <c r="M2591" s="33">
        <v>10</v>
      </c>
      <c r="N2591" s="18">
        <f t="shared" si="454"/>
        <v>6.3013698630136989</v>
      </c>
      <c r="O2591" s="23">
        <v>21178.740410958904</v>
      </c>
      <c r="P2591" s="18">
        <f t="shared" si="455"/>
        <v>6.8027397260273972</v>
      </c>
      <c r="Q2591" s="18">
        <f t="shared" si="458"/>
        <v>1910.246118127227</v>
      </c>
      <c r="R2591" s="18">
        <f t="shared" si="452"/>
        <v>23088.986529086131</v>
      </c>
      <c r="S2591" s="18">
        <f t="shared" si="457"/>
        <v>17016.842238037159</v>
      </c>
    </row>
    <row r="2592" spans="1:19" ht="18.75" customHeight="1" x14ac:dyDescent="0.25">
      <c r="A2592" s="14">
        <f t="shared" si="456"/>
        <v>2586</v>
      </c>
      <c r="B2592" s="14" t="s">
        <v>2188</v>
      </c>
      <c r="C2592" s="15" t="s">
        <v>3</v>
      </c>
      <c r="D2592" s="31" t="s">
        <v>1708</v>
      </c>
      <c r="E2592" s="31"/>
      <c r="F2592" s="73" t="s">
        <v>4</v>
      </c>
      <c r="G2592" s="32">
        <v>41988</v>
      </c>
      <c r="H2592" s="29">
        <v>41289.27945205479</v>
      </c>
      <c r="I2592" s="17">
        <v>0</v>
      </c>
      <c r="J2592" s="17">
        <v>0</v>
      </c>
      <c r="K2592" s="17">
        <f t="shared" si="453"/>
        <v>41289.27945205479</v>
      </c>
      <c r="L2592" s="23">
        <f t="shared" si="459"/>
        <v>2064.4639726027394</v>
      </c>
      <c r="M2592" s="33">
        <v>10</v>
      </c>
      <c r="N2592" s="18">
        <f t="shared" si="454"/>
        <v>6.3013698630136989</v>
      </c>
      <c r="O2592" s="23">
        <v>21803.686849315069</v>
      </c>
      <c r="P2592" s="18">
        <f t="shared" si="455"/>
        <v>6.8027397260273972</v>
      </c>
      <c r="Q2592" s="18">
        <f t="shared" si="458"/>
        <v>1966.6140363670468</v>
      </c>
      <c r="R2592" s="18">
        <f t="shared" si="452"/>
        <v>23770.300885682114</v>
      </c>
      <c r="S2592" s="18">
        <f t="shared" si="457"/>
        <v>17518.978566372676</v>
      </c>
    </row>
    <row r="2593" spans="1:19" ht="18.75" customHeight="1" x14ac:dyDescent="0.25">
      <c r="A2593" s="14">
        <f t="shared" si="456"/>
        <v>2587</v>
      </c>
      <c r="B2593" s="14" t="s">
        <v>2189</v>
      </c>
      <c r="C2593" s="15" t="s">
        <v>3</v>
      </c>
      <c r="D2593" s="31" t="s">
        <v>1708</v>
      </c>
      <c r="E2593" s="31"/>
      <c r="F2593" s="73" t="s">
        <v>4</v>
      </c>
      <c r="G2593" s="32">
        <v>41988</v>
      </c>
      <c r="H2593" s="29">
        <v>67854.424900547951</v>
      </c>
      <c r="I2593" s="17">
        <v>0</v>
      </c>
      <c r="J2593" s="17">
        <v>0</v>
      </c>
      <c r="K2593" s="17">
        <f t="shared" si="453"/>
        <v>67854.424900547951</v>
      </c>
      <c r="L2593" s="23">
        <f t="shared" si="459"/>
        <v>3392.7212450273978</v>
      </c>
      <c r="M2593" s="33">
        <v>10</v>
      </c>
      <c r="N2593" s="18">
        <f t="shared" si="454"/>
        <v>6.3013698630136989</v>
      </c>
      <c r="O2593" s="23">
        <v>35831.979911150687</v>
      </c>
      <c r="P2593" s="18">
        <f t="shared" si="455"/>
        <v>6.8027397260273972</v>
      </c>
      <c r="Q2593" s="18">
        <f t="shared" si="458"/>
        <v>3231.9155531397955</v>
      </c>
      <c r="R2593" s="18">
        <f t="shared" si="452"/>
        <v>39063.895464290486</v>
      </c>
      <c r="S2593" s="18">
        <f t="shared" si="457"/>
        <v>28790.529436257464</v>
      </c>
    </row>
    <row r="2594" spans="1:19" ht="18.75" customHeight="1" x14ac:dyDescent="0.25">
      <c r="A2594" s="14">
        <f t="shared" si="456"/>
        <v>2588</v>
      </c>
      <c r="B2594" s="14" t="s">
        <v>2190</v>
      </c>
      <c r="C2594" s="15" t="s">
        <v>3</v>
      </c>
      <c r="D2594" s="31" t="s">
        <v>1708</v>
      </c>
      <c r="E2594" s="31"/>
      <c r="F2594" s="73" t="s">
        <v>4</v>
      </c>
      <c r="G2594" s="32">
        <v>42475</v>
      </c>
      <c r="H2594" s="29">
        <v>1580.9</v>
      </c>
      <c r="I2594" s="17">
        <v>0</v>
      </c>
      <c r="J2594" s="17">
        <v>0</v>
      </c>
      <c r="K2594" s="17">
        <f t="shared" si="453"/>
        <v>1580.9</v>
      </c>
      <c r="L2594" s="23">
        <f t="shared" si="459"/>
        <v>79.045000000000016</v>
      </c>
      <c r="M2594" s="33">
        <v>10</v>
      </c>
      <c r="N2594" s="18">
        <f t="shared" si="454"/>
        <v>4.9671232876712326</v>
      </c>
      <c r="O2594" s="23">
        <v>745.98989452054786</v>
      </c>
      <c r="P2594" s="18">
        <f t="shared" si="455"/>
        <v>5.4684931506849317</v>
      </c>
      <c r="Q2594" s="18">
        <f t="shared" si="458"/>
        <v>75.298483561643906</v>
      </c>
      <c r="R2594" s="18">
        <f t="shared" si="452"/>
        <v>821.2883780821918</v>
      </c>
      <c r="S2594" s="18">
        <f t="shared" si="457"/>
        <v>759.61162191780829</v>
      </c>
    </row>
    <row r="2595" spans="1:19" ht="18.75" customHeight="1" x14ac:dyDescent="0.25">
      <c r="A2595" s="14">
        <f t="shared" si="456"/>
        <v>2589</v>
      </c>
      <c r="B2595" s="14" t="s">
        <v>1831</v>
      </c>
      <c r="C2595" s="15" t="s">
        <v>3</v>
      </c>
      <c r="D2595" s="31" t="s">
        <v>1708</v>
      </c>
      <c r="E2595" s="31"/>
      <c r="F2595" s="73" t="s">
        <v>4</v>
      </c>
      <c r="G2595" s="32">
        <v>42475</v>
      </c>
      <c r="H2595" s="29">
        <v>3872.73</v>
      </c>
      <c r="I2595" s="17">
        <v>0</v>
      </c>
      <c r="J2595" s="17">
        <v>0</v>
      </c>
      <c r="K2595" s="17">
        <f t="shared" si="453"/>
        <v>3872.73</v>
      </c>
      <c r="L2595" s="23">
        <f t="shared" si="459"/>
        <v>193.63650000000001</v>
      </c>
      <c r="M2595" s="33">
        <v>10</v>
      </c>
      <c r="N2595" s="18">
        <f t="shared" si="454"/>
        <v>4.9671232876712326</v>
      </c>
      <c r="O2595" s="23">
        <v>1827.451100136986</v>
      </c>
      <c r="P2595" s="18">
        <f t="shared" si="455"/>
        <v>5.4684931506849317</v>
      </c>
      <c r="Q2595" s="18">
        <f t="shared" si="458"/>
        <v>184.45866041095908</v>
      </c>
      <c r="R2595" s="18">
        <f t="shared" si="452"/>
        <v>2011.9097605479451</v>
      </c>
      <c r="S2595" s="18">
        <f t="shared" si="457"/>
        <v>1860.8202394520549</v>
      </c>
    </row>
    <row r="2596" spans="1:19" ht="18.75" customHeight="1" x14ac:dyDescent="0.25">
      <c r="A2596" s="14">
        <f t="shared" si="456"/>
        <v>2590</v>
      </c>
      <c r="B2596" s="14" t="s">
        <v>2191</v>
      </c>
      <c r="C2596" s="15" t="s">
        <v>3</v>
      </c>
      <c r="D2596" s="31" t="s">
        <v>1708</v>
      </c>
      <c r="E2596" s="31"/>
      <c r="F2596" s="73" t="s">
        <v>4</v>
      </c>
      <c r="G2596" s="32">
        <v>42475</v>
      </c>
      <c r="H2596" s="29">
        <v>20200</v>
      </c>
      <c r="I2596" s="17">
        <v>0</v>
      </c>
      <c r="J2596" s="17">
        <v>0</v>
      </c>
      <c r="K2596" s="17">
        <f t="shared" si="453"/>
        <v>20200</v>
      </c>
      <c r="L2596" s="23">
        <f t="shared" si="459"/>
        <v>1010</v>
      </c>
      <c r="M2596" s="33">
        <v>10</v>
      </c>
      <c r="N2596" s="18">
        <f t="shared" si="454"/>
        <v>4.9671232876712326</v>
      </c>
      <c r="O2596" s="23">
        <v>9531.9095890410954</v>
      </c>
      <c r="P2596" s="18">
        <f t="shared" si="455"/>
        <v>5.4684931506849317</v>
      </c>
      <c r="Q2596" s="18">
        <f t="shared" si="458"/>
        <v>962.12876712328853</v>
      </c>
      <c r="R2596" s="18">
        <f t="shared" si="452"/>
        <v>10494.038356164383</v>
      </c>
      <c r="S2596" s="18">
        <f t="shared" si="457"/>
        <v>9705.961643835617</v>
      </c>
    </row>
    <row r="2597" spans="1:19" ht="18.75" customHeight="1" x14ac:dyDescent="0.25">
      <c r="A2597" s="14">
        <f t="shared" si="456"/>
        <v>2591</v>
      </c>
      <c r="B2597" s="14" t="s">
        <v>2192</v>
      </c>
      <c r="C2597" s="15" t="s">
        <v>3</v>
      </c>
      <c r="D2597" s="31" t="s">
        <v>1708</v>
      </c>
      <c r="E2597" s="31"/>
      <c r="F2597" s="73" t="s">
        <v>4</v>
      </c>
      <c r="G2597" s="32">
        <v>42475</v>
      </c>
      <c r="H2597" s="29">
        <v>36400</v>
      </c>
      <c r="I2597" s="17">
        <v>0</v>
      </c>
      <c r="J2597" s="17">
        <v>0</v>
      </c>
      <c r="K2597" s="17">
        <f t="shared" si="453"/>
        <v>36400</v>
      </c>
      <c r="L2597" s="23">
        <f t="shared" si="459"/>
        <v>1820</v>
      </c>
      <c r="M2597" s="33">
        <v>5</v>
      </c>
      <c r="N2597" s="18">
        <f t="shared" si="454"/>
        <v>4.9671232876712326</v>
      </c>
      <c r="O2597" s="23">
        <v>34352.624657534245</v>
      </c>
      <c r="P2597" s="18">
        <f t="shared" si="455"/>
        <v>5.4684931506849317</v>
      </c>
      <c r="Q2597" s="18">
        <v>0</v>
      </c>
      <c r="R2597" s="18">
        <f t="shared" si="452"/>
        <v>34352.624657534245</v>
      </c>
      <c r="S2597" s="18">
        <f t="shared" si="457"/>
        <v>2047.3753424657552</v>
      </c>
    </row>
    <row r="2598" spans="1:19" ht="18.75" customHeight="1" x14ac:dyDescent="0.25">
      <c r="A2598" s="14">
        <f t="shared" si="456"/>
        <v>2592</v>
      </c>
      <c r="B2598" s="14" t="s">
        <v>2193</v>
      </c>
      <c r="C2598" s="15" t="s">
        <v>3</v>
      </c>
      <c r="D2598" s="31" t="s">
        <v>1708</v>
      </c>
      <c r="E2598" s="31"/>
      <c r="F2598" s="73" t="s">
        <v>4</v>
      </c>
      <c r="G2598" s="32">
        <v>42475</v>
      </c>
      <c r="H2598" s="29">
        <v>35400</v>
      </c>
      <c r="I2598" s="17">
        <v>0</v>
      </c>
      <c r="J2598" s="17">
        <v>0</v>
      </c>
      <c r="K2598" s="17">
        <f t="shared" si="453"/>
        <v>35400</v>
      </c>
      <c r="L2598" s="23">
        <f t="shared" si="459"/>
        <v>1770</v>
      </c>
      <c r="M2598" s="33">
        <v>10</v>
      </c>
      <c r="N2598" s="18">
        <f t="shared" si="454"/>
        <v>4.9671232876712326</v>
      </c>
      <c r="O2598" s="23">
        <v>16704.435616438357</v>
      </c>
      <c r="P2598" s="18">
        <f t="shared" si="455"/>
        <v>5.4684931506849317</v>
      </c>
      <c r="Q2598" s="18">
        <f t="shared" si="458"/>
        <v>1686.1068493150701</v>
      </c>
      <c r="R2598" s="18">
        <f t="shared" si="452"/>
        <v>18390.542465753428</v>
      </c>
      <c r="S2598" s="18">
        <f t="shared" si="457"/>
        <v>17009.457534246572</v>
      </c>
    </row>
    <row r="2599" spans="1:19" ht="18.75" customHeight="1" x14ac:dyDescent="0.25">
      <c r="A2599" s="14">
        <f t="shared" si="456"/>
        <v>2593</v>
      </c>
      <c r="B2599" s="14" t="s">
        <v>2194</v>
      </c>
      <c r="C2599" s="15" t="s">
        <v>3</v>
      </c>
      <c r="D2599" s="31" t="s">
        <v>1708</v>
      </c>
      <c r="E2599" s="31"/>
      <c r="F2599" s="73" t="s">
        <v>4</v>
      </c>
      <c r="G2599" s="32">
        <v>42475</v>
      </c>
      <c r="H2599" s="29">
        <v>69000</v>
      </c>
      <c r="I2599" s="17">
        <v>0</v>
      </c>
      <c r="J2599" s="17">
        <v>0</v>
      </c>
      <c r="K2599" s="17">
        <f t="shared" si="453"/>
        <v>69000</v>
      </c>
      <c r="L2599" s="23">
        <f t="shared" si="459"/>
        <v>3450</v>
      </c>
      <c r="M2599" s="33">
        <v>10</v>
      </c>
      <c r="N2599" s="18">
        <f t="shared" si="454"/>
        <v>4.9671232876712326</v>
      </c>
      <c r="O2599" s="23">
        <v>32559.493150684928</v>
      </c>
      <c r="P2599" s="18">
        <f t="shared" si="455"/>
        <v>5.4684931506849317</v>
      </c>
      <c r="Q2599" s="18">
        <f t="shared" si="458"/>
        <v>3286.4794520547975</v>
      </c>
      <c r="R2599" s="18">
        <f t="shared" si="452"/>
        <v>35845.972602739726</v>
      </c>
      <c r="S2599" s="18">
        <f t="shared" si="457"/>
        <v>33154.027397260274</v>
      </c>
    </row>
    <row r="2600" spans="1:19" ht="18.75" customHeight="1" x14ac:dyDescent="0.25">
      <c r="A2600" s="14">
        <f t="shared" si="456"/>
        <v>2594</v>
      </c>
      <c r="B2600" s="14" t="s">
        <v>2195</v>
      </c>
      <c r="C2600" s="15" t="s">
        <v>3</v>
      </c>
      <c r="D2600" s="31" t="s">
        <v>1708</v>
      </c>
      <c r="E2600" s="31"/>
      <c r="F2600" s="73" t="s">
        <v>4</v>
      </c>
      <c r="G2600" s="32">
        <v>42475</v>
      </c>
      <c r="H2600" s="29">
        <v>5790</v>
      </c>
      <c r="I2600" s="17">
        <v>0</v>
      </c>
      <c r="J2600" s="17">
        <v>0</v>
      </c>
      <c r="K2600" s="17">
        <f t="shared" si="453"/>
        <v>5790</v>
      </c>
      <c r="L2600" s="23">
        <f t="shared" si="459"/>
        <v>289.5</v>
      </c>
      <c r="M2600" s="33">
        <v>10</v>
      </c>
      <c r="N2600" s="18">
        <f t="shared" si="454"/>
        <v>4.9671232876712326</v>
      </c>
      <c r="O2600" s="23">
        <v>2732.1661643835614</v>
      </c>
      <c r="P2600" s="18">
        <f t="shared" si="455"/>
        <v>5.4684931506849317</v>
      </c>
      <c r="Q2600" s="18">
        <f t="shared" si="458"/>
        <v>275.77849315068516</v>
      </c>
      <c r="R2600" s="18">
        <f t="shared" si="452"/>
        <v>3007.9446575342467</v>
      </c>
      <c r="S2600" s="18">
        <f t="shared" si="457"/>
        <v>2782.0553424657533</v>
      </c>
    </row>
    <row r="2601" spans="1:19" ht="18.75" customHeight="1" x14ac:dyDescent="0.25">
      <c r="A2601" s="14">
        <f t="shared" si="456"/>
        <v>2595</v>
      </c>
      <c r="B2601" s="14" t="s">
        <v>2196</v>
      </c>
      <c r="C2601" s="15" t="s">
        <v>3</v>
      </c>
      <c r="D2601" s="31" t="s">
        <v>1708</v>
      </c>
      <c r="E2601" s="31"/>
      <c r="F2601" s="73" t="s">
        <v>4</v>
      </c>
      <c r="G2601" s="32">
        <v>42475</v>
      </c>
      <c r="H2601" s="29">
        <v>33250</v>
      </c>
      <c r="I2601" s="17">
        <v>0</v>
      </c>
      <c r="J2601" s="17">
        <v>0</v>
      </c>
      <c r="K2601" s="17">
        <f t="shared" si="453"/>
        <v>33250</v>
      </c>
      <c r="L2601" s="23">
        <f t="shared" si="459"/>
        <v>1662.5</v>
      </c>
      <c r="M2601" s="33">
        <v>10</v>
      </c>
      <c r="N2601" s="18">
        <f t="shared" si="454"/>
        <v>4.9671232876712326</v>
      </c>
      <c r="O2601" s="23">
        <v>15689.900684931505</v>
      </c>
      <c r="P2601" s="18">
        <f t="shared" si="455"/>
        <v>5.4684931506849317</v>
      </c>
      <c r="Q2601" s="18">
        <f t="shared" si="458"/>
        <v>1583.7020547945219</v>
      </c>
      <c r="R2601" s="18">
        <f t="shared" si="452"/>
        <v>17273.602739726026</v>
      </c>
      <c r="S2601" s="18">
        <f t="shared" si="457"/>
        <v>15976.397260273974</v>
      </c>
    </row>
    <row r="2602" spans="1:19" ht="18.75" customHeight="1" x14ac:dyDescent="0.25">
      <c r="A2602" s="14">
        <f t="shared" si="456"/>
        <v>2596</v>
      </c>
      <c r="B2602" s="14" t="s">
        <v>2197</v>
      </c>
      <c r="C2602" s="15" t="s">
        <v>3</v>
      </c>
      <c r="D2602" s="31" t="s">
        <v>1708</v>
      </c>
      <c r="E2602" s="31"/>
      <c r="F2602" s="73" t="s">
        <v>4</v>
      </c>
      <c r="G2602" s="32">
        <v>42475</v>
      </c>
      <c r="H2602" s="29">
        <v>25000</v>
      </c>
      <c r="I2602" s="17">
        <v>0</v>
      </c>
      <c r="J2602" s="17">
        <v>0</v>
      </c>
      <c r="K2602" s="17">
        <f t="shared" si="453"/>
        <v>25000</v>
      </c>
      <c r="L2602" s="23">
        <f t="shared" si="459"/>
        <v>1250</v>
      </c>
      <c r="M2602" s="33">
        <v>10</v>
      </c>
      <c r="N2602" s="18">
        <f t="shared" si="454"/>
        <v>4.9671232876712326</v>
      </c>
      <c r="O2602" s="23">
        <v>11796.917808219177</v>
      </c>
      <c r="P2602" s="18">
        <f t="shared" si="455"/>
        <v>5.4684931506849317</v>
      </c>
      <c r="Q2602" s="18">
        <f t="shared" si="458"/>
        <v>1190.7534246575353</v>
      </c>
      <c r="R2602" s="18">
        <f t="shared" si="452"/>
        <v>12987.671232876713</v>
      </c>
      <c r="S2602" s="18">
        <f t="shared" si="457"/>
        <v>12012.328767123287</v>
      </c>
    </row>
    <row r="2603" spans="1:19" ht="18.75" customHeight="1" x14ac:dyDescent="0.25">
      <c r="A2603" s="14">
        <f t="shared" si="456"/>
        <v>2597</v>
      </c>
      <c r="B2603" s="14" t="s">
        <v>1287</v>
      </c>
      <c r="C2603" s="15" t="s">
        <v>3</v>
      </c>
      <c r="D2603" s="31" t="s">
        <v>1708</v>
      </c>
      <c r="E2603" s="31"/>
      <c r="F2603" s="73" t="s">
        <v>4</v>
      </c>
      <c r="G2603" s="32">
        <v>42505</v>
      </c>
      <c r="H2603" s="29">
        <v>1250</v>
      </c>
      <c r="I2603" s="17">
        <v>0</v>
      </c>
      <c r="J2603" s="17">
        <v>0</v>
      </c>
      <c r="K2603" s="17">
        <f t="shared" si="453"/>
        <v>1250</v>
      </c>
      <c r="L2603" s="23">
        <f t="shared" si="459"/>
        <v>62.5</v>
      </c>
      <c r="M2603" s="33">
        <v>10</v>
      </c>
      <c r="N2603" s="18">
        <f t="shared" si="454"/>
        <v>4.8849315068493153</v>
      </c>
      <c r="O2603" s="23">
        <v>580.08561643835628</v>
      </c>
      <c r="P2603" s="18">
        <f t="shared" si="455"/>
        <v>5.3863013698630136</v>
      </c>
      <c r="Q2603" s="18">
        <f t="shared" si="458"/>
        <v>59.537671232876669</v>
      </c>
      <c r="R2603" s="18">
        <f t="shared" si="452"/>
        <v>639.6232876712329</v>
      </c>
      <c r="S2603" s="18">
        <f t="shared" si="457"/>
        <v>610.3767123287671</v>
      </c>
    </row>
    <row r="2604" spans="1:19" ht="18.75" customHeight="1" x14ac:dyDescent="0.25">
      <c r="A2604" s="14">
        <f t="shared" si="456"/>
        <v>2598</v>
      </c>
      <c r="B2604" s="14" t="s">
        <v>2198</v>
      </c>
      <c r="C2604" s="15" t="s">
        <v>3</v>
      </c>
      <c r="D2604" s="31" t="s">
        <v>1708</v>
      </c>
      <c r="E2604" s="31"/>
      <c r="F2604" s="73" t="s">
        <v>4</v>
      </c>
      <c r="G2604" s="32">
        <v>42505</v>
      </c>
      <c r="H2604" s="29">
        <v>5798.08</v>
      </c>
      <c r="I2604" s="17">
        <v>0</v>
      </c>
      <c r="J2604" s="17">
        <v>0</v>
      </c>
      <c r="K2604" s="17">
        <f t="shared" si="453"/>
        <v>5798.08</v>
      </c>
      <c r="L2604" s="23">
        <f t="shared" si="459"/>
        <v>289.904</v>
      </c>
      <c r="M2604" s="33">
        <v>10</v>
      </c>
      <c r="N2604" s="18">
        <f t="shared" si="454"/>
        <v>4.8849315068493153</v>
      </c>
      <c r="O2604" s="23">
        <v>2690.7062487671233</v>
      </c>
      <c r="P2604" s="18">
        <f t="shared" si="455"/>
        <v>5.3863013698630136</v>
      </c>
      <c r="Q2604" s="18">
        <f t="shared" si="458"/>
        <v>276.16334465753403</v>
      </c>
      <c r="R2604" s="18">
        <f t="shared" si="452"/>
        <v>2966.8695934246571</v>
      </c>
      <c r="S2604" s="18">
        <f t="shared" si="457"/>
        <v>2831.2104065753429</v>
      </c>
    </row>
    <row r="2605" spans="1:19" ht="18.75" customHeight="1" x14ac:dyDescent="0.25">
      <c r="A2605" s="14">
        <f t="shared" si="456"/>
        <v>2599</v>
      </c>
      <c r="B2605" s="14" t="s">
        <v>1322</v>
      </c>
      <c r="C2605" s="15" t="s">
        <v>3</v>
      </c>
      <c r="D2605" s="31" t="s">
        <v>1708</v>
      </c>
      <c r="E2605" s="31"/>
      <c r="F2605" s="73" t="s">
        <v>4</v>
      </c>
      <c r="G2605" s="32">
        <v>42505</v>
      </c>
      <c r="H2605" s="29">
        <v>5250</v>
      </c>
      <c r="I2605" s="17">
        <v>0</v>
      </c>
      <c r="J2605" s="17">
        <v>0</v>
      </c>
      <c r="K2605" s="17">
        <f t="shared" si="453"/>
        <v>5250</v>
      </c>
      <c r="L2605" s="23">
        <f t="shared" si="459"/>
        <v>262.5</v>
      </c>
      <c r="M2605" s="33">
        <v>10</v>
      </c>
      <c r="N2605" s="18">
        <f t="shared" si="454"/>
        <v>4.8849315068493153</v>
      </c>
      <c r="O2605" s="23">
        <v>2436.3595890410961</v>
      </c>
      <c r="P2605" s="18">
        <f t="shared" si="455"/>
        <v>5.3863013698630136</v>
      </c>
      <c r="Q2605" s="18">
        <f t="shared" si="458"/>
        <v>250.058219178082</v>
      </c>
      <c r="R2605" s="18">
        <f t="shared" si="452"/>
        <v>2686.4178082191779</v>
      </c>
      <c r="S2605" s="18">
        <f t="shared" si="457"/>
        <v>2563.5821917808221</v>
      </c>
    </row>
    <row r="2606" spans="1:19" ht="18.75" customHeight="1" x14ac:dyDescent="0.25">
      <c r="A2606" s="14">
        <f t="shared" si="456"/>
        <v>2600</v>
      </c>
      <c r="B2606" s="14" t="s">
        <v>1714</v>
      </c>
      <c r="C2606" s="15" t="s">
        <v>3</v>
      </c>
      <c r="D2606" s="31" t="s">
        <v>1708</v>
      </c>
      <c r="E2606" s="31"/>
      <c r="F2606" s="73" t="s">
        <v>4</v>
      </c>
      <c r="G2606" s="32">
        <v>42505</v>
      </c>
      <c r="H2606" s="29">
        <v>11450</v>
      </c>
      <c r="I2606" s="17">
        <v>0</v>
      </c>
      <c r="J2606" s="17">
        <v>0</v>
      </c>
      <c r="K2606" s="17">
        <f t="shared" si="453"/>
        <v>11450</v>
      </c>
      <c r="L2606" s="23">
        <f t="shared" si="459"/>
        <v>572.5</v>
      </c>
      <c r="M2606" s="33">
        <v>10</v>
      </c>
      <c r="N2606" s="18">
        <f t="shared" si="454"/>
        <v>4.8849315068493153</v>
      </c>
      <c r="O2606" s="23">
        <v>5313.5842465753431</v>
      </c>
      <c r="P2606" s="18">
        <f t="shared" si="455"/>
        <v>5.3863013698630136</v>
      </c>
      <c r="Q2606" s="18">
        <f t="shared" si="458"/>
        <v>545.36506849315026</v>
      </c>
      <c r="R2606" s="18">
        <f t="shared" si="452"/>
        <v>5858.949315068493</v>
      </c>
      <c r="S2606" s="18">
        <f t="shared" si="457"/>
        <v>5591.050684931507</v>
      </c>
    </row>
    <row r="2607" spans="1:19" ht="18.75" customHeight="1" x14ac:dyDescent="0.25">
      <c r="A2607" s="14">
        <f t="shared" si="456"/>
        <v>2601</v>
      </c>
      <c r="B2607" s="14" t="s">
        <v>1756</v>
      </c>
      <c r="C2607" s="15" t="s">
        <v>3</v>
      </c>
      <c r="D2607" s="31" t="s">
        <v>1708</v>
      </c>
      <c r="E2607" s="31"/>
      <c r="F2607" s="73" t="s">
        <v>4</v>
      </c>
      <c r="G2607" s="32">
        <v>42505</v>
      </c>
      <c r="H2607" s="29">
        <v>21500</v>
      </c>
      <c r="I2607" s="17">
        <v>0</v>
      </c>
      <c r="J2607" s="17">
        <v>0</v>
      </c>
      <c r="K2607" s="17">
        <f t="shared" si="453"/>
        <v>21500</v>
      </c>
      <c r="L2607" s="23">
        <f t="shared" si="459"/>
        <v>1075</v>
      </c>
      <c r="M2607" s="33">
        <v>10</v>
      </c>
      <c r="N2607" s="18">
        <f t="shared" si="454"/>
        <v>4.8849315068493153</v>
      </c>
      <c r="O2607" s="23">
        <v>9977.4726027397264</v>
      </c>
      <c r="P2607" s="18">
        <f t="shared" si="455"/>
        <v>5.3863013698630136</v>
      </c>
      <c r="Q2607" s="18">
        <f t="shared" si="458"/>
        <v>1024.0479452054788</v>
      </c>
      <c r="R2607" s="18">
        <f t="shared" si="452"/>
        <v>11001.520547945205</v>
      </c>
      <c r="S2607" s="18">
        <f t="shared" si="457"/>
        <v>10498.479452054795</v>
      </c>
    </row>
    <row r="2608" spans="1:19" ht="18.75" customHeight="1" x14ac:dyDescent="0.25">
      <c r="A2608" s="14">
        <f t="shared" si="456"/>
        <v>2602</v>
      </c>
      <c r="B2608" s="14" t="s">
        <v>2199</v>
      </c>
      <c r="C2608" s="15" t="s">
        <v>3</v>
      </c>
      <c r="D2608" s="31" t="s">
        <v>1708</v>
      </c>
      <c r="E2608" s="31"/>
      <c r="F2608" s="73" t="s">
        <v>4</v>
      </c>
      <c r="G2608" s="32">
        <v>42507</v>
      </c>
      <c r="H2608" s="29">
        <v>8500</v>
      </c>
      <c r="I2608" s="17">
        <v>0</v>
      </c>
      <c r="J2608" s="17">
        <v>0</v>
      </c>
      <c r="K2608" s="17">
        <f t="shared" si="453"/>
        <v>8500</v>
      </c>
      <c r="L2608" s="23">
        <f t="shared" si="459"/>
        <v>425</v>
      </c>
      <c r="M2608" s="33">
        <v>10</v>
      </c>
      <c r="N2608" s="18">
        <f t="shared" si="454"/>
        <v>4.8794520547945206</v>
      </c>
      <c r="O2608" s="23">
        <v>3940.1575342465753</v>
      </c>
      <c r="P2608" s="18">
        <f t="shared" si="455"/>
        <v>5.3808219178082188</v>
      </c>
      <c r="Q2608" s="18">
        <f t="shared" si="458"/>
        <v>404.85616438356135</v>
      </c>
      <c r="R2608" s="18">
        <f t="shared" si="452"/>
        <v>4345.0136986301368</v>
      </c>
      <c r="S2608" s="18">
        <f t="shared" si="457"/>
        <v>4154.9863013698632</v>
      </c>
    </row>
    <row r="2609" spans="1:19" ht="18.75" customHeight="1" x14ac:dyDescent="0.25">
      <c r="A2609" s="14">
        <f t="shared" si="456"/>
        <v>2603</v>
      </c>
      <c r="B2609" s="14" t="s">
        <v>1287</v>
      </c>
      <c r="C2609" s="15" t="s">
        <v>3</v>
      </c>
      <c r="D2609" s="31" t="s">
        <v>1708</v>
      </c>
      <c r="E2609" s="31"/>
      <c r="F2609" s="73" t="s">
        <v>4</v>
      </c>
      <c r="G2609" s="32">
        <v>42536</v>
      </c>
      <c r="H2609" s="29">
        <v>901.1</v>
      </c>
      <c r="I2609" s="17">
        <v>0</v>
      </c>
      <c r="J2609" s="17">
        <v>0</v>
      </c>
      <c r="K2609" s="17">
        <f t="shared" si="453"/>
        <v>901.1</v>
      </c>
      <c r="L2609" s="23">
        <f t="shared" si="459"/>
        <v>45.055000000000007</v>
      </c>
      <c r="M2609" s="33">
        <v>10</v>
      </c>
      <c r="N2609" s="18">
        <f t="shared" si="454"/>
        <v>4.8</v>
      </c>
      <c r="O2609" s="23">
        <v>410.90160000000003</v>
      </c>
      <c r="P2609" s="18">
        <f t="shared" si="455"/>
        <v>5.3013698630136989</v>
      </c>
      <c r="Q2609" s="18">
        <f t="shared" si="458"/>
        <v>42.919516438356204</v>
      </c>
      <c r="R2609" s="18">
        <f t="shared" si="452"/>
        <v>453.82111643835623</v>
      </c>
      <c r="S2609" s="18">
        <f t="shared" si="457"/>
        <v>447.2788835616438</v>
      </c>
    </row>
    <row r="2610" spans="1:19" ht="18.75" customHeight="1" x14ac:dyDescent="0.25">
      <c r="A2610" s="14">
        <f t="shared" si="456"/>
        <v>2604</v>
      </c>
      <c r="B2610" s="14" t="s">
        <v>1772</v>
      </c>
      <c r="C2610" s="15" t="s">
        <v>3</v>
      </c>
      <c r="D2610" s="31" t="s">
        <v>1708</v>
      </c>
      <c r="E2610" s="31"/>
      <c r="F2610" s="73" t="s">
        <v>4</v>
      </c>
      <c r="G2610" s="32">
        <v>42536</v>
      </c>
      <c r="H2610" s="29">
        <v>8152.4</v>
      </c>
      <c r="I2610" s="17">
        <v>0</v>
      </c>
      <c r="J2610" s="17">
        <v>0</v>
      </c>
      <c r="K2610" s="17">
        <f t="shared" si="453"/>
        <v>8152.4</v>
      </c>
      <c r="L2610" s="23">
        <f t="shared" si="459"/>
        <v>407.62</v>
      </c>
      <c r="M2610" s="33">
        <v>10</v>
      </c>
      <c r="N2610" s="18">
        <f t="shared" si="454"/>
        <v>4.8</v>
      </c>
      <c r="O2610" s="23">
        <v>3717.4943999999996</v>
      </c>
      <c r="P2610" s="18">
        <f t="shared" si="455"/>
        <v>5.3013698630136989</v>
      </c>
      <c r="Q2610" s="18">
        <f t="shared" si="458"/>
        <v>388.29992876712362</v>
      </c>
      <c r="R2610" s="18">
        <f t="shared" si="452"/>
        <v>4105.7943287671233</v>
      </c>
      <c r="S2610" s="18">
        <f t="shared" si="457"/>
        <v>4046.6056712328764</v>
      </c>
    </row>
    <row r="2611" spans="1:19" ht="18.75" customHeight="1" x14ac:dyDescent="0.25">
      <c r="A2611" s="14">
        <f t="shared" si="456"/>
        <v>2605</v>
      </c>
      <c r="B2611" s="14" t="s">
        <v>2200</v>
      </c>
      <c r="C2611" s="15" t="s">
        <v>3</v>
      </c>
      <c r="D2611" s="31" t="s">
        <v>1708</v>
      </c>
      <c r="E2611" s="31"/>
      <c r="F2611" s="73" t="s">
        <v>4</v>
      </c>
      <c r="G2611" s="32">
        <v>42536</v>
      </c>
      <c r="H2611" s="29">
        <v>22625.200000000001</v>
      </c>
      <c r="I2611" s="17">
        <v>0</v>
      </c>
      <c r="J2611" s="17">
        <v>0</v>
      </c>
      <c r="K2611" s="17">
        <f t="shared" si="453"/>
        <v>22625.200000000001</v>
      </c>
      <c r="L2611" s="23">
        <f t="shared" si="459"/>
        <v>1131.26</v>
      </c>
      <c r="M2611" s="33">
        <v>10</v>
      </c>
      <c r="N2611" s="18">
        <f t="shared" si="454"/>
        <v>4.8</v>
      </c>
      <c r="O2611" s="23">
        <v>10317.091200000001</v>
      </c>
      <c r="P2611" s="18">
        <f t="shared" si="455"/>
        <v>5.3013698630136989</v>
      </c>
      <c r="Q2611" s="18">
        <f t="shared" si="458"/>
        <v>1077.641375342467</v>
      </c>
      <c r="R2611" s="18">
        <f t="shared" si="452"/>
        <v>11394.732575342468</v>
      </c>
      <c r="S2611" s="18">
        <f t="shared" si="457"/>
        <v>11230.467424657532</v>
      </c>
    </row>
    <row r="2612" spans="1:19" ht="18.75" customHeight="1" x14ac:dyDescent="0.25">
      <c r="A2612" s="14">
        <f t="shared" si="456"/>
        <v>2606</v>
      </c>
      <c r="B2612" s="14" t="s">
        <v>2201</v>
      </c>
      <c r="C2612" s="15" t="s">
        <v>3</v>
      </c>
      <c r="D2612" s="31" t="s">
        <v>1708</v>
      </c>
      <c r="E2612" s="31"/>
      <c r="F2612" s="73" t="s">
        <v>4</v>
      </c>
      <c r="G2612" s="32">
        <v>42536</v>
      </c>
      <c r="H2612" s="29">
        <v>47400</v>
      </c>
      <c r="I2612" s="17">
        <v>0</v>
      </c>
      <c r="J2612" s="17">
        <v>0</v>
      </c>
      <c r="K2612" s="17">
        <f t="shared" si="453"/>
        <v>47400</v>
      </c>
      <c r="L2612" s="23">
        <f t="shared" si="459"/>
        <v>2370</v>
      </c>
      <c r="M2612" s="33">
        <v>10</v>
      </c>
      <c r="N2612" s="18">
        <f t="shared" si="454"/>
        <v>4.8</v>
      </c>
      <c r="O2612" s="23">
        <v>21614.400000000001</v>
      </c>
      <c r="P2612" s="18">
        <f t="shared" si="455"/>
        <v>5.3013698630136989</v>
      </c>
      <c r="Q2612" s="18">
        <f t="shared" si="458"/>
        <v>2257.668493150687</v>
      </c>
      <c r="R2612" s="18">
        <f t="shared" si="452"/>
        <v>23872.068493150688</v>
      </c>
      <c r="S2612" s="18">
        <f t="shared" si="457"/>
        <v>23527.931506849312</v>
      </c>
    </row>
    <row r="2613" spans="1:19" ht="18.75" customHeight="1" x14ac:dyDescent="0.25">
      <c r="A2613" s="14">
        <f t="shared" si="456"/>
        <v>2607</v>
      </c>
      <c r="B2613" s="14" t="s">
        <v>2202</v>
      </c>
      <c r="C2613" s="15" t="s">
        <v>3</v>
      </c>
      <c r="D2613" s="31" t="s">
        <v>1708</v>
      </c>
      <c r="E2613" s="31"/>
      <c r="F2613" s="73" t="s">
        <v>4</v>
      </c>
      <c r="G2613" s="32">
        <v>42566</v>
      </c>
      <c r="H2613" s="29">
        <v>5574.64</v>
      </c>
      <c r="I2613" s="17">
        <v>0</v>
      </c>
      <c r="J2613" s="17">
        <v>0</v>
      </c>
      <c r="K2613" s="17">
        <f t="shared" si="453"/>
        <v>5574.64</v>
      </c>
      <c r="L2613" s="23">
        <f t="shared" si="459"/>
        <v>278.73200000000003</v>
      </c>
      <c r="M2613" s="33">
        <v>10</v>
      </c>
      <c r="N2613" s="18">
        <f t="shared" si="454"/>
        <v>4.7178082191780826</v>
      </c>
      <c r="O2613" s="23">
        <v>2498.5078290410966</v>
      </c>
      <c r="P2613" s="18">
        <f t="shared" si="455"/>
        <v>5.2191780821917808</v>
      </c>
      <c r="Q2613" s="18">
        <f t="shared" si="458"/>
        <v>265.52086684931487</v>
      </c>
      <c r="R2613" s="18">
        <f t="shared" si="452"/>
        <v>2764.0286958904117</v>
      </c>
      <c r="S2613" s="18">
        <f t="shared" si="457"/>
        <v>2810.6113041095887</v>
      </c>
    </row>
    <row r="2614" spans="1:19" ht="18.75" customHeight="1" x14ac:dyDescent="0.25">
      <c r="A2614" s="14">
        <f t="shared" si="456"/>
        <v>2608</v>
      </c>
      <c r="B2614" s="14" t="s">
        <v>2203</v>
      </c>
      <c r="C2614" s="15" t="s">
        <v>3</v>
      </c>
      <c r="D2614" s="31" t="s">
        <v>1708</v>
      </c>
      <c r="E2614" s="31"/>
      <c r="F2614" s="73" t="s">
        <v>4</v>
      </c>
      <c r="G2614" s="32">
        <v>42566</v>
      </c>
      <c r="H2614" s="29">
        <v>6528.07</v>
      </c>
      <c r="I2614" s="17">
        <v>0</v>
      </c>
      <c r="J2614" s="17">
        <v>0</v>
      </c>
      <c r="K2614" s="17">
        <f t="shared" si="453"/>
        <v>6528.07</v>
      </c>
      <c r="L2614" s="23">
        <f t="shared" si="459"/>
        <v>326.40350000000001</v>
      </c>
      <c r="M2614" s="33">
        <v>10</v>
      </c>
      <c r="N2614" s="18">
        <f t="shared" si="454"/>
        <v>4.7178082191780826</v>
      </c>
      <c r="O2614" s="23">
        <v>2925.8273186301367</v>
      </c>
      <c r="P2614" s="18">
        <f t="shared" si="455"/>
        <v>5.2191780821917808</v>
      </c>
      <c r="Q2614" s="18">
        <f t="shared" si="458"/>
        <v>310.93286835616414</v>
      </c>
      <c r="R2614" s="18">
        <f t="shared" si="452"/>
        <v>3236.7601869863011</v>
      </c>
      <c r="S2614" s="18">
        <f t="shared" si="457"/>
        <v>3291.3098130136987</v>
      </c>
    </row>
    <row r="2615" spans="1:19" ht="18.75" customHeight="1" x14ac:dyDescent="0.25">
      <c r="A2615" s="14">
        <f t="shared" si="456"/>
        <v>2609</v>
      </c>
      <c r="B2615" s="14" t="s">
        <v>2204</v>
      </c>
      <c r="C2615" s="15" t="s">
        <v>3</v>
      </c>
      <c r="D2615" s="31" t="s">
        <v>1708</v>
      </c>
      <c r="E2615" s="31"/>
      <c r="F2615" s="73" t="s">
        <v>4</v>
      </c>
      <c r="G2615" s="32">
        <v>42566</v>
      </c>
      <c r="H2615" s="29">
        <v>15500</v>
      </c>
      <c r="I2615" s="17">
        <v>0</v>
      </c>
      <c r="J2615" s="17">
        <v>0</v>
      </c>
      <c r="K2615" s="17">
        <f t="shared" si="453"/>
        <v>15500</v>
      </c>
      <c r="L2615" s="23">
        <f t="shared" si="459"/>
        <v>775</v>
      </c>
      <c r="M2615" s="33">
        <v>10</v>
      </c>
      <c r="N2615" s="18">
        <f t="shared" si="454"/>
        <v>4.7178082191780826</v>
      </c>
      <c r="O2615" s="23">
        <v>6946.9726027397264</v>
      </c>
      <c r="P2615" s="18">
        <f t="shared" si="455"/>
        <v>5.2191780821917808</v>
      </c>
      <c r="Q2615" s="18">
        <f t="shared" si="458"/>
        <v>738.26712328767064</v>
      </c>
      <c r="R2615" s="18">
        <f t="shared" si="452"/>
        <v>7685.2397260273974</v>
      </c>
      <c r="S2615" s="18">
        <f t="shared" si="457"/>
        <v>7814.7602739726026</v>
      </c>
    </row>
    <row r="2616" spans="1:19" ht="18.75" customHeight="1" x14ac:dyDescent="0.25">
      <c r="A2616" s="14">
        <f t="shared" si="456"/>
        <v>2610</v>
      </c>
      <c r="B2616" s="14" t="s">
        <v>2205</v>
      </c>
      <c r="C2616" s="15" t="s">
        <v>3</v>
      </c>
      <c r="D2616" s="31" t="s">
        <v>1708</v>
      </c>
      <c r="E2616" s="31"/>
      <c r="F2616" s="73" t="s">
        <v>4</v>
      </c>
      <c r="G2616" s="32">
        <v>42566</v>
      </c>
      <c r="H2616" s="29">
        <v>3600</v>
      </c>
      <c r="I2616" s="17">
        <v>0</v>
      </c>
      <c r="J2616" s="17">
        <v>0</v>
      </c>
      <c r="K2616" s="17">
        <f t="shared" si="453"/>
        <v>3600</v>
      </c>
      <c r="L2616" s="23">
        <f t="shared" si="459"/>
        <v>180</v>
      </c>
      <c r="M2616" s="33">
        <v>10</v>
      </c>
      <c r="N2616" s="18">
        <f t="shared" si="454"/>
        <v>4.7178082191780826</v>
      </c>
      <c r="O2616" s="23">
        <v>1613.4904109589042</v>
      </c>
      <c r="P2616" s="18">
        <f t="shared" si="455"/>
        <v>5.2191780821917808</v>
      </c>
      <c r="Q2616" s="18">
        <f t="shared" si="458"/>
        <v>171.46849315068479</v>
      </c>
      <c r="R2616" s="18">
        <f t="shared" si="452"/>
        <v>1784.958904109589</v>
      </c>
      <c r="S2616" s="18">
        <f t="shared" si="457"/>
        <v>1815.041095890411</v>
      </c>
    </row>
    <row r="2617" spans="1:19" ht="18.75" customHeight="1" x14ac:dyDescent="0.25">
      <c r="A2617" s="14">
        <f t="shared" si="456"/>
        <v>2611</v>
      </c>
      <c r="B2617" s="14" t="s">
        <v>2206</v>
      </c>
      <c r="C2617" s="15" t="s">
        <v>3</v>
      </c>
      <c r="D2617" s="31" t="s">
        <v>1708</v>
      </c>
      <c r="E2617" s="31"/>
      <c r="F2617" s="73" t="s">
        <v>4</v>
      </c>
      <c r="G2617" s="32">
        <v>42597</v>
      </c>
      <c r="H2617" s="29">
        <v>18359</v>
      </c>
      <c r="I2617" s="17">
        <v>0</v>
      </c>
      <c r="J2617" s="17">
        <v>0</v>
      </c>
      <c r="K2617" s="17">
        <f t="shared" si="453"/>
        <v>18359</v>
      </c>
      <c r="L2617" s="23">
        <f t="shared" si="459"/>
        <v>917.95</v>
      </c>
      <c r="M2617" s="33">
        <v>10</v>
      </c>
      <c r="N2617" s="18">
        <f t="shared" si="454"/>
        <v>4.6328767123287671</v>
      </c>
      <c r="O2617" s="23">
        <v>8080.2234383561645</v>
      </c>
      <c r="P2617" s="18">
        <f t="shared" si="455"/>
        <v>5.1342465753424653</v>
      </c>
      <c r="Q2617" s="18">
        <f t="shared" si="458"/>
        <v>874.44168493150619</v>
      </c>
      <c r="R2617" s="18">
        <f t="shared" si="452"/>
        <v>8954.6651232876702</v>
      </c>
      <c r="S2617" s="18">
        <f t="shared" si="457"/>
        <v>9404.3348767123298</v>
      </c>
    </row>
    <row r="2618" spans="1:19" ht="18.75" customHeight="1" x14ac:dyDescent="0.25">
      <c r="A2618" s="14">
        <f t="shared" si="456"/>
        <v>2612</v>
      </c>
      <c r="B2618" s="14" t="s">
        <v>1228</v>
      </c>
      <c r="C2618" s="15" t="s">
        <v>3</v>
      </c>
      <c r="D2618" s="31" t="s">
        <v>1708</v>
      </c>
      <c r="E2618" s="31"/>
      <c r="F2618" s="73" t="s">
        <v>4</v>
      </c>
      <c r="G2618" s="32">
        <v>42597</v>
      </c>
      <c r="H2618" s="29">
        <v>17800</v>
      </c>
      <c r="I2618" s="17">
        <v>0</v>
      </c>
      <c r="J2618" s="17">
        <v>0</v>
      </c>
      <c r="K2618" s="17">
        <f t="shared" si="453"/>
        <v>17800</v>
      </c>
      <c r="L2618" s="23">
        <f t="shared" si="459"/>
        <v>890</v>
      </c>
      <c r="M2618" s="33">
        <v>10</v>
      </c>
      <c r="N2618" s="18">
        <f t="shared" si="454"/>
        <v>4.6328767123287671</v>
      </c>
      <c r="O2618" s="23">
        <v>7834.1945205479451</v>
      </c>
      <c r="P2618" s="18">
        <f t="shared" si="455"/>
        <v>5.1342465753424653</v>
      </c>
      <c r="Q2618" s="18">
        <f t="shared" si="458"/>
        <v>847.81643835616376</v>
      </c>
      <c r="R2618" s="18">
        <f t="shared" si="452"/>
        <v>8682.0109589041094</v>
      </c>
      <c r="S2618" s="18">
        <f t="shared" si="457"/>
        <v>9117.9890410958906</v>
      </c>
    </row>
    <row r="2619" spans="1:19" ht="18.75" customHeight="1" x14ac:dyDescent="0.25">
      <c r="A2619" s="14">
        <f t="shared" si="456"/>
        <v>2613</v>
      </c>
      <c r="B2619" s="14" t="s">
        <v>2005</v>
      </c>
      <c r="C2619" s="15" t="s">
        <v>3</v>
      </c>
      <c r="D2619" s="31" t="s">
        <v>1708</v>
      </c>
      <c r="E2619" s="31"/>
      <c r="F2619" s="73" t="s">
        <v>4</v>
      </c>
      <c r="G2619" s="32">
        <v>42628</v>
      </c>
      <c r="H2619" s="29">
        <v>2850</v>
      </c>
      <c r="I2619" s="17">
        <v>0</v>
      </c>
      <c r="J2619" s="17">
        <v>0</v>
      </c>
      <c r="K2619" s="17">
        <f t="shared" si="453"/>
        <v>2850</v>
      </c>
      <c r="L2619" s="23">
        <f t="shared" si="459"/>
        <v>142.5</v>
      </c>
      <c r="M2619" s="33">
        <v>10</v>
      </c>
      <c r="N2619" s="18">
        <f t="shared" si="454"/>
        <v>4.5479452054794525</v>
      </c>
      <c r="O2619" s="23">
        <v>1231.3561643835619</v>
      </c>
      <c r="P2619" s="18">
        <f t="shared" si="455"/>
        <v>5.0493150684931507</v>
      </c>
      <c r="Q2619" s="18">
        <f t="shared" si="458"/>
        <v>135.74589041095879</v>
      </c>
      <c r="R2619" s="18">
        <f t="shared" si="452"/>
        <v>1367.1020547945207</v>
      </c>
      <c r="S2619" s="18">
        <f t="shared" si="457"/>
        <v>1482.8979452054793</v>
      </c>
    </row>
    <row r="2620" spans="1:19" ht="18.75" customHeight="1" x14ac:dyDescent="0.25">
      <c r="A2620" s="14">
        <f t="shared" si="456"/>
        <v>2614</v>
      </c>
      <c r="B2620" s="14" t="s">
        <v>1831</v>
      </c>
      <c r="C2620" s="15" t="s">
        <v>3</v>
      </c>
      <c r="D2620" s="31" t="s">
        <v>1708</v>
      </c>
      <c r="E2620" s="31"/>
      <c r="F2620" s="73" t="s">
        <v>4</v>
      </c>
      <c r="G2620" s="32">
        <v>42628</v>
      </c>
      <c r="H2620" s="29">
        <v>3300</v>
      </c>
      <c r="I2620" s="17">
        <v>0</v>
      </c>
      <c r="J2620" s="17">
        <v>0</v>
      </c>
      <c r="K2620" s="17">
        <f t="shared" si="453"/>
        <v>3300</v>
      </c>
      <c r="L2620" s="23">
        <f t="shared" si="459"/>
        <v>165</v>
      </c>
      <c r="M2620" s="33">
        <v>10</v>
      </c>
      <c r="N2620" s="18">
        <f t="shared" si="454"/>
        <v>4.5479452054794525</v>
      </c>
      <c r="O2620" s="23">
        <v>1425.7808219178085</v>
      </c>
      <c r="P2620" s="18">
        <f t="shared" si="455"/>
        <v>5.0493150684931507</v>
      </c>
      <c r="Q2620" s="18">
        <f t="shared" si="458"/>
        <v>157.17945205479441</v>
      </c>
      <c r="R2620" s="18">
        <f t="shared" si="452"/>
        <v>1582.9602739726029</v>
      </c>
      <c r="S2620" s="18">
        <f t="shared" si="457"/>
        <v>1717.0397260273971</v>
      </c>
    </row>
    <row r="2621" spans="1:19" ht="18.75" customHeight="1" x14ac:dyDescent="0.25">
      <c r="A2621" s="14">
        <f t="shared" si="456"/>
        <v>2615</v>
      </c>
      <c r="B2621" s="14" t="s">
        <v>1611</v>
      </c>
      <c r="C2621" s="15" t="s">
        <v>3</v>
      </c>
      <c r="D2621" s="31" t="s">
        <v>1708</v>
      </c>
      <c r="E2621" s="31"/>
      <c r="F2621" s="73" t="s">
        <v>4</v>
      </c>
      <c r="G2621" s="32">
        <v>42628</v>
      </c>
      <c r="H2621" s="29">
        <v>14850</v>
      </c>
      <c r="I2621" s="17">
        <v>0</v>
      </c>
      <c r="J2621" s="17">
        <v>0</v>
      </c>
      <c r="K2621" s="17">
        <f t="shared" si="453"/>
        <v>14850</v>
      </c>
      <c r="L2621" s="23">
        <f t="shared" si="459"/>
        <v>742.5</v>
      </c>
      <c r="M2621" s="33">
        <v>10</v>
      </c>
      <c r="N2621" s="18">
        <f t="shared" si="454"/>
        <v>4.5479452054794525</v>
      </c>
      <c r="O2621" s="23">
        <v>6416.0136986301377</v>
      </c>
      <c r="P2621" s="18">
        <f t="shared" si="455"/>
        <v>5.0493150684931507</v>
      </c>
      <c r="Q2621" s="18">
        <f t="shared" si="458"/>
        <v>707.30753424657485</v>
      </c>
      <c r="R2621" s="18">
        <f t="shared" si="452"/>
        <v>7123.3212328767122</v>
      </c>
      <c r="S2621" s="18">
        <f t="shared" si="457"/>
        <v>7726.6787671232878</v>
      </c>
    </row>
    <row r="2622" spans="1:19" ht="18.75" customHeight="1" x14ac:dyDescent="0.25">
      <c r="A2622" s="14">
        <f t="shared" si="456"/>
        <v>2616</v>
      </c>
      <c r="B2622" s="14" t="s">
        <v>2207</v>
      </c>
      <c r="C2622" s="15" t="s">
        <v>3</v>
      </c>
      <c r="D2622" s="31" t="s">
        <v>1708</v>
      </c>
      <c r="E2622" s="31"/>
      <c r="F2622" s="73" t="s">
        <v>4</v>
      </c>
      <c r="G2622" s="32">
        <v>42658</v>
      </c>
      <c r="H2622" s="29">
        <v>1802.2</v>
      </c>
      <c r="I2622" s="17">
        <v>0</v>
      </c>
      <c r="J2622" s="17">
        <v>0</v>
      </c>
      <c r="K2622" s="17">
        <f t="shared" si="453"/>
        <v>1802.2</v>
      </c>
      <c r="L2622" s="23">
        <f t="shared" si="459"/>
        <v>90.110000000000014</v>
      </c>
      <c r="M2622" s="33">
        <v>10</v>
      </c>
      <c r="N2622" s="18">
        <f t="shared" si="454"/>
        <v>4.4657534246575343</v>
      </c>
      <c r="O2622" s="23">
        <v>764.57717808219184</v>
      </c>
      <c r="P2622" s="18">
        <f t="shared" si="455"/>
        <v>4.9671232876712326</v>
      </c>
      <c r="Q2622" s="18">
        <f t="shared" si="458"/>
        <v>85.839032876712267</v>
      </c>
      <c r="R2622" s="18">
        <f t="shared" si="452"/>
        <v>850.41621095890412</v>
      </c>
      <c r="S2622" s="18">
        <f t="shared" si="457"/>
        <v>951.78378904109593</v>
      </c>
    </row>
    <row r="2623" spans="1:19" ht="18.75" customHeight="1" x14ac:dyDescent="0.25">
      <c r="A2623" s="14">
        <f t="shared" si="456"/>
        <v>2617</v>
      </c>
      <c r="B2623" s="14" t="s">
        <v>2208</v>
      </c>
      <c r="C2623" s="15" t="s">
        <v>3</v>
      </c>
      <c r="D2623" s="31" t="s">
        <v>1708</v>
      </c>
      <c r="E2623" s="31"/>
      <c r="F2623" s="73" t="s">
        <v>4</v>
      </c>
      <c r="G2623" s="32">
        <v>42658</v>
      </c>
      <c r="H2623" s="29">
        <v>8100</v>
      </c>
      <c r="I2623" s="17">
        <v>0</v>
      </c>
      <c r="J2623" s="17">
        <v>0</v>
      </c>
      <c r="K2623" s="17">
        <f t="shared" si="453"/>
        <v>8100</v>
      </c>
      <c r="L2623" s="23">
        <f t="shared" si="459"/>
        <v>405</v>
      </c>
      <c r="M2623" s="33">
        <v>10</v>
      </c>
      <c r="N2623" s="18">
        <f t="shared" si="454"/>
        <v>4.4657534246575343</v>
      </c>
      <c r="O2623" s="23">
        <v>3436.3972602739727</v>
      </c>
      <c r="P2623" s="18">
        <f t="shared" si="455"/>
        <v>4.9671232876712326</v>
      </c>
      <c r="Q2623" s="18">
        <f t="shared" si="458"/>
        <v>385.80410958904082</v>
      </c>
      <c r="R2623" s="18">
        <f t="shared" si="452"/>
        <v>3822.2013698630135</v>
      </c>
      <c r="S2623" s="18">
        <f t="shared" si="457"/>
        <v>4277.7986301369865</v>
      </c>
    </row>
    <row r="2624" spans="1:19" ht="18.75" customHeight="1" x14ac:dyDescent="0.25">
      <c r="A2624" s="14">
        <f t="shared" si="456"/>
        <v>2618</v>
      </c>
      <c r="B2624" s="14" t="s">
        <v>2209</v>
      </c>
      <c r="C2624" s="15" t="s">
        <v>3</v>
      </c>
      <c r="D2624" s="31" t="s">
        <v>1708</v>
      </c>
      <c r="E2624" s="31"/>
      <c r="F2624" s="73" t="s">
        <v>4</v>
      </c>
      <c r="G2624" s="32">
        <v>42658</v>
      </c>
      <c r="H2624" s="29">
        <v>36456</v>
      </c>
      <c r="I2624" s="17">
        <v>0</v>
      </c>
      <c r="J2624" s="17">
        <v>0</v>
      </c>
      <c r="K2624" s="17">
        <f t="shared" si="453"/>
        <v>36456</v>
      </c>
      <c r="L2624" s="23">
        <f t="shared" si="459"/>
        <v>1822.8000000000002</v>
      </c>
      <c r="M2624" s="33">
        <v>10</v>
      </c>
      <c r="N2624" s="18">
        <f t="shared" si="454"/>
        <v>4.4657534246575343</v>
      </c>
      <c r="O2624" s="23">
        <v>15466.33315068493</v>
      </c>
      <c r="P2624" s="18">
        <f t="shared" si="455"/>
        <v>4.9671232876712326</v>
      </c>
      <c r="Q2624" s="18">
        <f t="shared" si="458"/>
        <v>1736.4042739726012</v>
      </c>
      <c r="R2624" s="18">
        <f t="shared" si="452"/>
        <v>17202.737424657531</v>
      </c>
      <c r="S2624" s="18">
        <f t="shared" si="457"/>
        <v>19253.262575342469</v>
      </c>
    </row>
    <row r="2625" spans="1:19" ht="18.75" customHeight="1" x14ac:dyDescent="0.25">
      <c r="A2625" s="14">
        <f t="shared" si="456"/>
        <v>2619</v>
      </c>
      <c r="B2625" s="14" t="s">
        <v>2210</v>
      </c>
      <c r="C2625" s="15" t="s">
        <v>3</v>
      </c>
      <c r="D2625" s="31" t="s">
        <v>1708</v>
      </c>
      <c r="E2625" s="31"/>
      <c r="F2625" s="73" t="s">
        <v>4</v>
      </c>
      <c r="G2625" s="32">
        <v>42689</v>
      </c>
      <c r="H2625" s="29">
        <v>14500</v>
      </c>
      <c r="I2625" s="17">
        <v>0</v>
      </c>
      <c r="J2625" s="17">
        <v>0</v>
      </c>
      <c r="K2625" s="17">
        <f t="shared" si="453"/>
        <v>14500</v>
      </c>
      <c r="L2625" s="23">
        <f t="shared" si="459"/>
        <v>725</v>
      </c>
      <c r="M2625" s="33">
        <v>10</v>
      </c>
      <c r="N2625" s="18">
        <f t="shared" si="454"/>
        <v>4.3808219178082188</v>
      </c>
      <c r="O2625" s="23">
        <v>6034.5821917808207</v>
      </c>
      <c r="P2625" s="18">
        <f t="shared" si="455"/>
        <v>4.882191780821918</v>
      </c>
      <c r="Q2625" s="18">
        <f t="shared" si="458"/>
        <v>690.63698630137048</v>
      </c>
      <c r="R2625" s="18">
        <f t="shared" si="452"/>
        <v>6725.2191780821913</v>
      </c>
      <c r="S2625" s="18">
        <f t="shared" si="457"/>
        <v>7774.7808219178087</v>
      </c>
    </row>
    <row r="2626" spans="1:19" ht="18.75" customHeight="1" x14ac:dyDescent="0.25">
      <c r="A2626" s="14">
        <f t="shared" si="456"/>
        <v>2620</v>
      </c>
      <c r="B2626" s="14" t="s">
        <v>2211</v>
      </c>
      <c r="C2626" s="15" t="s">
        <v>3</v>
      </c>
      <c r="D2626" s="31" t="s">
        <v>1708</v>
      </c>
      <c r="E2626" s="31"/>
      <c r="F2626" s="73" t="s">
        <v>4</v>
      </c>
      <c r="G2626" s="32">
        <v>42689</v>
      </c>
      <c r="H2626" s="29">
        <v>6600</v>
      </c>
      <c r="I2626" s="17">
        <v>0</v>
      </c>
      <c r="J2626" s="17">
        <v>0</v>
      </c>
      <c r="K2626" s="17">
        <f t="shared" si="453"/>
        <v>6600</v>
      </c>
      <c r="L2626" s="23">
        <f t="shared" si="459"/>
        <v>330</v>
      </c>
      <c r="M2626" s="33">
        <v>10</v>
      </c>
      <c r="N2626" s="18">
        <f t="shared" si="454"/>
        <v>4.3808219178082188</v>
      </c>
      <c r="O2626" s="23">
        <v>2746.7753424657531</v>
      </c>
      <c r="P2626" s="18">
        <f t="shared" si="455"/>
        <v>4.882191780821918</v>
      </c>
      <c r="Q2626" s="18">
        <f t="shared" si="458"/>
        <v>314.35890410958933</v>
      </c>
      <c r="R2626" s="18">
        <f t="shared" si="452"/>
        <v>3061.1342465753423</v>
      </c>
      <c r="S2626" s="18">
        <f t="shared" si="457"/>
        <v>3538.8657534246577</v>
      </c>
    </row>
    <row r="2627" spans="1:19" ht="18.75" customHeight="1" x14ac:dyDescent="0.25">
      <c r="A2627" s="14">
        <f t="shared" si="456"/>
        <v>2621</v>
      </c>
      <c r="B2627" s="14" t="s">
        <v>2212</v>
      </c>
      <c r="C2627" s="15" t="s">
        <v>3</v>
      </c>
      <c r="D2627" s="31" t="s">
        <v>1708</v>
      </c>
      <c r="E2627" s="31"/>
      <c r="F2627" s="73" t="s">
        <v>4</v>
      </c>
      <c r="G2627" s="32">
        <v>43235</v>
      </c>
      <c r="H2627" s="29">
        <v>8130</v>
      </c>
      <c r="I2627" s="17">
        <v>0</v>
      </c>
      <c r="J2627" s="17">
        <v>0</v>
      </c>
      <c r="K2627" s="17">
        <f t="shared" si="453"/>
        <v>8130</v>
      </c>
      <c r="L2627" s="23">
        <f t="shared" si="459"/>
        <v>406.5</v>
      </c>
      <c r="M2627" s="33">
        <v>10</v>
      </c>
      <c r="N2627" s="18">
        <f t="shared" si="454"/>
        <v>2.8849315068493149</v>
      </c>
      <c r="O2627" s="23">
        <v>2228.1768493150685</v>
      </c>
      <c r="P2627" s="18">
        <f t="shared" si="455"/>
        <v>3.3863013698630136</v>
      </c>
      <c r="Q2627" s="18">
        <f t="shared" si="458"/>
        <v>387.2330136986302</v>
      </c>
      <c r="R2627" s="18">
        <f t="shared" si="452"/>
        <v>2615.4098630136987</v>
      </c>
      <c r="S2627" s="18">
        <f t="shared" si="457"/>
        <v>5514.5901369863013</v>
      </c>
    </row>
    <row r="2628" spans="1:19" ht="18.75" customHeight="1" x14ac:dyDescent="0.25">
      <c r="A2628" s="14">
        <f t="shared" si="456"/>
        <v>2622</v>
      </c>
      <c r="B2628" s="14" t="s">
        <v>2213</v>
      </c>
      <c r="C2628" s="15" t="s">
        <v>3</v>
      </c>
      <c r="D2628" s="31" t="s">
        <v>1708</v>
      </c>
      <c r="E2628" s="31"/>
      <c r="F2628" s="73" t="s">
        <v>4</v>
      </c>
      <c r="G2628" s="32">
        <v>43235</v>
      </c>
      <c r="H2628" s="29">
        <v>12490</v>
      </c>
      <c r="I2628" s="17">
        <v>0</v>
      </c>
      <c r="J2628" s="17">
        <v>0</v>
      </c>
      <c r="K2628" s="17">
        <f t="shared" si="453"/>
        <v>12490</v>
      </c>
      <c r="L2628" s="23">
        <f t="shared" si="459"/>
        <v>624.5</v>
      </c>
      <c r="M2628" s="33">
        <v>10</v>
      </c>
      <c r="N2628" s="18">
        <f t="shared" si="454"/>
        <v>2.8849315068493149</v>
      </c>
      <c r="O2628" s="23">
        <v>3423.1154794520544</v>
      </c>
      <c r="P2628" s="18">
        <f t="shared" si="455"/>
        <v>3.3863013698630136</v>
      </c>
      <c r="Q2628" s="18">
        <f t="shared" si="458"/>
        <v>594.90041095890422</v>
      </c>
      <c r="R2628" s="18">
        <f t="shared" ref="R2628:R2691" si="460">Q2628+O2628</f>
        <v>4018.0158904109585</v>
      </c>
      <c r="S2628" s="18">
        <f t="shared" ref="S2628:S2691" si="461">K2628-R2628</f>
        <v>8471.9841095890406</v>
      </c>
    </row>
    <row r="2629" spans="1:19" ht="18.75" customHeight="1" x14ac:dyDescent="0.25">
      <c r="A2629" s="14">
        <f t="shared" si="456"/>
        <v>2623</v>
      </c>
      <c r="B2629" s="14" t="s">
        <v>2214</v>
      </c>
      <c r="C2629" s="15" t="s">
        <v>3</v>
      </c>
      <c r="D2629" s="31" t="s">
        <v>1708</v>
      </c>
      <c r="E2629" s="31"/>
      <c r="F2629" s="73" t="s">
        <v>4</v>
      </c>
      <c r="G2629" s="32">
        <v>43235</v>
      </c>
      <c r="H2629" s="29">
        <v>31940</v>
      </c>
      <c r="I2629" s="17">
        <v>0</v>
      </c>
      <c r="J2629" s="17">
        <v>0</v>
      </c>
      <c r="K2629" s="17">
        <f t="shared" ref="K2629:K2692" si="462">H2629+I2629-J2629</f>
        <v>31940</v>
      </c>
      <c r="L2629" s="23">
        <f t="shared" si="459"/>
        <v>1597</v>
      </c>
      <c r="M2629" s="33">
        <v>10</v>
      </c>
      <c r="N2629" s="18">
        <f t="shared" ref="N2629:N2692" si="463">IF(($N$2-G2629+1)/365&gt;0,($N$2-G2629+1)/365,0)</f>
        <v>2.8849315068493149</v>
      </c>
      <c r="O2629" s="23">
        <v>8753.7476712328753</v>
      </c>
      <c r="P2629" s="18">
        <f t="shared" ref="P2629:P2692" si="464">($P$2-G2629+1)/365</f>
        <v>3.3863013698630136</v>
      </c>
      <c r="Q2629" s="18">
        <f t="shared" si="458"/>
        <v>1521.306575342466</v>
      </c>
      <c r="R2629" s="18">
        <f t="shared" si="460"/>
        <v>10275.054246575341</v>
      </c>
      <c r="S2629" s="18">
        <f t="shared" si="461"/>
        <v>21664.945753424661</v>
      </c>
    </row>
    <row r="2630" spans="1:19" ht="18.75" customHeight="1" x14ac:dyDescent="0.25">
      <c r="A2630" s="14">
        <f t="shared" ref="A2630:A2693" si="465">+A2629+1</f>
        <v>2624</v>
      </c>
      <c r="B2630" s="14" t="s">
        <v>2215</v>
      </c>
      <c r="C2630" s="15" t="s">
        <v>3</v>
      </c>
      <c r="D2630" s="31" t="s">
        <v>1708</v>
      </c>
      <c r="E2630" s="31"/>
      <c r="F2630" s="73" t="s">
        <v>4</v>
      </c>
      <c r="G2630" s="32">
        <v>43235</v>
      </c>
      <c r="H2630" s="29">
        <v>55500</v>
      </c>
      <c r="I2630" s="17">
        <v>0</v>
      </c>
      <c r="J2630" s="17">
        <v>0</v>
      </c>
      <c r="K2630" s="17">
        <f t="shared" si="462"/>
        <v>55500</v>
      </c>
      <c r="L2630" s="23">
        <f t="shared" si="459"/>
        <v>2775</v>
      </c>
      <c r="M2630" s="33">
        <v>10</v>
      </c>
      <c r="N2630" s="18">
        <f t="shared" si="463"/>
        <v>2.8849315068493149</v>
      </c>
      <c r="O2630" s="23">
        <v>15210.801369863013</v>
      </c>
      <c r="P2630" s="18">
        <f t="shared" si="464"/>
        <v>3.3863013698630136</v>
      </c>
      <c r="Q2630" s="18">
        <f t="shared" si="458"/>
        <v>2643.4726027397264</v>
      </c>
      <c r="R2630" s="18">
        <f t="shared" si="460"/>
        <v>17854.273972602739</v>
      </c>
      <c r="S2630" s="18">
        <f t="shared" si="461"/>
        <v>37645.726027397264</v>
      </c>
    </row>
    <row r="2631" spans="1:19" ht="18.75" customHeight="1" x14ac:dyDescent="0.25">
      <c r="A2631" s="14">
        <f t="shared" si="465"/>
        <v>2625</v>
      </c>
      <c r="B2631" s="14" t="s">
        <v>2216</v>
      </c>
      <c r="C2631" s="15" t="s">
        <v>3</v>
      </c>
      <c r="D2631" s="31" t="s">
        <v>1708</v>
      </c>
      <c r="E2631" s="31"/>
      <c r="F2631" s="73" t="s">
        <v>4</v>
      </c>
      <c r="G2631" s="32">
        <v>43266</v>
      </c>
      <c r="H2631" s="29">
        <v>6357.08</v>
      </c>
      <c r="I2631" s="17">
        <v>0</v>
      </c>
      <c r="J2631" s="17">
        <v>0</v>
      </c>
      <c r="K2631" s="17">
        <f t="shared" si="462"/>
        <v>6357.08</v>
      </c>
      <c r="L2631" s="23">
        <f t="shared" si="459"/>
        <v>317.85400000000004</v>
      </c>
      <c r="M2631" s="33">
        <v>10</v>
      </c>
      <c r="N2631" s="18">
        <f t="shared" si="463"/>
        <v>2.8</v>
      </c>
      <c r="O2631" s="23">
        <v>1690.9832799999999</v>
      </c>
      <c r="P2631" s="18">
        <f t="shared" si="464"/>
        <v>3.3013698630136985</v>
      </c>
      <c r="Q2631" s="18">
        <f t="shared" si="458"/>
        <v>302.78859123287674</v>
      </c>
      <c r="R2631" s="18">
        <f t="shared" si="460"/>
        <v>1993.7718712328767</v>
      </c>
      <c r="S2631" s="18">
        <f t="shared" si="461"/>
        <v>4363.308128767123</v>
      </c>
    </row>
    <row r="2632" spans="1:19" ht="18.75" customHeight="1" x14ac:dyDescent="0.25">
      <c r="A2632" s="14">
        <f t="shared" si="465"/>
        <v>2626</v>
      </c>
      <c r="B2632" s="14" t="s">
        <v>2217</v>
      </c>
      <c r="C2632" s="15" t="s">
        <v>3</v>
      </c>
      <c r="D2632" s="31" t="s">
        <v>1708</v>
      </c>
      <c r="E2632" s="31"/>
      <c r="F2632" s="73" t="s">
        <v>4</v>
      </c>
      <c r="G2632" s="32">
        <v>43266</v>
      </c>
      <c r="H2632" s="29">
        <v>11271.2</v>
      </c>
      <c r="I2632" s="17">
        <v>0</v>
      </c>
      <c r="J2632" s="17">
        <v>0</v>
      </c>
      <c r="K2632" s="17">
        <f t="shared" si="462"/>
        <v>11271.2</v>
      </c>
      <c r="L2632" s="23">
        <f t="shared" si="459"/>
        <v>563.56000000000006</v>
      </c>
      <c r="M2632" s="33">
        <v>5</v>
      </c>
      <c r="N2632" s="18">
        <f t="shared" si="463"/>
        <v>2.8</v>
      </c>
      <c r="O2632" s="23">
        <v>5996.2784000000001</v>
      </c>
      <c r="P2632" s="18">
        <f t="shared" si="464"/>
        <v>3.3013698630136985</v>
      </c>
      <c r="Q2632" s="18">
        <f t="shared" si="458"/>
        <v>1073.6976000000002</v>
      </c>
      <c r="R2632" s="18">
        <f t="shared" si="460"/>
        <v>7069.9760000000006</v>
      </c>
      <c r="S2632" s="18">
        <f t="shared" si="461"/>
        <v>4201.2240000000002</v>
      </c>
    </row>
    <row r="2633" spans="1:19" ht="18.75" customHeight="1" x14ac:dyDescent="0.25">
      <c r="A2633" s="14">
        <f t="shared" si="465"/>
        <v>2627</v>
      </c>
      <c r="B2633" s="14" t="s">
        <v>2218</v>
      </c>
      <c r="C2633" s="15" t="s">
        <v>3</v>
      </c>
      <c r="D2633" s="31" t="s">
        <v>1708</v>
      </c>
      <c r="E2633" s="31"/>
      <c r="F2633" s="73" t="s">
        <v>4</v>
      </c>
      <c r="G2633" s="32">
        <v>43296</v>
      </c>
      <c r="H2633" s="29">
        <v>2800</v>
      </c>
      <c r="I2633" s="17">
        <v>0</v>
      </c>
      <c r="J2633" s="17">
        <v>0</v>
      </c>
      <c r="K2633" s="17">
        <f t="shared" si="462"/>
        <v>2800</v>
      </c>
      <c r="L2633" s="23">
        <f t="shared" si="459"/>
        <v>140</v>
      </c>
      <c r="M2633" s="33">
        <v>5</v>
      </c>
      <c r="N2633" s="18">
        <f t="shared" si="463"/>
        <v>2.7178082191780821</v>
      </c>
      <c r="O2633" s="23">
        <v>1445.8739726027397</v>
      </c>
      <c r="P2633" s="18">
        <f t="shared" si="464"/>
        <v>3.2191780821917808</v>
      </c>
      <c r="Q2633" s="18">
        <f t="shared" si="458"/>
        <v>266.7287671232877</v>
      </c>
      <c r="R2633" s="18">
        <f t="shared" si="460"/>
        <v>1712.6027397260275</v>
      </c>
      <c r="S2633" s="18">
        <f t="shared" si="461"/>
        <v>1087.3972602739725</v>
      </c>
    </row>
    <row r="2634" spans="1:19" ht="18.75" customHeight="1" x14ac:dyDescent="0.25">
      <c r="A2634" s="14">
        <f t="shared" si="465"/>
        <v>2628</v>
      </c>
      <c r="B2634" s="14" t="s">
        <v>2219</v>
      </c>
      <c r="C2634" s="15" t="s">
        <v>3</v>
      </c>
      <c r="D2634" s="31" t="s">
        <v>1708</v>
      </c>
      <c r="E2634" s="31"/>
      <c r="F2634" s="73" t="s">
        <v>4</v>
      </c>
      <c r="G2634" s="32">
        <v>43296</v>
      </c>
      <c r="H2634" s="29">
        <v>8344</v>
      </c>
      <c r="I2634" s="17">
        <v>0</v>
      </c>
      <c r="J2634" s="17">
        <v>0</v>
      </c>
      <c r="K2634" s="17">
        <f t="shared" si="462"/>
        <v>8344</v>
      </c>
      <c r="L2634" s="23">
        <f t="shared" si="459"/>
        <v>417.20000000000005</v>
      </c>
      <c r="M2634" s="33">
        <v>5</v>
      </c>
      <c r="N2634" s="18">
        <f t="shared" si="463"/>
        <v>2.7178082191780821</v>
      </c>
      <c r="O2634" s="23">
        <v>4308.7044383561642</v>
      </c>
      <c r="P2634" s="18">
        <f t="shared" si="464"/>
        <v>3.2191780821917808</v>
      </c>
      <c r="Q2634" s="18">
        <f t="shared" si="458"/>
        <v>794.85172602739738</v>
      </c>
      <c r="R2634" s="18">
        <f t="shared" si="460"/>
        <v>5103.5561643835617</v>
      </c>
      <c r="S2634" s="18">
        <f t="shared" si="461"/>
        <v>3240.4438356164383</v>
      </c>
    </row>
    <row r="2635" spans="1:19" ht="18.75" customHeight="1" x14ac:dyDescent="0.25">
      <c r="A2635" s="14">
        <f t="shared" si="465"/>
        <v>2629</v>
      </c>
      <c r="B2635" s="14" t="s">
        <v>2220</v>
      </c>
      <c r="C2635" s="15" t="s">
        <v>3</v>
      </c>
      <c r="D2635" s="31" t="s">
        <v>1708</v>
      </c>
      <c r="E2635" s="31"/>
      <c r="F2635" s="73" t="s">
        <v>4</v>
      </c>
      <c r="G2635" s="32">
        <v>43296</v>
      </c>
      <c r="H2635" s="29">
        <v>1589.25</v>
      </c>
      <c r="I2635" s="17">
        <v>0</v>
      </c>
      <c r="J2635" s="17">
        <v>0</v>
      </c>
      <c r="K2635" s="17">
        <f t="shared" si="462"/>
        <v>1589.25</v>
      </c>
      <c r="L2635" s="23">
        <f t="shared" si="459"/>
        <v>79.462500000000006</v>
      </c>
      <c r="M2635" s="33">
        <v>10</v>
      </c>
      <c r="N2635" s="18">
        <f t="shared" si="463"/>
        <v>2.7178082191780821</v>
      </c>
      <c r="O2635" s="23">
        <v>410.33128767123281</v>
      </c>
      <c r="P2635" s="18">
        <f t="shared" si="464"/>
        <v>3.2191780821917808</v>
      </c>
      <c r="Q2635" s="18">
        <f t="shared" si="458"/>
        <v>75.696195205479455</v>
      </c>
      <c r="R2635" s="18">
        <f t="shared" si="460"/>
        <v>486.02748287671227</v>
      </c>
      <c r="S2635" s="18">
        <f t="shared" si="461"/>
        <v>1103.2225171232876</v>
      </c>
    </row>
    <row r="2636" spans="1:19" ht="18.75" customHeight="1" x14ac:dyDescent="0.25">
      <c r="A2636" s="14">
        <f t="shared" si="465"/>
        <v>2630</v>
      </c>
      <c r="B2636" s="14" t="s">
        <v>2221</v>
      </c>
      <c r="C2636" s="15" t="s">
        <v>3</v>
      </c>
      <c r="D2636" s="31" t="s">
        <v>1708</v>
      </c>
      <c r="E2636" s="31"/>
      <c r="F2636" s="73" t="s">
        <v>4</v>
      </c>
      <c r="G2636" s="32">
        <v>43296</v>
      </c>
      <c r="H2636" s="29">
        <v>12577.4</v>
      </c>
      <c r="I2636" s="17">
        <v>0</v>
      </c>
      <c r="J2636" s="17">
        <v>0</v>
      </c>
      <c r="K2636" s="17">
        <f t="shared" si="462"/>
        <v>12577.4</v>
      </c>
      <c r="L2636" s="23">
        <f t="shared" si="459"/>
        <v>628.87</v>
      </c>
      <c r="M2636" s="33">
        <v>10</v>
      </c>
      <c r="N2636" s="18">
        <f t="shared" si="463"/>
        <v>2.7178082191780821</v>
      </c>
      <c r="O2636" s="23">
        <v>3247.3813041095882</v>
      </c>
      <c r="P2636" s="18">
        <f t="shared" si="464"/>
        <v>3.2191780821917808</v>
      </c>
      <c r="Q2636" s="18">
        <f t="shared" si="458"/>
        <v>599.06328493150681</v>
      </c>
      <c r="R2636" s="18">
        <f t="shared" si="460"/>
        <v>3846.4445890410952</v>
      </c>
      <c r="S2636" s="18">
        <f t="shared" si="461"/>
        <v>8730.9554109589044</v>
      </c>
    </row>
    <row r="2637" spans="1:19" ht="18.75" customHeight="1" x14ac:dyDescent="0.25">
      <c r="A2637" s="14">
        <f t="shared" si="465"/>
        <v>2631</v>
      </c>
      <c r="B2637" s="14" t="s">
        <v>2222</v>
      </c>
      <c r="C2637" s="15" t="s">
        <v>3</v>
      </c>
      <c r="D2637" s="31" t="s">
        <v>1708</v>
      </c>
      <c r="E2637" s="31"/>
      <c r="F2637" s="73" t="s">
        <v>4</v>
      </c>
      <c r="G2637" s="32">
        <v>43358</v>
      </c>
      <c r="H2637" s="29">
        <v>4100</v>
      </c>
      <c r="I2637" s="17">
        <v>0</v>
      </c>
      <c r="J2637" s="17">
        <v>0</v>
      </c>
      <c r="K2637" s="17">
        <f t="shared" si="462"/>
        <v>4100</v>
      </c>
      <c r="L2637" s="23">
        <f t="shared" si="459"/>
        <v>205</v>
      </c>
      <c r="M2637" s="33">
        <v>5</v>
      </c>
      <c r="N2637" s="18">
        <f t="shared" si="463"/>
        <v>2.547945205479452</v>
      </c>
      <c r="O2637" s="23">
        <v>1984.8493150684931</v>
      </c>
      <c r="P2637" s="18">
        <f t="shared" si="464"/>
        <v>3.0493150684931507</v>
      </c>
      <c r="Q2637" s="18">
        <f t="shared" si="458"/>
        <v>390.56712328767128</v>
      </c>
      <c r="R2637" s="18">
        <f t="shared" si="460"/>
        <v>2375.4164383561642</v>
      </c>
      <c r="S2637" s="18">
        <f t="shared" si="461"/>
        <v>1724.5835616438358</v>
      </c>
    </row>
    <row r="2638" spans="1:19" ht="18.75" customHeight="1" x14ac:dyDescent="0.25">
      <c r="A2638" s="14">
        <f t="shared" si="465"/>
        <v>2632</v>
      </c>
      <c r="B2638" s="14" t="s">
        <v>2223</v>
      </c>
      <c r="C2638" s="15" t="s">
        <v>3</v>
      </c>
      <c r="D2638" s="31" t="s">
        <v>1708</v>
      </c>
      <c r="E2638" s="31"/>
      <c r="F2638" s="73" t="s">
        <v>4</v>
      </c>
      <c r="G2638" s="32">
        <v>43358</v>
      </c>
      <c r="H2638" s="29">
        <v>901.1</v>
      </c>
      <c r="I2638" s="17">
        <v>0</v>
      </c>
      <c r="J2638" s="17">
        <v>0</v>
      </c>
      <c r="K2638" s="17">
        <f t="shared" si="462"/>
        <v>901.1</v>
      </c>
      <c r="L2638" s="23">
        <f t="shared" si="459"/>
        <v>45.055000000000007</v>
      </c>
      <c r="M2638" s="33">
        <v>5</v>
      </c>
      <c r="N2638" s="18">
        <f t="shared" si="463"/>
        <v>2.547945205479452</v>
      </c>
      <c r="O2638" s="23">
        <v>436.23115068493155</v>
      </c>
      <c r="P2638" s="18">
        <f t="shared" si="464"/>
        <v>3.0493150684931507</v>
      </c>
      <c r="Q2638" s="18">
        <f t="shared" si="458"/>
        <v>85.839032876712338</v>
      </c>
      <c r="R2638" s="18">
        <f t="shared" si="460"/>
        <v>522.07018356164394</v>
      </c>
      <c r="S2638" s="18">
        <f t="shared" si="461"/>
        <v>379.02981643835608</v>
      </c>
    </row>
    <row r="2639" spans="1:19" ht="18.75" customHeight="1" x14ac:dyDescent="0.25">
      <c r="A2639" s="14">
        <f t="shared" si="465"/>
        <v>2633</v>
      </c>
      <c r="B2639" s="14" t="s">
        <v>2224</v>
      </c>
      <c r="C2639" s="15" t="s">
        <v>3</v>
      </c>
      <c r="D2639" s="31" t="s">
        <v>1708</v>
      </c>
      <c r="E2639" s="31"/>
      <c r="F2639" s="73" t="s">
        <v>4</v>
      </c>
      <c r="G2639" s="32">
        <v>43388</v>
      </c>
      <c r="H2639" s="29">
        <v>19778.88</v>
      </c>
      <c r="I2639" s="17">
        <v>0</v>
      </c>
      <c r="J2639" s="17">
        <v>0</v>
      </c>
      <c r="K2639" s="17">
        <f t="shared" si="462"/>
        <v>19778.88</v>
      </c>
      <c r="L2639" s="23">
        <f t="shared" si="459"/>
        <v>988.94400000000007</v>
      </c>
      <c r="M2639" s="33">
        <v>10</v>
      </c>
      <c r="N2639" s="18">
        <f t="shared" si="463"/>
        <v>2.4657534246575343</v>
      </c>
      <c r="O2639" s="23">
        <v>4633.13490410959</v>
      </c>
      <c r="P2639" s="18">
        <f t="shared" si="464"/>
        <v>2.967123287671233</v>
      </c>
      <c r="Q2639" s="18">
        <f t="shared" si="458"/>
        <v>942.07076383561662</v>
      </c>
      <c r="R2639" s="18">
        <f t="shared" si="460"/>
        <v>5575.2056679452071</v>
      </c>
      <c r="S2639" s="18">
        <f t="shared" si="461"/>
        <v>14203.674332054794</v>
      </c>
    </row>
    <row r="2640" spans="1:19" ht="18.75" customHeight="1" x14ac:dyDescent="0.25">
      <c r="A2640" s="14">
        <f t="shared" si="465"/>
        <v>2634</v>
      </c>
      <c r="B2640" s="14" t="s">
        <v>2225</v>
      </c>
      <c r="C2640" s="15" t="s">
        <v>3</v>
      </c>
      <c r="D2640" s="31" t="s">
        <v>1708</v>
      </c>
      <c r="E2640" s="31"/>
      <c r="F2640" s="73" t="s">
        <v>4</v>
      </c>
      <c r="G2640" s="32">
        <v>43419</v>
      </c>
      <c r="H2640" s="29">
        <v>1350</v>
      </c>
      <c r="I2640" s="17">
        <v>0</v>
      </c>
      <c r="J2640" s="17">
        <v>0</v>
      </c>
      <c r="K2640" s="17">
        <f t="shared" si="462"/>
        <v>1350</v>
      </c>
      <c r="L2640" s="23">
        <f t="shared" si="459"/>
        <v>67.5</v>
      </c>
      <c r="M2640" s="33">
        <v>5</v>
      </c>
      <c r="N2640" s="18">
        <f t="shared" si="463"/>
        <v>2.3808219178082193</v>
      </c>
      <c r="O2640" s="23">
        <v>610.68082191780832</v>
      </c>
      <c r="P2640" s="18">
        <f t="shared" si="464"/>
        <v>2.882191780821918</v>
      </c>
      <c r="Q2640" s="18">
        <f t="shared" si="458"/>
        <v>128.6013698630137</v>
      </c>
      <c r="R2640" s="18">
        <f t="shared" si="460"/>
        <v>739.28219178082202</v>
      </c>
      <c r="S2640" s="18">
        <f t="shared" si="461"/>
        <v>610.71780821917798</v>
      </c>
    </row>
    <row r="2641" spans="1:19" ht="18.75" customHeight="1" x14ac:dyDescent="0.25">
      <c r="A2641" s="14">
        <f t="shared" si="465"/>
        <v>2635</v>
      </c>
      <c r="B2641" s="14" t="s">
        <v>2226</v>
      </c>
      <c r="C2641" s="15" t="s">
        <v>3</v>
      </c>
      <c r="D2641" s="31" t="s">
        <v>1708</v>
      </c>
      <c r="E2641" s="31"/>
      <c r="F2641" s="73" t="s">
        <v>4</v>
      </c>
      <c r="G2641" s="32">
        <v>43419</v>
      </c>
      <c r="H2641" s="29">
        <v>6949.14</v>
      </c>
      <c r="I2641" s="17">
        <v>0</v>
      </c>
      <c r="J2641" s="17">
        <v>0</v>
      </c>
      <c r="K2641" s="17">
        <f t="shared" si="462"/>
        <v>6949.14</v>
      </c>
      <c r="L2641" s="23">
        <f t="shared" si="459"/>
        <v>347.45700000000005</v>
      </c>
      <c r="M2641" s="33">
        <v>10</v>
      </c>
      <c r="N2641" s="18">
        <f t="shared" si="463"/>
        <v>2.3808219178082193</v>
      </c>
      <c r="O2641" s="23">
        <v>1571.7431580821919</v>
      </c>
      <c r="P2641" s="18">
        <f t="shared" si="464"/>
        <v>2.882191780821918</v>
      </c>
      <c r="Q2641" s="18">
        <f t="shared" si="458"/>
        <v>330.98849013698634</v>
      </c>
      <c r="R2641" s="18">
        <f t="shared" si="460"/>
        <v>1902.7316482191782</v>
      </c>
      <c r="S2641" s="18">
        <f t="shared" si="461"/>
        <v>5046.4083517808222</v>
      </c>
    </row>
    <row r="2642" spans="1:19" ht="18.75" customHeight="1" x14ac:dyDescent="0.25">
      <c r="A2642" s="14">
        <f t="shared" si="465"/>
        <v>2636</v>
      </c>
      <c r="B2642" s="14" t="s">
        <v>2227</v>
      </c>
      <c r="C2642" s="15" t="s">
        <v>3</v>
      </c>
      <c r="D2642" s="31" t="s">
        <v>1708</v>
      </c>
      <c r="E2642" s="31"/>
      <c r="F2642" s="73" t="s">
        <v>4</v>
      </c>
      <c r="G2642" s="32">
        <v>43419</v>
      </c>
      <c r="H2642" s="29">
        <v>8400</v>
      </c>
      <c r="I2642" s="17">
        <v>0</v>
      </c>
      <c r="J2642" s="17">
        <v>0</v>
      </c>
      <c r="K2642" s="17">
        <f t="shared" si="462"/>
        <v>8400</v>
      </c>
      <c r="L2642" s="23">
        <f t="shared" si="459"/>
        <v>420</v>
      </c>
      <c r="M2642" s="33">
        <v>10</v>
      </c>
      <c r="N2642" s="18">
        <f t="shared" si="463"/>
        <v>2.3808219178082193</v>
      </c>
      <c r="O2642" s="23">
        <v>1899.8958904109591</v>
      </c>
      <c r="P2642" s="18">
        <f t="shared" si="464"/>
        <v>2.882191780821918</v>
      </c>
      <c r="Q2642" s="18">
        <f t="shared" si="458"/>
        <v>400.09315068493157</v>
      </c>
      <c r="R2642" s="18">
        <f t="shared" si="460"/>
        <v>2299.9890410958906</v>
      </c>
      <c r="S2642" s="18">
        <f t="shared" si="461"/>
        <v>6100.0109589041094</v>
      </c>
    </row>
    <row r="2643" spans="1:19" ht="18.75" customHeight="1" x14ac:dyDescent="0.25">
      <c r="A2643" s="14">
        <f t="shared" si="465"/>
        <v>2637</v>
      </c>
      <c r="B2643" s="14" t="s">
        <v>2228</v>
      </c>
      <c r="C2643" s="15" t="s">
        <v>3</v>
      </c>
      <c r="D2643" s="31" t="s">
        <v>1708</v>
      </c>
      <c r="E2643" s="31"/>
      <c r="F2643" s="73" t="s">
        <v>4</v>
      </c>
      <c r="G2643" s="32">
        <v>43419</v>
      </c>
      <c r="H2643" s="29">
        <v>4944.72</v>
      </c>
      <c r="I2643" s="17">
        <v>0</v>
      </c>
      <c r="J2643" s="17">
        <v>0</v>
      </c>
      <c r="K2643" s="17">
        <f t="shared" si="462"/>
        <v>4944.72</v>
      </c>
      <c r="L2643" s="23">
        <f t="shared" si="459"/>
        <v>247.23600000000002</v>
      </c>
      <c r="M2643" s="33">
        <v>10</v>
      </c>
      <c r="N2643" s="18">
        <f t="shared" si="463"/>
        <v>2.3808219178082193</v>
      </c>
      <c r="O2643" s="23">
        <v>1118.3872865753426</v>
      </c>
      <c r="P2643" s="18">
        <f t="shared" si="464"/>
        <v>2.882191780821918</v>
      </c>
      <c r="Q2643" s="18">
        <f t="shared" si="458"/>
        <v>235.51769095890415</v>
      </c>
      <c r="R2643" s="18">
        <f t="shared" si="460"/>
        <v>1353.9049775342469</v>
      </c>
      <c r="S2643" s="18">
        <f t="shared" si="461"/>
        <v>3590.8150224657534</v>
      </c>
    </row>
    <row r="2644" spans="1:19" ht="18.75" customHeight="1" x14ac:dyDescent="0.25">
      <c r="A2644" s="14">
        <f t="shared" si="465"/>
        <v>2638</v>
      </c>
      <c r="B2644" s="14" t="s">
        <v>2229</v>
      </c>
      <c r="C2644" s="15" t="s">
        <v>3</v>
      </c>
      <c r="D2644" s="31" t="s">
        <v>1708</v>
      </c>
      <c r="E2644" s="31"/>
      <c r="F2644" s="73" t="s">
        <v>4</v>
      </c>
      <c r="G2644" s="32">
        <v>43449</v>
      </c>
      <c r="H2644" s="29">
        <v>20847.46</v>
      </c>
      <c r="I2644" s="17">
        <v>0</v>
      </c>
      <c r="J2644" s="17">
        <v>0</v>
      </c>
      <c r="K2644" s="17">
        <f t="shared" si="462"/>
        <v>20847.46</v>
      </c>
      <c r="L2644" s="23">
        <f t="shared" si="459"/>
        <v>1042.373</v>
      </c>
      <c r="M2644" s="33">
        <v>10</v>
      </c>
      <c r="N2644" s="18">
        <f t="shared" si="463"/>
        <v>2.2986301369863016</v>
      </c>
      <c r="O2644" s="23">
        <v>4552.4569843835616</v>
      </c>
      <c r="P2644" s="18">
        <f t="shared" si="464"/>
        <v>2.8</v>
      </c>
      <c r="Q2644" s="18">
        <f t="shared" si="458"/>
        <v>992.96737561643761</v>
      </c>
      <c r="R2644" s="18">
        <f t="shared" si="460"/>
        <v>5545.4243599999991</v>
      </c>
      <c r="S2644" s="18">
        <f t="shared" si="461"/>
        <v>15302.03564</v>
      </c>
    </row>
    <row r="2645" spans="1:19" ht="18.75" customHeight="1" x14ac:dyDescent="0.25">
      <c r="A2645" s="14">
        <f t="shared" si="465"/>
        <v>2639</v>
      </c>
      <c r="B2645" s="14" t="s">
        <v>2230</v>
      </c>
      <c r="C2645" s="15" t="s">
        <v>3</v>
      </c>
      <c r="D2645" s="31" t="s">
        <v>1708</v>
      </c>
      <c r="E2645" s="31"/>
      <c r="F2645" s="73" t="s">
        <v>4</v>
      </c>
      <c r="G2645" s="32">
        <v>43449</v>
      </c>
      <c r="H2645" s="29">
        <v>14023.62</v>
      </c>
      <c r="I2645" s="17">
        <v>0</v>
      </c>
      <c r="J2645" s="17">
        <v>0</v>
      </c>
      <c r="K2645" s="17">
        <f t="shared" si="462"/>
        <v>14023.62</v>
      </c>
      <c r="L2645" s="23">
        <f t="shared" si="459"/>
        <v>701.18100000000004</v>
      </c>
      <c r="M2645" s="33">
        <v>10</v>
      </c>
      <c r="N2645" s="18">
        <f t="shared" si="463"/>
        <v>2.2986301369863016</v>
      </c>
      <c r="O2645" s="23">
        <v>3062.3359783561646</v>
      </c>
      <c r="P2645" s="18">
        <f t="shared" si="464"/>
        <v>2.8</v>
      </c>
      <c r="Q2645" s="18">
        <f t="shared" si="458"/>
        <v>667.94694164383509</v>
      </c>
      <c r="R2645" s="18">
        <f t="shared" si="460"/>
        <v>3730.2829199999996</v>
      </c>
      <c r="S2645" s="18">
        <f t="shared" si="461"/>
        <v>10293.337080000001</v>
      </c>
    </row>
    <row r="2646" spans="1:19" ht="18.75" customHeight="1" x14ac:dyDescent="0.25">
      <c r="A2646" s="14">
        <f t="shared" si="465"/>
        <v>2640</v>
      </c>
      <c r="B2646" s="14" t="s">
        <v>2231</v>
      </c>
      <c r="C2646" s="15" t="s">
        <v>3</v>
      </c>
      <c r="D2646" s="31" t="s">
        <v>1708</v>
      </c>
      <c r="E2646" s="31"/>
      <c r="F2646" s="73" t="s">
        <v>4</v>
      </c>
      <c r="G2646" s="32">
        <v>43449</v>
      </c>
      <c r="H2646" s="29">
        <v>7800</v>
      </c>
      <c r="I2646" s="17">
        <v>0</v>
      </c>
      <c r="J2646" s="17">
        <v>0</v>
      </c>
      <c r="K2646" s="17">
        <f t="shared" si="462"/>
        <v>7800</v>
      </c>
      <c r="L2646" s="23">
        <f t="shared" si="459"/>
        <v>390</v>
      </c>
      <c r="M2646" s="33">
        <v>10</v>
      </c>
      <c r="N2646" s="18">
        <f t="shared" si="463"/>
        <v>2.2986301369863016</v>
      </c>
      <c r="O2646" s="23">
        <v>1703.2849315068493</v>
      </c>
      <c r="P2646" s="18">
        <f t="shared" si="464"/>
        <v>2.8</v>
      </c>
      <c r="Q2646" s="18">
        <f t="shared" ref="Q2646:Q2709" si="466">(P2646-N2646)/M2646*(K2646-L2646)</f>
        <v>371.51506849315041</v>
      </c>
      <c r="R2646" s="18">
        <f t="shared" si="460"/>
        <v>2074.7999999999997</v>
      </c>
      <c r="S2646" s="18">
        <f t="shared" si="461"/>
        <v>5725.2000000000007</v>
      </c>
    </row>
    <row r="2647" spans="1:19" ht="18.75" customHeight="1" x14ac:dyDescent="0.25">
      <c r="A2647" s="14">
        <f t="shared" si="465"/>
        <v>2641</v>
      </c>
      <c r="B2647" s="14" t="s">
        <v>2232</v>
      </c>
      <c r="C2647" s="15" t="s">
        <v>3</v>
      </c>
      <c r="D2647" s="31" t="s">
        <v>1708</v>
      </c>
      <c r="E2647" s="31"/>
      <c r="F2647" s="73" t="s">
        <v>4</v>
      </c>
      <c r="G2647" s="32">
        <v>43449</v>
      </c>
      <c r="H2647" s="29">
        <v>30525</v>
      </c>
      <c r="I2647" s="17">
        <v>0</v>
      </c>
      <c r="J2647" s="17">
        <v>0</v>
      </c>
      <c r="K2647" s="17">
        <f t="shared" si="462"/>
        <v>30525</v>
      </c>
      <c r="L2647" s="23">
        <f t="shared" ref="L2647:L2710" si="467">H2647*0.05</f>
        <v>1526.25</v>
      </c>
      <c r="M2647" s="33">
        <v>10</v>
      </c>
      <c r="N2647" s="18">
        <f t="shared" si="463"/>
        <v>2.2986301369863016</v>
      </c>
      <c r="O2647" s="23">
        <v>6665.7400684931508</v>
      </c>
      <c r="P2647" s="18">
        <f t="shared" si="464"/>
        <v>2.8</v>
      </c>
      <c r="Q2647" s="18">
        <f t="shared" si="466"/>
        <v>1453.9099315068484</v>
      </c>
      <c r="R2647" s="18">
        <f t="shared" si="460"/>
        <v>8119.65</v>
      </c>
      <c r="S2647" s="18">
        <f t="shared" si="461"/>
        <v>22405.35</v>
      </c>
    </row>
    <row r="2648" spans="1:19" ht="18.75" customHeight="1" x14ac:dyDescent="0.25">
      <c r="A2648" s="14">
        <f t="shared" si="465"/>
        <v>2642</v>
      </c>
      <c r="B2648" s="14" t="s">
        <v>2233</v>
      </c>
      <c r="C2648" s="15" t="s">
        <v>3</v>
      </c>
      <c r="D2648" s="31" t="s">
        <v>1708</v>
      </c>
      <c r="E2648" s="31"/>
      <c r="F2648" s="73" t="s">
        <v>4</v>
      </c>
      <c r="G2648" s="32">
        <v>43449</v>
      </c>
      <c r="H2648" s="29">
        <v>21097.5</v>
      </c>
      <c r="I2648" s="17">
        <v>0</v>
      </c>
      <c r="J2648" s="17">
        <v>0</v>
      </c>
      <c r="K2648" s="17">
        <f t="shared" si="462"/>
        <v>21097.5</v>
      </c>
      <c r="L2648" s="23">
        <f t="shared" si="467"/>
        <v>1054.875</v>
      </c>
      <c r="M2648" s="33">
        <v>10</v>
      </c>
      <c r="N2648" s="18">
        <f t="shared" si="463"/>
        <v>2.2986301369863016</v>
      </c>
      <c r="O2648" s="23">
        <v>4607.0581849315076</v>
      </c>
      <c r="P2648" s="18">
        <f t="shared" si="464"/>
        <v>2.8</v>
      </c>
      <c r="Q2648" s="18">
        <f t="shared" si="466"/>
        <v>1004.8768150684924</v>
      </c>
      <c r="R2648" s="18">
        <f t="shared" si="460"/>
        <v>5611.9350000000004</v>
      </c>
      <c r="S2648" s="18">
        <f t="shared" si="461"/>
        <v>15485.564999999999</v>
      </c>
    </row>
    <row r="2649" spans="1:19" ht="18.75" customHeight="1" x14ac:dyDescent="0.25">
      <c r="A2649" s="14">
        <f t="shared" si="465"/>
        <v>2643</v>
      </c>
      <c r="B2649" s="14" t="s">
        <v>2234</v>
      </c>
      <c r="C2649" s="15" t="s">
        <v>3</v>
      </c>
      <c r="D2649" s="31" t="s">
        <v>1708</v>
      </c>
      <c r="E2649" s="31"/>
      <c r="F2649" s="73" t="s">
        <v>4</v>
      </c>
      <c r="G2649" s="32">
        <v>43449</v>
      </c>
      <c r="H2649" s="29">
        <v>50454.69</v>
      </c>
      <c r="I2649" s="17">
        <v>0</v>
      </c>
      <c r="J2649" s="17">
        <v>0</v>
      </c>
      <c r="K2649" s="17">
        <f t="shared" si="462"/>
        <v>50454.69</v>
      </c>
      <c r="L2649" s="23">
        <f t="shared" si="467"/>
        <v>2522.7345000000005</v>
      </c>
      <c r="M2649" s="33">
        <v>10</v>
      </c>
      <c r="N2649" s="18">
        <f t="shared" si="463"/>
        <v>2.2986301369863016</v>
      </c>
      <c r="O2649" s="23">
        <v>11017.783743698632</v>
      </c>
      <c r="P2649" s="18">
        <f t="shared" si="464"/>
        <v>2.8</v>
      </c>
      <c r="Q2649" s="18">
        <f t="shared" si="466"/>
        <v>2403.1637963013682</v>
      </c>
      <c r="R2649" s="18">
        <f t="shared" si="460"/>
        <v>13420.947540000001</v>
      </c>
      <c r="S2649" s="18">
        <f t="shared" si="461"/>
        <v>37033.742460000001</v>
      </c>
    </row>
    <row r="2650" spans="1:19" ht="18.75" customHeight="1" x14ac:dyDescent="0.25">
      <c r="A2650" s="14">
        <f t="shared" si="465"/>
        <v>2644</v>
      </c>
      <c r="B2650" s="14" t="s">
        <v>2235</v>
      </c>
      <c r="C2650" s="15" t="s">
        <v>3</v>
      </c>
      <c r="D2650" s="31" t="s">
        <v>1708</v>
      </c>
      <c r="E2650" s="31"/>
      <c r="F2650" s="73" t="s">
        <v>4</v>
      </c>
      <c r="G2650" s="32">
        <v>43449</v>
      </c>
      <c r="H2650" s="29">
        <v>13471.86</v>
      </c>
      <c r="I2650" s="17">
        <v>0</v>
      </c>
      <c r="J2650" s="17">
        <v>0</v>
      </c>
      <c r="K2650" s="17">
        <f t="shared" si="462"/>
        <v>13471.86</v>
      </c>
      <c r="L2650" s="23">
        <f t="shared" si="467"/>
        <v>673.59300000000007</v>
      </c>
      <c r="M2650" s="33">
        <v>10</v>
      </c>
      <c r="N2650" s="18">
        <f t="shared" si="463"/>
        <v>2.2986301369863016</v>
      </c>
      <c r="O2650" s="23">
        <v>2941.8482227397262</v>
      </c>
      <c r="P2650" s="18">
        <f t="shared" si="464"/>
        <v>2.8</v>
      </c>
      <c r="Q2650" s="18">
        <f t="shared" si="466"/>
        <v>641.66653726027346</v>
      </c>
      <c r="R2650" s="18">
        <f t="shared" si="460"/>
        <v>3583.5147599999996</v>
      </c>
      <c r="S2650" s="18">
        <f t="shared" si="461"/>
        <v>9888.3452400000006</v>
      </c>
    </row>
    <row r="2651" spans="1:19" ht="18.75" customHeight="1" x14ac:dyDescent="0.25">
      <c r="A2651" s="14">
        <f t="shared" si="465"/>
        <v>2645</v>
      </c>
      <c r="B2651" s="14" t="s">
        <v>2236</v>
      </c>
      <c r="C2651" s="15" t="s">
        <v>3</v>
      </c>
      <c r="D2651" s="31" t="s">
        <v>1708</v>
      </c>
      <c r="E2651" s="31"/>
      <c r="F2651" s="73" t="s">
        <v>4</v>
      </c>
      <c r="G2651" s="32">
        <v>43480</v>
      </c>
      <c r="H2651" s="29">
        <v>9250</v>
      </c>
      <c r="I2651" s="17">
        <v>0</v>
      </c>
      <c r="J2651" s="17">
        <v>0</v>
      </c>
      <c r="K2651" s="17">
        <f t="shared" si="462"/>
        <v>9250</v>
      </c>
      <c r="L2651" s="23">
        <f t="shared" si="467"/>
        <v>462.5</v>
      </c>
      <c r="M2651" s="33">
        <v>10</v>
      </c>
      <c r="N2651" s="18">
        <f t="shared" si="463"/>
        <v>2.2136986301369861</v>
      </c>
      <c r="O2651" s="23">
        <v>1945.2876712328764</v>
      </c>
      <c r="P2651" s="18">
        <f t="shared" si="464"/>
        <v>2.7150684931506848</v>
      </c>
      <c r="Q2651" s="18">
        <f t="shared" si="466"/>
        <v>440.57876712328772</v>
      </c>
      <c r="R2651" s="18">
        <f t="shared" si="460"/>
        <v>2385.8664383561641</v>
      </c>
      <c r="S2651" s="18">
        <f t="shared" si="461"/>
        <v>6864.1335616438355</v>
      </c>
    </row>
    <row r="2652" spans="1:19" ht="18.75" customHeight="1" x14ac:dyDescent="0.25">
      <c r="A2652" s="14">
        <f t="shared" si="465"/>
        <v>2646</v>
      </c>
      <c r="B2652" s="14" t="s">
        <v>2237</v>
      </c>
      <c r="C2652" s="15" t="s">
        <v>3</v>
      </c>
      <c r="D2652" s="31" t="s">
        <v>1708</v>
      </c>
      <c r="E2652" s="31"/>
      <c r="F2652" s="73" t="s">
        <v>4</v>
      </c>
      <c r="G2652" s="32">
        <v>43480</v>
      </c>
      <c r="H2652" s="29">
        <v>3113.36</v>
      </c>
      <c r="I2652" s="17">
        <v>0</v>
      </c>
      <c r="J2652" s="17">
        <v>0</v>
      </c>
      <c r="K2652" s="17">
        <f t="shared" si="462"/>
        <v>3113.36</v>
      </c>
      <c r="L2652" s="23">
        <f t="shared" si="467"/>
        <v>155.66800000000001</v>
      </c>
      <c r="M2652" s="33">
        <v>10</v>
      </c>
      <c r="N2652" s="18">
        <f t="shared" si="463"/>
        <v>2.2136986301369861</v>
      </c>
      <c r="O2652" s="23">
        <v>654.74387287671232</v>
      </c>
      <c r="P2652" s="18">
        <f t="shared" si="464"/>
        <v>2.7150684931506848</v>
      </c>
      <c r="Q2652" s="18">
        <f t="shared" si="466"/>
        <v>148.28976328767124</v>
      </c>
      <c r="R2652" s="18">
        <f t="shared" si="460"/>
        <v>803.03363616438355</v>
      </c>
      <c r="S2652" s="18">
        <f t="shared" si="461"/>
        <v>2310.3263638356166</v>
      </c>
    </row>
    <row r="2653" spans="1:19" ht="18.75" customHeight="1" x14ac:dyDescent="0.25">
      <c r="A2653" s="14">
        <f t="shared" si="465"/>
        <v>2647</v>
      </c>
      <c r="B2653" s="14" t="s">
        <v>2238</v>
      </c>
      <c r="C2653" s="15" t="s">
        <v>3</v>
      </c>
      <c r="D2653" s="31" t="s">
        <v>1708</v>
      </c>
      <c r="E2653" s="31"/>
      <c r="F2653" s="73" t="s">
        <v>4</v>
      </c>
      <c r="G2653" s="32">
        <v>43480</v>
      </c>
      <c r="H2653" s="29">
        <v>6473.95</v>
      </c>
      <c r="I2653" s="17">
        <v>0</v>
      </c>
      <c r="J2653" s="17">
        <v>0</v>
      </c>
      <c r="K2653" s="17">
        <f t="shared" si="462"/>
        <v>6473.95</v>
      </c>
      <c r="L2653" s="23">
        <f t="shared" si="467"/>
        <v>323.69749999999999</v>
      </c>
      <c r="M2653" s="33">
        <v>10</v>
      </c>
      <c r="N2653" s="18">
        <f t="shared" si="463"/>
        <v>2.2136986301369861</v>
      </c>
      <c r="O2653" s="23">
        <v>1361.4805534246573</v>
      </c>
      <c r="P2653" s="18">
        <f t="shared" si="464"/>
        <v>2.7150684931506848</v>
      </c>
      <c r="Q2653" s="18">
        <f t="shared" si="466"/>
        <v>308.35512534246578</v>
      </c>
      <c r="R2653" s="18">
        <f t="shared" si="460"/>
        <v>1669.835678767123</v>
      </c>
      <c r="S2653" s="18">
        <f t="shared" si="461"/>
        <v>4804.114321232877</v>
      </c>
    </row>
    <row r="2654" spans="1:19" ht="18.75" customHeight="1" x14ac:dyDescent="0.25">
      <c r="A2654" s="14">
        <f t="shared" si="465"/>
        <v>2648</v>
      </c>
      <c r="B2654" s="14" t="s">
        <v>2239</v>
      </c>
      <c r="C2654" s="15" t="s">
        <v>3</v>
      </c>
      <c r="D2654" s="31" t="s">
        <v>1708</v>
      </c>
      <c r="E2654" s="31"/>
      <c r="F2654" s="73" t="s">
        <v>4</v>
      </c>
      <c r="G2654" s="32">
        <v>43480</v>
      </c>
      <c r="H2654" s="29">
        <v>1275</v>
      </c>
      <c r="I2654" s="17">
        <v>0</v>
      </c>
      <c r="J2654" s="17">
        <v>0</v>
      </c>
      <c r="K2654" s="17">
        <f t="shared" si="462"/>
        <v>1275</v>
      </c>
      <c r="L2654" s="23">
        <f t="shared" si="467"/>
        <v>63.75</v>
      </c>
      <c r="M2654" s="33">
        <v>10</v>
      </c>
      <c r="N2654" s="18">
        <f t="shared" si="463"/>
        <v>2.2136986301369861</v>
      </c>
      <c r="O2654" s="23">
        <v>268.13424657534244</v>
      </c>
      <c r="P2654" s="18">
        <f t="shared" si="464"/>
        <v>2.7150684931506848</v>
      </c>
      <c r="Q2654" s="18">
        <f t="shared" si="466"/>
        <v>60.728424657534255</v>
      </c>
      <c r="R2654" s="18">
        <f t="shared" si="460"/>
        <v>328.86267123287672</v>
      </c>
      <c r="S2654" s="18">
        <f t="shared" si="461"/>
        <v>946.13732876712334</v>
      </c>
    </row>
    <row r="2655" spans="1:19" ht="18.75" customHeight="1" x14ac:dyDescent="0.25">
      <c r="A2655" s="14">
        <f t="shared" si="465"/>
        <v>2649</v>
      </c>
      <c r="B2655" s="14" t="s">
        <v>2240</v>
      </c>
      <c r="C2655" s="15" t="s">
        <v>3</v>
      </c>
      <c r="D2655" s="31" t="s">
        <v>1708</v>
      </c>
      <c r="E2655" s="31"/>
      <c r="F2655" s="73" t="s">
        <v>4</v>
      </c>
      <c r="G2655" s="32">
        <v>43480</v>
      </c>
      <c r="H2655" s="29">
        <v>4000</v>
      </c>
      <c r="I2655" s="17">
        <v>0</v>
      </c>
      <c r="J2655" s="17">
        <v>0</v>
      </c>
      <c r="K2655" s="17">
        <f t="shared" si="462"/>
        <v>4000</v>
      </c>
      <c r="L2655" s="23">
        <f t="shared" si="467"/>
        <v>200</v>
      </c>
      <c r="M2655" s="33">
        <v>10</v>
      </c>
      <c r="N2655" s="18">
        <f t="shared" si="463"/>
        <v>2.2136986301369861</v>
      </c>
      <c r="O2655" s="23">
        <v>841.20547945205476</v>
      </c>
      <c r="P2655" s="18">
        <f t="shared" si="464"/>
        <v>2.7150684931506848</v>
      </c>
      <c r="Q2655" s="18">
        <f t="shared" si="466"/>
        <v>190.52054794520549</v>
      </c>
      <c r="R2655" s="18">
        <f t="shared" si="460"/>
        <v>1031.7260273972602</v>
      </c>
      <c r="S2655" s="18">
        <f t="shared" si="461"/>
        <v>2968.2739726027398</v>
      </c>
    </row>
    <row r="2656" spans="1:19" ht="18.75" customHeight="1" x14ac:dyDescent="0.25">
      <c r="A2656" s="14">
        <f t="shared" si="465"/>
        <v>2650</v>
      </c>
      <c r="B2656" s="14" t="s">
        <v>2241</v>
      </c>
      <c r="C2656" s="15" t="s">
        <v>3</v>
      </c>
      <c r="D2656" s="31" t="s">
        <v>1708</v>
      </c>
      <c r="E2656" s="31"/>
      <c r="F2656" s="73" t="s">
        <v>4</v>
      </c>
      <c r="G2656" s="32">
        <v>43480</v>
      </c>
      <c r="H2656" s="29">
        <v>14581</v>
      </c>
      <c r="I2656" s="17">
        <v>0</v>
      </c>
      <c r="J2656" s="17">
        <v>0</v>
      </c>
      <c r="K2656" s="17">
        <f t="shared" si="462"/>
        <v>14581</v>
      </c>
      <c r="L2656" s="23">
        <f t="shared" si="467"/>
        <v>729.05000000000007</v>
      </c>
      <c r="M2656" s="33">
        <v>10</v>
      </c>
      <c r="N2656" s="18">
        <f t="shared" si="463"/>
        <v>2.2136986301369861</v>
      </c>
      <c r="O2656" s="23">
        <v>3066.4042739726028</v>
      </c>
      <c r="P2656" s="18">
        <f t="shared" si="464"/>
        <v>2.7150684931506848</v>
      </c>
      <c r="Q2656" s="18">
        <f t="shared" si="466"/>
        <v>694.4950273972604</v>
      </c>
      <c r="R2656" s="18">
        <f t="shared" si="460"/>
        <v>3760.8993013698632</v>
      </c>
      <c r="S2656" s="18">
        <f t="shared" si="461"/>
        <v>10820.100698630136</v>
      </c>
    </row>
    <row r="2657" spans="1:19" ht="18.75" customHeight="1" x14ac:dyDescent="0.25">
      <c r="A2657" s="14">
        <f t="shared" si="465"/>
        <v>2651</v>
      </c>
      <c r="B2657" s="14" t="s">
        <v>2242</v>
      </c>
      <c r="C2657" s="15" t="s">
        <v>3</v>
      </c>
      <c r="D2657" s="31" t="s">
        <v>1708</v>
      </c>
      <c r="E2657" s="31"/>
      <c r="F2657" s="73" t="s">
        <v>4</v>
      </c>
      <c r="G2657" s="32">
        <v>43480</v>
      </c>
      <c r="H2657" s="29">
        <v>2587.42</v>
      </c>
      <c r="I2657" s="17">
        <v>0</v>
      </c>
      <c r="J2657" s="17">
        <v>0</v>
      </c>
      <c r="K2657" s="17">
        <f t="shared" si="462"/>
        <v>2587.42</v>
      </c>
      <c r="L2657" s="23">
        <f t="shared" si="467"/>
        <v>129.37100000000001</v>
      </c>
      <c r="M2657" s="33">
        <v>10</v>
      </c>
      <c r="N2657" s="18">
        <f t="shared" si="463"/>
        <v>2.2136986301369861</v>
      </c>
      <c r="O2657" s="23">
        <v>544.13797041095881</v>
      </c>
      <c r="P2657" s="18">
        <f t="shared" si="464"/>
        <v>2.7150684931506848</v>
      </c>
      <c r="Q2657" s="18">
        <f t="shared" si="466"/>
        <v>123.23916904109591</v>
      </c>
      <c r="R2657" s="18">
        <f t="shared" si="460"/>
        <v>667.37713945205473</v>
      </c>
      <c r="S2657" s="18">
        <f t="shared" si="461"/>
        <v>1920.0428605479453</v>
      </c>
    </row>
    <row r="2658" spans="1:19" ht="18.75" customHeight="1" x14ac:dyDescent="0.25">
      <c r="A2658" s="14">
        <f t="shared" si="465"/>
        <v>2652</v>
      </c>
      <c r="B2658" s="14" t="s">
        <v>2243</v>
      </c>
      <c r="C2658" s="15" t="s">
        <v>3</v>
      </c>
      <c r="D2658" s="31" t="s">
        <v>1708</v>
      </c>
      <c r="E2658" s="31"/>
      <c r="F2658" s="73" t="s">
        <v>4</v>
      </c>
      <c r="G2658" s="32">
        <v>43480</v>
      </c>
      <c r="H2658" s="29">
        <v>14000</v>
      </c>
      <c r="I2658" s="17">
        <v>0</v>
      </c>
      <c r="J2658" s="17">
        <v>0</v>
      </c>
      <c r="K2658" s="17">
        <f t="shared" si="462"/>
        <v>14000</v>
      </c>
      <c r="L2658" s="23">
        <f t="shared" si="467"/>
        <v>700</v>
      </c>
      <c r="M2658" s="33">
        <v>10</v>
      </c>
      <c r="N2658" s="18">
        <f t="shared" si="463"/>
        <v>2.2136986301369861</v>
      </c>
      <c r="O2658" s="23">
        <v>2944.2191780821913</v>
      </c>
      <c r="P2658" s="18">
        <f t="shared" si="464"/>
        <v>2.7150684931506848</v>
      </c>
      <c r="Q2658" s="18">
        <f t="shared" si="466"/>
        <v>666.82191780821927</v>
      </c>
      <c r="R2658" s="18">
        <f t="shared" si="460"/>
        <v>3611.0410958904104</v>
      </c>
      <c r="S2658" s="18">
        <f t="shared" si="461"/>
        <v>10388.95890410959</v>
      </c>
    </row>
    <row r="2659" spans="1:19" ht="18.75" customHeight="1" x14ac:dyDescent="0.25">
      <c r="A2659" s="14">
        <f t="shared" si="465"/>
        <v>2653</v>
      </c>
      <c r="B2659" s="14" t="s">
        <v>2244</v>
      </c>
      <c r="C2659" s="15" t="s">
        <v>3</v>
      </c>
      <c r="D2659" s="31" t="s">
        <v>1708</v>
      </c>
      <c r="E2659" s="31"/>
      <c r="F2659" s="73" t="s">
        <v>4</v>
      </c>
      <c r="G2659" s="32">
        <v>43480</v>
      </c>
      <c r="H2659" s="29">
        <v>16260</v>
      </c>
      <c r="I2659" s="17">
        <v>0</v>
      </c>
      <c r="J2659" s="17">
        <v>0</v>
      </c>
      <c r="K2659" s="17">
        <f t="shared" si="462"/>
        <v>16260</v>
      </c>
      <c r="L2659" s="23">
        <f t="shared" si="467"/>
        <v>813</v>
      </c>
      <c r="M2659" s="33">
        <v>10</v>
      </c>
      <c r="N2659" s="18">
        <f t="shared" si="463"/>
        <v>2.2136986301369861</v>
      </c>
      <c r="O2659" s="23">
        <v>3419.5002739726024</v>
      </c>
      <c r="P2659" s="18">
        <f t="shared" si="464"/>
        <v>2.7150684931506848</v>
      </c>
      <c r="Q2659" s="18">
        <f t="shared" si="466"/>
        <v>774.4660273972604</v>
      </c>
      <c r="R2659" s="18">
        <f t="shared" si="460"/>
        <v>4193.9663013698628</v>
      </c>
      <c r="S2659" s="18">
        <f t="shared" si="461"/>
        <v>12066.033698630137</v>
      </c>
    </row>
    <row r="2660" spans="1:19" ht="18.75" customHeight="1" x14ac:dyDescent="0.25">
      <c r="A2660" s="14">
        <f t="shared" si="465"/>
        <v>2654</v>
      </c>
      <c r="B2660" s="14" t="s">
        <v>2245</v>
      </c>
      <c r="C2660" s="15" t="s">
        <v>3</v>
      </c>
      <c r="D2660" s="31" t="s">
        <v>1708</v>
      </c>
      <c r="E2660" s="31"/>
      <c r="F2660" s="73" t="s">
        <v>4</v>
      </c>
      <c r="G2660" s="32">
        <v>43480</v>
      </c>
      <c r="H2660" s="29">
        <v>18735</v>
      </c>
      <c r="I2660" s="17">
        <v>0</v>
      </c>
      <c r="J2660" s="17">
        <v>0</v>
      </c>
      <c r="K2660" s="17">
        <f t="shared" si="462"/>
        <v>18735</v>
      </c>
      <c r="L2660" s="23">
        <f t="shared" si="467"/>
        <v>936.75</v>
      </c>
      <c r="M2660" s="33">
        <v>10</v>
      </c>
      <c r="N2660" s="18">
        <f t="shared" si="463"/>
        <v>2.2136986301369861</v>
      </c>
      <c r="O2660" s="23">
        <v>3939.9961643835613</v>
      </c>
      <c r="P2660" s="18">
        <f t="shared" si="464"/>
        <v>2.7150684931506848</v>
      </c>
      <c r="Q2660" s="18">
        <f t="shared" si="466"/>
        <v>892.35061643835627</v>
      </c>
      <c r="R2660" s="18">
        <f t="shared" si="460"/>
        <v>4832.3467808219175</v>
      </c>
      <c r="S2660" s="18">
        <f t="shared" si="461"/>
        <v>13902.653219178083</v>
      </c>
    </row>
    <row r="2661" spans="1:19" ht="18.75" customHeight="1" x14ac:dyDescent="0.25">
      <c r="A2661" s="14">
        <f t="shared" si="465"/>
        <v>2655</v>
      </c>
      <c r="B2661" s="14" t="s">
        <v>2246</v>
      </c>
      <c r="C2661" s="15" t="s">
        <v>3</v>
      </c>
      <c r="D2661" s="31" t="s">
        <v>1708</v>
      </c>
      <c r="E2661" s="31"/>
      <c r="F2661" s="73" t="s">
        <v>4</v>
      </c>
      <c r="G2661" s="32">
        <v>43480</v>
      </c>
      <c r="H2661" s="29">
        <v>9250</v>
      </c>
      <c r="I2661" s="17">
        <v>0</v>
      </c>
      <c r="J2661" s="17">
        <v>0</v>
      </c>
      <c r="K2661" s="17">
        <f t="shared" si="462"/>
        <v>9250</v>
      </c>
      <c r="L2661" s="23">
        <f t="shared" si="467"/>
        <v>462.5</v>
      </c>
      <c r="M2661" s="33">
        <v>10</v>
      </c>
      <c r="N2661" s="18">
        <f t="shared" si="463"/>
        <v>2.2136986301369861</v>
      </c>
      <c r="O2661" s="23">
        <v>1945.2876712328764</v>
      </c>
      <c r="P2661" s="18">
        <f t="shared" si="464"/>
        <v>2.7150684931506848</v>
      </c>
      <c r="Q2661" s="18">
        <f t="shared" si="466"/>
        <v>440.57876712328772</v>
      </c>
      <c r="R2661" s="18">
        <f t="shared" si="460"/>
        <v>2385.8664383561641</v>
      </c>
      <c r="S2661" s="18">
        <f t="shared" si="461"/>
        <v>6864.1335616438355</v>
      </c>
    </row>
    <row r="2662" spans="1:19" ht="18.75" customHeight="1" x14ac:dyDescent="0.25">
      <c r="A2662" s="14">
        <f t="shared" si="465"/>
        <v>2656</v>
      </c>
      <c r="B2662" s="14" t="s">
        <v>2247</v>
      </c>
      <c r="C2662" s="15" t="s">
        <v>3</v>
      </c>
      <c r="D2662" s="31" t="s">
        <v>1708</v>
      </c>
      <c r="E2662" s="31"/>
      <c r="F2662" s="73" t="s">
        <v>4</v>
      </c>
      <c r="G2662" s="32">
        <v>43511</v>
      </c>
      <c r="H2662" s="29">
        <v>7005.02</v>
      </c>
      <c r="I2662" s="17">
        <v>0</v>
      </c>
      <c r="J2662" s="17">
        <v>0</v>
      </c>
      <c r="K2662" s="17">
        <f t="shared" si="462"/>
        <v>7005.02</v>
      </c>
      <c r="L2662" s="23">
        <f t="shared" si="467"/>
        <v>350.25100000000003</v>
      </c>
      <c r="M2662" s="33">
        <v>10</v>
      </c>
      <c r="N2662" s="18">
        <f t="shared" si="463"/>
        <v>2.128767123287671</v>
      </c>
      <c r="O2662" s="23">
        <v>1416.6453460273972</v>
      </c>
      <c r="P2662" s="18">
        <f t="shared" si="464"/>
        <v>2.6301369863013697</v>
      </c>
      <c r="Q2662" s="18">
        <f t="shared" si="466"/>
        <v>333.65006219178088</v>
      </c>
      <c r="R2662" s="18">
        <f t="shared" si="460"/>
        <v>1750.2954082191782</v>
      </c>
      <c r="S2662" s="18">
        <f t="shared" si="461"/>
        <v>5254.7245917808223</v>
      </c>
    </row>
    <row r="2663" spans="1:19" ht="18.75" customHeight="1" x14ac:dyDescent="0.25">
      <c r="A2663" s="14">
        <f t="shared" si="465"/>
        <v>2657</v>
      </c>
      <c r="B2663" s="14" t="s">
        <v>2232</v>
      </c>
      <c r="C2663" s="15" t="s">
        <v>3</v>
      </c>
      <c r="D2663" s="31" t="s">
        <v>1708</v>
      </c>
      <c r="E2663" s="31"/>
      <c r="F2663" s="73" t="s">
        <v>4</v>
      </c>
      <c r="G2663" s="32">
        <v>43511</v>
      </c>
      <c r="H2663" s="29">
        <v>30520.05</v>
      </c>
      <c r="I2663" s="17">
        <v>0</v>
      </c>
      <c r="J2663" s="17">
        <v>0</v>
      </c>
      <c r="K2663" s="17">
        <f t="shared" si="462"/>
        <v>30520.05</v>
      </c>
      <c r="L2663" s="23">
        <f t="shared" si="467"/>
        <v>1526.0025000000001</v>
      </c>
      <c r="M2663" s="33">
        <v>10</v>
      </c>
      <c r="N2663" s="18">
        <f t="shared" si="463"/>
        <v>2.128767123287671</v>
      </c>
      <c r="O2663" s="23">
        <v>6172.1575089041089</v>
      </c>
      <c r="P2663" s="18">
        <f t="shared" si="464"/>
        <v>2.6301369863013697</v>
      </c>
      <c r="Q2663" s="18">
        <f t="shared" si="466"/>
        <v>1453.6741623287674</v>
      </c>
      <c r="R2663" s="18">
        <f t="shared" si="460"/>
        <v>7625.831671232876</v>
      </c>
      <c r="S2663" s="18">
        <f t="shared" si="461"/>
        <v>22894.218328767121</v>
      </c>
    </row>
    <row r="2664" spans="1:19" ht="18.75" customHeight="1" x14ac:dyDescent="0.25">
      <c r="A2664" s="14">
        <f t="shared" si="465"/>
        <v>2658</v>
      </c>
      <c r="B2664" s="14" t="s">
        <v>2248</v>
      </c>
      <c r="C2664" s="15" t="s">
        <v>3</v>
      </c>
      <c r="D2664" s="31" t="s">
        <v>1708</v>
      </c>
      <c r="E2664" s="31"/>
      <c r="F2664" s="73" t="s">
        <v>4</v>
      </c>
      <c r="G2664" s="32">
        <v>43511</v>
      </c>
      <c r="H2664" s="29">
        <v>15000</v>
      </c>
      <c r="I2664" s="17">
        <v>0</v>
      </c>
      <c r="J2664" s="17">
        <v>0</v>
      </c>
      <c r="K2664" s="17">
        <f t="shared" si="462"/>
        <v>15000</v>
      </c>
      <c r="L2664" s="23">
        <f t="shared" si="467"/>
        <v>750</v>
      </c>
      <c r="M2664" s="33">
        <v>10</v>
      </c>
      <c r="N2664" s="18">
        <f t="shared" si="463"/>
        <v>2.128767123287671</v>
      </c>
      <c r="O2664" s="23">
        <v>3033.4931506849316</v>
      </c>
      <c r="P2664" s="18">
        <f t="shared" si="464"/>
        <v>2.6301369863013697</v>
      </c>
      <c r="Q2664" s="18">
        <f t="shared" si="466"/>
        <v>714.45205479452056</v>
      </c>
      <c r="R2664" s="18">
        <f t="shared" si="460"/>
        <v>3747.9452054794519</v>
      </c>
      <c r="S2664" s="18">
        <f t="shared" si="461"/>
        <v>11252.054794520547</v>
      </c>
    </row>
    <row r="2665" spans="1:19" ht="18.75" customHeight="1" x14ac:dyDescent="0.25">
      <c r="A2665" s="14">
        <f t="shared" si="465"/>
        <v>2659</v>
      </c>
      <c r="B2665" s="14" t="s">
        <v>2249</v>
      </c>
      <c r="C2665" s="15" t="s">
        <v>3</v>
      </c>
      <c r="D2665" s="31" t="s">
        <v>1708</v>
      </c>
      <c r="E2665" s="31"/>
      <c r="F2665" s="73" t="s">
        <v>4</v>
      </c>
      <c r="G2665" s="32">
        <v>43511</v>
      </c>
      <c r="H2665" s="29">
        <v>41973</v>
      </c>
      <c r="I2665" s="17">
        <v>0</v>
      </c>
      <c r="J2665" s="17">
        <v>0</v>
      </c>
      <c r="K2665" s="17">
        <f t="shared" si="462"/>
        <v>41973</v>
      </c>
      <c r="L2665" s="23">
        <f t="shared" si="467"/>
        <v>2098.65</v>
      </c>
      <c r="M2665" s="33">
        <v>10</v>
      </c>
      <c r="N2665" s="18">
        <f t="shared" si="463"/>
        <v>2.128767123287671</v>
      </c>
      <c r="O2665" s="23">
        <v>8488.3205342465735</v>
      </c>
      <c r="P2665" s="18">
        <f t="shared" si="464"/>
        <v>2.6301369863013697</v>
      </c>
      <c r="Q2665" s="18">
        <f t="shared" si="466"/>
        <v>1999.1797397260275</v>
      </c>
      <c r="R2665" s="18">
        <f t="shared" si="460"/>
        <v>10487.500273972601</v>
      </c>
      <c r="S2665" s="18">
        <f t="shared" si="461"/>
        <v>31485.499726027399</v>
      </c>
    </row>
    <row r="2666" spans="1:19" ht="18.75" customHeight="1" x14ac:dyDescent="0.25">
      <c r="A2666" s="14">
        <f t="shared" si="465"/>
        <v>2660</v>
      </c>
      <c r="B2666" s="14" t="s">
        <v>2250</v>
      </c>
      <c r="C2666" s="15" t="s">
        <v>3</v>
      </c>
      <c r="D2666" s="31" t="s">
        <v>1708</v>
      </c>
      <c r="E2666" s="31"/>
      <c r="F2666" s="73" t="s">
        <v>4</v>
      </c>
      <c r="G2666" s="32">
        <v>43511</v>
      </c>
      <c r="H2666" s="29">
        <v>2587.42</v>
      </c>
      <c r="I2666" s="17">
        <v>0</v>
      </c>
      <c r="J2666" s="17">
        <v>0</v>
      </c>
      <c r="K2666" s="17">
        <f t="shared" si="462"/>
        <v>2587.42</v>
      </c>
      <c r="L2666" s="23">
        <f t="shared" si="467"/>
        <v>129.37100000000001</v>
      </c>
      <c r="M2666" s="33">
        <v>10</v>
      </c>
      <c r="N2666" s="18">
        <f t="shared" si="463"/>
        <v>2.128767123287671</v>
      </c>
      <c r="O2666" s="23">
        <v>523.26138986301362</v>
      </c>
      <c r="P2666" s="18">
        <f t="shared" si="464"/>
        <v>2.6301369863013697</v>
      </c>
      <c r="Q2666" s="18">
        <f t="shared" si="466"/>
        <v>123.23916904109591</v>
      </c>
      <c r="R2666" s="18">
        <f t="shared" si="460"/>
        <v>646.50055890410954</v>
      </c>
      <c r="S2666" s="18">
        <f t="shared" si="461"/>
        <v>1940.9194410958905</v>
      </c>
    </row>
    <row r="2667" spans="1:19" ht="18.75" customHeight="1" x14ac:dyDescent="0.25">
      <c r="A2667" s="14">
        <f t="shared" si="465"/>
        <v>2661</v>
      </c>
      <c r="B2667" s="39" t="s">
        <v>2235</v>
      </c>
      <c r="C2667" s="15" t="s">
        <v>3</v>
      </c>
      <c r="D2667" s="31" t="s">
        <v>1708</v>
      </c>
      <c r="E2667" s="31"/>
      <c r="F2667" s="73" t="s">
        <v>4</v>
      </c>
      <c r="G2667" s="40">
        <v>43511</v>
      </c>
      <c r="H2667" s="16">
        <v>13331.88</v>
      </c>
      <c r="I2667" s="17">
        <v>0</v>
      </c>
      <c r="J2667" s="17">
        <v>0</v>
      </c>
      <c r="K2667" s="17">
        <f t="shared" si="462"/>
        <v>13331.88</v>
      </c>
      <c r="L2667" s="23">
        <f t="shared" si="467"/>
        <v>666.59400000000005</v>
      </c>
      <c r="M2667" s="41">
        <v>10</v>
      </c>
      <c r="N2667" s="18">
        <f t="shared" si="463"/>
        <v>2.128767123287671</v>
      </c>
      <c r="O2667" s="23">
        <v>2696.1444443835617</v>
      </c>
      <c r="P2667" s="18">
        <f t="shared" si="464"/>
        <v>2.6301369863013697</v>
      </c>
      <c r="Q2667" s="18">
        <f t="shared" si="466"/>
        <v>634.99927068493162</v>
      </c>
      <c r="R2667" s="18">
        <f t="shared" si="460"/>
        <v>3331.1437150684933</v>
      </c>
      <c r="S2667" s="18">
        <f t="shared" si="461"/>
        <v>10000.736284931507</v>
      </c>
    </row>
    <row r="2668" spans="1:19" ht="18.75" customHeight="1" x14ac:dyDescent="0.25">
      <c r="A2668" s="14">
        <f t="shared" si="465"/>
        <v>2662</v>
      </c>
      <c r="B2668" s="39" t="s">
        <v>2251</v>
      </c>
      <c r="C2668" s="15" t="s">
        <v>3</v>
      </c>
      <c r="D2668" s="31" t="s">
        <v>1708</v>
      </c>
      <c r="E2668" s="31"/>
      <c r="F2668" s="73" t="s">
        <v>4</v>
      </c>
      <c r="G2668" s="40">
        <v>43539</v>
      </c>
      <c r="H2668" s="16">
        <v>20400</v>
      </c>
      <c r="I2668" s="17">
        <v>0</v>
      </c>
      <c r="J2668" s="17">
        <v>0</v>
      </c>
      <c r="K2668" s="17">
        <f t="shared" si="462"/>
        <v>20400</v>
      </c>
      <c r="L2668" s="23">
        <f t="shared" si="467"/>
        <v>1020</v>
      </c>
      <c r="M2668" s="41">
        <v>10</v>
      </c>
      <c r="N2668" s="18">
        <f t="shared" si="463"/>
        <v>2.0520547945205481</v>
      </c>
      <c r="O2668" s="23">
        <v>3976.8821917808223</v>
      </c>
      <c r="P2668" s="18">
        <f t="shared" si="464"/>
        <v>2.5534246575342467</v>
      </c>
      <c r="Q2668" s="18">
        <f t="shared" si="466"/>
        <v>971.65479452054808</v>
      </c>
      <c r="R2668" s="18">
        <f t="shared" si="460"/>
        <v>4948.5369863013702</v>
      </c>
      <c r="S2668" s="18">
        <f t="shared" si="461"/>
        <v>15451.463013698631</v>
      </c>
    </row>
    <row r="2669" spans="1:19" ht="18.75" customHeight="1" x14ac:dyDescent="0.25">
      <c r="A2669" s="14">
        <f t="shared" si="465"/>
        <v>2663</v>
      </c>
      <c r="B2669" s="28" t="s">
        <v>2252</v>
      </c>
      <c r="C2669" s="15" t="s">
        <v>3</v>
      </c>
      <c r="D2669" s="31" t="s">
        <v>1708</v>
      </c>
      <c r="E2669" s="31"/>
      <c r="F2669" s="73" t="s">
        <v>4</v>
      </c>
      <c r="G2669" s="25">
        <v>43692</v>
      </c>
      <c r="H2669" s="26">
        <v>259400</v>
      </c>
      <c r="I2669" s="17">
        <v>0</v>
      </c>
      <c r="J2669" s="17">
        <v>0</v>
      </c>
      <c r="K2669" s="17">
        <f t="shared" si="462"/>
        <v>259400</v>
      </c>
      <c r="L2669" s="23">
        <f t="shared" si="467"/>
        <v>12970</v>
      </c>
      <c r="M2669" s="41">
        <v>10</v>
      </c>
      <c r="N2669" s="18">
        <f t="shared" si="463"/>
        <v>1.6328767123287671</v>
      </c>
      <c r="O2669" s="23">
        <v>176626.5808219178</v>
      </c>
      <c r="P2669" s="18">
        <f t="shared" si="464"/>
        <v>2.1342465753424658</v>
      </c>
      <c r="Q2669" s="18">
        <f t="shared" si="466"/>
        <v>12355.257534246577</v>
      </c>
      <c r="R2669" s="18">
        <f t="shared" si="460"/>
        <v>188981.83835616437</v>
      </c>
      <c r="S2669" s="18">
        <f t="shared" si="461"/>
        <v>70418.161643835629</v>
      </c>
    </row>
    <row r="2670" spans="1:19" ht="18.75" customHeight="1" x14ac:dyDescent="0.25">
      <c r="A2670" s="14">
        <f t="shared" si="465"/>
        <v>2664</v>
      </c>
      <c r="B2670" s="28" t="s">
        <v>2253</v>
      </c>
      <c r="C2670" s="15" t="s">
        <v>3</v>
      </c>
      <c r="D2670" s="31" t="s">
        <v>1708</v>
      </c>
      <c r="E2670" s="31"/>
      <c r="F2670" s="73" t="s">
        <v>4</v>
      </c>
      <c r="G2670" s="25">
        <v>43570</v>
      </c>
      <c r="H2670" s="26">
        <v>2416.44</v>
      </c>
      <c r="I2670" s="17">
        <v>0</v>
      </c>
      <c r="J2670" s="17">
        <v>0</v>
      </c>
      <c r="K2670" s="17">
        <f t="shared" si="462"/>
        <v>2416.44</v>
      </c>
      <c r="L2670" s="23">
        <f t="shared" si="467"/>
        <v>120.822</v>
      </c>
      <c r="M2670" s="41">
        <v>10</v>
      </c>
      <c r="N2670" s="18">
        <f t="shared" si="463"/>
        <v>1.9671232876712328</v>
      </c>
      <c r="O2670" s="23">
        <v>451.57636273972605</v>
      </c>
      <c r="P2670" s="18">
        <f t="shared" si="464"/>
        <v>2.4684931506849317</v>
      </c>
      <c r="Q2670" s="18">
        <f t="shared" si="466"/>
        <v>115.09536821917814</v>
      </c>
      <c r="R2670" s="18">
        <f t="shared" si="460"/>
        <v>566.67173095890416</v>
      </c>
      <c r="S2670" s="18">
        <f t="shared" si="461"/>
        <v>1849.7682690410959</v>
      </c>
    </row>
    <row r="2671" spans="1:19" ht="18.75" customHeight="1" x14ac:dyDescent="0.25">
      <c r="A2671" s="14">
        <f t="shared" si="465"/>
        <v>2665</v>
      </c>
      <c r="B2671" s="28" t="s">
        <v>2254</v>
      </c>
      <c r="C2671" s="15" t="s">
        <v>3</v>
      </c>
      <c r="D2671" s="31" t="s">
        <v>1708</v>
      </c>
      <c r="E2671" s="31"/>
      <c r="F2671" s="73" t="s">
        <v>4</v>
      </c>
      <c r="G2671" s="25">
        <v>43570</v>
      </c>
      <c r="H2671" s="26">
        <v>1250</v>
      </c>
      <c r="I2671" s="17">
        <v>0</v>
      </c>
      <c r="J2671" s="17">
        <v>0</v>
      </c>
      <c r="K2671" s="17">
        <f t="shared" si="462"/>
        <v>1250</v>
      </c>
      <c r="L2671" s="23">
        <f t="shared" si="467"/>
        <v>62.5</v>
      </c>
      <c r="M2671" s="41">
        <v>10</v>
      </c>
      <c r="N2671" s="18">
        <f t="shared" si="463"/>
        <v>1.9671232876712328</v>
      </c>
      <c r="O2671" s="23">
        <v>233.59589041095887</v>
      </c>
      <c r="P2671" s="18">
        <f t="shared" si="464"/>
        <v>2.4684931506849317</v>
      </c>
      <c r="Q2671" s="18">
        <f t="shared" si="466"/>
        <v>59.53767123287674</v>
      </c>
      <c r="R2671" s="18">
        <f t="shared" si="460"/>
        <v>293.13356164383561</v>
      </c>
      <c r="S2671" s="18">
        <f t="shared" si="461"/>
        <v>956.86643835616439</v>
      </c>
    </row>
    <row r="2672" spans="1:19" ht="18.75" customHeight="1" x14ac:dyDescent="0.25">
      <c r="A2672" s="14">
        <f t="shared" si="465"/>
        <v>2666</v>
      </c>
      <c r="B2672" s="28" t="s">
        <v>1606</v>
      </c>
      <c r="C2672" s="15" t="s">
        <v>3</v>
      </c>
      <c r="D2672" s="31" t="s">
        <v>1708</v>
      </c>
      <c r="E2672" s="31"/>
      <c r="F2672" s="73" t="s">
        <v>4</v>
      </c>
      <c r="G2672" s="25">
        <v>43570</v>
      </c>
      <c r="H2672" s="26">
        <v>3550</v>
      </c>
      <c r="I2672" s="17">
        <v>0</v>
      </c>
      <c r="J2672" s="17">
        <v>0</v>
      </c>
      <c r="K2672" s="17">
        <f t="shared" si="462"/>
        <v>3550</v>
      </c>
      <c r="L2672" s="23">
        <f t="shared" si="467"/>
        <v>177.5</v>
      </c>
      <c r="M2672" s="41">
        <v>10</v>
      </c>
      <c r="N2672" s="18">
        <f t="shared" si="463"/>
        <v>1.9671232876712328</v>
      </c>
      <c r="O2672" s="23">
        <v>663.41232876712331</v>
      </c>
      <c r="P2672" s="18">
        <f t="shared" si="464"/>
        <v>2.4684931506849317</v>
      </c>
      <c r="Q2672" s="18">
        <f t="shared" si="466"/>
        <v>169.08698630136996</v>
      </c>
      <c r="R2672" s="18">
        <f t="shared" si="460"/>
        <v>832.49931506849327</v>
      </c>
      <c r="S2672" s="18">
        <f t="shared" si="461"/>
        <v>2717.5006849315068</v>
      </c>
    </row>
    <row r="2673" spans="1:19" ht="18.75" customHeight="1" x14ac:dyDescent="0.25">
      <c r="A2673" s="14">
        <f t="shared" si="465"/>
        <v>2667</v>
      </c>
      <c r="B2673" s="28" t="s">
        <v>2255</v>
      </c>
      <c r="C2673" s="15" t="s">
        <v>3</v>
      </c>
      <c r="D2673" s="31" t="s">
        <v>1708</v>
      </c>
      <c r="E2673" s="31"/>
      <c r="F2673" s="73" t="s">
        <v>4</v>
      </c>
      <c r="G2673" s="25">
        <v>43570</v>
      </c>
      <c r="H2673" s="26">
        <v>901.1</v>
      </c>
      <c r="I2673" s="17">
        <v>0</v>
      </c>
      <c r="J2673" s="17">
        <v>0</v>
      </c>
      <c r="K2673" s="17">
        <f t="shared" si="462"/>
        <v>901.1</v>
      </c>
      <c r="L2673" s="23">
        <f t="shared" si="467"/>
        <v>45.055000000000007</v>
      </c>
      <c r="M2673" s="41">
        <v>10</v>
      </c>
      <c r="N2673" s="18">
        <f t="shared" si="463"/>
        <v>1.9671232876712328</v>
      </c>
      <c r="O2673" s="23">
        <v>168.39460547945205</v>
      </c>
      <c r="P2673" s="18">
        <f t="shared" si="464"/>
        <v>2.4684931506849317</v>
      </c>
      <c r="Q2673" s="18">
        <f t="shared" si="466"/>
        <v>42.91951643835619</v>
      </c>
      <c r="R2673" s="18">
        <f t="shared" si="460"/>
        <v>211.31412191780825</v>
      </c>
      <c r="S2673" s="18">
        <f t="shared" si="461"/>
        <v>689.78587808219174</v>
      </c>
    </row>
    <row r="2674" spans="1:19" ht="18.75" customHeight="1" x14ac:dyDescent="0.25">
      <c r="A2674" s="14">
        <f t="shared" si="465"/>
        <v>2668</v>
      </c>
      <c r="B2674" s="28" t="s">
        <v>2256</v>
      </c>
      <c r="C2674" s="15" t="s">
        <v>3</v>
      </c>
      <c r="D2674" s="31" t="s">
        <v>1708</v>
      </c>
      <c r="E2674" s="31"/>
      <c r="F2674" s="73" t="s">
        <v>4</v>
      </c>
      <c r="G2674" s="25">
        <v>43570</v>
      </c>
      <c r="H2674" s="26">
        <v>44668.49</v>
      </c>
      <c r="I2674" s="17">
        <v>0</v>
      </c>
      <c r="J2674" s="17">
        <v>0</v>
      </c>
      <c r="K2674" s="17">
        <f t="shared" si="462"/>
        <v>44668.49</v>
      </c>
      <c r="L2674" s="23">
        <f t="shared" si="467"/>
        <v>2233.4245000000001</v>
      </c>
      <c r="M2674" s="41">
        <v>10</v>
      </c>
      <c r="N2674" s="18">
        <f t="shared" si="463"/>
        <v>1.9671232876712328</v>
      </c>
      <c r="O2674" s="23">
        <v>8347.5005558904104</v>
      </c>
      <c r="P2674" s="18">
        <f t="shared" si="464"/>
        <v>2.4684931506849317</v>
      </c>
      <c r="Q2674" s="18">
        <f t="shared" si="466"/>
        <v>2127.5662976712338</v>
      </c>
      <c r="R2674" s="18">
        <f t="shared" si="460"/>
        <v>10475.066853561644</v>
      </c>
      <c r="S2674" s="18">
        <f t="shared" si="461"/>
        <v>34193.423146438356</v>
      </c>
    </row>
    <row r="2675" spans="1:19" ht="18.75" customHeight="1" x14ac:dyDescent="0.25">
      <c r="A2675" s="14">
        <f t="shared" si="465"/>
        <v>2669</v>
      </c>
      <c r="B2675" s="28" t="s">
        <v>2253</v>
      </c>
      <c r="C2675" s="15" t="s">
        <v>3</v>
      </c>
      <c r="D2675" s="31" t="s">
        <v>1708</v>
      </c>
      <c r="E2675" s="31"/>
      <c r="F2675" s="73" t="s">
        <v>4</v>
      </c>
      <c r="G2675" s="25">
        <v>43600</v>
      </c>
      <c r="H2675" s="26">
        <v>7203</v>
      </c>
      <c r="I2675" s="17">
        <v>0</v>
      </c>
      <c r="J2675" s="17">
        <v>0</v>
      </c>
      <c r="K2675" s="17">
        <f t="shared" si="462"/>
        <v>7203</v>
      </c>
      <c r="L2675" s="23">
        <f t="shared" si="467"/>
        <v>360.15000000000003</v>
      </c>
      <c r="M2675" s="41">
        <v>10</v>
      </c>
      <c r="N2675" s="18">
        <f t="shared" si="463"/>
        <v>1.8849315068493151</v>
      </c>
      <c r="O2675" s="23">
        <v>1289.8303561643838</v>
      </c>
      <c r="P2675" s="18">
        <f t="shared" si="464"/>
        <v>2.3863013698630136</v>
      </c>
      <c r="Q2675" s="18">
        <f t="shared" si="466"/>
        <v>343.07987671232866</v>
      </c>
      <c r="R2675" s="18">
        <f t="shared" si="460"/>
        <v>1632.9102328767126</v>
      </c>
      <c r="S2675" s="18">
        <f t="shared" si="461"/>
        <v>5570.0897671232869</v>
      </c>
    </row>
    <row r="2676" spans="1:19" ht="18.75" customHeight="1" x14ac:dyDescent="0.25">
      <c r="A2676" s="14">
        <f t="shared" si="465"/>
        <v>2670</v>
      </c>
      <c r="B2676" s="28" t="s">
        <v>2257</v>
      </c>
      <c r="C2676" s="15" t="s">
        <v>3</v>
      </c>
      <c r="D2676" s="31" t="s">
        <v>1708</v>
      </c>
      <c r="E2676" s="31"/>
      <c r="F2676" s="73" t="s">
        <v>4</v>
      </c>
      <c r="G2676" s="25">
        <v>43631</v>
      </c>
      <c r="H2676" s="26">
        <v>37756</v>
      </c>
      <c r="I2676" s="17">
        <v>0</v>
      </c>
      <c r="J2676" s="17">
        <v>0</v>
      </c>
      <c r="K2676" s="17">
        <f t="shared" si="462"/>
        <v>37756</v>
      </c>
      <c r="L2676" s="23">
        <f t="shared" si="467"/>
        <v>1887.8000000000002</v>
      </c>
      <c r="M2676" s="41">
        <v>10</v>
      </c>
      <c r="N2676" s="18">
        <f t="shared" si="463"/>
        <v>1.8</v>
      </c>
      <c r="O2676" s="23">
        <v>6456.2759999999998</v>
      </c>
      <c r="P2676" s="18">
        <f t="shared" si="464"/>
        <v>2.3013698630136985</v>
      </c>
      <c r="Q2676" s="18">
        <f t="shared" si="466"/>
        <v>1798.3234520547937</v>
      </c>
      <c r="R2676" s="18">
        <f t="shared" si="460"/>
        <v>8254.5994520547938</v>
      </c>
      <c r="S2676" s="18">
        <f t="shared" si="461"/>
        <v>29501.400547945206</v>
      </c>
    </row>
    <row r="2677" spans="1:19" ht="18.75" customHeight="1" x14ac:dyDescent="0.25">
      <c r="A2677" s="14">
        <f t="shared" si="465"/>
        <v>2671</v>
      </c>
      <c r="B2677" s="28" t="s">
        <v>2258</v>
      </c>
      <c r="C2677" s="15" t="s">
        <v>3</v>
      </c>
      <c r="D2677" s="31" t="s">
        <v>1708</v>
      </c>
      <c r="E2677" s="31"/>
      <c r="F2677" s="73" t="s">
        <v>4</v>
      </c>
      <c r="G2677" s="25">
        <v>43661</v>
      </c>
      <c r="H2677" s="26">
        <v>1809.27</v>
      </c>
      <c r="I2677" s="17">
        <v>0</v>
      </c>
      <c r="J2677" s="17">
        <v>0</v>
      </c>
      <c r="K2677" s="17">
        <f t="shared" si="462"/>
        <v>1809.27</v>
      </c>
      <c r="L2677" s="23">
        <f t="shared" si="467"/>
        <v>90.46350000000001</v>
      </c>
      <c r="M2677" s="41">
        <v>10</v>
      </c>
      <c r="N2677" s="18">
        <f t="shared" si="463"/>
        <v>1.7178082191780821</v>
      </c>
      <c r="O2677" s="23">
        <v>295.25799328767118</v>
      </c>
      <c r="P2677" s="18">
        <f t="shared" si="464"/>
        <v>2.2191780821917808</v>
      </c>
      <c r="Q2677" s="18">
        <f t="shared" si="466"/>
        <v>86.175777945205482</v>
      </c>
      <c r="R2677" s="18">
        <f t="shared" si="460"/>
        <v>381.43377123287667</v>
      </c>
      <c r="S2677" s="18">
        <f t="shared" si="461"/>
        <v>1427.8362287671234</v>
      </c>
    </row>
    <row r="2678" spans="1:19" ht="18.75" customHeight="1" x14ac:dyDescent="0.25">
      <c r="A2678" s="14">
        <f t="shared" si="465"/>
        <v>2672</v>
      </c>
      <c r="B2678" s="14" t="s">
        <v>2259</v>
      </c>
      <c r="C2678" s="15" t="s">
        <v>3</v>
      </c>
      <c r="D2678" s="31" t="s">
        <v>1708</v>
      </c>
      <c r="E2678" s="31"/>
      <c r="F2678" s="73" t="s">
        <v>4</v>
      </c>
      <c r="G2678" s="25">
        <v>43661</v>
      </c>
      <c r="H2678" s="26">
        <v>22000</v>
      </c>
      <c r="I2678" s="17">
        <v>0</v>
      </c>
      <c r="J2678" s="17">
        <v>0</v>
      </c>
      <c r="K2678" s="17">
        <f t="shared" si="462"/>
        <v>22000</v>
      </c>
      <c r="L2678" s="23">
        <f t="shared" si="467"/>
        <v>1100</v>
      </c>
      <c r="M2678" s="41">
        <v>10</v>
      </c>
      <c r="N2678" s="18">
        <f t="shared" si="463"/>
        <v>1.7178082191780821</v>
      </c>
      <c r="O2678" s="23">
        <v>3590.2191780821918</v>
      </c>
      <c r="P2678" s="18">
        <f t="shared" si="464"/>
        <v>2.2191780821917808</v>
      </c>
      <c r="Q2678" s="18">
        <f t="shared" si="466"/>
        <v>1047.8630136986303</v>
      </c>
      <c r="R2678" s="18">
        <f t="shared" si="460"/>
        <v>4638.0821917808225</v>
      </c>
      <c r="S2678" s="18">
        <f t="shared" si="461"/>
        <v>17361.917808219179</v>
      </c>
    </row>
    <row r="2679" spans="1:19" ht="18.75" customHeight="1" x14ac:dyDescent="0.25">
      <c r="A2679" s="14">
        <f t="shared" si="465"/>
        <v>2673</v>
      </c>
      <c r="B2679" s="14" t="s">
        <v>2260</v>
      </c>
      <c r="C2679" s="15" t="s">
        <v>3</v>
      </c>
      <c r="D2679" s="31" t="s">
        <v>1708</v>
      </c>
      <c r="E2679" s="31"/>
      <c r="F2679" s="73" t="s">
        <v>4</v>
      </c>
      <c r="G2679" s="25">
        <v>43661</v>
      </c>
      <c r="H2679" s="26">
        <v>9055.9699999999993</v>
      </c>
      <c r="I2679" s="17">
        <v>0</v>
      </c>
      <c r="J2679" s="17">
        <v>0</v>
      </c>
      <c r="K2679" s="17">
        <f t="shared" si="462"/>
        <v>9055.9699999999993</v>
      </c>
      <c r="L2679" s="23">
        <f t="shared" si="467"/>
        <v>452.79849999999999</v>
      </c>
      <c r="M2679" s="41">
        <v>10</v>
      </c>
      <c r="N2679" s="18">
        <f t="shared" si="463"/>
        <v>1.7178082191780821</v>
      </c>
      <c r="O2679" s="23">
        <v>1477.8598713698627</v>
      </c>
      <c r="P2679" s="18">
        <f t="shared" si="464"/>
        <v>2.2191780821917808</v>
      </c>
      <c r="Q2679" s="18">
        <f t="shared" si="466"/>
        <v>431.33709164383561</v>
      </c>
      <c r="R2679" s="18">
        <f t="shared" si="460"/>
        <v>1909.1969630136982</v>
      </c>
      <c r="S2679" s="18">
        <f t="shared" si="461"/>
        <v>7146.7730369863011</v>
      </c>
    </row>
    <row r="2680" spans="1:19" ht="18.75" customHeight="1" x14ac:dyDescent="0.25">
      <c r="A2680" s="14">
        <f t="shared" si="465"/>
        <v>2674</v>
      </c>
      <c r="B2680" s="14" t="s">
        <v>2261</v>
      </c>
      <c r="C2680" s="15" t="s">
        <v>3</v>
      </c>
      <c r="D2680" s="31" t="s">
        <v>1708</v>
      </c>
      <c r="E2680" s="31"/>
      <c r="F2680" s="73" t="s">
        <v>4</v>
      </c>
      <c r="G2680" s="25">
        <v>43692</v>
      </c>
      <c r="H2680" s="26">
        <v>45562.48</v>
      </c>
      <c r="I2680" s="17">
        <v>0</v>
      </c>
      <c r="J2680" s="17">
        <v>0</v>
      </c>
      <c r="K2680" s="17">
        <f t="shared" si="462"/>
        <v>45562.48</v>
      </c>
      <c r="L2680" s="23">
        <f t="shared" si="467"/>
        <v>2278.1240000000003</v>
      </c>
      <c r="M2680" s="41">
        <v>10</v>
      </c>
      <c r="N2680" s="18">
        <f t="shared" si="463"/>
        <v>1.6328767123287671</v>
      </c>
      <c r="O2680" s="23">
        <v>7067.8016920547943</v>
      </c>
      <c r="P2680" s="18">
        <f t="shared" si="464"/>
        <v>2.1342465753424658</v>
      </c>
      <c r="Q2680" s="18">
        <f t="shared" si="466"/>
        <v>2170.1471638356165</v>
      </c>
      <c r="R2680" s="18">
        <f t="shared" si="460"/>
        <v>9237.9488558904104</v>
      </c>
      <c r="S2680" s="18">
        <f t="shared" si="461"/>
        <v>36324.531144109591</v>
      </c>
    </row>
    <row r="2681" spans="1:19" ht="18.75" customHeight="1" x14ac:dyDescent="0.25">
      <c r="A2681" s="14">
        <f t="shared" si="465"/>
        <v>2675</v>
      </c>
      <c r="B2681" s="14" t="s">
        <v>2262</v>
      </c>
      <c r="C2681" s="15" t="s">
        <v>3</v>
      </c>
      <c r="D2681" s="31" t="s">
        <v>1708</v>
      </c>
      <c r="E2681" s="31"/>
      <c r="F2681" s="73" t="s">
        <v>4</v>
      </c>
      <c r="G2681" s="25">
        <v>43723</v>
      </c>
      <c r="H2681" s="26">
        <v>3636</v>
      </c>
      <c r="I2681" s="17">
        <v>0</v>
      </c>
      <c r="J2681" s="17">
        <v>0</v>
      </c>
      <c r="K2681" s="17">
        <f t="shared" si="462"/>
        <v>3636</v>
      </c>
      <c r="L2681" s="23">
        <f t="shared" si="467"/>
        <v>181.8</v>
      </c>
      <c r="M2681" s="41">
        <v>10</v>
      </c>
      <c r="N2681" s="18">
        <f t="shared" si="463"/>
        <v>1.547945205479452</v>
      </c>
      <c r="O2681" s="23">
        <v>534.69123287671232</v>
      </c>
      <c r="P2681" s="18">
        <f t="shared" si="464"/>
        <v>2.0493150684931507</v>
      </c>
      <c r="Q2681" s="18">
        <f t="shared" si="466"/>
        <v>173.1831780821918</v>
      </c>
      <c r="R2681" s="18">
        <f t="shared" si="460"/>
        <v>707.87441095890415</v>
      </c>
      <c r="S2681" s="18">
        <f t="shared" si="461"/>
        <v>2928.1255890410957</v>
      </c>
    </row>
    <row r="2682" spans="1:19" ht="18.75" customHeight="1" x14ac:dyDescent="0.25">
      <c r="A2682" s="14">
        <f t="shared" si="465"/>
        <v>2676</v>
      </c>
      <c r="B2682" s="14" t="s">
        <v>2263</v>
      </c>
      <c r="C2682" s="15" t="s">
        <v>3</v>
      </c>
      <c r="D2682" s="31" t="s">
        <v>1708</v>
      </c>
      <c r="E2682" s="31"/>
      <c r="F2682" s="73" t="s">
        <v>4</v>
      </c>
      <c r="G2682" s="25">
        <v>43723</v>
      </c>
      <c r="H2682" s="26">
        <v>9222.6200000000008</v>
      </c>
      <c r="I2682" s="17">
        <v>0</v>
      </c>
      <c r="J2682" s="17">
        <v>0</v>
      </c>
      <c r="K2682" s="17">
        <f t="shared" si="462"/>
        <v>9222.6200000000008</v>
      </c>
      <c r="L2682" s="23">
        <f t="shared" si="467"/>
        <v>461.13100000000009</v>
      </c>
      <c r="M2682" s="41">
        <v>10</v>
      </c>
      <c r="N2682" s="18">
        <f t="shared" si="463"/>
        <v>1.547945205479452</v>
      </c>
      <c r="O2682" s="23">
        <v>1356.230489041096</v>
      </c>
      <c r="P2682" s="18">
        <f t="shared" si="464"/>
        <v>2.0493150684931507</v>
      </c>
      <c r="Q2682" s="18">
        <f t="shared" si="466"/>
        <v>439.27465397260283</v>
      </c>
      <c r="R2682" s="18">
        <f t="shared" si="460"/>
        <v>1795.5051430136989</v>
      </c>
      <c r="S2682" s="18">
        <f t="shared" si="461"/>
        <v>7427.1148569863017</v>
      </c>
    </row>
    <row r="2683" spans="1:19" ht="18.75" customHeight="1" x14ac:dyDescent="0.25">
      <c r="A2683" s="14">
        <f t="shared" si="465"/>
        <v>2677</v>
      </c>
      <c r="B2683" s="14" t="s">
        <v>2264</v>
      </c>
      <c r="C2683" s="15" t="s">
        <v>3</v>
      </c>
      <c r="D2683" s="31" t="s">
        <v>1708</v>
      </c>
      <c r="E2683" s="31"/>
      <c r="F2683" s="73" t="s">
        <v>4</v>
      </c>
      <c r="G2683" s="25">
        <v>43784</v>
      </c>
      <c r="H2683" s="26">
        <v>2400</v>
      </c>
      <c r="I2683" s="17">
        <v>0</v>
      </c>
      <c r="J2683" s="17">
        <v>0</v>
      </c>
      <c r="K2683" s="17">
        <f t="shared" si="462"/>
        <v>2400</v>
      </c>
      <c r="L2683" s="23">
        <f t="shared" si="467"/>
        <v>120</v>
      </c>
      <c r="M2683" s="41">
        <v>10</v>
      </c>
      <c r="N2683" s="18">
        <f t="shared" si="463"/>
        <v>1.3808219178082193</v>
      </c>
      <c r="O2683" s="23">
        <v>314.82739726027398</v>
      </c>
      <c r="P2683" s="18">
        <f t="shared" si="464"/>
        <v>1.8821917808219177</v>
      </c>
      <c r="Q2683" s="18">
        <f t="shared" si="466"/>
        <v>114.31232876712325</v>
      </c>
      <c r="R2683" s="18">
        <f t="shared" si="460"/>
        <v>429.13972602739722</v>
      </c>
      <c r="S2683" s="18">
        <f t="shared" si="461"/>
        <v>1970.8602739726027</v>
      </c>
    </row>
    <row r="2684" spans="1:19" ht="18.75" customHeight="1" x14ac:dyDescent="0.25">
      <c r="A2684" s="14">
        <f t="shared" si="465"/>
        <v>2678</v>
      </c>
      <c r="B2684" s="14" t="s">
        <v>2265</v>
      </c>
      <c r="C2684" s="15" t="s">
        <v>3</v>
      </c>
      <c r="D2684" s="31" t="s">
        <v>1708</v>
      </c>
      <c r="E2684" s="31"/>
      <c r="F2684" s="73" t="s">
        <v>4</v>
      </c>
      <c r="G2684" s="25">
        <v>43784</v>
      </c>
      <c r="H2684" s="26">
        <v>4624.3</v>
      </c>
      <c r="I2684" s="17">
        <v>0</v>
      </c>
      <c r="J2684" s="17">
        <v>0</v>
      </c>
      <c r="K2684" s="17">
        <f t="shared" si="462"/>
        <v>4624.3</v>
      </c>
      <c r="L2684" s="23">
        <f t="shared" si="467"/>
        <v>231.21500000000003</v>
      </c>
      <c r="M2684" s="41">
        <v>10</v>
      </c>
      <c r="N2684" s="18">
        <f t="shared" si="463"/>
        <v>1.3808219178082193</v>
      </c>
      <c r="O2684" s="23">
        <v>606.60680547945208</v>
      </c>
      <c r="P2684" s="18">
        <f t="shared" si="464"/>
        <v>1.8821917808219177</v>
      </c>
      <c r="Q2684" s="18">
        <f t="shared" si="466"/>
        <v>220.25604246575335</v>
      </c>
      <c r="R2684" s="18">
        <f t="shared" si="460"/>
        <v>826.86284794520543</v>
      </c>
      <c r="S2684" s="18">
        <f t="shared" si="461"/>
        <v>3797.4371520547948</v>
      </c>
    </row>
    <row r="2685" spans="1:19" ht="18.75" customHeight="1" x14ac:dyDescent="0.25">
      <c r="A2685" s="14">
        <f t="shared" si="465"/>
        <v>2679</v>
      </c>
      <c r="B2685" s="14" t="s">
        <v>2266</v>
      </c>
      <c r="C2685" s="15" t="s">
        <v>3</v>
      </c>
      <c r="D2685" s="31" t="s">
        <v>1708</v>
      </c>
      <c r="E2685" s="31"/>
      <c r="F2685" s="73" t="s">
        <v>4</v>
      </c>
      <c r="G2685" s="25">
        <v>43784</v>
      </c>
      <c r="H2685" s="26">
        <v>1900</v>
      </c>
      <c r="I2685" s="17">
        <v>0</v>
      </c>
      <c r="J2685" s="17">
        <v>0</v>
      </c>
      <c r="K2685" s="17">
        <f t="shared" si="462"/>
        <v>1900</v>
      </c>
      <c r="L2685" s="23">
        <f t="shared" si="467"/>
        <v>95</v>
      </c>
      <c r="M2685" s="41">
        <v>10</v>
      </c>
      <c r="N2685" s="18">
        <f t="shared" si="463"/>
        <v>1.3808219178082193</v>
      </c>
      <c r="O2685" s="23">
        <v>249.23835616438356</v>
      </c>
      <c r="P2685" s="18">
        <f t="shared" si="464"/>
        <v>1.8821917808219177</v>
      </c>
      <c r="Q2685" s="18">
        <f t="shared" si="466"/>
        <v>90.497260273972572</v>
      </c>
      <c r="R2685" s="18">
        <f t="shared" si="460"/>
        <v>339.73561643835615</v>
      </c>
      <c r="S2685" s="18">
        <f t="shared" si="461"/>
        <v>1560.2643835616439</v>
      </c>
    </row>
    <row r="2686" spans="1:19" ht="18.75" customHeight="1" x14ac:dyDescent="0.25">
      <c r="A2686" s="14">
        <f t="shared" si="465"/>
        <v>2680</v>
      </c>
      <c r="B2686" s="14" t="s">
        <v>2267</v>
      </c>
      <c r="C2686" s="15" t="s">
        <v>3</v>
      </c>
      <c r="D2686" s="31" t="s">
        <v>1708</v>
      </c>
      <c r="E2686" s="31"/>
      <c r="F2686" s="73" t="s">
        <v>4</v>
      </c>
      <c r="G2686" s="25">
        <v>43784</v>
      </c>
      <c r="H2686" s="26">
        <v>7032</v>
      </c>
      <c r="I2686" s="17">
        <v>0</v>
      </c>
      <c r="J2686" s="17">
        <v>0</v>
      </c>
      <c r="K2686" s="17">
        <f t="shared" si="462"/>
        <v>7032</v>
      </c>
      <c r="L2686" s="23">
        <f t="shared" si="467"/>
        <v>351.6</v>
      </c>
      <c r="M2686" s="41">
        <v>10</v>
      </c>
      <c r="N2686" s="18">
        <f t="shared" si="463"/>
        <v>1.3808219178082193</v>
      </c>
      <c r="O2686" s="23">
        <v>922.44427397260267</v>
      </c>
      <c r="P2686" s="18">
        <f t="shared" si="464"/>
        <v>1.8821917808219177</v>
      </c>
      <c r="Q2686" s="18">
        <f t="shared" si="466"/>
        <v>334.9351232876711</v>
      </c>
      <c r="R2686" s="18">
        <f t="shared" si="460"/>
        <v>1257.3793972602739</v>
      </c>
      <c r="S2686" s="18">
        <f t="shared" si="461"/>
        <v>5774.6206027397257</v>
      </c>
    </row>
    <row r="2687" spans="1:19" ht="18.75" customHeight="1" x14ac:dyDescent="0.25">
      <c r="A2687" s="14">
        <f t="shared" si="465"/>
        <v>2681</v>
      </c>
      <c r="B2687" s="14" t="s">
        <v>2268</v>
      </c>
      <c r="C2687" s="15" t="s">
        <v>3</v>
      </c>
      <c r="D2687" s="31" t="s">
        <v>1708</v>
      </c>
      <c r="E2687" s="31"/>
      <c r="F2687" s="73" t="s">
        <v>4</v>
      </c>
      <c r="G2687" s="25">
        <v>43814</v>
      </c>
      <c r="H2687" s="26">
        <v>41084</v>
      </c>
      <c r="I2687" s="17">
        <v>0</v>
      </c>
      <c r="J2687" s="17">
        <v>0</v>
      </c>
      <c r="K2687" s="17">
        <f t="shared" si="462"/>
        <v>41084</v>
      </c>
      <c r="L2687" s="23">
        <f t="shared" si="467"/>
        <v>2054.2000000000003</v>
      </c>
      <c r="M2687" s="41">
        <v>10</v>
      </c>
      <c r="N2687" s="18">
        <f t="shared" si="463"/>
        <v>1.2986301369863014</v>
      </c>
      <c r="O2687" s="23">
        <v>5068.5274520547955</v>
      </c>
      <c r="P2687" s="18">
        <f t="shared" si="464"/>
        <v>1.8</v>
      </c>
      <c r="Q2687" s="18">
        <f t="shared" si="466"/>
        <v>1956.8365479452059</v>
      </c>
      <c r="R2687" s="18">
        <f t="shared" si="460"/>
        <v>7025.3640000000014</v>
      </c>
      <c r="S2687" s="18">
        <f t="shared" si="461"/>
        <v>34058.635999999999</v>
      </c>
    </row>
    <row r="2688" spans="1:19" ht="18.75" customHeight="1" x14ac:dyDescent="0.25">
      <c r="A2688" s="14">
        <f t="shared" si="465"/>
        <v>2682</v>
      </c>
      <c r="B2688" s="14" t="s">
        <v>2269</v>
      </c>
      <c r="C2688" s="15" t="s">
        <v>3</v>
      </c>
      <c r="D2688" s="31" t="s">
        <v>1708</v>
      </c>
      <c r="E2688" s="31"/>
      <c r="F2688" s="73" t="s">
        <v>4</v>
      </c>
      <c r="G2688" s="25">
        <v>43814</v>
      </c>
      <c r="H2688" s="26">
        <v>2245.02</v>
      </c>
      <c r="I2688" s="17">
        <v>0</v>
      </c>
      <c r="J2688" s="17">
        <v>0</v>
      </c>
      <c r="K2688" s="17">
        <f t="shared" si="462"/>
        <v>2245.02</v>
      </c>
      <c r="L2688" s="23">
        <f t="shared" si="467"/>
        <v>112.251</v>
      </c>
      <c r="M2688" s="41">
        <v>10</v>
      </c>
      <c r="N2688" s="18">
        <f t="shared" si="463"/>
        <v>1.2986301369863014</v>
      </c>
      <c r="O2688" s="23">
        <v>276.96780986301366</v>
      </c>
      <c r="P2688" s="18">
        <f t="shared" si="464"/>
        <v>1.8</v>
      </c>
      <c r="Q2688" s="18">
        <f t="shared" si="466"/>
        <v>106.9306101369863</v>
      </c>
      <c r="R2688" s="18">
        <f t="shared" si="460"/>
        <v>383.89841999999999</v>
      </c>
      <c r="S2688" s="18">
        <f t="shared" si="461"/>
        <v>1861.12158</v>
      </c>
    </row>
    <row r="2689" spans="1:19" ht="18.75" customHeight="1" x14ac:dyDescent="0.25">
      <c r="A2689" s="14">
        <f t="shared" si="465"/>
        <v>2683</v>
      </c>
      <c r="B2689" s="14" t="s">
        <v>2270</v>
      </c>
      <c r="C2689" s="15" t="s">
        <v>3</v>
      </c>
      <c r="D2689" s="31" t="s">
        <v>1708</v>
      </c>
      <c r="E2689" s="31"/>
      <c r="F2689" s="73" t="s">
        <v>4</v>
      </c>
      <c r="G2689" s="25">
        <v>43814</v>
      </c>
      <c r="H2689" s="26">
        <v>12158.98</v>
      </c>
      <c r="I2689" s="17">
        <v>0</v>
      </c>
      <c r="J2689" s="17">
        <v>0</v>
      </c>
      <c r="K2689" s="17">
        <f t="shared" si="462"/>
        <v>12158.98</v>
      </c>
      <c r="L2689" s="23">
        <f t="shared" si="467"/>
        <v>607.94899999999996</v>
      </c>
      <c r="M2689" s="41">
        <v>10</v>
      </c>
      <c r="N2689" s="18">
        <f t="shared" si="463"/>
        <v>1.2986301369863014</v>
      </c>
      <c r="O2689" s="23">
        <v>1500.0516969863013</v>
      </c>
      <c r="P2689" s="18">
        <f t="shared" si="464"/>
        <v>1.8</v>
      </c>
      <c r="Q2689" s="18">
        <f t="shared" si="466"/>
        <v>579.13388301369866</v>
      </c>
      <c r="R2689" s="18">
        <f t="shared" si="460"/>
        <v>2079.1855799999998</v>
      </c>
      <c r="S2689" s="18">
        <f t="shared" si="461"/>
        <v>10079.79442</v>
      </c>
    </row>
    <row r="2690" spans="1:19" ht="18.75" customHeight="1" x14ac:dyDescent="0.25">
      <c r="A2690" s="14">
        <f t="shared" si="465"/>
        <v>2684</v>
      </c>
      <c r="B2690" s="14" t="s">
        <v>2271</v>
      </c>
      <c r="C2690" s="15" t="s">
        <v>3</v>
      </c>
      <c r="D2690" s="31" t="s">
        <v>1708</v>
      </c>
      <c r="E2690" s="31"/>
      <c r="F2690" s="73" t="s">
        <v>4</v>
      </c>
      <c r="G2690" s="25">
        <v>43814</v>
      </c>
      <c r="H2690" s="26">
        <v>1849.7</v>
      </c>
      <c r="I2690" s="17">
        <v>0</v>
      </c>
      <c r="J2690" s="17">
        <v>0</v>
      </c>
      <c r="K2690" s="17">
        <f t="shared" si="462"/>
        <v>1849.7</v>
      </c>
      <c r="L2690" s="23">
        <f t="shared" si="467"/>
        <v>92.485000000000014</v>
      </c>
      <c r="M2690" s="41">
        <v>10</v>
      </c>
      <c r="N2690" s="18">
        <f t="shared" si="463"/>
        <v>1.2986301369863014</v>
      </c>
      <c r="O2690" s="23">
        <v>228.19723561643838</v>
      </c>
      <c r="P2690" s="18">
        <f t="shared" si="464"/>
        <v>1.8</v>
      </c>
      <c r="Q2690" s="18">
        <f t="shared" si="466"/>
        <v>88.101464383561662</v>
      </c>
      <c r="R2690" s="18">
        <f t="shared" si="460"/>
        <v>316.29870000000005</v>
      </c>
      <c r="S2690" s="18">
        <f t="shared" si="461"/>
        <v>1533.4013</v>
      </c>
    </row>
    <row r="2691" spans="1:19" ht="18.75" customHeight="1" x14ac:dyDescent="0.25">
      <c r="A2691" s="14">
        <f t="shared" si="465"/>
        <v>2685</v>
      </c>
      <c r="B2691" s="14" t="s">
        <v>2272</v>
      </c>
      <c r="C2691" s="15" t="s">
        <v>3</v>
      </c>
      <c r="D2691" s="31" t="s">
        <v>1708</v>
      </c>
      <c r="E2691" s="31"/>
      <c r="F2691" s="73" t="s">
        <v>4</v>
      </c>
      <c r="G2691" s="25">
        <v>43814</v>
      </c>
      <c r="H2691" s="26">
        <v>6440.68</v>
      </c>
      <c r="I2691" s="17">
        <v>0</v>
      </c>
      <c r="J2691" s="17">
        <v>0</v>
      </c>
      <c r="K2691" s="17">
        <f t="shared" si="462"/>
        <v>6440.68</v>
      </c>
      <c r="L2691" s="23">
        <f t="shared" si="467"/>
        <v>322.03400000000005</v>
      </c>
      <c r="M2691" s="41">
        <v>10</v>
      </c>
      <c r="N2691" s="18">
        <f t="shared" si="463"/>
        <v>1.2986301369863014</v>
      </c>
      <c r="O2691" s="23">
        <v>794.58580931506867</v>
      </c>
      <c r="P2691" s="18">
        <f t="shared" si="464"/>
        <v>1.8</v>
      </c>
      <c r="Q2691" s="18">
        <f t="shared" si="466"/>
        <v>306.77047068493158</v>
      </c>
      <c r="R2691" s="18">
        <f t="shared" si="460"/>
        <v>1101.3562800000002</v>
      </c>
      <c r="S2691" s="18">
        <f t="shared" si="461"/>
        <v>5339.3237200000003</v>
      </c>
    </row>
    <row r="2692" spans="1:19" ht="18.75" customHeight="1" x14ac:dyDescent="0.25">
      <c r="A2692" s="14">
        <f t="shared" si="465"/>
        <v>2686</v>
      </c>
      <c r="B2692" s="14" t="s">
        <v>2273</v>
      </c>
      <c r="C2692" s="15" t="s">
        <v>3</v>
      </c>
      <c r="D2692" s="31" t="s">
        <v>1708</v>
      </c>
      <c r="E2692" s="31"/>
      <c r="F2692" s="73" t="s">
        <v>4</v>
      </c>
      <c r="G2692" s="25">
        <v>43814</v>
      </c>
      <c r="H2692" s="26">
        <v>29770</v>
      </c>
      <c r="I2692" s="17">
        <v>0</v>
      </c>
      <c r="J2692" s="17">
        <v>0</v>
      </c>
      <c r="K2692" s="17">
        <f t="shared" si="462"/>
        <v>29770</v>
      </c>
      <c r="L2692" s="23">
        <f t="shared" si="467"/>
        <v>1488.5</v>
      </c>
      <c r="M2692" s="41">
        <v>10</v>
      </c>
      <c r="N2692" s="18">
        <f t="shared" si="463"/>
        <v>1.2986301369863014</v>
      </c>
      <c r="O2692" s="23">
        <v>3672.7208219178083</v>
      </c>
      <c r="P2692" s="18">
        <f t="shared" si="464"/>
        <v>1.8</v>
      </c>
      <c r="Q2692" s="18">
        <f t="shared" si="466"/>
        <v>1417.949178082192</v>
      </c>
      <c r="R2692" s="18">
        <f t="shared" ref="R2692:R2755" si="468">Q2692+O2692</f>
        <v>5090.67</v>
      </c>
      <c r="S2692" s="18">
        <f t="shared" ref="S2692:S2755" si="469">K2692-R2692</f>
        <v>24679.33</v>
      </c>
    </row>
    <row r="2693" spans="1:19" ht="18.75" customHeight="1" x14ac:dyDescent="0.25">
      <c r="A2693" s="14">
        <f t="shared" si="465"/>
        <v>2687</v>
      </c>
      <c r="B2693" s="14" t="s">
        <v>2274</v>
      </c>
      <c r="C2693" s="15" t="s">
        <v>3</v>
      </c>
      <c r="D2693" s="31" t="s">
        <v>1708</v>
      </c>
      <c r="E2693" s="31"/>
      <c r="F2693" s="73" t="s">
        <v>4</v>
      </c>
      <c r="G2693" s="25">
        <v>43845</v>
      </c>
      <c r="H2693" s="26">
        <v>103620</v>
      </c>
      <c r="I2693" s="17">
        <v>0</v>
      </c>
      <c r="J2693" s="17">
        <v>0</v>
      </c>
      <c r="K2693" s="17">
        <f t="shared" ref="K2693:K2756" si="470">H2693+I2693-J2693</f>
        <v>103620</v>
      </c>
      <c r="L2693" s="23">
        <f t="shared" si="467"/>
        <v>5181</v>
      </c>
      <c r="M2693" s="41">
        <v>10</v>
      </c>
      <c r="N2693" s="18">
        <f t="shared" ref="N2693:N2756" si="471">IF(($N$2-G2693+1)/365&gt;0,($N$2-G2693+1)/365,0)</f>
        <v>1.2136986301369863</v>
      </c>
      <c r="O2693" s="23">
        <v>11947.527945205482</v>
      </c>
      <c r="P2693" s="18">
        <f t="shared" ref="P2693:P2756" si="472">($P$2-G2693+1)/365</f>
        <v>1.715068493150685</v>
      </c>
      <c r="Q2693" s="18">
        <f t="shared" si="466"/>
        <v>4935.4347945205482</v>
      </c>
      <c r="R2693" s="18">
        <f t="shared" si="468"/>
        <v>16882.96273972603</v>
      </c>
      <c r="S2693" s="18">
        <f t="shared" si="469"/>
        <v>86737.037260273966</v>
      </c>
    </row>
    <row r="2694" spans="1:19" ht="18.75" customHeight="1" x14ac:dyDescent="0.25">
      <c r="A2694" s="14">
        <f t="shared" ref="A2694:A2757" si="473">+A2693+1</f>
        <v>2688</v>
      </c>
      <c r="B2694" s="14" t="s">
        <v>2275</v>
      </c>
      <c r="C2694" s="15" t="s">
        <v>3</v>
      </c>
      <c r="D2694" s="31" t="s">
        <v>1708</v>
      </c>
      <c r="E2694" s="31"/>
      <c r="F2694" s="73" t="s">
        <v>4</v>
      </c>
      <c r="G2694" s="25">
        <v>43845</v>
      </c>
      <c r="H2694" s="26">
        <v>4048.57</v>
      </c>
      <c r="I2694" s="17">
        <v>0</v>
      </c>
      <c r="J2694" s="17">
        <v>0</v>
      </c>
      <c r="K2694" s="17">
        <f t="shared" si="470"/>
        <v>4048.57</v>
      </c>
      <c r="L2694" s="23">
        <f t="shared" si="467"/>
        <v>202.42850000000001</v>
      </c>
      <c r="M2694" s="41">
        <v>10</v>
      </c>
      <c r="N2694" s="18">
        <f t="shared" si="471"/>
        <v>1.2136986301369863</v>
      </c>
      <c r="O2694" s="23">
        <v>466.80566698630139</v>
      </c>
      <c r="P2694" s="18">
        <f t="shared" si="472"/>
        <v>1.715068493150685</v>
      </c>
      <c r="Q2694" s="18">
        <f t="shared" si="466"/>
        <v>192.83394369863018</v>
      </c>
      <c r="R2694" s="18">
        <f t="shared" si="468"/>
        <v>659.63961068493154</v>
      </c>
      <c r="S2694" s="18">
        <f t="shared" si="469"/>
        <v>3388.9303893150686</v>
      </c>
    </row>
    <row r="2695" spans="1:19" ht="18.75" customHeight="1" x14ac:dyDescent="0.25">
      <c r="A2695" s="14">
        <f t="shared" si="473"/>
        <v>2689</v>
      </c>
      <c r="B2695" s="14" t="s">
        <v>2275</v>
      </c>
      <c r="C2695" s="15" t="s">
        <v>3</v>
      </c>
      <c r="D2695" s="31" t="s">
        <v>1708</v>
      </c>
      <c r="E2695" s="31"/>
      <c r="F2695" s="73" t="s">
        <v>4</v>
      </c>
      <c r="G2695" s="25">
        <v>43845</v>
      </c>
      <c r="H2695" s="26">
        <v>1122.51</v>
      </c>
      <c r="I2695" s="17">
        <v>0</v>
      </c>
      <c r="J2695" s="17">
        <v>0</v>
      </c>
      <c r="K2695" s="17">
        <f t="shared" si="470"/>
        <v>1122.51</v>
      </c>
      <c r="L2695" s="23">
        <f t="shared" si="467"/>
        <v>56.125500000000002</v>
      </c>
      <c r="M2695" s="41">
        <v>10</v>
      </c>
      <c r="N2695" s="18">
        <f t="shared" si="471"/>
        <v>1.2136986301369863</v>
      </c>
      <c r="O2695" s="23">
        <v>129.42694068493151</v>
      </c>
      <c r="P2695" s="18">
        <f t="shared" si="472"/>
        <v>1.715068493150685</v>
      </c>
      <c r="Q2695" s="18">
        <f t="shared" si="466"/>
        <v>53.465305068493151</v>
      </c>
      <c r="R2695" s="18">
        <f t="shared" si="468"/>
        <v>182.89224575342467</v>
      </c>
      <c r="S2695" s="18">
        <f t="shared" si="469"/>
        <v>939.61775424657526</v>
      </c>
    </row>
    <row r="2696" spans="1:19" ht="18.75" customHeight="1" x14ac:dyDescent="0.25">
      <c r="A2696" s="14">
        <f t="shared" si="473"/>
        <v>2690</v>
      </c>
      <c r="B2696" s="14" t="s">
        <v>2276</v>
      </c>
      <c r="C2696" s="15" t="s">
        <v>3</v>
      </c>
      <c r="D2696" s="31" t="s">
        <v>1708</v>
      </c>
      <c r="E2696" s="31"/>
      <c r="F2696" s="73" t="s">
        <v>4</v>
      </c>
      <c r="G2696" s="25">
        <v>43845</v>
      </c>
      <c r="H2696" s="26">
        <v>4917.24</v>
      </c>
      <c r="I2696" s="17">
        <v>0</v>
      </c>
      <c r="J2696" s="17">
        <v>0</v>
      </c>
      <c r="K2696" s="17">
        <f t="shared" si="470"/>
        <v>4917.24</v>
      </c>
      <c r="L2696" s="23">
        <f t="shared" si="467"/>
        <v>245.86199999999999</v>
      </c>
      <c r="M2696" s="41">
        <v>10</v>
      </c>
      <c r="N2696" s="18">
        <f t="shared" si="471"/>
        <v>1.2136986301369863</v>
      </c>
      <c r="O2696" s="23">
        <v>566.96450794520547</v>
      </c>
      <c r="P2696" s="18">
        <f t="shared" si="472"/>
        <v>1.715068493150685</v>
      </c>
      <c r="Q2696" s="18">
        <f t="shared" si="466"/>
        <v>234.20881479452055</v>
      </c>
      <c r="R2696" s="18">
        <f t="shared" si="468"/>
        <v>801.17332273972602</v>
      </c>
      <c r="S2696" s="18">
        <f t="shared" si="469"/>
        <v>4116.0666772602735</v>
      </c>
    </row>
    <row r="2697" spans="1:19" ht="18.75" customHeight="1" x14ac:dyDescent="0.25">
      <c r="A2697" s="14">
        <f t="shared" si="473"/>
        <v>2691</v>
      </c>
      <c r="B2697" s="14" t="s">
        <v>2277</v>
      </c>
      <c r="C2697" s="15" t="s">
        <v>3</v>
      </c>
      <c r="D2697" s="31" t="s">
        <v>1708</v>
      </c>
      <c r="E2697" s="31"/>
      <c r="F2697" s="73" t="s">
        <v>4</v>
      </c>
      <c r="G2697" s="25">
        <v>43845</v>
      </c>
      <c r="H2697" s="26">
        <v>6900</v>
      </c>
      <c r="I2697" s="17">
        <v>0</v>
      </c>
      <c r="J2697" s="17">
        <v>0</v>
      </c>
      <c r="K2697" s="17">
        <f t="shared" si="470"/>
        <v>6900</v>
      </c>
      <c r="L2697" s="23">
        <f t="shared" si="467"/>
        <v>345</v>
      </c>
      <c r="M2697" s="41">
        <v>10</v>
      </c>
      <c r="N2697" s="18">
        <f t="shared" si="471"/>
        <v>1.2136986301369863</v>
      </c>
      <c r="O2697" s="23">
        <v>795.5794520547945</v>
      </c>
      <c r="P2697" s="18">
        <f t="shared" si="472"/>
        <v>1.715068493150685</v>
      </c>
      <c r="Q2697" s="18">
        <f t="shared" si="466"/>
        <v>328.64794520547946</v>
      </c>
      <c r="R2697" s="18">
        <f t="shared" si="468"/>
        <v>1124.2273972602738</v>
      </c>
      <c r="S2697" s="18">
        <f t="shared" si="469"/>
        <v>5775.7726027397257</v>
      </c>
    </row>
    <row r="2698" spans="1:19" ht="18.75" customHeight="1" x14ac:dyDescent="0.25">
      <c r="A2698" s="14">
        <f t="shared" si="473"/>
        <v>2692</v>
      </c>
      <c r="B2698" s="14" t="s">
        <v>2278</v>
      </c>
      <c r="C2698" s="15" t="s">
        <v>3</v>
      </c>
      <c r="D2698" s="31" t="s">
        <v>1708</v>
      </c>
      <c r="E2698" s="31"/>
      <c r="F2698" s="73" t="s">
        <v>4</v>
      </c>
      <c r="G2698" s="25">
        <v>43876</v>
      </c>
      <c r="H2698" s="26">
        <v>5850</v>
      </c>
      <c r="I2698" s="17">
        <v>0</v>
      </c>
      <c r="J2698" s="17">
        <v>0</v>
      </c>
      <c r="K2698" s="17">
        <f t="shared" si="470"/>
        <v>5850</v>
      </c>
      <c r="L2698" s="23">
        <f t="shared" si="467"/>
        <v>292.5</v>
      </c>
      <c r="M2698" s="41">
        <v>10</v>
      </c>
      <c r="N2698" s="18">
        <f t="shared" si="471"/>
        <v>1.1287671232876713</v>
      </c>
      <c r="O2698" s="23">
        <v>627.31232876712329</v>
      </c>
      <c r="P2698" s="18">
        <f t="shared" si="472"/>
        <v>1.6301369863013699</v>
      </c>
      <c r="Q2698" s="18">
        <f t="shared" si="466"/>
        <v>278.63630136986302</v>
      </c>
      <c r="R2698" s="18">
        <f t="shared" si="468"/>
        <v>905.94863013698637</v>
      </c>
      <c r="S2698" s="18">
        <f t="shared" si="469"/>
        <v>4944.0513698630139</v>
      </c>
    </row>
    <row r="2699" spans="1:19" ht="18.75" customHeight="1" x14ac:dyDescent="0.25">
      <c r="A2699" s="14">
        <f t="shared" si="473"/>
        <v>2693</v>
      </c>
      <c r="B2699" s="14" t="s">
        <v>2279</v>
      </c>
      <c r="C2699" s="15" t="s">
        <v>3</v>
      </c>
      <c r="D2699" s="31" t="s">
        <v>1708</v>
      </c>
      <c r="E2699" s="31"/>
      <c r="F2699" s="73" t="s">
        <v>4</v>
      </c>
      <c r="G2699" s="25">
        <v>43876</v>
      </c>
      <c r="H2699" s="26">
        <v>22916.67</v>
      </c>
      <c r="I2699" s="17">
        <v>0</v>
      </c>
      <c r="J2699" s="17">
        <v>0</v>
      </c>
      <c r="K2699" s="17">
        <f t="shared" si="470"/>
        <v>22916.67</v>
      </c>
      <c r="L2699" s="23">
        <f t="shared" si="467"/>
        <v>1145.8335</v>
      </c>
      <c r="M2699" s="41">
        <v>10</v>
      </c>
      <c r="N2699" s="18">
        <f t="shared" si="471"/>
        <v>1.1287671232876713</v>
      </c>
      <c r="O2699" s="23">
        <v>2457.4204487671232</v>
      </c>
      <c r="P2699" s="18">
        <f t="shared" si="472"/>
        <v>1.6301369863013699</v>
      </c>
      <c r="Q2699" s="18">
        <f t="shared" si="466"/>
        <v>1091.524131369863</v>
      </c>
      <c r="R2699" s="18">
        <f t="shared" si="468"/>
        <v>3548.9445801369861</v>
      </c>
      <c r="S2699" s="18">
        <f t="shared" si="469"/>
        <v>19367.725419863011</v>
      </c>
    </row>
    <row r="2700" spans="1:19" ht="18.75" customHeight="1" x14ac:dyDescent="0.25">
      <c r="A2700" s="14">
        <f t="shared" si="473"/>
        <v>2694</v>
      </c>
      <c r="B2700" s="14" t="s">
        <v>2280</v>
      </c>
      <c r="C2700" s="15" t="s">
        <v>3</v>
      </c>
      <c r="D2700" s="31" t="s">
        <v>1708</v>
      </c>
      <c r="E2700" s="31"/>
      <c r="F2700" s="73" t="s">
        <v>4</v>
      </c>
      <c r="G2700" s="25">
        <v>43905</v>
      </c>
      <c r="H2700" s="26">
        <v>1272.58</v>
      </c>
      <c r="I2700" s="17">
        <v>0</v>
      </c>
      <c r="J2700" s="17">
        <v>0</v>
      </c>
      <c r="K2700" s="17">
        <f t="shared" si="470"/>
        <v>1272.58</v>
      </c>
      <c r="L2700" s="23">
        <f t="shared" si="467"/>
        <v>63.628999999999998</v>
      </c>
      <c r="M2700" s="41">
        <v>10</v>
      </c>
      <c r="N2700" s="18">
        <f t="shared" si="471"/>
        <v>1.0493150684931507</v>
      </c>
      <c r="O2700" s="23">
        <v>126.85705013698632</v>
      </c>
      <c r="P2700" s="18">
        <f t="shared" si="472"/>
        <v>1.5506849315068494</v>
      </c>
      <c r="Q2700" s="18">
        <f t="shared" si="466"/>
        <v>60.613159726027405</v>
      </c>
      <c r="R2700" s="18">
        <f t="shared" si="468"/>
        <v>187.47020986301374</v>
      </c>
      <c r="S2700" s="18">
        <f t="shared" si="469"/>
        <v>1085.1097901369862</v>
      </c>
    </row>
    <row r="2701" spans="1:19" ht="18.75" customHeight="1" x14ac:dyDescent="0.25">
      <c r="A2701" s="14">
        <f t="shared" si="473"/>
        <v>2695</v>
      </c>
      <c r="B2701" s="14" t="s">
        <v>1683</v>
      </c>
      <c r="C2701" s="15" t="s">
        <v>3</v>
      </c>
      <c r="D2701" s="31" t="s">
        <v>1708</v>
      </c>
      <c r="E2701" s="31"/>
      <c r="F2701" s="73" t="s">
        <v>4</v>
      </c>
      <c r="G2701" s="25">
        <v>43905</v>
      </c>
      <c r="H2701" s="26">
        <v>1867.01</v>
      </c>
      <c r="I2701" s="17">
        <v>0</v>
      </c>
      <c r="J2701" s="17">
        <v>0</v>
      </c>
      <c r="K2701" s="17">
        <f t="shared" si="470"/>
        <v>1867.01</v>
      </c>
      <c r="L2701" s="23">
        <f t="shared" si="467"/>
        <v>93.350500000000011</v>
      </c>
      <c r="M2701" s="41">
        <v>10</v>
      </c>
      <c r="N2701" s="18">
        <f t="shared" si="471"/>
        <v>1.0493150684931507</v>
      </c>
      <c r="O2701" s="23">
        <v>186.11276397260275</v>
      </c>
      <c r="P2701" s="18">
        <f t="shared" si="472"/>
        <v>1.5506849315068494</v>
      </c>
      <c r="Q2701" s="18">
        <f t="shared" si="466"/>
        <v>88.925942054794533</v>
      </c>
      <c r="R2701" s="18">
        <f t="shared" si="468"/>
        <v>275.03870602739727</v>
      </c>
      <c r="S2701" s="18">
        <f t="shared" si="469"/>
        <v>1591.9712939726028</v>
      </c>
    </row>
    <row r="2702" spans="1:19" ht="18.75" customHeight="1" x14ac:dyDescent="0.25">
      <c r="A2702" s="14">
        <f t="shared" si="473"/>
        <v>2696</v>
      </c>
      <c r="B2702" s="14" t="s">
        <v>2275</v>
      </c>
      <c r="C2702" s="15" t="s">
        <v>3</v>
      </c>
      <c r="D2702" s="31" t="s">
        <v>1708</v>
      </c>
      <c r="E2702" s="31"/>
      <c r="F2702" s="73" t="s">
        <v>4</v>
      </c>
      <c r="G2702" s="25">
        <v>43905</v>
      </c>
      <c r="H2702" s="26">
        <v>1044.94</v>
      </c>
      <c r="I2702" s="17">
        <v>0</v>
      </c>
      <c r="J2702" s="17">
        <v>0</v>
      </c>
      <c r="K2702" s="17">
        <f t="shared" si="470"/>
        <v>1044.94</v>
      </c>
      <c r="L2702" s="23">
        <f t="shared" si="467"/>
        <v>52.247000000000007</v>
      </c>
      <c r="M2702" s="41">
        <v>10</v>
      </c>
      <c r="N2702" s="18">
        <f t="shared" si="471"/>
        <v>1.0493150684931507</v>
      </c>
      <c r="O2702" s="23">
        <v>104.16477232876714</v>
      </c>
      <c r="P2702" s="18">
        <f t="shared" si="472"/>
        <v>1.5506849315068494</v>
      </c>
      <c r="Q2702" s="18">
        <f t="shared" si="466"/>
        <v>49.770635342465766</v>
      </c>
      <c r="R2702" s="18">
        <f t="shared" si="468"/>
        <v>153.93540767123289</v>
      </c>
      <c r="S2702" s="18">
        <f t="shared" si="469"/>
        <v>891.0045923287671</v>
      </c>
    </row>
    <row r="2703" spans="1:19" ht="18.75" customHeight="1" x14ac:dyDescent="0.25">
      <c r="A2703" s="14">
        <f t="shared" si="473"/>
        <v>2697</v>
      </c>
      <c r="B2703" s="28" t="s">
        <v>2281</v>
      </c>
      <c r="C2703" s="15" t="s">
        <v>3</v>
      </c>
      <c r="D2703" s="31" t="s">
        <v>1708</v>
      </c>
      <c r="E2703" s="31"/>
      <c r="F2703" s="73" t="s">
        <v>4</v>
      </c>
      <c r="G2703" s="25">
        <v>43936</v>
      </c>
      <c r="H2703" s="27">
        <v>1272.57</v>
      </c>
      <c r="I2703" s="17">
        <v>0</v>
      </c>
      <c r="J2703" s="17">
        <v>0</v>
      </c>
      <c r="K2703" s="17">
        <f t="shared" si="470"/>
        <v>1272.57</v>
      </c>
      <c r="L2703" s="23">
        <f t="shared" si="467"/>
        <v>63.628500000000003</v>
      </c>
      <c r="M2703" s="34">
        <v>10</v>
      </c>
      <c r="N2703" s="18">
        <f t="shared" si="471"/>
        <v>0.96438356164383565</v>
      </c>
      <c r="O2703" s="23">
        <v>116.58833095890411</v>
      </c>
      <c r="P2703" s="18">
        <f t="shared" si="472"/>
        <v>1.4657534246575343</v>
      </c>
      <c r="Q2703" s="18">
        <f t="shared" si="466"/>
        <v>60.612683424657533</v>
      </c>
      <c r="R2703" s="18">
        <f t="shared" si="468"/>
        <v>177.20101438356164</v>
      </c>
      <c r="S2703" s="18">
        <f t="shared" si="469"/>
        <v>1095.3689856164383</v>
      </c>
    </row>
    <row r="2704" spans="1:19" ht="18.75" customHeight="1" x14ac:dyDescent="0.25">
      <c r="A2704" s="14">
        <f t="shared" si="473"/>
        <v>2698</v>
      </c>
      <c r="B2704" s="28" t="s">
        <v>2282</v>
      </c>
      <c r="C2704" s="15" t="s">
        <v>3</v>
      </c>
      <c r="D2704" s="31" t="s">
        <v>1708</v>
      </c>
      <c r="E2704" s="31"/>
      <c r="F2704" s="73" t="s">
        <v>4</v>
      </c>
      <c r="G2704" s="25">
        <v>43936</v>
      </c>
      <c r="H2704" s="27">
        <v>15113.34</v>
      </c>
      <c r="I2704" s="17">
        <v>0</v>
      </c>
      <c r="J2704" s="17">
        <v>0</v>
      </c>
      <c r="K2704" s="17">
        <f t="shared" si="470"/>
        <v>15113.34</v>
      </c>
      <c r="L2704" s="23">
        <f t="shared" si="467"/>
        <v>755.66700000000003</v>
      </c>
      <c r="M2704" s="34">
        <v>5</v>
      </c>
      <c r="N2704" s="18">
        <f t="shared" si="471"/>
        <v>0.96438356164383565</v>
      </c>
      <c r="O2704" s="23">
        <v>2769.2607649315069</v>
      </c>
      <c r="P2704" s="18">
        <f t="shared" si="472"/>
        <v>1.4657534246575343</v>
      </c>
      <c r="Q2704" s="18">
        <f t="shared" si="466"/>
        <v>1439.7009090410961</v>
      </c>
      <c r="R2704" s="18">
        <f t="shared" si="468"/>
        <v>4208.9616739726025</v>
      </c>
      <c r="S2704" s="18">
        <f t="shared" si="469"/>
        <v>10904.378326027398</v>
      </c>
    </row>
    <row r="2705" spans="1:19" ht="18.75" customHeight="1" x14ac:dyDescent="0.25">
      <c r="A2705" s="14">
        <f t="shared" si="473"/>
        <v>2699</v>
      </c>
      <c r="B2705" s="28" t="s">
        <v>2283</v>
      </c>
      <c r="C2705" s="15" t="s">
        <v>3</v>
      </c>
      <c r="D2705" s="31" t="s">
        <v>1708</v>
      </c>
      <c r="E2705" s="31"/>
      <c r="F2705" s="73" t="s">
        <v>4</v>
      </c>
      <c r="G2705" s="25">
        <v>43966</v>
      </c>
      <c r="H2705" s="27">
        <v>7556.66</v>
      </c>
      <c r="I2705" s="17">
        <v>0</v>
      </c>
      <c r="J2705" s="17">
        <v>0</v>
      </c>
      <c r="K2705" s="17">
        <f t="shared" si="470"/>
        <v>7556.66</v>
      </c>
      <c r="L2705" s="23">
        <f t="shared" si="467"/>
        <v>377.83300000000003</v>
      </c>
      <c r="M2705" s="34">
        <v>5</v>
      </c>
      <c r="N2705" s="18">
        <f t="shared" si="471"/>
        <v>0.88219178082191785</v>
      </c>
      <c r="O2705" s="23">
        <v>1266.6204350684934</v>
      </c>
      <c r="P2705" s="18">
        <f t="shared" si="472"/>
        <v>1.3835616438356164</v>
      </c>
      <c r="Q2705" s="18">
        <f t="shared" si="466"/>
        <v>719.84950191780808</v>
      </c>
      <c r="R2705" s="18">
        <f t="shared" si="468"/>
        <v>1986.4699369863015</v>
      </c>
      <c r="S2705" s="18">
        <f t="shared" si="469"/>
        <v>5570.1900630136988</v>
      </c>
    </row>
    <row r="2706" spans="1:19" ht="18.75" customHeight="1" x14ac:dyDescent="0.25">
      <c r="A2706" s="14">
        <f t="shared" si="473"/>
        <v>2700</v>
      </c>
      <c r="B2706" s="28" t="s">
        <v>2284</v>
      </c>
      <c r="C2706" s="15" t="s">
        <v>3</v>
      </c>
      <c r="D2706" s="31" t="s">
        <v>1708</v>
      </c>
      <c r="E2706" s="31"/>
      <c r="F2706" s="73" t="s">
        <v>4</v>
      </c>
      <c r="G2706" s="25">
        <v>43966</v>
      </c>
      <c r="H2706" s="27">
        <v>5720.34</v>
      </c>
      <c r="I2706" s="17">
        <v>0</v>
      </c>
      <c r="J2706" s="17">
        <v>0</v>
      </c>
      <c r="K2706" s="17">
        <f t="shared" si="470"/>
        <v>5720.34</v>
      </c>
      <c r="L2706" s="23">
        <f t="shared" si="467"/>
        <v>286.017</v>
      </c>
      <c r="M2706" s="34">
        <v>5</v>
      </c>
      <c r="N2706" s="18">
        <f t="shared" si="471"/>
        <v>0.88219178082191785</v>
      </c>
      <c r="O2706" s="23">
        <v>958.82301698630158</v>
      </c>
      <c r="P2706" s="18">
        <f t="shared" si="472"/>
        <v>1.3835616438356164</v>
      </c>
      <c r="Q2706" s="18">
        <f t="shared" si="466"/>
        <v>544.92115561643834</v>
      </c>
      <c r="R2706" s="18">
        <f t="shared" si="468"/>
        <v>1503.74417260274</v>
      </c>
      <c r="S2706" s="18">
        <f t="shared" si="469"/>
        <v>4216.5958273972601</v>
      </c>
    </row>
    <row r="2707" spans="1:19" ht="18.75" customHeight="1" x14ac:dyDescent="0.25">
      <c r="A2707" s="14">
        <f t="shared" si="473"/>
        <v>2701</v>
      </c>
      <c r="B2707" s="28" t="s">
        <v>2285</v>
      </c>
      <c r="C2707" s="15" t="s">
        <v>3</v>
      </c>
      <c r="D2707" s="31" t="s">
        <v>1708</v>
      </c>
      <c r="E2707" s="31"/>
      <c r="F2707" s="73" t="s">
        <v>4</v>
      </c>
      <c r="G2707" s="25">
        <v>43997</v>
      </c>
      <c r="H2707" s="27">
        <v>15381</v>
      </c>
      <c r="I2707" s="17">
        <v>0</v>
      </c>
      <c r="J2707" s="17">
        <v>0</v>
      </c>
      <c r="K2707" s="17">
        <f t="shared" si="470"/>
        <v>15381</v>
      </c>
      <c r="L2707" s="23">
        <f t="shared" si="467"/>
        <v>769.05000000000007</v>
      </c>
      <c r="M2707" s="34">
        <v>5</v>
      </c>
      <c r="N2707" s="18">
        <f t="shared" si="471"/>
        <v>0.79726027397260268</v>
      </c>
      <c r="O2707" s="23">
        <v>2609.9054520547948</v>
      </c>
      <c r="P2707" s="18">
        <f t="shared" si="472"/>
        <v>1.2986301369863014</v>
      </c>
      <c r="Q2707" s="18">
        <f t="shared" si="466"/>
        <v>1465.1982739726029</v>
      </c>
      <c r="R2707" s="18">
        <f t="shared" si="468"/>
        <v>4075.1037260273979</v>
      </c>
      <c r="S2707" s="18">
        <f t="shared" si="469"/>
        <v>11305.896273972601</v>
      </c>
    </row>
    <row r="2708" spans="1:19" ht="18.75" customHeight="1" x14ac:dyDescent="0.25">
      <c r="A2708" s="14">
        <f t="shared" si="473"/>
        <v>2702</v>
      </c>
      <c r="B2708" s="24" t="s">
        <v>2000</v>
      </c>
      <c r="C2708" s="15" t="s">
        <v>3</v>
      </c>
      <c r="D2708" s="31" t="s">
        <v>1708</v>
      </c>
      <c r="E2708" s="31"/>
      <c r="F2708" s="73" t="s">
        <v>4</v>
      </c>
      <c r="G2708" s="25">
        <v>44027</v>
      </c>
      <c r="H2708" s="27">
        <v>1802</v>
      </c>
      <c r="I2708" s="17">
        <v>0</v>
      </c>
      <c r="J2708" s="17">
        <v>0</v>
      </c>
      <c r="K2708" s="17">
        <f t="shared" si="470"/>
        <v>1802</v>
      </c>
      <c r="L2708" s="23">
        <f t="shared" si="467"/>
        <v>90.100000000000009</v>
      </c>
      <c r="M2708" s="34">
        <v>5</v>
      </c>
      <c r="N2708" s="18">
        <f t="shared" si="471"/>
        <v>0.71506849315068488</v>
      </c>
      <c r="O2708" s="23">
        <v>244.82515068493149</v>
      </c>
      <c r="P2708" s="18">
        <f t="shared" si="472"/>
        <v>1.2164383561643837</v>
      </c>
      <c r="Q2708" s="18">
        <f t="shared" si="466"/>
        <v>171.65901369863022</v>
      </c>
      <c r="R2708" s="18">
        <f t="shared" si="468"/>
        <v>416.48416438356173</v>
      </c>
      <c r="S2708" s="18">
        <f t="shared" si="469"/>
        <v>1385.5158356164384</v>
      </c>
    </row>
    <row r="2709" spans="1:19" ht="18.75" customHeight="1" x14ac:dyDescent="0.25">
      <c r="A2709" s="14">
        <f t="shared" si="473"/>
        <v>2703</v>
      </c>
      <c r="B2709" s="28" t="s">
        <v>2286</v>
      </c>
      <c r="C2709" s="15" t="s">
        <v>3</v>
      </c>
      <c r="D2709" s="31" t="s">
        <v>1708</v>
      </c>
      <c r="E2709" s="31"/>
      <c r="F2709" s="73" t="s">
        <v>4</v>
      </c>
      <c r="G2709" s="25">
        <v>44027</v>
      </c>
      <c r="H2709" s="27">
        <v>3203.97</v>
      </c>
      <c r="I2709" s="17">
        <v>0</v>
      </c>
      <c r="J2709" s="17">
        <v>0</v>
      </c>
      <c r="K2709" s="17">
        <f t="shared" si="470"/>
        <v>3203.97</v>
      </c>
      <c r="L2709" s="23">
        <f t="shared" si="467"/>
        <v>160.1985</v>
      </c>
      <c r="M2709" s="34">
        <v>10</v>
      </c>
      <c r="N2709" s="18">
        <f t="shared" si="471"/>
        <v>0.71506849315068488</v>
      </c>
      <c r="O2709" s="23">
        <v>217.65050999999997</v>
      </c>
      <c r="P2709" s="18">
        <f t="shared" si="472"/>
        <v>1.2164383561643837</v>
      </c>
      <c r="Q2709" s="18">
        <f t="shared" si="466"/>
        <v>152.60553000000004</v>
      </c>
      <c r="R2709" s="18">
        <f t="shared" si="468"/>
        <v>370.25603999999998</v>
      </c>
      <c r="S2709" s="18">
        <f t="shared" si="469"/>
        <v>2833.71396</v>
      </c>
    </row>
    <row r="2710" spans="1:19" ht="18.75" customHeight="1" x14ac:dyDescent="0.25">
      <c r="A2710" s="14">
        <f t="shared" si="473"/>
        <v>2704</v>
      </c>
      <c r="B2710" s="14" t="s">
        <v>1840</v>
      </c>
      <c r="C2710" s="15" t="s">
        <v>3</v>
      </c>
      <c r="D2710" s="31" t="s">
        <v>1708</v>
      </c>
      <c r="E2710" s="31"/>
      <c r="F2710" s="73" t="s">
        <v>4</v>
      </c>
      <c r="G2710" s="32">
        <v>41627</v>
      </c>
      <c r="H2710" s="29">
        <v>32467.22</v>
      </c>
      <c r="I2710" s="17">
        <v>0</v>
      </c>
      <c r="J2710" s="17">
        <v>0</v>
      </c>
      <c r="K2710" s="17">
        <f t="shared" si="470"/>
        <v>32467.22</v>
      </c>
      <c r="L2710" s="23">
        <f t="shared" si="467"/>
        <v>1623.3610000000001</v>
      </c>
      <c r="M2710" s="34">
        <v>10</v>
      </c>
      <c r="N2710" s="18">
        <f t="shared" si="471"/>
        <v>7.2904109589041095</v>
      </c>
      <c r="O2710" s="23">
        <v>22486.440766849319</v>
      </c>
      <c r="P2710" s="18">
        <f t="shared" si="472"/>
        <v>7.7917808219178086</v>
      </c>
      <c r="Q2710" s="18">
        <f t="shared" ref="Q2710:Q2773" si="474">(P2710-N2710)/M2710*(K2710-L2710)</f>
        <v>1546.418136164385</v>
      </c>
      <c r="R2710" s="18">
        <f t="shared" si="468"/>
        <v>24032.858903013705</v>
      </c>
      <c r="S2710" s="18">
        <f t="shared" si="469"/>
        <v>8434.3610969862966</v>
      </c>
    </row>
    <row r="2711" spans="1:19" ht="18.75" customHeight="1" x14ac:dyDescent="0.25">
      <c r="A2711" s="14">
        <f t="shared" si="473"/>
        <v>2705</v>
      </c>
      <c r="B2711" s="14" t="s">
        <v>2287</v>
      </c>
      <c r="C2711" s="15" t="s">
        <v>3</v>
      </c>
      <c r="D2711" s="14" t="s">
        <v>2288</v>
      </c>
      <c r="E2711" s="14" t="s">
        <v>2289</v>
      </c>
      <c r="F2711" s="72" t="s">
        <v>17</v>
      </c>
      <c r="G2711" s="32">
        <v>42686</v>
      </c>
      <c r="H2711" s="17">
        <v>38590345.728477307</v>
      </c>
      <c r="I2711" s="17">
        <v>0</v>
      </c>
      <c r="J2711" s="17">
        <v>0</v>
      </c>
      <c r="K2711" s="17">
        <f t="shared" si="470"/>
        <v>38590345.728477307</v>
      </c>
      <c r="L2711" s="23">
        <f t="shared" ref="L2711:L2774" si="475">H2711*0.05</f>
        <v>1929517.2864238655</v>
      </c>
      <c r="M2711" s="42">
        <v>25</v>
      </c>
      <c r="N2711" s="18">
        <f t="shared" si="471"/>
        <v>4.3890410958904109</v>
      </c>
      <c r="O2711" s="23">
        <v>6436235.3056624243</v>
      </c>
      <c r="P2711" s="18">
        <f t="shared" si="472"/>
        <v>4.8904109589041092</v>
      </c>
      <c r="Q2711" s="18">
        <f t="shared" si="474"/>
        <v>735225.38135844108</v>
      </c>
      <c r="R2711" s="18">
        <f t="shared" si="468"/>
        <v>7171460.6870208653</v>
      </c>
      <c r="S2711" s="18">
        <f t="shared" si="469"/>
        <v>31418885.041456442</v>
      </c>
    </row>
    <row r="2712" spans="1:19" ht="18.75" customHeight="1" x14ac:dyDescent="0.25">
      <c r="A2712" s="14">
        <f t="shared" si="473"/>
        <v>2706</v>
      </c>
      <c r="B2712" s="14" t="s">
        <v>2290</v>
      </c>
      <c r="C2712" s="15" t="s">
        <v>3</v>
      </c>
      <c r="D2712" s="14" t="s">
        <v>2288</v>
      </c>
      <c r="E2712" s="14" t="s">
        <v>2289</v>
      </c>
      <c r="F2712" s="72" t="s">
        <v>11</v>
      </c>
      <c r="G2712" s="32">
        <v>42686</v>
      </c>
      <c r="H2712" s="17">
        <v>61914846.3384059</v>
      </c>
      <c r="I2712" s="17">
        <v>0</v>
      </c>
      <c r="J2712" s="17">
        <v>0</v>
      </c>
      <c r="K2712" s="17">
        <f t="shared" si="470"/>
        <v>61914846.3384059</v>
      </c>
      <c r="L2712" s="23">
        <f t="shared" si="475"/>
        <v>3095742.3169202954</v>
      </c>
      <c r="M2712" s="42">
        <v>25</v>
      </c>
      <c r="N2712" s="18">
        <f t="shared" si="471"/>
        <v>4.3890410958904109</v>
      </c>
      <c r="O2712" s="23">
        <v>10326378.59095013</v>
      </c>
      <c r="P2712" s="18">
        <f t="shared" si="472"/>
        <v>4.8904109589041092</v>
      </c>
      <c r="Q2712" s="18">
        <f t="shared" si="474"/>
        <v>1179605.0450336281</v>
      </c>
      <c r="R2712" s="18">
        <f t="shared" si="468"/>
        <v>11505983.635983758</v>
      </c>
      <c r="S2712" s="18">
        <f t="shared" si="469"/>
        <v>50408862.702422142</v>
      </c>
    </row>
    <row r="2713" spans="1:19" ht="18.75" customHeight="1" x14ac:dyDescent="0.25">
      <c r="A2713" s="14">
        <f t="shared" si="473"/>
        <v>2707</v>
      </c>
      <c r="B2713" s="14" t="s">
        <v>2291</v>
      </c>
      <c r="C2713" s="15" t="s">
        <v>3</v>
      </c>
      <c r="D2713" s="14" t="s">
        <v>2288</v>
      </c>
      <c r="E2713" s="14" t="s">
        <v>2289</v>
      </c>
      <c r="F2713" s="72" t="s">
        <v>8</v>
      </c>
      <c r="G2713" s="32">
        <v>42686</v>
      </c>
      <c r="H2713" s="17">
        <v>563328.63730022963</v>
      </c>
      <c r="I2713" s="17">
        <v>0</v>
      </c>
      <c r="J2713" s="17">
        <v>0</v>
      </c>
      <c r="K2713" s="17">
        <f t="shared" si="470"/>
        <v>563328.63730022963</v>
      </c>
      <c r="L2713" s="23">
        <f t="shared" si="475"/>
        <v>28166.431865011484</v>
      </c>
      <c r="M2713" s="42">
        <v>25</v>
      </c>
      <c r="N2713" s="18">
        <f t="shared" si="471"/>
        <v>4.3890410958904109</v>
      </c>
      <c r="O2713" s="23">
        <v>93953.956504900765</v>
      </c>
      <c r="P2713" s="18">
        <f t="shared" si="472"/>
        <v>4.8904109589041092</v>
      </c>
      <c r="Q2713" s="18">
        <f t="shared" si="474"/>
        <v>10732.568065166559</v>
      </c>
      <c r="R2713" s="18">
        <f t="shared" si="468"/>
        <v>104686.52457006733</v>
      </c>
      <c r="S2713" s="18">
        <f t="shared" si="469"/>
        <v>458642.11273016233</v>
      </c>
    </row>
    <row r="2714" spans="1:19" ht="18.75" customHeight="1" x14ac:dyDescent="0.25">
      <c r="A2714" s="14">
        <f t="shared" si="473"/>
        <v>2708</v>
      </c>
      <c r="B2714" s="14" t="s">
        <v>2292</v>
      </c>
      <c r="C2714" s="15" t="s">
        <v>3</v>
      </c>
      <c r="D2714" s="14" t="s">
        <v>2288</v>
      </c>
      <c r="E2714" s="14" t="s">
        <v>2289</v>
      </c>
      <c r="F2714" s="72" t="s">
        <v>8</v>
      </c>
      <c r="G2714" s="32">
        <v>42686</v>
      </c>
      <c r="H2714" s="17">
        <v>32764.204816688882</v>
      </c>
      <c r="I2714" s="17">
        <v>0</v>
      </c>
      <c r="J2714" s="17">
        <v>0</v>
      </c>
      <c r="K2714" s="17">
        <f t="shared" si="470"/>
        <v>32764.204816688882</v>
      </c>
      <c r="L2714" s="23">
        <f t="shared" si="475"/>
        <v>1638.2102408344442</v>
      </c>
      <c r="M2714" s="42">
        <v>25</v>
      </c>
      <c r="N2714" s="18">
        <f t="shared" si="471"/>
        <v>4.3890410958904109</v>
      </c>
      <c r="O2714" s="23">
        <v>5464.5307737554867</v>
      </c>
      <c r="P2714" s="18">
        <f t="shared" si="472"/>
        <v>4.8904109589041092</v>
      </c>
      <c r="Q2714" s="18">
        <f t="shared" si="474"/>
        <v>624.22542546645013</v>
      </c>
      <c r="R2714" s="18">
        <f t="shared" si="468"/>
        <v>6088.7561992219371</v>
      </c>
      <c r="S2714" s="18">
        <f t="shared" si="469"/>
        <v>26675.448617466944</v>
      </c>
    </row>
    <row r="2715" spans="1:19" ht="18.75" customHeight="1" x14ac:dyDescent="0.25">
      <c r="A2715" s="14">
        <f t="shared" si="473"/>
        <v>2709</v>
      </c>
      <c r="B2715" s="14" t="s">
        <v>2293</v>
      </c>
      <c r="C2715" s="15" t="s">
        <v>3</v>
      </c>
      <c r="D2715" s="14" t="s">
        <v>2288</v>
      </c>
      <c r="E2715" s="14" t="s">
        <v>2289</v>
      </c>
      <c r="F2715" s="72" t="s">
        <v>16</v>
      </c>
      <c r="G2715" s="32">
        <v>42686</v>
      </c>
      <c r="H2715" s="17">
        <v>194111707.35598338</v>
      </c>
      <c r="I2715" s="17">
        <v>0</v>
      </c>
      <c r="J2715" s="17">
        <v>0</v>
      </c>
      <c r="K2715" s="17">
        <f t="shared" si="470"/>
        <v>194111707.35598338</v>
      </c>
      <c r="L2715" s="23">
        <f t="shared" si="475"/>
        <v>9705585.3677991685</v>
      </c>
      <c r="M2715" s="42">
        <v>25</v>
      </c>
      <c r="N2715" s="18">
        <f t="shared" si="471"/>
        <v>4.3890410958904109</v>
      </c>
      <c r="O2715" s="23">
        <v>25744241.909596834</v>
      </c>
      <c r="P2715" s="18">
        <f t="shared" si="472"/>
        <v>4.8904109589041092</v>
      </c>
      <c r="Q2715" s="18">
        <f t="shared" si="474"/>
        <v>3698226.8848041296</v>
      </c>
      <c r="R2715" s="18">
        <f t="shared" si="468"/>
        <v>29442468.794400964</v>
      </c>
      <c r="S2715" s="18">
        <f t="shared" si="469"/>
        <v>164669238.56158242</v>
      </c>
    </row>
    <row r="2716" spans="1:19" ht="18.75" customHeight="1" x14ac:dyDescent="0.25">
      <c r="A2716" s="14">
        <f t="shared" si="473"/>
        <v>2710</v>
      </c>
      <c r="B2716" s="14" t="s">
        <v>2294</v>
      </c>
      <c r="C2716" s="15" t="s">
        <v>3</v>
      </c>
      <c r="D2716" s="14" t="s">
        <v>2288</v>
      </c>
      <c r="E2716" s="14" t="s">
        <v>2289</v>
      </c>
      <c r="F2716" s="72" t="s">
        <v>8</v>
      </c>
      <c r="G2716" s="32">
        <v>42686</v>
      </c>
      <c r="H2716" s="17">
        <v>6201123.8138762563</v>
      </c>
      <c r="I2716" s="17">
        <v>0</v>
      </c>
      <c r="J2716" s="17">
        <v>0</v>
      </c>
      <c r="K2716" s="17">
        <f t="shared" si="470"/>
        <v>6201123.8138762563</v>
      </c>
      <c r="L2716" s="23">
        <f t="shared" si="475"/>
        <v>310056.19069381285</v>
      </c>
      <c r="M2716" s="42">
        <v>25</v>
      </c>
      <c r="N2716" s="18">
        <f t="shared" si="471"/>
        <v>4.3890410958904109</v>
      </c>
      <c r="O2716" s="23">
        <v>1034245.5158726877</v>
      </c>
      <c r="P2716" s="18">
        <f t="shared" si="472"/>
        <v>4.8904109589041092</v>
      </c>
      <c r="Q2716" s="18">
        <f t="shared" si="474"/>
        <v>118144.15068957658</v>
      </c>
      <c r="R2716" s="18">
        <f t="shared" si="468"/>
        <v>1152389.6665622643</v>
      </c>
      <c r="S2716" s="18">
        <f t="shared" si="469"/>
        <v>5048734.1473139916</v>
      </c>
    </row>
    <row r="2717" spans="1:19" ht="18.75" customHeight="1" x14ac:dyDescent="0.25">
      <c r="A2717" s="14">
        <f t="shared" si="473"/>
        <v>2711</v>
      </c>
      <c r="B2717" s="14" t="s">
        <v>2295</v>
      </c>
      <c r="C2717" s="15" t="s">
        <v>3</v>
      </c>
      <c r="D2717" s="14" t="s">
        <v>2288</v>
      </c>
      <c r="E2717" s="14" t="s">
        <v>2289</v>
      </c>
      <c r="F2717" s="72" t="s">
        <v>8</v>
      </c>
      <c r="G2717" s="32">
        <v>42686</v>
      </c>
      <c r="H2717" s="17">
        <v>63387508.816070199</v>
      </c>
      <c r="I2717" s="17">
        <v>0</v>
      </c>
      <c r="J2717" s="17">
        <v>0</v>
      </c>
      <c r="K2717" s="17">
        <f t="shared" si="470"/>
        <v>63387508.816070199</v>
      </c>
      <c r="L2717" s="23">
        <f t="shared" si="475"/>
        <v>3169375.4408035101</v>
      </c>
      <c r="M2717" s="42">
        <v>25</v>
      </c>
      <c r="N2717" s="18">
        <f t="shared" si="471"/>
        <v>4.3890410958904109</v>
      </c>
      <c r="O2717" s="23">
        <v>7044241.4840742163</v>
      </c>
      <c r="P2717" s="18">
        <f t="shared" si="472"/>
        <v>4.8904109589041092</v>
      </c>
      <c r="Q2717" s="18">
        <f t="shared" si="474"/>
        <v>1207662.2912519227</v>
      </c>
      <c r="R2717" s="18">
        <f t="shared" si="468"/>
        <v>8251903.7753261393</v>
      </c>
      <c r="S2717" s="18">
        <f t="shared" si="469"/>
        <v>55135605.040744059</v>
      </c>
    </row>
    <row r="2718" spans="1:19" ht="18.75" customHeight="1" x14ac:dyDescent="0.25">
      <c r="A2718" s="14">
        <f t="shared" si="473"/>
        <v>2712</v>
      </c>
      <c r="B2718" s="14" t="s">
        <v>2296</v>
      </c>
      <c r="C2718" s="15" t="s">
        <v>3</v>
      </c>
      <c r="D2718" s="14" t="s">
        <v>2297</v>
      </c>
      <c r="E2718" s="14" t="s">
        <v>2289</v>
      </c>
      <c r="F2718" s="72" t="s">
        <v>4</v>
      </c>
      <c r="G2718" s="32">
        <v>42686</v>
      </c>
      <c r="H2718" s="17">
        <v>35698952.173636384</v>
      </c>
      <c r="I2718" s="17">
        <v>0</v>
      </c>
      <c r="J2718" s="17">
        <v>0</v>
      </c>
      <c r="K2718" s="17">
        <f t="shared" si="470"/>
        <v>35698952.173636384</v>
      </c>
      <c r="L2718" s="23">
        <f t="shared" si="475"/>
        <v>1784947.6086818194</v>
      </c>
      <c r="M2718" s="42">
        <v>60</v>
      </c>
      <c r="N2718" s="18">
        <f t="shared" si="471"/>
        <v>4.3890410958904109</v>
      </c>
      <c r="O2718" s="23">
        <v>1480832.6626966763</v>
      </c>
      <c r="P2718" s="18">
        <f t="shared" si="472"/>
        <v>4.8904109589041092</v>
      </c>
      <c r="Q2718" s="18">
        <f t="shared" si="474"/>
        <v>283390.99704962008</v>
      </c>
      <c r="R2718" s="18">
        <f t="shared" si="468"/>
        <v>1764223.6597462965</v>
      </c>
      <c r="S2718" s="18">
        <f t="shared" si="469"/>
        <v>33934728.513890088</v>
      </c>
    </row>
    <row r="2719" spans="1:19" ht="18.75" customHeight="1" x14ac:dyDescent="0.25">
      <c r="A2719" s="14">
        <f t="shared" si="473"/>
        <v>2713</v>
      </c>
      <c r="B2719" s="14" t="s">
        <v>2298</v>
      </c>
      <c r="C2719" s="15" t="s">
        <v>3</v>
      </c>
      <c r="D2719" s="14" t="s">
        <v>2288</v>
      </c>
      <c r="E2719" s="14" t="s">
        <v>2289</v>
      </c>
      <c r="F2719" s="72" t="s">
        <v>4</v>
      </c>
      <c r="G2719" s="32">
        <v>43110</v>
      </c>
      <c r="H2719" s="17">
        <v>1370151.7480803938</v>
      </c>
      <c r="I2719" s="17">
        <v>0</v>
      </c>
      <c r="J2719" s="17">
        <v>0</v>
      </c>
      <c r="K2719" s="17">
        <f t="shared" si="470"/>
        <v>1370151.7480803938</v>
      </c>
      <c r="L2719" s="23">
        <f t="shared" si="475"/>
        <v>68507.587404019694</v>
      </c>
      <c r="M2719" s="42">
        <v>25</v>
      </c>
      <c r="N2719" s="18">
        <f t="shared" si="471"/>
        <v>3.2273972602739724</v>
      </c>
      <c r="O2719" s="23">
        <v>168036.91192074178</v>
      </c>
      <c r="P2719" s="18">
        <f t="shared" si="472"/>
        <v>3.7287671232876711</v>
      </c>
      <c r="Q2719" s="18">
        <f t="shared" si="474"/>
        <v>26104.206181235779</v>
      </c>
      <c r="R2719" s="18">
        <f t="shared" si="468"/>
        <v>194141.11810197757</v>
      </c>
      <c r="S2719" s="18">
        <f t="shared" si="469"/>
        <v>1176010.6299784163</v>
      </c>
    </row>
    <row r="2720" spans="1:19" ht="18.75" customHeight="1" x14ac:dyDescent="0.25">
      <c r="A2720" s="14">
        <f t="shared" si="473"/>
        <v>2714</v>
      </c>
      <c r="B2720" s="14" t="s">
        <v>2299</v>
      </c>
      <c r="C2720" s="15" t="s">
        <v>3</v>
      </c>
      <c r="D2720" s="14" t="s">
        <v>2288</v>
      </c>
      <c r="E2720" s="14" t="s">
        <v>2289</v>
      </c>
      <c r="F2720" s="72" t="s">
        <v>4</v>
      </c>
      <c r="G2720" s="32">
        <v>43110</v>
      </c>
      <c r="H2720" s="17">
        <v>1320854.1210444733</v>
      </c>
      <c r="I2720" s="17">
        <v>0</v>
      </c>
      <c r="J2720" s="17">
        <v>0</v>
      </c>
      <c r="K2720" s="17">
        <f t="shared" si="470"/>
        <v>1320854.1210444733</v>
      </c>
      <c r="L2720" s="23">
        <f t="shared" si="475"/>
        <v>66042.706052223672</v>
      </c>
      <c r="M2720" s="42">
        <v>25</v>
      </c>
      <c r="N2720" s="18">
        <f t="shared" si="471"/>
        <v>3.2273972602739724</v>
      </c>
      <c r="O2720" s="23">
        <v>161990.99691625973</v>
      </c>
      <c r="P2720" s="18">
        <f t="shared" si="472"/>
        <v>3.7287671232876711</v>
      </c>
      <c r="Q2720" s="18">
        <f t="shared" si="474"/>
        <v>25164.985089707581</v>
      </c>
      <c r="R2720" s="18">
        <f t="shared" si="468"/>
        <v>187155.98200596729</v>
      </c>
      <c r="S2720" s="18">
        <f t="shared" si="469"/>
        <v>1133698.139038506</v>
      </c>
    </row>
    <row r="2721" spans="1:19" ht="18.75" customHeight="1" x14ac:dyDescent="0.25">
      <c r="A2721" s="14">
        <f t="shared" si="473"/>
        <v>2715</v>
      </c>
      <c r="B2721" s="14" t="s">
        <v>2300</v>
      </c>
      <c r="C2721" s="15" t="s">
        <v>3</v>
      </c>
      <c r="D2721" s="14" t="s">
        <v>2288</v>
      </c>
      <c r="E2721" s="14" t="s">
        <v>2289</v>
      </c>
      <c r="F2721" s="72" t="s">
        <v>4</v>
      </c>
      <c r="G2721" s="32">
        <v>43110</v>
      </c>
      <c r="H2721" s="17">
        <v>90811.889669272161</v>
      </c>
      <c r="I2721" s="17">
        <v>0</v>
      </c>
      <c r="J2721" s="17">
        <v>0</v>
      </c>
      <c r="K2721" s="17">
        <f t="shared" si="470"/>
        <v>90811.889669272161</v>
      </c>
      <c r="L2721" s="23">
        <f t="shared" si="475"/>
        <v>4540.5944834636084</v>
      </c>
      <c r="M2721" s="42">
        <v>25</v>
      </c>
      <c r="N2721" s="18">
        <f t="shared" si="471"/>
        <v>3.2273972602739724</v>
      </c>
      <c r="O2721" s="23">
        <v>11137.269668918629</v>
      </c>
      <c r="P2721" s="18">
        <f t="shared" si="472"/>
        <v>3.7287671232876711</v>
      </c>
      <c r="Q2721" s="18">
        <f t="shared" si="474"/>
        <v>1730.1530979729278</v>
      </c>
      <c r="R2721" s="18">
        <f t="shared" si="468"/>
        <v>12867.422766891556</v>
      </c>
      <c r="S2721" s="18">
        <f t="shared" si="469"/>
        <v>77944.466902380605</v>
      </c>
    </row>
    <row r="2722" spans="1:19" ht="18.75" customHeight="1" x14ac:dyDescent="0.25">
      <c r="A2722" s="14">
        <f t="shared" si="473"/>
        <v>2716</v>
      </c>
      <c r="B2722" s="14" t="s">
        <v>2301</v>
      </c>
      <c r="C2722" s="15" t="s">
        <v>3</v>
      </c>
      <c r="D2722" s="14" t="s">
        <v>2288</v>
      </c>
      <c r="E2722" s="14" t="s">
        <v>2289</v>
      </c>
      <c r="F2722" s="72" t="s">
        <v>16</v>
      </c>
      <c r="G2722" s="32">
        <v>43110</v>
      </c>
      <c r="H2722" s="17">
        <v>67529.685803980654</v>
      </c>
      <c r="I2722" s="17">
        <v>0</v>
      </c>
      <c r="J2722" s="17">
        <v>0</v>
      </c>
      <c r="K2722" s="17">
        <f t="shared" si="470"/>
        <v>67529.685803980654</v>
      </c>
      <c r="L2722" s="23">
        <f t="shared" si="475"/>
        <v>3376.4842901990328</v>
      </c>
      <c r="M2722" s="42">
        <v>25</v>
      </c>
      <c r="N2722" s="18">
        <f t="shared" si="471"/>
        <v>3.2273972602739724</v>
      </c>
      <c r="O2722" s="23">
        <v>8281.9146721353136</v>
      </c>
      <c r="P2722" s="18">
        <f t="shared" si="472"/>
        <v>3.7287671232876711</v>
      </c>
      <c r="Q2722" s="18">
        <f t="shared" si="474"/>
        <v>1286.5792741941957</v>
      </c>
      <c r="R2722" s="18">
        <f t="shared" si="468"/>
        <v>9568.4939463295086</v>
      </c>
      <c r="S2722" s="18">
        <f t="shared" si="469"/>
        <v>57961.191857651145</v>
      </c>
    </row>
    <row r="2723" spans="1:19" ht="18.75" customHeight="1" x14ac:dyDescent="0.25">
      <c r="A2723" s="14">
        <f t="shared" si="473"/>
        <v>2717</v>
      </c>
      <c r="B2723" s="14" t="s">
        <v>2302</v>
      </c>
      <c r="C2723" s="15" t="s">
        <v>3</v>
      </c>
      <c r="D2723" s="14" t="s">
        <v>2288</v>
      </c>
      <c r="E2723" s="14" t="s">
        <v>2289</v>
      </c>
      <c r="F2723" s="72" t="s">
        <v>4</v>
      </c>
      <c r="G2723" s="32">
        <v>43110</v>
      </c>
      <c r="H2723" s="17">
        <v>742797.04862930847</v>
      </c>
      <c r="I2723" s="17">
        <v>0</v>
      </c>
      <c r="J2723" s="17">
        <v>0</v>
      </c>
      <c r="K2723" s="17">
        <f t="shared" si="470"/>
        <v>742797.04862930847</v>
      </c>
      <c r="L2723" s="23">
        <f t="shared" si="475"/>
        <v>37139.852431465428</v>
      </c>
      <c r="M2723" s="42">
        <v>25</v>
      </c>
      <c r="N2723" s="18">
        <f t="shared" si="471"/>
        <v>3.2273972602739724</v>
      </c>
      <c r="O2723" s="23">
        <v>91097.444068061275</v>
      </c>
      <c r="P2723" s="18">
        <f t="shared" si="472"/>
        <v>3.7287671232876711</v>
      </c>
      <c r="Q2723" s="18">
        <f t="shared" si="474"/>
        <v>14151.81007169373</v>
      </c>
      <c r="R2723" s="18">
        <f t="shared" si="468"/>
        <v>105249.25413975501</v>
      </c>
      <c r="S2723" s="18">
        <f t="shared" si="469"/>
        <v>637547.79448955343</v>
      </c>
    </row>
    <row r="2724" spans="1:19" ht="18.75" customHeight="1" x14ac:dyDescent="0.25">
      <c r="A2724" s="14">
        <f t="shared" si="473"/>
        <v>2718</v>
      </c>
      <c r="B2724" s="14" t="s">
        <v>2303</v>
      </c>
      <c r="C2724" s="15" t="s">
        <v>3</v>
      </c>
      <c r="D2724" s="14" t="s">
        <v>2288</v>
      </c>
      <c r="E2724" s="14" t="s">
        <v>2289</v>
      </c>
      <c r="F2724" s="72" t="s">
        <v>8</v>
      </c>
      <c r="G2724" s="32">
        <v>43110</v>
      </c>
      <c r="H2724" s="17">
        <v>621357.85047094757</v>
      </c>
      <c r="I2724" s="17">
        <v>0</v>
      </c>
      <c r="J2724" s="17">
        <v>0</v>
      </c>
      <c r="K2724" s="17">
        <f t="shared" si="470"/>
        <v>621357.85047094757</v>
      </c>
      <c r="L2724" s="23">
        <f t="shared" si="475"/>
        <v>31067.89252354738</v>
      </c>
      <c r="M2724" s="42">
        <v>25</v>
      </c>
      <c r="N2724" s="18">
        <f t="shared" si="471"/>
        <v>3.2273972602739724</v>
      </c>
      <c r="O2724" s="23">
        <v>76204.007721867107</v>
      </c>
      <c r="P2724" s="18">
        <f t="shared" si="472"/>
        <v>3.7287671232876711</v>
      </c>
      <c r="Q2724" s="18">
        <f t="shared" si="474"/>
        <v>11838.143814177998</v>
      </c>
      <c r="R2724" s="18">
        <f t="shared" si="468"/>
        <v>88042.151536045101</v>
      </c>
      <c r="S2724" s="18">
        <f t="shared" si="469"/>
        <v>533315.69893490244</v>
      </c>
    </row>
    <row r="2725" spans="1:19" ht="18.75" customHeight="1" x14ac:dyDescent="0.25">
      <c r="A2725" s="14">
        <f t="shared" si="473"/>
        <v>2719</v>
      </c>
      <c r="B2725" s="14" t="s">
        <v>2304</v>
      </c>
      <c r="C2725" s="15" t="s">
        <v>3</v>
      </c>
      <c r="D2725" s="14" t="s">
        <v>2288</v>
      </c>
      <c r="E2725" s="14" t="s">
        <v>2289</v>
      </c>
      <c r="F2725" s="72" t="s">
        <v>8</v>
      </c>
      <c r="G2725" s="32">
        <v>43110</v>
      </c>
      <c r="H2725" s="17">
        <v>863666.62265350274</v>
      </c>
      <c r="I2725" s="17">
        <v>0</v>
      </c>
      <c r="J2725" s="17">
        <v>0</v>
      </c>
      <c r="K2725" s="17">
        <f t="shared" si="470"/>
        <v>863666.62265350274</v>
      </c>
      <c r="L2725" s="23">
        <f t="shared" si="475"/>
        <v>43183.331132675143</v>
      </c>
      <c r="M2725" s="42">
        <v>25</v>
      </c>
      <c r="N2725" s="18">
        <f t="shared" si="471"/>
        <v>3.2273972602739724</v>
      </c>
      <c r="O2725" s="23">
        <v>105921.0210861956</v>
      </c>
      <c r="P2725" s="18">
        <f t="shared" si="472"/>
        <v>3.7287671232876711</v>
      </c>
      <c r="Q2725" s="18">
        <f t="shared" si="474"/>
        <v>16454.623818993037</v>
      </c>
      <c r="R2725" s="18">
        <f t="shared" si="468"/>
        <v>122375.64490518864</v>
      </c>
      <c r="S2725" s="18">
        <f t="shared" si="469"/>
        <v>741290.97774831415</v>
      </c>
    </row>
    <row r="2726" spans="1:19" ht="18.75" customHeight="1" x14ac:dyDescent="0.25">
      <c r="A2726" s="14">
        <f t="shared" si="473"/>
        <v>2720</v>
      </c>
      <c r="B2726" s="14" t="s">
        <v>2305</v>
      </c>
      <c r="C2726" s="15" t="s">
        <v>3</v>
      </c>
      <c r="D2726" s="14" t="s">
        <v>2297</v>
      </c>
      <c r="E2726" s="14" t="s">
        <v>2289</v>
      </c>
      <c r="F2726" s="72" t="s">
        <v>6</v>
      </c>
      <c r="G2726" s="32">
        <v>43110</v>
      </c>
      <c r="H2726" s="17">
        <v>1631265.2124030164</v>
      </c>
      <c r="I2726" s="17">
        <v>0</v>
      </c>
      <c r="J2726" s="17">
        <v>0</v>
      </c>
      <c r="K2726" s="17">
        <f t="shared" si="470"/>
        <v>1631265.2124030164</v>
      </c>
      <c r="L2726" s="23">
        <f t="shared" si="475"/>
        <v>81563.260620150832</v>
      </c>
      <c r="M2726" s="42">
        <v>30</v>
      </c>
      <c r="N2726" s="18">
        <f t="shared" si="471"/>
        <v>3.2273972602739724</v>
      </c>
      <c r="O2726" s="23">
        <v>166716.79444750826</v>
      </c>
      <c r="P2726" s="18">
        <f t="shared" si="472"/>
        <v>3.7287671232876711</v>
      </c>
      <c r="Q2726" s="18">
        <f t="shared" si="474"/>
        <v>25899.128509247894</v>
      </c>
      <c r="R2726" s="18">
        <f t="shared" si="468"/>
        <v>192615.92295675614</v>
      </c>
      <c r="S2726" s="18">
        <f t="shared" si="469"/>
        <v>1438649.2894462603</v>
      </c>
    </row>
    <row r="2727" spans="1:19" ht="18.75" customHeight="1" x14ac:dyDescent="0.25">
      <c r="A2727" s="14">
        <f t="shared" si="473"/>
        <v>2721</v>
      </c>
      <c r="B2727" s="14" t="s">
        <v>2306</v>
      </c>
      <c r="C2727" s="15" t="s">
        <v>3</v>
      </c>
      <c r="D2727" s="14" t="s">
        <v>2288</v>
      </c>
      <c r="E2727" s="14" t="s">
        <v>2289</v>
      </c>
      <c r="F2727" s="72" t="s">
        <v>16</v>
      </c>
      <c r="G2727" s="32">
        <v>43110</v>
      </c>
      <c r="H2727" s="17">
        <v>1669723.0612451052</v>
      </c>
      <c r="I2727" s="17">
        <v>0</v>
      </c>
      <c r="J2727" s="17">
        <v>0</v>
      </c>
      <c r="K2727" s="17">
        <f t="shared" si="470"/>
        <v>1669723.0612451052</v>
      </c>
      <c r="L2727" s="23">
        <f t="shared" si="475"/>
        <v>83486.153062255267</v>
      </c>
      <c r="M2727" s="42">
        <v>25</v>
      </c>
      <c r="N2727" s="18">
        <f t="shared" si="471"/>
        <v>3.2273972602739724</v>
      </c>
      <c r="O2727" s="23">
        <v>204776.6660645915</v>
      </c>
      <c r="P2727" s="18">
        <f t="shared" si="472"/>
        <v>3.7287671232876711</v>
      </c>
      <c r="Q2727" s="18">
        <f t="shared" si="474"/>
        <v>31811.655254516332</v>
      </c>
      <c r="R2727" s="18">
        <f t="shared" si="468"/>
        <v>236588.32131910784</v>
      </c>
      <c r="S2727" s="18">
        <f t="shared" si="469"/>
        <v>1433134.7399259973</v>
      </c>
    </row>
    <row r="2728" spans="1:19" ht="18.75" customHeight="1" x14ac:dyDescent="0.25">
      <c r="A2728" s="14">
        <f t="shared" si="473"/>
        <v>2722</v>
      </c>
      <c r="B2728" s="14" t="s">
        <v>2307</v>
      </c>
      <c r="C2728" s="15" t="s">
        <v>3</v>
      </c>
      <c r="D2728" s="14" t="s">
        <v>2297</v>
      </c>
      <c r="E2728" s="14" t="s">
        <v>2289</v>
      </c>
      <c r="F2728" s="72" t="s">
        <v>11</v>
      </c>
      <c r="G2728" s="32">
        <v>43157</v>
      </c>
      <c r="H2728" s="17">
        <v>554918.04</v>
      </c>
      <c r="I2728" s="17">
        <v>0</v>
      </c>
      <c r="J2728" s="17">
        <v>0</v>
      </c>
      <c r="K2728" s="17">
        <f t="shared" si="470"/>
        <v>554918.04</v>
      </c>
      <c r="L2728" s="23">
        <f t="shared" si="475"/>
        <v>27745.902000000002</v>
      </c>
      <c r="M2728" s="42">
        <v>30</v>
      </c>
      <c r="N2728" s="18">
        <f t="shared" si="471"/>
        <v>3.0986301369863014</v>
      </c>
      <c r="O2728" s="23">
        <v>54450.382472876721</v>
      </c>
      <c r="P2728" s="18">
        <f t="shared" si="472"/>
        <v>3.6</v>
      </c>
      <c r="Q2728" s="18">
        <f t="shared" si="474"/>
        <v>8810.2740871232891</v>
      </c>
      <c r="R2728" s="18">
        <f t="shared" si="468"/>
        <v>63260.65656000001</v>
      </c>
      <c r="S2728" s="18">
        <f t="shared" si="469"/>
        <v>491657.38344000001</v>
      </c>
    </row>
    <row r="2729" spans="1:19" ht="18.75" customHeight="1" x14ac:dyDescent="0.25">
      <c r="A2729" s="14">
        <f t="shared" si="473"/>
        <v>2723</v>
      </c>
      <c r="B2729" s="14" t="s">
        <v>2308</v>
      </c>
      <c r="C2729" s="15" t="s">
        <v>3</v>
      </c>
      <c r="D2729" s="14" t="s">
        <v>2297</v>
      </c>
      <c r="E2729" s="14" t="s">
        <v>2289</v>
      </c>
      <c r="F2729" s="72" t="s">
        <v>4</v>
      </c>
      <c r="G2729" s="32">
        <v>43524</v>
      </c>
      <c r="H2729" s="17">
        <v>137014.56776788118</v>
      </c>
      <c r="I2729" s="17">
        <v>0</v>
      </c>
      <c r="J2729" s="17">
        <v>0</v>
      </c>
      <c r="K2729" s="17">
        <f t="shared" si="470"/>
        <v>137014.56776788118</v>
      </c>
      <c r="L2729" s="23">
        <f t="shared" si="475"/>
        <v>6850.728388394059</v>
      </c>
      <c r="M2729" s="42">
        <v>60</v>
      </c>
      <c r="N2729" s="18">
        <f t="shared" si="471"/>
        <v>2.0931506849315067</v>
      </c>
      <c r="O2729" s="23">
        <v>4540.8754925081348</v>
      </c>
      <c r="P2729" s="18">
        <f t="shared" si="472"/>
        <v>2.5945205479452054</v>
      </c>
      <c r="Q2729" s="18">
        <f t="shared" si="474"/>
        <v>1087.6704386505089</v>
      </c>
      <c r="R2729" s="18">
        <f t="shared" si="468"/>
        <v>5628.5459311586437</v>
      </c>
      <c r="S2729" s="18">
        <f t="shared" si="469"/>
        <v>131386.02183672253</v>
      </c>
    </row>
    <row r="2730" spans="1:19" ht="18.75" customHeight="1" x14ac:dyDescent="0.25">
      <c r="A2730" s="14">
        <f t="shared" si="473"/>
        <v>2724</v>
      </c>
      <c r="B2730" s="14" t="s">
        <v>2309</v>
      </c>
      <c r="C2730" s="15" t="s">
        <v>3</v>
      </c>
      <c r="D2730" s="14" t="s">
        <v>2288</v>
      </c>
      <c r="E2730" s="14" t="s">
        <v>2289</v>
      </c>
      <c r="F2730" s="72" t="s">
        <v>4</v>
      </c>
      <c r="G2730" s="32">
        <v>43524</v>
      </c>
      <c r="H2730" s="17">
        <v>262230.49893719709</v>
      </c>
      <c r="I2730" s="17">
        <v>0</v>
      </c>
      <c r="J2730" s="17">
        <v>0</v>
      </c>
      <c r="K2730" s="17">
        <f t="shared" si="470"/>
        <v>262230.49893719709</v>
      </c>
      <c r="L2730" s="23">
        <f t="shared" si="475"/>
        <v>13111.524946859856</v>
      </c>
      <c r="M2730" s="42">
        <v>25</v>
      </c>
      <c r="N2730" s="18">
        <f t="shared" si="471"/>
        <v>2.0931506849315067</v>
      </c>
      <c r="O2730" s="23">
        <v>20857.742041492344</v>
      </c>
      <c r="P2730" s="18">
        <f t="shared" si="472"/>
        <v>2.5945205479452054</v>
      </c>
      <c r="Q2730" s="18">
        <f t="shared" si="474"/>
        <v>4996.0298345459414</v>
      </c>
      <c r="R2730" s="18">
        <f t="shared" si="468"/>
        <v>25853.771876038285</v>
      </c>
      <c r="S2730" s="18">
        <f t="shared" si="469"/>
        <v>236376.7270611588</v>
      </c>
    </row>
    <row r="2731" spans="1:19" ht="18.75" customHeight="1" x14ac:dyDescent="0.25">
      <c r="A2731" s="14">
        <f t="shared" si="473"/>
        <v>2725</v>
      </c>
      <c r="B2731" s="14" t="s">
        <v>2310</v>
      </c>
      <c r="C2731" s="15" t="s">
        <v>3</v>
      </c>
      <c r="D2731" s="14" t="s">
        <v>2288</v>
      </c>
      <c r="E2731" s="14" t="s">
        <v>2289</v>
      </c>
      <c r="F2731" s="72" t="s">
        <v>4</v>
      </c>
      <c r="G2731" s="32">
        <v>43524</v>
      </c>
      <c r="H2731" s="17">
        <v>4124995.6047767308</v>
      </c>
      <c r="I2731" s="17">
        <v>0</v>
      </c>
      <c r="J2731" s="17">
        <v>0</v>
      </c>
      <c r="K2731" s="17">
        <f t="shared" si="470"/>
        <v>4124995.6047767308</v>
      </c>
      <c r="L2731" s="23">
        <f t="shared" si="475"/>
        <v>206249.78023883654</v>
      </c>
      <c r="M2731" s="42">
        <v>25</v>
      </c>
      <c r="N2731" s="18">
        <f t="shared" si="471"/>
        <v>2.0931506849315067</v>
      </c>
      <c r="O2731" s="23">
        <v>328101.02026815899</v>
      </c>
      <c r="P2731" s="18">
        <f t="shared" si="472"/>
        <v>2.5945205479452054</v>
      </c>
      <c r="Q2731" s="18">
        <f t="shared" si="474"/>
        <v>78589.642289362702</v>
      </c>
      <c r="R2731" s="18">
        <f t="shared" si="468"/>
        <v>406690.66255752172</v>
      </c>
      <c r="S2731" s="18">
        <f t="shared" si="469"/>
        <v>3718304.9422192089</v>
      </c>
    </row>
    <row r="2732" spans="1:19" ht="18.75" customHeight="1" x14ac:dyDescent="0.25">
      <c r="A2732" s="14">
        <f t="shared" si="473"/>
        <v>2726</v>
      </c>
      <c r="B2732" s="14" t="s">
        <v>2310</v>
      </c>
      <c r="C2732" s="15" t="s">
        <v>3</v>
      </c>
      <c r="D2732" s="14" t="s">
        <v>2288</v>
      </c>
      <c r="E2732" s="14" t="s">
        <v>2289</v>
      </c>
      <c r="F2732" s="72" t="s">
        <v>4</v>
      </c>
      <c r="G2732" s="32">
        <v>43549</v>
      </c>
      <c r="H2732" s="17">
        <v>983592.44624098809</v>
      </c>
      <c r="I2732" s="17">
        <v>0</v>
      </c>
      <c r="J2732" s="17">
        <v>0</v>
      </c>
      <c r="K2732" s="17">
        <f t="shared" si="470"/>
        <v>983592.44624098809</v>
      </c>
      <c r="L2732" s="23">
        <f t="shared" si="475"/>
        <v>49179.622312049411</v>
      </c>
      <c r="M2732" s="42">
        <v>25</v>
      </c>
      <c r="N2732" s="18">
        <f t="shared" si="471"/>
        <v>2.0246575342465754</v>
      </c>
      <c r="O2732" s="23">
        <v>75674.638562573775</v>
      </c>
      <c r="P2732" s="18">
        <f t="shared" si="472"/>
        <v>2.526027397260274</v>
      </c>
      <c r="Q2732" s="18">
        <f t="shared" si="474"/>
        <v>18739.457181259811</v>
      </c>
      <c r="R2732" s="18">
        <f t="shared" si="468"/>
        <v>94414.09574383359</v>
      </c>
      <c r="S2732" s="18">
        <f t="shared" si="469"/>
        <v>889178.35049715452</v>
      </c>
    </row>
    <row r="2733" spans="1:19" ht="18.75" customHeight="1" x14ac:dyDescent="0.25">
      <c r="A2733" s="14">
        <f t="shared" si="473"/>
        <v>2727</v>
      </c>
      <c r="B2733" s="14" t="s">
        <v>2311</v>
      </c>
      <c r="C2733" s="15" t="s">
        <v>3</v>
      </c>
      <c r="D2733" s="14" t="s">
        <v>2297</v>
      </c>
      <c r="E2733" s="14" t="s">
        <v>2289</v>
      </c>
      <c r="F2733" s="72" t="s">
        <v>4</v>
      </c>
      <c r="G2733" s="32">
        <v>43549</v>
      </c>
      <c r="H2733" s="17">
        <v>29901.904732690171</v>
      </c>
      <c r="I2733" s="17">
        <v>0</v>
      </c>
      <c r="J2733" s="17">
        <v>0</v>
      </c>
      <c r="K2733" s="17">
        <f t="shared" si="470"/>
        <v>29901.904732690171</v>
      </c>
      <c r="L2733" s="23">
        <f t="shared" si="475"/>
        <v>1495.0952366345086</v>
      </c>
      <c r="M2733" s="42">
        <v>25</v>
      </c>
      <c r="N2733" s="18">
        <f t="shared" si="471"/>
        <v>2.0246575342465754</v>
      </c>
      <c r="O2733" s="23">
        <v>2300.56243480385</v>
      </c>
      <c r="P2733" s="18">
        <f t="shared" si="472"/>
        <v>2.526027397260274</v>
      </c>
      <c r="Q2733" s="18">
        <f t="shared" si="474"/>
        <v>569.69272742774649</v>
      </c>
      <c r="R2733" s="18">
        <f t="shared" si="468"/>
        <v>2870.2551622315964</v>
      </c>
      <c r="S2733" s="18">
        <f t="shared" si="469"/>
        <v>27031.649570458576</v>
      </c>
    </row>
    <row r="2734" spans="1:19" ht="18.75" customHeight="1" x14ac:dyDescent="0.25">
      <c r="A2734" s="14">
        <f t="shared" si="473"/>
        <v>2728</v>
      </c>
      <c r="B2734" s="14" t="s">
        <v>2312</v>
      </c>
      <c r="C2734" s="15" t="s">
        <v>3</v>
      </c>
      <c r="D2734" s="14" t="s">
        <v>2288</v>
      </c>
      <c r="E2734" s="14" t="s">
        <v>2289</v>
      </c>
      <c r="F2734" s="72" t="s">
        <v>16</v>
      </c>
      <c r="G2734" s="32">
        <v>43549</v>
      </c>
      <c r="H2734" s="17">
        <v>10106897.839712735</v>
      </c>
      <c r="I2734" s="17">
        <v>0</v>
      </c>
      <c r="J2734" s="17">
        <v>0</v>
      </c>
      <c r="K2734" s="17">
        <f t="shared" si="470"/>
        <v>10106897.839712735</v>
      </c>
      <c r="L2734" s="23">
        <f t="shared" si="475"/>
        <v>505344.89198563679</v>
      </c>
      <c r="M2734" s="42">
        <v>25</v>
      </c>
      <c r="N2734" s="18">
        <f t="shared" si="471"/>
        <v>2.0246575342465754</v>
      </c>
      <c r="O2734" s="23">
        <v>777594.26064332342</v>
      </c>
      <c r="P2734" s="18">
        <f t="shared" si="472"/>
        <v>2.526027397260274</v>
      </c>
      <c r="Q2734" s="18">
        <f t="shared" si="474"/>
        <v>192557.17144482839</v>
      </c>
      <c r="R2734" s="18">
        <f t="shared" si="468"/>
        <v>970151.43208815181</v>
      </c>
      <c r="S2734" s="18">
        <f t="shared" si="469"/>
        <v>9136746.4076245837</v>
      </c>
    </row>
    <row r="2735" spans="1:19" ht="18.75" customHeight="1" x14ac:dyDescent="0.25">
      <c r="A2735" s="14">
        <f t="shared" si="473"/>
        <v>2729</v>
      </c>
      <c r="B2735" s="14" t="s">
        <v>2313</v>
      </c>
      <c r="C2735" s="15" t="s">
        <v>3</v>
      </c>
      <c r="D2735" s="14" t="s">
        <v>2288</v>
      </c>
      <c r="E2735" s="14" t="s">
        <v>2289</v>
      </c>
      <c r="F2735" s="72" t="s">
        <v>8</v>
      </c>
      <c r="G2735" s="32">
        <v>43549</v>
      </c>
      <c r="H2735" s="17">
        <v>562292.73003453086</v>
      </c>
      <c r="I2735" s="17">
        <v>0</v>
      </c>
      <c r="J2735" s="17">
        <v>0</v>
      </c>
      <c r="K2735" s="17">
        <f t="shared" si="470"/>
        <v>562292.73003453086</v>
      </c>
      <c r="L2735" s="23">
        <f t="shared" si="475"/>
        <v>28114.636501726545</v>
      </c>
      <c r="M2735" s="42">
        <v>25</v>
      </c>
      <c r="N2735" s="18">
        <f t="shared" si="471"/>
        <v>2.0246575342465754</v>
      </c>
      <c r="O2735" s="23">
        <v>43261.108068026559</v>
      </c>
      <c r="P2735" s="18">
        <f t="shared" si="472"/>
        <v>2.526027397260274</v>
      </c>
      <c r="Q2735" s="18">
        <f t="shared" si="474"/>
        <v>10712.831903178432</v>
      </c>
      <c r="R2735" s="18">
        <f t="shared" si="468"/>
        <v>53973.939971204993</v>
      </c>
      <c r="S2735" s="18">
        <f t="shared" si="469"/>
        <v>508318.7900633259</v>
      </c>
    </row>
    <row r="2736" spans="1:19" ht="18.75" customHeight="1" x14ac:dyDescent="0.25">
      <c r="A2736" s="14">
        <f t="shared" si="473"/>
        <v>2730</v>
      </c>
      <c r="B2736" s="14" t="s">
        <v>2314</v>
      </c>
      <c r="C2736" s="15" t="s">
        <v>3</v>
      </c>
      <c r="D2736" s="14" t="s">
        <v>2297</v>
      </c>
      <c r="E2736" s="14" t="s">
        <v>2289</v>
      </c>
      <c r="F2736" s="72" t="s">
        <v>6</v>
      </c>
      <c r="G2736" s="32">
        <v>43549</v>
      </c>
      <c r="H2736" s="17">
        <v>2963165.375683065</v>
      </c>
      <c r="I2736" s="17">
        <v>0</v>
      </c>
      <c r="J2736" s="17">
        <v>0</v>
      </c>
      <c r="K2736" s="17">
        <f t="shared" si="470"/>
        <v>2963165.375683065</v>
      </c>
      <c r="L2736" s="23">
        <f t="shared" si="475"/>
        <v>148158.26878415325</v>
      </c>
      <c r="M2736" s="42">
        <v>25</v>
      </c>
      <c r="N2736" s="18">
        <f t="shared" si="471"/>
        <v>2.0246575342465754</v>
      </c>
      <c r="O2736" s="23">
        <v>227977.01391762146</v>
      </c>
      <c r="P2736" s="18">
        <f t="shared" si="472"/>
        <v>2.526027397260274</v>
      </c>
      <c r="Q2736" s="18">
        <f t="shared" si="474"/>
        <v>56454.38910273982</v>
      </c>
      <c r="R2736" s="18">
        <f t="shared" si="468"/>
        <v>284431.40302036126</v>
      </c>
      <c r="S2736" s="18">
        <f t="shared" si="469"/>
        <v>2678733.9726627036</v>
      </c>
    </row>
    <row r="2737" spans="1:19" ht="18.75" customHeight="1" x14ac:dyDescent="0.25">
      <c r="A2737" s="14">
        <f t="shared" si="473"/>
        <v>2731</v>
      </c>
      <c r="B2737" s="14" t="s">
        <v>2315</v>
      </c>
      <c r="C2737" s="15" t="s">
        <v>3</v>
      </c>
      <c r="D2737" s="14" t="s">
        <v>2297</v>
      </c>
      <c r="E2737" s="14" t="s">
        <v>2289</v>
      </c>
      <c r="F2737" s="72" t="s">
        <v>8</v>
      </c>
      <c r="G2737" s="32">
        <v>43549</v>
      </c>
      <c r="H2737" s="17">
        <v>291453.34912042896</v>
      </c>
      <c r="I2737" s="17">
        <v>0</v>
      </c>
      <c r="J2737" s="17">
        <v>0</v>
      </c>
      <c r="K2737" s="17">
        <f t="shared" si="470"/>
        <v>291453.34912042896</v>
      </c>
      <c r="L2737" s="23">
        <f t="shared" si="475"/>
        <v>14572.667456021449</v>
      </c>
      <c r="M2737" s="42">
        <v>25</v>
      </c>
      <c r="N2737" s="18">
        <f t="shared" si="471"/>
        <v>2.0246575342465754</v>
      </c>
      <c r="O2737" s="23">
        <v>22423.542328766809</v>
      </c>
      <c r="P2737" s="18">
        <f t="shared" si="472"/>
        <v>2.526027397260274</v>
      </c>
      <c r="Q2737" s="18">
        <f t="shared" si="474"/>
        <v>5552.7851774889396</v>
      </c>
      <c r="R2737" s="18">
        <f t="shared" si="468"/>
        <v>27976.327506255748</v>
      </c>
      <c r="S2737" s="18">
        <f t="shared" si="469"/>
        <v>263477.02161417319</v>
      </c>
    </row>
    <row r="2738" spans="1:19" ht="18.75" customHeight="1" x14ac:dyDescent="0.25">
      <c r="A2738" s="14">
        <f t="shared" si="473"/>
        <v>2732</v>
      </c>
      <c r="B2738" s="14" t="s">
        <v>2316</v>
      </c>
      <c r="C2738" s="15" t="s">
        <v>3</v>
      </c>
      <c r="D2738" s="14" t="s">
        <v>2288</v>
      </c>
      <c r="E2738" s="14" t="s">
        <v>2289</v>
      </c>
      <c r="F2738" s="68" t="s">
        <v>6</v>
      </c>
      <c r="G2738" s="32">
        <v>43549</v>
      </c>
      <c r="H2738" s="17">
        <v>978940.94299375184</v>
      </c>
      <c r="I2738" s="17">
        <v>0</v>
      </c>
      <c r="J2738" s="17">
        <v>0</v>
      </c>
      <c r="K2738" s="17">
        <f t="shared" si="470"/>
        <v>978940.94299375184</v>
      </c>
      <c r="L2738" s="23">
        <f t="shared" si="475"/>
        <v>48947.047149687598</v>
      </c>
      <c r="M2738" s="42">
        <v>25</v>
      </c>
      <c r="N2738" s="18">
        <f t="shared" si="471"/>
        <v>2.0246575342465754</v>
      </c>
      <c r="O2738" s="23">
        <v>75316.765920960373</v>
      </c>
      <c r="P2738" s="18">
        <f t="shared" si="472"/>
        <v>2.526027397260274</v>
      </c>
      <c r="Q2738" s="18">
        <f t="shared" si="474"/>
        <v>18650.836486516575</v>
      </c>
      <c r="R2738" s="18">
        <f t="shared" si="468"/>
        <v>93967.602407476952</v>
      </c>
      <c r="S2738" s="18">
        <f t="shared" si="469"/>
        <v>884973.34058627486</v>
      </c>
    </row>
    <row r="2739" spans="1:19" ht="18.75" customHeight="1" x14ac:dyDescent="0.25">
      <c r="A2739" s="14">
        <f t="shared" si="473"/>
        <v>2733</v>
      </c>
      <c r="B2739" s="14" t="s">
        <v>2317</v>
      </c>
      <c r="C2739" s="15" t="s">
        <v>3</v>
      </c>
      <c r="D2739" s="14" t="s">
        <v>2297</v>
      </c>
      <c r="E2739" s="14" t="s">
        <v>2289</v>
      </c>
      <c r="F2739" s="72" t="s">
        <v>4</v>
      </c>
      <c r="G2739" s="32">
        <v>43921</v>
      </c>
      <c r="H2739" s="17">
        <v>2119587.77</v>
      </c>
      <c r="I2739" s="17">
        <v>0</v>
      </c>
      <c r="J2739" s="17">
        <v>0</v>
      </c>
      <c r="K2739" s="17">
        <f t="shared" si="470"/>
        <v>2119587.77</v>
      </c>
      <c r="L2739" s="23">
        <f t="shared" si="475"/>
        <v>105979.3885</v>
      </c>
      <c r="M2739" s="42">
        <v>30</v>
      </c>
      <c r="N2739" s="18">
        <f t="shared" si="471"/>
        <v>1.0054794520547945</v>
      </c>
      <c r="O2739" s="23">
        <v>67488.061736118732</v>
      </c>
      <c r="P2739" s="18">
        <f t="shared" si="472"/>
        <v>1.5068493150684932</v>
      </c>
      <c r="Q2739" s="18">
        <f t="shared" si="474"/>
        <v>33652.085279863022</v>
      </c>
      <c r="R2739" s="18">
        <f t="shared" si="468"/>
        <v>101140.14701598175</v>
      </c>
      <c r="S2739" s="18">
        <f t="shared" si="469"/>
        <v>2018447.6229840182</v>
      </c>
    </row>
    <row r="2740" spans="1:19" ht="18.75" customHeight="1" x14ac:dyDescent="0.25">
      <c r="A2740" s="14">
        <f t="shared" si="473"/>
        <v>2734</v>
      </c>
      <c r="B2740" s="14" t="s">
        <v>2318</v>
      </c>
      <c r="C2740" s="15" t="s">
        <v>3</v>
      </c>
      <c r="D2740" s="14" t="s">
        <v>500</v>
      </c>
      <c r="E2740" s="14" t="s">
        <v>2319</v>
      </c>
      <c r="F2740" s="72" t="s">
        <v>16</v>
      </c>
      <c r="G2740" s="32">
        <v>42686</v>
      </c>
      <c r="H2740" s="17">
        <v>39577406.873110346</v>
      </c>
      <c r="I2740" s="17">
        <v>0</v>
      </c>
      <c r="J2740" s="17">
        <v>0</v>
      </c>
      <c r="K2740" s="17">
        <f t="shared" si="470"/>
        <v>39577406.873110346</v>
      </c>
      <c r="L2740" s="23">
        <f t="shared" si="475"/>
        <v>1978870.3436555173</v>
      </c>
      <c r="M2740" s="42">
        <v>25</v>
      </c>
      <c r="N2740" s="18">
        <f t="shared" si="471"/>
        <v>4.3890410958904109</v>
      </c>
      <c r="O2740" s="23">
        <v>6600860.8789245626</v>
      </c>
      <c r="P2740" s="18">
        <f t="shared" si="472"/>
        <v>4.8904109589041092</v>
      </c>
      <c r="Q2740" s="18">
        <f t="shared" si="474"/>
        <v>754030.92437153182</v>
      </c>
      <c r="R2740" s="18">
        <f t="shared" si="468"/>
        <v>7354891.8032960948</v>
      </c>
      <c r="S2740" s="18">
        <f t="shared" si="469"/>
        <v>32222515.06981425</v>
      </c>
    </row>
    <row r="2741" spans="1:19" ht="18.75" customHeight="1" x14ac:dyDescent="0.25">
      <c r="A2741" s="14">
        <f t="shared" si="473"/>
        <v>2735</v>
      </c>
      <c r="B2741" s="14" t="s">
        <v>2320</v>
      </c>
      <c r="C2741" s="15" t="s">
        <v>3</v>
      </c>
      <c r="D2741" s="14" t="s">
        <v>500</v>
      </c>
      <c r="E2741" s="14" t="s">
        <v>2319</v>
      </c>
      <c r="F2741" s="72" t="s">
        <v>16</v>
      </c>
      <c r="G2741" s="32">
        <v>42686</v>
      </c>
      <c r="H2741" s="17">
        <v>9262870.3233854417</v>
      </c>
      <c r="I2741" s="17">
        <v>0</v>
      </c>
      <c r="J2741" s="17">
        <v>0</v>
      </c>
      <c r="K2741" s="17">
        <f t="shared" si="470"/>
        <v>9262870.3233854417</v>
      </c>
      <c r="L2741" s="23">
        <f t="shared" si="475"/>
        <v>463143.51616927213</v>
      </c>
      <c r="M2741" s="42">
        <v>25</v>
      </c>
      <c r="N2741" s="18">
        <f t="shared" si="471"/>
        <v>4.3890410958904109</v>
      </c>
      <c r="O2741" s="23">
        <v>1544894.5035792114</v>
      </c>
      <c r="P2741" s="18">
        <f t="shared" si="472"/>
        <v>4.8904109589041092</v>
      </c>
      <c r="Q2741" s="18">
        <f t="shared" si="474"/>
        <v>176476.71295567756</v>
      </c>
      <c r="R2741" s="18">
        <f t="shared" si="468"/>
        <v>1721371.2165348891</v>
      </c>
      <c r="S2741" s="18">
        <f t="shared" si="469"/>
        <v>7541499.1068505524</v>
      </c>
    </row>
    <row r="2742" spans="1:19" ht="18.75" customHeight="1" x14ac:dyDescent="0.25">
      <c r="A2742" s="14">
        <f t="shared" si="473"/>
        <v>2736</v>
      </c>
      <c r="B2742" s="14" t="s">
        <v>2321</v>
      </c>
      <c r="C2742" s="15" t="s">
        <v>3</v>
      </c>
      <c r="D2742" s="14" t="s">
        <v>500</v>
      </c>
      <c r="E2742" s="14" t="s">
        <v>2319</v>
      </c>
      <c r="F2742" s="72" t="s">
        <v>16</v>
      </c>
      <c r="G2742" s="32">
        <v>42686</v>
      </c>
      <c r="H2742" s="17">
        <v>105281791.00571306</v>
      </c>
      <c r="I2742" s="17">
        <v>0</v>
      </c>
      <c r="J2742" s="17">
        <v>0</v>
      </c>
      <c r="K2742" s="17">
        <f t="shared" si="470"/>
        <v>105281791.00571306</v>
      </c>
      <c r="L2742" s="23">
        <f t="shared" si="475"/>
        <v>5264089.5502856532</v>
      </c>
      <c r="M2742" s="42">
        <v>25</v>
      </c>
      <c r="N2742" s="18">
        <f t="shared" si="471"/>
        <v>4.3890410958904109</v>
      </c>
      <c r="O2742" s="23">
        <v>10059272.080174763</v>
      </c>
      <c r="P2742" s="18">
        <f t="shared" si="472"/>
        <v>4.8904109589041092</v>
      </c>
      <c r="Q2742" s="18">
        <f t="shared" si="474"/>
        <v>2005834.4511061041</v>
      </c>
      <c r="R2742" s="18">
        <f t="shared" si="468"/>
        <v>12065106.531280868</v>
      </c>
      <c r="S2742" s="18">
        <f t="shared" si="469"/>
        <v>93216684.4744322</v>
      </c>
    </row>
    <row r="2743" spans="1:19" ht="18.75" customHeight="1" x14ac:dyDescent="0.25">
      <c r="A2743" s="14">
        <f t="shared" si="473"/>
        <v>2737</v>
      </c>
      <c r="B2743" s="14" t="s">
        <v>2322</v>
      </c>
      <c r="C2743" s="15" t="s">
        <v>3</v>
      </c>
      <c r="D2743" s="14" t="s">
        <v>500</v>
      </c>
      <c r="E2743" s="14" t="s">
        <v>2319</v>
      </c>
      <c r="F2743" s="72" t="s">
        <v>16</v>
      </c>
      <c r="G2743" s="32">
        <v>42686</v>
      </c>
      <c r="H2743" s="17">
        <v>19410712.823085234</v>
      </c>
      <c r="I2743" s="17">
        <v>0</v>
      </c>
      <c r="J2743" s="17">
        <v>0</v>
      </c>
      <c r="K2743" s="17">
        <f t="shared" si="470"/>
        <v>19410712.823085234</v>
      </c>
      <c r="L2743" s="23">
        <f t="shared" si="475"/>
        <v>970535.64115426177</v>
      </c>
      <c r="M2743" s="42">
        <v>25</v>
      </c>
      <c r="N2743" s="18">
        <f t="shared" si="471"/>
        <v>4.3890410958904109</v>
      </c>
      <c r="O2743" s="23">
        <v>3237387.8186798263</v>
      </c>
      <c r="P2743" s="18">
        <f t="shared" si="472"/>
        <v>4.8904109589041092</v>
      </c>
      <c r="Q2743" s="18">
        <f t="shared" si="474"/>
        <v>369813.96430612216</v>
      </c>
      <c r="R2743" s="18">
        <f t="shared" si="468"/>
        <v>3607201.7829859485</v>
      </c>
      <c r="S2743" s="18">
        <f t="shared" si="469"/>
        <v>15803511.040099286</v>
      </c>
    </row>
    <row r="2744" spans="1:19" ht="18.75" customHeight="1" x14ac:dyDescent="0.25">
      <c r="A2744" s="14">
        <f t="shared" si="473"/>
        <v>2738</v>
      </c>
      <c r="B2744" s="14" t="s">
        <v>2323</v>
      </c>
      <c r="C2744" s="15" t="s">
        <v>3</v>
      </c>
      <c r="D2744" s="14" t="s">
        <v>500</v>
      </c>
      <c r="E2744" s="14" t="s">
        <v>2324</v>
      </c>
      <c r="F2744" s="72" t="s">
        <v>16</v>
      </c>
      <c r="G2744" s="32">
        <v>42686</v>
      </c>
      <c r="H2744" s="17">
        <v>9844446.2149472367</v>
      </c>
      <c r="I2744" s="17">
        <v>0</v>
      </c>
      <c r="J2744" s="17">
        <v>0</v>
      </c>
      <c r="K2744" s="17">
        <f t="shared" si="470"/>
        <v>9844446.2149472367</v>
      </c>
      <c r="L2744" s="23">
        <f t="shared" si="475"/>
        <v>492222.31074736186</v>
      </c>
      <c r="M2744" s="42">
        <v>25</v>
      </c>
      <c r="N2744" s="18">
        <f t="shared" si="471"/>
        <v>4.3890410958904109</v>
      </c>
      <c r="O2744" s="23">
        <v>1641891.8021400764</v>
      </c>
      <c r="P2744" s="18">
        <f t="shared" si="472"/>
        <v>4.8904109589041092</v>
      </c>
      <c r="Q2744" s="18">
        <f t="shared" si="474"/>
        <v>187556.92870888498</v>
      </c>
      <c r="R2744" s="18">
        <f t="shared" si="468"/>
        <v>1829448.7308489615</v>
      </c>
      <c r="S2744" s="18">
        <f t="shared" si="469"/>
        <v>8014997.4840982752</v>
      </c>
    </row>
    <row r="2745" spans="1:19" ht="18.75" customHeight="1" x14ac:dyDescent="0.25">
      <c r="A2745" s="14">
        <f t="shared" si="473"/>
        <v>2739</v>
      </c>
      <c r="B2745" s="14" t="s">
        <v>2325</v>
      </c>
      <c r="C2745" s="15" t="s">
        <v>3</v>
      </c>
      <c r="D2745" s="14" t="s">
        <v>500</v>
      </c>
      <c r="E2745" s="14" t="s">
        <v>2324</v>
      </c>
      <c r="F2745" s="72" t="s">
        <v>16</v>
      </c>
      <c r="G2745" s="32">
        <v>42686</v>
      </c>
      <c r="H2745" s="17">
        <v>40511356.176728927</v>
      </c>
      <c r="I2745" s="17">
        <v>0</v>
      </c>
      <c r="J2745" s="17">
        <v>0</v>
      </c>
      <c r="K2745" s="17">
        <f t="shared" si="470"/>
        <v>40511356.176728927</v>
      </c>
      <c r="L2745" s="23">
        <f t="shared" si="475"/>
        <v>2025567.8088364464</v>
      </c>
      <c r="M2745" s="42">
        <v>25</v>
      </c>
      <c r="N2745" s="18">
        <f t="shared" si="471"/>
        <v>4.3890410958904109</v>
      </c>
      <c r="O2745" s="23">
        <v>6756628.2701768493</v>
      </c>
      <c r="P2745" s="18">
        <f t="shared" si="472"/>
        <v>4.8904109589041092</v>
      </c>
      <c r="Q2745" s="18">
        <f t="shared" si="474"/>
        <v>771824.57767937728</v>
      </c>
      <c r="R2745" s="18">
        <f t="shared" si="468"/>
        <v>7528452.8478562264</v>
      </c>
      <c r="S2745" s="18">
        <f t="shared" si="469"/>
        <v>32982903.328872699</v>
      </c>
    </row>
    <row r="2746" spans="1:19" ht="18.75" customHeight="1" x14ac:dyDescent="0.25">
      <c r="A2746" s="14">
        <f t="shared" si="473"/>
        <v>2740</v>
      </c>
      <c r="B2746" s="14" t="s">
        <v>2326</v>
      </c>
      <c r="C2746" s="15" t="s">
        <v>3</v>
      </c>
      <c r="D2746" s="14" t="s">
        <v>500</v>
      </c>
      <c r="E2746" s="14" t="s">
        <v>2327</v>
      </c>
      <c r="F2746" s="72" t="s">
        <v>11</v>
      </c>
      <c r="G2746" s="32">
        <v>42686</v>
      </c>
      <c r="H2746" s="17">
        <v>3728806.8640767732</v>
      </c>
      <c r="I2746" s="17">
        <v>0</v>
      </c>
      <c r="J2746" s="17">
        <v>0</v>
      </c>
      <c r="K2746" s="17">
        <f t="shared" si="470"/>
        <v>3728806.8640767732</v>
      </c>
      <c r="L2746" s="23">
        <f t="shared" si="475"/>
        <v>186440.34320383868</v>
      </c>
      <c r="M2746" s="42">
        <v>25</v>
      </c>
      <c r="N2746" s="18">
        <f t="shared" si="471"/>
        <v>4.3890410958904109</v>
      </c>
      <c r="O2746" s="23">
        <v>621903.68947270594</v>
      </c>
      <c r="P2746" s="18">
        <f t="shared" si="472"/>
        <v>4.8904109589041092</v>
      </c>
      <c r="Q2746" s="18">
        <f t="shared" si="474"/>
        <v>71041.432692574963</v>
      </c>
      <c r="R2746" s="18">
        <f t="shared" si="468"/>
        <v>692945.12216528086</v>
      </c>
      <c r="S2746" s="18">
        <f t="shared" si="469"/>
        <v>3035861.7419114923</v>
      </c>
    </row>
    <row r="2747" spans="1:19" ht="18.75" customHeight="1" x14ac:dyDescent="0.25">
      <c r="A2747" s="14">
        <f t="shared" si="473"/>
        <v>2741</v>
      </c>
      <c r="B2747" s="14" t="s">
        <v>2328</v>
      </c>
      <c r="C2747" s="15" t="s">
        <v>3</v>
      </c>
      <c r="D2747" s="14" t="s">
        <v>500</v>
      </c>
      <c r="E2747" s="14" t="s">
        <v>2327</v>
      </c>
      <c r="F2747" s="72" t="s">
        <v>11</v>
      </c>
      <c r="G2747" s="32">
        <v>42686</v>
      </c>
      <c r="H2747" s="17">
        <v>3083763.4869500771</v>
      </c>
      <c r="I2747" s="17">
        <v>0</v>
      </c>
      <c r="J2747" s="17">
        <v>0</v>
      </c>
      <c r="K2747" s="17">
        <f t="shared" si="470"/>
        <v>3083763.4869500771</v>
      </c>
      <c r="L2747" s="23">
        <f t="shared" si="475"/>
        <v>154188.17434750387</v>
      </c>
      <c r="M2747" s="42">
        <v>25</v>
      </c>
      <c r="N2747" s="18">
        <f t="shared" si="471"/>
        <v>4.3890410958904109</v>
      </c>
      <c r="O2747" s="23">
        <v>514321.0576207476</v>
      </c>
      <c r="P2747" s="18">
        <f t="shared" si="472"/>
        <v>4.8904109589041092</v>
      </c>
      <c r="Q2747" s="18">
        <f t="shared" si="474"/>
        <v>58752.030926714564</v>
      </c>
      <c r="R2747" s="18">
        <f t="shared" si="468"/>
        <v>573073.08854746213</v>
      </c>
      <c r="S2747" s="18">
        <f t="shared" si="469"/>
        <v>2510690.398402615</v>
      </c>
    </row>
    <row r="2748" spans="1:19" ht="18.75" customHeight="1" x14ac:dyDescent="0.25">
      <c r="A2748" s="14">
        <f t="shared" si="473"/>
        <v>2742</v>
      </c>
      <c r="B2748" s="14" t="s">
        <v>2329</v>
      </c>
      <c r="C2748" s="15" t="s">
        <v>3</v>
      </c>
      <c r="D2748" s="14" t="s">
        <v>500</v>
      </c>
      <c r="E2748" s="14" t="s">
        <v>2327</v>
      </c>
      <c r="F2748" s="72" t="s">
        <v>11</v>
      </c>
      <c r="G2748" s="32">
        <v>42686</v>
      </c>
      <c r="H2748" s="17">
        <v>707551.46303073387</v>
      </c>
      <c r="I2748" s="17">
        <v>0</v>
      </c>
      <c r="J2748" s="17">
        <v>0</v>
      </c>
      <c r="K2748" s="17">
        <f t="shared" si="470"/>
        <v>707551.46303073387</v>
      </c>
      <c r="L2748" s="23">
        <f t="shared" si="475"/>
        <v>35377.573151536693</v>
      </c>
      <c r="M2748" s="42">
        <v>25</v>
      </c>
      <c r="N2748" s="18">
        <f t="shared" si="471"/>
        <v>4.3890410958904109</v>
      </c>
      <c r="O2748" s="23">
        <v>118007.95305057248</v>
      </c>
      <c r="P2748" s="18">
        <f t="shared" si="472"/>
        <v>4.8904109589041092</v>
      </c>
      <c r="Q2748" s="18">
        <f t="shared" si="474"/>
        <v>13480.309243604708</v>
      </c>
      <c r="R2748" s="18">
        <f t="shared" si="468"/>
        <v>131488.2622941772</v>
      </c>
      <c r="S2748" s="18">
        <f t="shared" si="469"/>
        <v>576063.20073655667</v>
      </c>
    </row>
    <row r="2749" spans="1:19" ht="18.75" customHeight="1" x14ac:dyDescent="0.25">
      <c r="A2749" s="14">
        <f t="shared" si="473"/>
        <v>2743</v>
      </c>
      <c r="B2749" s="14" t="s">
        <v>2330</v>
      </c>
      <c r="C2749" s="15" t="s">
        <v>3</v>
      </c>
      <c r="D2749" s="14" t="s">
        <v>500</v>
      </c>
      <c r="E2749" s="14" t="s">
        <v>2327</v>
      </c>
      <c r="F2749" s="72" t="s">
        <v>11</v>
      </c>
      <c r="G2749" s="32">
        <v>42686</v>
      </c>
      <c r="H2749" s="17">
        <v>44020518.338287838</v>
      </c>
      <c r="I2749" s="17">
        <v>0</v>
      </c>
      <c r="J2749" s="17">
        <v>0</v>
      </c>
      <c r="K2749" s="17">
        <f t="shared" si="470"/>
        <v>44020518.338287838</v>
      </c>
      <c r="L2749" s="23">
        <f t="shared" si="475"/>
        <v>2201025.9169143918</v>
      </c>
      <c r="M2749" s="42">
        <v>25</v>
      </c>
      <c r="N2749" s="18">
        <f t="shared" si="471"/>
        <v>4.3890410958904109</v>
      </c>
      <c r="O2749" s="23">
        <v>7341898.833867426</v>
      </c>
      <c r="P2749" s="18">
        <f t="shared" si="472"/>
        <v>4.8904109589041092</v>
      </c>
      <c r="Q2749" s="18">
        <f t="shared" si="474"/>
        <v>838681.32746425585</v>
      </c>
      <c r="R2749" s="18">
        <f t="shared" si="468"/>
        <v>8180580.1613316815</v>
      </c>
      <c r="S2749" s="18">
        <f t="shared" si="469"/>
        <v>35839938.176956154</v>
      </c>
    </row>
    <row r="2750" spans="1:19" ht="18.75" customHeight="1" x14ac:dyDescent="0.25">
      <c r="A2750" s="14">
        <f t="shared" si="473"/>
        <v>2744</v>
      </c>
      <c r="B2750" s="14" t="s">
        <v>2331</v>
      </c>
      <c r="C2750" s="15" t="s">
        <v>3</v>
      </c>
      <c r="D2750" s="14" t="s">
        <v>500</v>
      </c>
      <c r="E2750" s="14" t="s">
        <v>2327</v>
      </c>
      <c r="F2750" s="72" t="s">
        <v>11</v>
      </c>
      <c r="G2750" s="32">
        <v>42686</v>
      </c>
      <c r="H2750" s="17">
        <v>16047150.481989726</v>
      </c>
      <c r="I2750" s="17">
        <v>0</v>
      </c>
      <c r="J2750" s="17">
        <v>0</v>
      </c>
      <c r="K2750" s="17">
        <f t="shared" si="470"/>
        <v>16047150.481989726</v>
      </c>
      <c r="L2750" s="23">
        <f t="shared" si="475"/>
        <v>802357.52409948641</v>
      </c>
      <c r="M2750" s="42">
        <v>25</v>
      </c>
      <c r="N2750" s="18">
        <f t="shared" si="471"/>
        <v>4.3890410958904109</v>
      </c>
      <c r="O2750" s="23">
        <v>2676400.91162084</v>
      </c>
      <c r="P2750" s="18">
        <f t="shared" si="472"/>
        <v>4.8904109589041092</v>
      </c>
      <c r="Q2750" s="18">
        <f t="shared" si="474"/>
        <v>305731.19027878484</v>
      </c>
      <c r="R2750" s="18">
        <f t="shared" si="468"/>
        <v>2982132.1018996248</v>
      </c>
      <c r="S2750" s="18">
        <f t="shared" si="469"/>
        <v>13065018.380090103</v>
      </c>
    </row>
    <row r="2751" spans="1:19" ht="18.75" customHeight="1" x14ac:dyDescent="0.25">
      <c r="A2751" s="14">
        <f t="shared" si="473"/>
        <v>2745</v>
      </c>
      <c r="B2751" s="14" t="s">
        <v>2332</v>
      </c>
      <c r="C2751" s="15" t="s">
        <v>3</v>
      </c>
      <c r="D2751" s="14" t="s">
        <v>500</v>
      </c>
      <c r="E2751" s="14" t="s">
        <v>2327</v>
      </c>
      <c r="F2751" s="72" t="s">
        <v>11</v>
      </c>
      <c r="G2751" s="32">
        <v>42686</v>
      </c>
      <c r="H2751" s="17">
        <v>6092555.902641654</v>
      </c>
      <c r="I2751" s="17">
        <v>0</v>
      </c>
      <c r="J2751" s="17">
        <v>0</v>
      </c>
      <c r="K2751" s="17">
        <f t="shared" si="470"/>
        <v>6092555.902641654</v>
      </c>
      <c r="L2751" s="23">
        <f t="shared" si="475"/>
        <v>304627.79513208271</v>
      </c>
      <c r="M2751" s="42">
        <v>25</v>
      </c>
      <c r="N2751" s="18">
        <f t="shared" si="471"/>
        <v>4.3890410958904109</v>
      </c>
      <c r="O2751" s="23">
        <v>1016138.1729567489</v>
      </c>
      <c r="P2751" s="18">
        <f t="shared" si="472"/>
        <v>4.8904109589041092</v>
      </c>
      <c r="Q2751" s="18">
        <f t="shared" si="474"/>
        <v>116075.70889580829</v>
      </c>
      <c r="R2751" s="18">
        <f t="shared" si="468"/>
        <v>1132213.8818525572</v>
      </c>
      <c r="S2751" s="18">
        <f t="shared" si="469"/>
        <v>4960342.0207890971</v>
      </c>
    </row>
    <row r="2752" spans="1:19" ht="18.75" customHeight="1" x14ac:dyDescent="0.25">
      <c r="A2752" s="14">
        <f t="shared" si="473"/>
        <v>2746</v>
      </c>
      <c r="B2752" s="14" t="s">
        <v>2333</v>
      </c>
      <c r="C2752" s="15" t="s">
        <v>3</v>
      </c>
      <c r="D2752" s="14" t="s">
        <v>500</v>
      </c>
      <c r="E2752" s="14" t="s">
        <v>2327</v>
      </c>
      <c r="F2752" s="72" t="s">
        <v>11</v>
      </c>
      <c r="G2752" s="32">
        <v>42686</v>
      </c>
      <c r="H2752" s="17">
        <v>1568454.5861389567</v>
      </c>
      <c r="I2752" s="17">
        <v>0</v>
      </c>
      <c r="J2752" s="17">
        <v>0</v>
      </c>
      <c r="K2752" s="17">
        <f t="shared" si="470"/>
        <v>1568454.5861389567</v>
      </c>
      <c r="L2752" s="23">
        <f t="shared" si="475"/>
        <v>78422.729306947833</v>
      </c>
      <c r="M2752" s="42">
        <v>25</v>
      </c>
      <c r="N2752" s="18">
        <f t="shared" si="471"/>
        <v>4.3890410958904109</v>
      </c>
      <c r="O2752" s="23">
        <v>261592.44215286334</v>
      </c>
      <c r="P2752" s="18">
        <f t="shared" si="472"/>
        <v>4.8904109589041092</v>
      </c>
      <c r="Q2752" s="18">
        <f t="shared" si="474"/>
        <v>29882.282717836424</v>
      </c>
      <c r="R2752" s="18">
        <f t="shared" si="468"/>
        <v>291474.72487069975</v>
      </c>
      <c r="S2752" s="18">
        <f t="shared" si="469"/>
        <v>1276979.861268257</v>
      </c>
    </row>
    <row r="2753" spans="1:19" ht="18.75" customHeight="1" x14ac:dyDescent="0.25">
      <c r="A2753" s="14">
        <f t="shared" si="473"/>
        <v>2747</v>
      </c>
      <c r="B2753" s="14" t="s">
        <v>2334</v>
      </c>
      <c r="C2753" s="15" t="s">
        <v>3</v>
      </c>
      <c r="D2753" s="14" t="s">
        <v>500</v>
      </c>
      <c r="E2753" s="14" t="s">
        <v>507</v>
      </c>
      <c r="F2753" s="74" t="s">
        <v>11</v>
      </c>
      <c r="G2753" s="32">
        <v>42686</v>
      </c>
      <c r="H2753" s="17">
        <v>4217038.7849318394</v>
      </c>
      <c r="I2753" s="17">
        <v>0</v>
      </c>
      <c r="J2753" s="17">
        <v>0</v>
      </c>
      <c r="K2753" s="17">
        <f t="shared" si="470"/>
        <v>4217038.7849318394</v>
      </c>
      <c r="L2753" s="23">
        <f t="shared" si="475"/>
        <v>210851.939246592</v>
      </c>
      <c r="M2753" s="42">
        <v>25</v>
      </c>
      <c r="N2753" s="18">
        <f t="shared" si="471"/>
        <v>4.3890410958904109</v>
      </c>
      <c r="O2753" s="23">
        <v>703332.74814112508</v>
      </c>
      <c r="P2753" s="18">
        <f t="shared" si="472"/>
        <v>4.8904109589041092</v>
      </c>
      <c r="Q2753" s="18">
        <f t="shared" si="474"/>
        <v>80343.254001139692</v>
      </c>
      <c r="R2753" s="18">
        <f t="shared" si="468"/>
        <v>783676.00214226474</v>
      </c>
      <c r="S2753" s="18">
        <f t="shared" si="469"/>
        <v>3433362.7827895749</v>
      </c>
    </row>
    <row r="2754" spans="1:19" ht="18.75" customHeight="1" x14ac:dyDescent="0.25">
      <c r="A2754" s="14">
        <f t="shared" si="473"/>
        <v>2748</v>
      </c>
      <c r="B2754" s="14" t="s">
        <v>2335</v>
      </c>
      <c r="C2754" s="15" t="s">
        <v>3</v>
      </c>
      <c r="D2754" s="14" t="s">
        <v>500</v>
      </c>
      <c r="E2754" s="14" t="s">
        <v>2327</v>
      </c>
      <c r="F2754" s="72" t="s">
        <v>11</v>
      </c>
      <c r="G2754" s="32">
        <v>42686</v>
      </c>
      <c r="H2754" s="17">
        <v>8470415.8279670533</v>
      </c>
      <c r="I2754" s="17">
        <v>0</v>
      </c>
      <c r="J2754" s="17">
        <v>0</v>
      </c>
      <c r="K2754" s="17">
        <f t="shared" si="470"/>
        <v>8470415.8279670533</v>
      </c>
      <c r="L2754" s="23">
        <f t="shared" si="475"/>
        <v>423520.79139835271</v>
      </c>
      <c r="M2754" s="42">
        <v>25</v>
      </c>
      <c r="N2754" s="18">
        <f t="shared" si="471"/>
        <v>4.3890410958904109</v>
      </c>
      <c r="O2754" s="23">
        <v>1412726.1203926641</v>
      </c>
      <c r="P2754" s="18">
        <f t="shared" si="472"/>
        <v>4.8904109589041092</v>
      </c>
      <c r="Q2754" s="18">
        <f t="shared" si="474"/>
        <v>161378.82648680228</v>
      </c>
      <c r="R2754" s="18">
        <f t="shared" si="468"/>
        <v>1574104.9468794663</v>
      </c>
      <c r="S2754" s="18">
        <f t="shared" si="469"/>
        <v>6896310.8810875872</v>
      </c>
    </row>
    <row r="2755" spans="1:19" ht="18.75" customHeight="1" x14ac:dyDescent="0.25">
      <c r="A2755" s="14">
        <f t="shared" si="473"/>
        <v>2749</v>
      </c>
      <c r="B2755" s="14" t="s">
        <v>2336</v>
      </c>
      <c r="C2755" s="15" t="s">
        <v>3</v>
      </c>
      <c r="D2755" s="14" t="s">
        <v>500</v>
      </c>
      <c r="E2755" s="14" t="s">
        <v>2327</v>
      </c>
      <c r="F2755" s="72" t="s">
        <v>11</v>
      </c>
      <c r="G2755" s="32">
        <v>42686</v>
      </c>
      <c r="H2755" s="17">
        <v>111386.69047738569</v>
      </c>
      <c r="I2755" s="17">
        <v>0</v>
      </c>
      <c r="J2755" s="17">
        <v>0</v>
      </c>
      <c r="K2755" s="17">
        <f t="shared" si="470"/>
        <v>111386.69047738569</v>
      </c>
      <c r="L2755" s="23">
        <f t="shared" si="475"/>
        <v>5569.3345238692855</v>
      </c>
      <c r="M2755" s="42">
        <v>25</v>
      </c>
      <c r="N2755" s="18">
        <f t="shared" si="471"/>
        <v>4.3890410958904109</v>
      </c>
      <c r="O2755" s="23">
        <v>18577.468957537894</v>
      </c>
      <c r="P2755" s="18">
        <f t="shared" si="472"/>
        <v>4.8904109589041092</v>
      </c>
      <c r="Q2755" s="18">
        <f t="shared" si="474"/>
        <v>2122.1453303554508</v>
      </c>
      <c r="R2755" s="18">
        <f t="shared" si="468"/>
        <v>20699.614287893346</v>
      </c>
      <c r="S2755" s="18">
        <f t="shared" si="469"/>
        <v>90687.076189492349</v>
      </c>
    </row>
    <row r="2756" spans="1:19" ht="18.75" customHeight="1" x14ac:dyDescent="0.25">
      <c r="A2756" s="14">
        <f t="shared" si="473"/>
        <v>2750</v>
      </c>
      <c r="B2756" s="14" t="s">
        <v>2337</v>
      </c>
      <c r="C2756" s="15" t="s">
        <v>3</v>
      </c>
      <c r="D2756" s="14" t="s">
        <v>500</v>
      </c>
      <c r="E2756" s="14" t="s">
        <v>2327</v>
      </c>
      <c r="F2756" s="72" t="s">
        <v>11</v>
      </c>
      <c r="G2756" s="32">
        <v>42686</v>
      </c>
      <c r="H2756" s="17">
        <v>419234.7114848661</v>
      </c>
      <c r="I2756" s="17">
        <v>0</v>
      </c>
      <c r="J2756" s="17">
        <v>0</v>
      </c>
      <c r="K2756" s="17">
        <f t="shared" si="470"/>
        <v>419234.7114848661</v>
      </c>
      <c r="L2756" s="23">
        <f t="shared" si="475"/>
        <v>20961.735574243306</v>
      </c>
      <c r="M2756" s="42">
        <v>25</v>
      </c>
      <c r="N2756" s="18">
        <f t="shared" si="471"/>
        <v>4.3890410958904109</v>
      </c>
      <c r="O2756" s="23">
        <v>69921.458346171799</v>
      </c>
      <c r="P2756" s="18">
        <f t="shared" si="472"/>
        <v>4.8904109589041092</v>
      </c>
      <c r="Q2756" s="18">
        <f t="shared" si="474"/>
        <v>7987.282694974675</v>
      </c>
      <c r="R2756" s="18">
        <f t="shared" ref="R2756:R2819" si="476">Q2756+O2756</f>
        <v>77908.741041146481</v>
      </c>
      <c r="S2756" s="18">
        <f t="shared" ref="S2756:S2819" si="477">K2756-R2756</f>
        <v>341325.97044371965</v>
      </c>
    </row>
    <row r="2757" spans="1:19" ht="18.75" customHeight="1" x14ac:dyDescent="0.25">
      <c r="A2757" s="14">
        <f t="shared" si="473"/>
        <v>2751</v>
      </c>
      <c r="B2757" s="14" t="s">
        <v>2338</v>
      </c>
      <c r="C2757" s="15" t="s">
        <v>3</v>
      </c>
      <c r="D2757" s="14" t="s">
        <v>500</v>
      </c>
      <c r="E2757" s="14" t="s">
        <v>2327</v>
      </c>
      <c r="F2757" s="74" t="s">
        <v>11</v>
      </c>
      <c r="G2757" s="32">
        <v>42686</v>
      </c>
      <c r="H2757" s="17">
        <v>223643447.32178235</v>
      </c>
      <c r="I2757" s="17">
        <v>0</v>
      </c>
      <c r="J2757" s="17">
        <v>0</v>
      </c>
      <c r="K2757" s="17">
        <f t="shared" ref="K2757:K2820" si="478">H2757+I2757-J2757</f>
        <v>223643447.32178235</v>
      </c>
      <c r="L2757" s="23">
        <f t="shared" si="475"/>
        <v>11182172.366089119</v>
      </c>
      <c r="M2757" s="42">
        <v>25</v>
      </c>
      <c r="N2757" s="18">
        <f t="shared" ref="N2757:N2820" si="479">IF(($N$2-G2757+1)/365&gt;0,($N$2-G2757+1)/365,0)</f>
        <v>4.3890410958904109</v>
      </c>
      <c r="O2757" s="23">
        <v>33407691.682632394</v>
      </c>
      <c r="P2757" s="18">
        <f t="shared" ref="P2757:P2820" si="480">($P$2-G2757+1)/365</f>
        <v>4.8904109589041092</v>
      </c>
      <c r="Q2757" s="18">
        <f t="shared" si="474"/>
        <v>4260867.2128100637</v>
      </c>
      <c r="R2757" s="18">
        <f t="shared" si="476"/>
        <v>37668558.895442456</v>
      </c>
      <c r="S2757" s="18">
        <f t="shared" si="477"/>
        <v>185974888.42633989</v>
      </c>
    </row>
    <row r="2758" spans="1:19" ht="18.75" customHeight="1" x14ac:dyDescent="0.25">
      <c r="A2758" s="14">
        <f t="shared" ref="A2758:A2821" si="481">+A2757+1</f>
        <v>2752</v>
      </c>
      <c r="B2758" s="14" t="s">
        <v>2339</v>
      </c>
      <c r="C2758" s="15" t="s">
        <v>3</v>
      </c>
      <c r="D2758" s="14" t="s">
        <v>500</v>
      </c>
      <c r="E2758" s="14" t="s">
        <v>2327</v>
      </c>
      <c r="F2758" s="72" t="s">
        <v>11</v>
      </c>
      <c r="G2758" s="32">
        <v>42686</v>
      </c>
      <c r="H2758" s="17">
        <v>1083234.5223449443</v>
      </c>
      <c r="I2758" s="17">
        <v>0</v>
      </c>
      <c r="J2758" s="17">
        <v>0</v>
      </c>
      <c r="K2758" s="17">
        <f t="shared" si="478"/>
        <v>1083234.5223449443</v>
      </c>
      <c r="L2758" s="23">
        <f t="shared" si="475"/>
        <v>54161.726117247221</v>
      </c>
      <c r="M2758" s="42">
        <v>25</v>
      </c>
      <c r="N2758" s="18">
        <f t="shared" si="479"/>
        <v>4.3890410958904109</v>
      </c>
      <c r="O2758" s="23">
        <v>180665.71173224886</v>
      </c>
      <c r="P2758" s="18">
        <f t="shared" si="480"/>
        <v>4.8904109589041092</v>
      </c>
      <c r="Q2758" s="18">
        <f t="shared" si="474"/>
        <v>20637.843475032154</v>
      </c>
      <c r="R2758" s="18">
        <f t="shared" si="476"/>
        <v>201303.55520728102</v>
      </c>
      <c r="S2758" s="18">
        <f t="shared" si="477"/>
        <v>881930.96713766328</v>
      </c>
    </row>
    <row r="2759" spans="1:19" ht="18.75" customHeight="1" x14ac:dyDescent="0.25">
      <c r="A2759" s="14">
        <f t="shared" si="481"/>
        <v>2753</v>
      </c>
      <c r="B2759" s="14" t="s">
        <v>2340</v>
      </c>
      <c r="C2759" s="15" t="s">
        <v>3</v>
      </c>
      <c r="D2759" s="14" t="s">
        <v>500</v>
      </c>
      <c r="E2759" s="14" t="s">
        <v>599</v>
      </c>
      <c r="F2759" s="72" t="s">
        <v>17</v>
      </c>
      <c r="G2759" s="32">
        <v>42686</v>
      </c>
      <c r="H2759" s="17">
        <v>6105134.7225608844</v>
      </c>
      <c r="I2759" s="17">
        <v>0</v>
      </c>
      <c r="J2759" s="17">
        <v>0</v>
      </c>
      <c r="K2759" s="17">
        <f t="shared" si="478"/>
        <v>6105134.7225608844</v>
      </c>
      <c r="L2759" s="23">
        <f t="shared" si="475"/>
        <v>305256.73612804426</v>
      </c>
      <c r="M2759" s="42">
        <v>25</v>
      </c>
      <c r="N2759" s="18">
        <f t="shared" si="479"/>
        <v>4.3890410958904109</v>
      </c>
      <c r="O2759" s="23">
        <v>1018236.1133441546</v>
      </c>
      <c r="P2759" s="18">
        <f t="shared" si="480"/>
        <v>4.8904109589041092</v>
      </c>
      <c r="Q2759" s="18">
        <f t="shared" si="474"/>
        <v>116315.36126215987</v>
      </c>
      <c r="R2759" s="18">
        <f t="shared" si="476"/>
        <v>1134551.4746063144</v>
      </c>
      <c r="S2759" s="18">
        <f t="shared" si="477"/>
        <v>4970583.2479545698</v>
      </c>
    </row>
    <row r="2760" spans="1:19" ht="18.75" customHeight="1" x14ac:dyDescent="0.25">
      <c r="A2760" s="14">
        <f t="shared" si="481"/>
        <v>2754</v>
      </c>
      <c r="B2760" s="14" t="s">
        <v>2341</v>
      </c>
      <c r="C2760" s="15" t="s">
        <v>3</v>
      </c>
      <c r="D2760" s="14" t="s">
        <v>500</v>
      </c>
      <c r="E2760" s="14" t="s">
        <v>2327</v>
      </c>
      <c r="F2760" s="72" t="s">
        <v>11</v>
      </c>
      <c r="G2760" s="32">
        <v>42686</v>
      </c>
      <c r="H2760" s="17">
        <v>52397083.157395966</v>
      </c>
      <c r="I2760" s="17">
        <v>0</v>
      </c>
      <c r="J2760" s="17">
        <v>0</v>
      </c>
      <c r="K2760" s="17">
        <f t="shared" si="478"/>
        <v>52397083.157395966</v>
      </c>
      <c r="L2760" s="23">
        <f t="shared" si="475"/>
        <v>2619854.1578697986</v>
      </c>
      <c r="M2760" s="42">
        <v>25</v>
      </c>
      <c r="N2760" s="18">
        <f t="shared" si="479"/>
        <v>4.3890410958904109</v>
      </c>
      <c r="O2760" s="23">
        <v>6738972.1487387307</v>
      </c>
      <c r="P2760" s="18">
        <f t="shared" si="480"/>
        <v>4.8904109589041092</v>
      </c>
      <c r="Q2760" s="18">
        <f t="shared" si="474"/>
        <v>998272.09938775678</v>
      </c>
      <c r="R2760" s="18">
        <f t="shared" si="476"/>
        <v>7737244.2481264872</v>
      </c>
      <c r="S2760" s="18">
        <f t="shared" si="477"/>
        <v>44659838.909269482</v>
      </c>
    </row>
    <row r="2761" spans="1:19" ht="18.75" customHeight="1" x14ac:dyDescent="0.25">
      <c r="A2761" s="14">
        <f t="shared" si="481"/>
        <v>2755</v>
      </c>
      <c r="B2761" s="14" t="s">
        <v>2342</v>
      </c>
      <c r="C2761" s="15" t="s">
        <v>3</v>
      </c>
      <c r="D2761" s="14" t="s">
        <v>500</v>
      </c>
      <c r="E2761" s="14" t="s">
        <v>2327</v>
      </c>
      <c r="F2761" s="72" t="s">
        <v>11</v>
      </c>
      <c r="G2761" s="32">
        <v>42686</v>
      </c>
      <c r="H2761" s="17">
        <v>5858814.0799869699</v>
      </c>
      <c r="I2761" s="17">
        <v>0</v>
      </c>
      <c r="J2761" s="17">
        <v>0</v>
      </c>
      <c r="K2761" s="17">
        <f t="shared" si="478"/>
        <v>5858814.0799869699</v>
      </c>
      <c r="L2761" s="23">
        <f t="shared" si="475"/>
        <v>292940.70399934851</v>
      </c>
      <c r="M2761" s="42">
        <v>25</v>
      </c>
      <c r="N2761" s="18">
        <f t="shared" si="479"/>
        <v>4.3890410958904109</v>
      </c>
      <c r="O2761" s="23">
        <v>977153.87926927884</v>
      </c>
      <c r="P2761" s="18">
        <f t="shared" si="480"/>
        <v>4.8904109589041092</v>
      </c>
      <c r="Q2761" s="18">
        <f t="shared" si="474"/>
        <v>111622.44688282014</v>
      </c>
      <c r="R2761" s="18">
        <f t="shared" si="476"/>
        <v>1088776.3261520991</v>
      </c>
      <c r="S2761" s="18">
        <f t="shared" si="477"/>
        <v>4770037.7538348706</v>
      </c>
    </row>
    <row r="2762" spans="1:19" ht="18.75" customHeight="1" x14ac:dyDescent="0.25">
      <c r="A2762" s="14">
        <f t="shared" si="481"/>
        <v>2756</v>
      </c>
      <c r="B2762" s="14" t="s">
        <v>2343</v>
      </c>
      <c r="C2762" s="15" t="s">
        <v>3</v>
      </c>
      <c r="D2762" s="14" t="s">
        <v>500</v>
      </c>
      <c r="E2762" s="14" t="s">
        <v>2327</v>
      </c>
      <c r="F2762" s="72" t="s">
        <v>11</v>
      </c>
      <c r="G2762" s="32">
        <v>42686</v>
      </c>
      <c r="H2762" s="17">
        <v>8878533.064913258</v>
      </c>
      <c r="I2762" s="17">
        <v>0</v>
      </c>
      <c r="J2762" s="17">
        <v>0</v>
      </c>
      <c r="K2762" s="17">
        <f t="shared" si="478"/>
        <v>8878533.064913258</v>
      </c>
      <c r="L2762" s="23">
        <f t="shared" si="475"/>
        <v>443926.65324566292</v>
      </c>
      <c r="M2762" s="42">
        <v>25</v>
      </c>
      <c r="N2762" s="18">
        <f t="shared" si="479"/>
        <v>4.3890410958904109</v>
      </c>
      <c r="O2762" s="23">
        <v>1480793.366738793</v>
      </c>
      <c r="P2762" s="18">
        <f t="shared" si="480"/>
        <v>4.8904109589041092</v>
      </c>
      <c r="Q2762" s="18">
        <f t="shared" si="474"/>
        <v>169154.29844768971</v>
      </c>
      <c r="R2762" s="18">
        <f t="shared" si="476"/>
        <v>1649947.6651864827</v>
      </c>
      <c r="S2762" s="18">
        <f t="shared" si="477"/>
        <v>7228585.3997267755</v>
      </c>
    </row>
    <row r="2763" spans="1:19" ht="18.75" customHeight="1" x14ac:dyDescent="0.25">
      <c r="A2763" s="14">
        <f t="shared" si="481"/>
        <v>2757</v>
      </c>
      <c r="B2763" s="14" t="s">
        <v>2344</v>
      </c>
      <c r="C2763" s="15" t="s">
        <v>3</v>
      </c>
      <c r="D2763" s="14" t="s">
        <v>500</v>
      </c>
      <c r="E2763" s="14" t="s">
        <v>2327</v>
      </c>
      <c r="F2763" s="72" t="s">
        <v>11</v>
      </c>
      <c r="G2763" s="32">
        <v>42686</v>
      </c>
      <c r="H2763" s="17">
        <v>106899158.36932757</v>
      </c>
      <c r="I2763" s="17">
        <v>0</v>
      </c>
      <c r="J2763" s="17">
        <v>0</v>
      </c>
      <c r="K2763" s="17">
        <f t="shared" si="478"/>
        <v>106899158.36932757</v>
      </c>
      <c r="L2763" s="23">
        <f t="shared" si="475"/>
        <v>5344957.9184663789</v>
      </c>
      <c r="M2763" s="42">
        <v>25</v>
      </c>
      <c r="N2763" s="18">
        <f t="shared" si="479"/>
        <v>4.3890410958904109</v>
      </c>
      <c r="O2763" s="23">
        <v>17829022.369564891</v>
      </c>
      <c r="P2763" s="18">
        <f t="shared" si="480"/>
        <v>4.8904109589041092</v>
      </c>
      <c r="Q2763" s="18">
        <f t="shared" si="474"/>
        <v>2036648.6227405572</v>
      </c>
      <c r="R2763" s="18">
        <f t="shared" si="476"/>
        <v>19865670.992305446</v>
      </c>
      <c r="S2763" s="18">
        <f t="shared" si="477"/>
        <v>87033487.377022132</v>
      </c>
    </row>
    <row r="2764" spans="1:19" ht="18.75" customHeight="1" x14ac:dyDescent="0.25">
      <c r="A2764" s="14">
        <f t="shared" si="481"/>
        <v>2758</v>
      </c>
      <c r="B2764" s="14" t="s">
        <v>2345</v>
      </c>
      <c r="C2764" s="15" t="s">
        <v>3</v>
      </c>
      <c r="D2764" s="14" t="s">
        <v>500</v>
      </c>
      <c r="E2764" s="14" t="s">
        <v>2327</v>
      </c>
      <c r="F2764" s="74" t="s">
        <v>11</v>
      </c>
      <c r="G2764" s="32">
        <v>42686</v>
      </c>
      <c r="H2764" s="17">
        <v>4283792.5463179331</v>
      </c>
      <c r="I2764" s="17">
        <v>0</v>
      </c>
      <c r="J2764" s="17">
        <v>0</v>
      </c>
      <c r="K2764" s="17">
        <f t="shared" si="478"/>
        <v>4283792.5463179331</v>
      </c>
      <c r="L2764" s="23">
        <f t="shared" si="475"/>
        <v>214189.62731589668</v>
      </c>
      <c r="M2764" s="42">
        <v>25</v>
      </c>
      <c r="N2764" s="18">
        <f t="shared" si="479"/>
        <v>4.3890410958904109</v>
      </c>
      <c r="O2764" s="23">
        <v>714466.17821822059</v>
      </c>
      <c r="P2764" s="18">
        <f t="shared" si="480"/>
        <v>4.8904109589041092</v>
      </c>
      <c r="Q2764" s="18">
        <f t="shared" si="474"/>
        <v>81615.050320807903</v>
      </c>
      <c r="R2764" s="18">
        <f t="shared" si="476"/>
        <v>796081.22853902844</v>
      </c>
      <c r="S2764" s="18">
        <f t="shared" si="477"/>
        <v>3487711.3177789049</v>
      </c>
    </row>
    <row r="2765" spans="1:19" ht="18.75" customHeight="1" x14ac:dyDescent="0.25">
      <c r="A2765" s="14">
        <f t="shared" si="481"/>
        <v>2759</v>
      </c>
      <c r="B2765" s="14" t="s">
        <v>2346</v>
      </c>
      <c r="C2765" s="15" t="s">
        <v>3</v>
      </c>
      <c r="D2765" s="14" t="s">
        <v>500</v>
      </c>
      <c r="E2765" s="14" t="s">
        <v>2327</v>
      </c>
      <c r="F2765" s="74" t="s">
        <v>11</v>
      </c>
      <c r="G2765" s="32">
        <v>42686</v>
      </c>
      <c r="H2765" s="17">
        <v>1103959.8210301942</v>
      </c>
      <c r="I2765" s="17">
        <v>0</v>
      </c>
      <c r="J2765" s="17">
        <v>0</v>
      </c>
      <c r="K2765" s="17">
        <f t="shared" si="478"/>
        <v>1103959.8210301942</v>
      </c>
      <c r="L2765" s="23">
        <f t="shared" si="475"/>
        <v>55197.991051509714</v>
      </c>
      <c r="M2765" s="42">
        <v>25</v>
      </c>
      <c r="N2765" s="18">
        <f t="shared" si="479"/>
        <v>4.3890410958904109</v>
      </c>
      <c r="O2765" s="23">
        <v>184122.3508631071</v>
      </c>
      <c r="P2765" s="18">
        <f t="shared" si="480"/>
        <v>4.8904109589041092</v>
      </c>
      <c r="Q2765" s="18">
        <f t="shared" si="474"/>
        <v>21032.703001216338</v>
      </c>
      <c r="R2765" s="18">
        <f t="shared" si="476"/>
        <v>205155.05386432345</v>
      </c>
      <c r="S2765" s="18">
        <f t="shared" si="477"/>
        <v>898804.76716587075</v>
      </c>
    </row>
    <row r="2766" spans="1:19" ht="18.75" customHeight="1" x14ac:dyDescent="0.25">
      <c r="A2766" s="14">
        <f t="shared" si="481"/>
        <v>2760</v>
      </c>
      <c r="B2766" s="14" t="s">
        <v>2347</v>
      </c>
      <c r="C2766" s="15" t="s">
        <v>3</v>
      </c>
      <c r="D2766" s="14" t="s">
        <v>500</v>
      </c>
      <c r="E2766" s="14" t="s">
        <v>2327</v>
      </c>
      <c r="F2766" s="72" t="s">
        <v>11</v>
      </c>
      <c r="G2766" s="32">
        <v>42686</v>
      </c>
      <c r="H2766" s="17">
        <v>542221.0129019093</v>
      </c>
      <c r="I2766" s="17">
        <v>0</v>
      </c>
      <c r="J2766" s="17">
        <v>0</v>
      </c>
      <c r="K2766" s="17">
        <f t="shared" si="478"/>
        <v>542221.0129019093</v>
      </c>
      <c r="L2766" s="23">
        <f t="shared" si="475"/>
        <v>27111.050645095467</v>
      </c>
      <c r="M2766" s="42">
        <v>25</v>
      </c>
      <c r="N2766" s="18">
        <f t="shared" si="479"/>
        <v>4.3890410958904109</v>
      </c>
      <c r="O2766" s="23">
        <v>90433.551729908577</v>
      </c>
      <c r="P2766" s="18">
        <f t="shared" si="480"/>
        <v>4.8904109589041092</v>
      </c>
      <c r="Q2766" s="18">
        <f t="shared" si="474"/>
        <v>10330.424448547601</v>
      </c>
      <c r="R2766" s="18">
        <f t="shared" si="476"/>
        <v>100763.97617845619</v>
      </c>
      <c r="S2766" s="18">
        <f t="shared" si="477"/>
        <v>441457.03672345309</v>
      </c>
    </row>
    <row r="2767" spans="1:19" ht="18.75" customHeight="1" x14ac:dyDescent="0.25">
      <c r="A2767" s="14">
        <f t="shared" si="481"/>
        <v>2761</v>
      </c>
      <c r="B2767" s="14" t="s">
        <v>2348</v>
      </c>
      <c r="C2767" s="15" t="s">
        <v>3</v>
      </c>
      <c r="D2767" s="14" t="s">
        <v>500</v>
      </c>
      <c r="E2767" s="14" t="s">
        <v>2327</v>
      </c>
      <c r="F2767" s="72" t="s">
        <v>11</v>
      </c>
      <c r="G2767" s="32">
        <v>42686</v>
      </c>
      <c r="H2767" s="17">
        <v>32403734.656380702</v>
      </c>
      <c r="I2767" s="17">
        <v>0</v>
      </c>
      <c r="J2767" s="17">
        <v>0</v>
      </c>
      <c r="K2767" s="17">
        <f t="shared" si="478"/>
        <v>32403734.656380702</v>
      </c>
      <c r="L2767" s="23">
        <f t="shared" si="475"/>
        <v>1620186.7328190352</v>
      </c>
      <c r="M2767" s="42">
        <v>25</v>
      </c>
      <c r="N2767" s="18">
        <f t="shared" si="479"/>
        <v>4.3890410958904109</v>
      </c>
      <c r="O2767" s="23">
        <v>5404410.276552964</v>
      </c>
      <c r="P2767" s="18">
        <f t="shared" si="480"/>
        <v>4.8904109589041092</v>
      </c>
      <c r="Q2767" s="18">
        <f t="shared" si="474"/>
        <v>617357.72822046909</v>
      </c>
      <c r="R2767" s="18">
        <f t="shared" si="476"/>
        <v>6021768.0047734333</v>
      </c>
      <c r="S2767" s="18">
        <f t="shared" si="477"/>
        <v>26381966.651607268</v>
      </c>
    </row>
    <row r="2768" spans="1:19" ht="18.75" customHeight="1" x14ac:dyDescent="0.25">
      <c r="A2768" s="14">
        <f t="shared" si="481"/>
        <v>2762</v>
      </c>
      <c r="B2768" s="14" t="s">
        <v>2349</v>
      </c>
      <c r="C2768" s="15" t="s">
        <v>3</v>
      </c>
      <c r="D2768" s="14" t="s">
        <v>500</v>
      </c>
      <c r="E2768" s="14" t="s">
        <v>2327</v>
      </c>
      <c r="F2768" s="72" t="s">
        <v>11</v>
      </c>
      <c r="G2768" s="32">
        <v>42686</v>
      </c>
      <c r="H2768" s="17">
        <v>4572093.0581209697</v>
      </c>
      <c r="I2768" s="17">
        <v>0</v>
      </c>
      <c r="J2768" s="17">
        <v>0</v>
      </c>
      <c r="K2768" s="17">
        <f t="shared" si="478"/>
        <v>4572093.0581209697</v>
      </c>
      <c r="L2768" s="23">
        <f t="shared" si="475"/>
        <v>228604.65290604849</v>
      </c>
      <c r="M2768" s="42">
        <v>25</v>
      </c>
      <c r="N2768" s="18">
        <f t="shared" si="479"/>
        <v>4.3890410958904109</v>
      </c>
      <c r="O2768" s="23">
        <v>762549.96440047177</v>
      </c>
      <c r="P2768" s="18">
        <f t="shared" si="480"/>
        <v>4.8904109589041092</v>
      </c>
      <c r="Q2768" s="18">
        <f t="shared" si="474"/>
        <v>87107.767468967664</v>
      </c>
      <c r="R2768" s="18">
        <f t="shared" si="476"/>
        <v>849657.73186943948</v>
      </c>
      <c r="S2768" s="18">
        <f t="shared" si="477"/>
        <v>3722435.3262515301</v>
      </c>
    </row>
    <row r="2769" spans="1:19" ht="18.75" customHeight="1" x14ac:dyDescent="0.25">
      <c r="A2769" s="14">
        <f t="shared" si="481"/>
        <v>2763</v>
      </c>
      <c r="B2769" s="14" t="s">
        <v>2350</v>
      </c>
      <c r="C2769" s="15" t="s">
        <v>3</v>
      </c>
      <c r="D2769" s="14" t="s">
        <v>500</v>
      </c>
      <c r="E2769" s="14" t="s">
        <v>2327</v>
      </c>
      <c r="F2769" s="72" t="s">
        <v>11</v>
      </c>
      <c r="G2769" s="32">
        <v>42686</v>
      </c>
      <c r="H2769" s="17">
        <v>756186.45927876583</v>
      </c>
      <c r="I2769" s="17">
        <v>0</v>
      </c>
      <c r="J2769" s="17">
        <v>0</v>
      </c>
      <c r="K2769" s="17">
        <f t="shared" si="478"/>
        <v>756186.45927876583</v>
      </c>
      <c r="L2769" s="23">
        <f t="shared" si="475"/>
        <v>37809.322963938292</v>
      </c>
      <c r="M2769" s="42">
        <v>25</v>
      </c>
      <c r="N2769" s="18">
        <f t="shared" si="479"/>
        <v>4.3890410958904109</v>
      </c>
      <c r="O2769" s="23">
        <v>126119.47094535382</v>
      </c>
      <c r="P2769" s="18">
        <f t="shared" si="480"/>
        <v>4.8904109589041092</v>
      </c>
      <c r="Q2769" s="18">
        <f t="shared" si="474"/>
        <v>14406.905857053514</v>
      </c>
      <c r="R2769" s="18">
        <f t="shared" si="476"/>
        <v>140526.37680240735</v>
      </c>
      <c r="S2769" s="18">
        <f t="shared" si="477"/>
        <v>615660.08247635851</v>
      </c>
    </row>
    <row r="2770" spans="1:19" ht="18.75" customHeight="1" x14ac:dyDescent="0.25">
      <c r="A2770" s="14">
        <f t="shared" si="481"/>
        <v>2764</v>
      </c>
      <c r="B2770" s="14" t="s">
        <v>2351</v>
      </c>
      <c r="C2770" s="15" t="s">
        <v>3</v>
      </c>
      <c r="D2770" s="14" t="s">
        <v>500</v>
      </c>
      <c r="E2770" s="14" t="s">
        <v>2327</v>
      </c>
      <c r="F2770" s="72" t="s">
        <v>11</v>
      </c>
      <c r="G2770" s="32">
        <v>42686</v>
      </c>
      <c r="H2770" s="17">
        <v>427298.66360577103</v>
      </c>
      <c r="I2770" s="17">
        <v>0</v>
      </c>
      <c r="J2770" s="17">
        <v>0</v>
      </c>
      <c r="K2770" s="17">
        <f t="shared" si="478"/>
        <v>427298.66360577103</v>
      </c>
      <c r="L2770" s="23">
        <f t="shared" si="475"/>
        <v>21364.933180288554</v>
      </c>
      <c r="M2770" s="42">
        <v>25</v>
      </c>
      <c r="N2770" s="18">
        <f t="shared" si="479"/>
        <v>4.3890410958904109</v>
      </c>
      <c r="O2770" s="23">
        <v>71266.393001821692</v>
      </c>
      <c r="P2770" s="18">
        <f t="shared" si="480"/>
        <v>4.8904109589041092</v>
      </c>
      <c r="Q2770" s="18">
        <f t="shared" si="474"/>
        <v>8140.9175526425461</v>
      </c>
      <c r="R2770" s="18">
        <f t="shared" si="476"/>
        <v>79407.310554464231</v>
      </c>
      <c r="S2770" s="18">
        <f t="shared" si="477"/>
        <v>347891.3530513068</v>
      </c>
    </row>
    <row r="2771" spans="1:19" ht="18.75" customHeight="1" x14ac:dyDescent="0.25">
      <c r="A2771" s="14">
        <f t="shared" si="481"/>
        <v>2765</v>
      </c>
      <c r="B2771" s="14" t="s">
        <v>2352</v>
      </c>
      <c r="C2771" s="15" t="s">
        <v>3</v>
      </c>
      <c r="D2771" s="14" t="s">
        <v>500</v>
      </c>
      <c r="E2771" s="14" t="s">
        <v>2327</v>
      </c>
      <c r="F2771" s="72" t="s">
        <v>11</v>
      </c>
      <c r="G2771" s="32">
        <v>42686</v>
      </c>
      <c r="H2771" s="17">
        <v>3357420.4289351795</v>
      </c>
      <c r="I2771" s="17">
        <v>0</v>
      </c>
      <c r="J2771" s="17">
        <v>0</v>
      </c>
      <c r="K2771" s="17">
        <f t="shared" si="478"/>
        <v>3357420.4289351795</v>
      </c>
      <c r="L2771" s="23">
        <f t="shared" si="475"/>
        <v>167871.021446759</v>
      </c>
      <c r="M2771" s="42">
        <v>25</v>
      </c>
      <c r="N2771" s="18">
        <f t="shared" si="479"/>
        <v>4.3890410958904109</v>
      </c>
      <c r="O2771" s="23">
        <v>559962.53707358357</v>
      </c>
      <c r="P2771" s="18">
        <f t="shared" si="480"/>
        <v>4.8904109589041092</v>
      </c>
      <c r="Q2771" s="18">
        <f t="shared" si="474"/>
        <v>63965.75798031567</v>
      </c>
      <c r="R2771" s="18">
        <f t="shared" si="476"/>
        <v>623928.29505389929</v>
      </c>
      <c r="S2771" s="18">
        <f t="shared" si="477"/>
        <v>2733492.1338812802</v>
      </c>
    </row>
    <row r="2772" spans="1:19" ht="18.75" customHeight="1" x14ac:dyDescent="0.25">
      <c r="A2772" s="14">
        <f t="shared" si="481"/>
        <v>2766</v>
      </c>
      <c r="B2772" s="14" t="s">
        <v>2353</v>
      </c>
      <c r="C2772" s="15" t="s">
        <v>3</v>
      </c>
      <c r="D2772" s="14" t="s">
        <v>500</v>
      </c>
      <c r="E2772" s="14" t="s">
        <v>2327</v>
      </c>
      <c r="F2772" s="72" t="s">
        <v>8</v>
      </c>
      <c r="G2772" s="32">
        <v>42686</v>
      </c>
      <c r="H2772" s="17">
        <v>0.12182852836344686</v>
      </c>
      <c r="I2772" s="17">
        <v>0</v>
      </c>
      <c r="J2772" s="17">
        <v>0</v>
      </c>
      <c r="K2772" s="17">
        <f t="shared" si="478"/>
        <v>0.12182852836344686</v>
      </c>
      <c r="L2772" s="23">
        <f t="shared" si="475"/>
        <v>6.0914264181723436E-3</v>
      </c>
      <c r="M2772" s="42">
        <v>25</v>
      </c>
      <c r="N2772" s="18">
        <f t="shared" si="479"/>
        <v>4.3890410958904109</v>
      </c>
      <c r="O2772" s="23">
        <v>2.0318995870282713E-2</v>
      </c>
      <c r="P2772" s="18">
        <f t="shared" si="480"/>
        <v>4.8904109589041092</v>
      </c>
      <c r="Q2772" s="18">
        <f t="shared" si="474"/>
        <v>2.3210837979161882E-3</v>
      </c>
      <c r="R2772" s="18">
        <f t="shared" si="476"/>
        <v>2.2640079668198903E-2</v>
      </c>
      <c r="S2772" s="18">
        <f t="shared" si="477"/>
        <v>9.9188448695247955E-2</v>
      </c>
    </row>
    <row r="2773" spans="1:19" ht="18.75" customHeight="1" x14ac:dyDescent="0.25">
      <c r="A2773" s="14">
        <f t="shared" si="481"/>
        <v>2767</v>
      </c>
      <c r="B2773" s="14" t="s">
        <v>2354</v>
      </c>
      <c r="C2773" s="15" t="s">
        <v>3</v>
      </c>
      <c r="D2773" s="14" t="s">
        <v>500</v>
      </c>
      <c r="E2773" s="14" t="s">
        <v>2327</v>
      </c>
      <c r="F2773" s="72" t="s">
        <v>8</v>
      </c>
      <c r="G2773" s="32">
        <v>42686</v>
      </c>
      <c r="H2773" s="17">
        <v>12560062.687324906</v>
      </c>
      <c r="I2773" s="17">
        <v>0</v>
      </c>
      <c r="J2773" s="17">
        <v>0</v>
      </c>
      <c r="K2773" s="17">
        <f t="shared" si="478"/>
        <v>12560062.687324906</v>
      </c>
      <c r="L2773" s="23">
        <f t="shared" si="475"/>
        <v>628003.13436624536</v>
      </c>
      <c r="M2773" s="42">
        <v>25</v>
      </c>
      <c r="N2773" s="18">
        <f t="shared" si="479"/>
        <v>4.3890410958904109</v>
      </c>
      <c r="O2773" s="23">
        <v>2094811.989461893</v>
      </c>
      <c r="P2773" s="18">
        <f t="shared" si="480"/>
        <v>4.8904109589041092</v>
      </c>
      <c r="Q2773" s="18">
        <f t="shared" si="474"/>
        <v>239295.00254152689</v>
      </c>
      <c r="R2773" s="18">
        <f t="shared" si="476"/>
        <v>2334106.9920034199</v>
      </c>
      <c r="S2773" s="18">
        <f t="shared" si="477"/>
        <v>10225955.695321485</v>
      </c>
    </row>
    <row r="2774" spans="1:19" ht="18.75" customHeight="1" x14ac:dyDescent="0.25">
      <c r="A2774" s="14">
        <f t="shared" si="481"/>
        <v>2768</v>
      </c>
      <c r="B2774" s="14" t="s">
        <v>2355</v>
      </c>
      <c r="C2774" s="15" t="s">
        <v>3</v>
      </c>
      <c r="D2774" s="14" t="s">
        <v>500</v>
      </c>
      <c r="E2774" s="14" t="s">
        <v>2327</v>
      </c>
      <c r="F2774" s="72" t="s">
        <v>11</v>
      </c>
      <c r="G2774" s="32">
        <v>42686</v>
      </c>
      <c r="H2774" s="17">
        <v>3692475.1359825204</v>
      </c>
      <c r="I2774" s="17">
        <v>0</v>
      </c>
      <c r="J2774" s="17">
        <v>0</v>
      </c>
      <c r="K2774" s="17">
        <f t="shared" si="478"/>
        <v>3692475.1359825204</v>
      </c>
      <c r="L2774" s="23">
        <f t="shared" si="475"/>
        <v>184623.75679912604</v>
      </c>
      <c r="M2774" s="42">
        <v>25</v>
      </c>
      <c r="N2774" s="18">
        <f t="shared" si="479"/>
        <v>4.3890410958904109</v>
      </c>
      <c r="O2774" s="23">
        <v>615844.15446047101</v>
      </c>
      <c r="P2774" s="18">
        <f t="shared" si="480"/>
        <v>4.8904109589041092</v>
      </c>
      <c r="Q2774" s="18">
        <f t="shared" ref="Q2774:Q2837" si="482">(P2774-N2774)/M2774*(K2774-L2774)</f>
        <v>70349.23861814363</v>
      </c>
      <c r="R2774" s="18">
        <f t="shared" si="476"/>
        <v>686193.39307861461</v>
      </c>
      <c r="S2774" s="18">
        <f t="shared" si="477"/>
        <v>3006281.7429039059</v>
      </c>
    </row>
    <row r="2775" spans="1:19" ht="18.75" customHeight="1" x14ac:dyDescent="0.25">
      <c r="A2775" s="14">
        <f t="shared" si="481"/>
        <v>2769</v>
      </c>
      <c r="B2775" s="14" t="s">
        <v>2356</v>
      </c>
      <c r="C2775" s="15" t="s">
        <v>3</v>
      </c>
      <c r="D2775" s="14" t="s">
        <v>500</v>
      </c>
      <c r="E2775" s="14" t="s">
        <v>2327</v>
      </c>
      <c r="F2775" s="74" t="s">
        <v>11</v>
      </c>
      <c r="G2775" s="32">
        <v>42686</v>
      </c>
      <c r="H2775" s="17">
        <v>130969698.74848053</v>
      </c>
      <c r="I2775" s="17">
        <v>0</v>
      </c>
      <c r="J2775" s="17">
        <v>0</v>
      </c>
      <c r="K2775" s="17">
        <f t="shared" si="478"/>
        <v>130969698.74848053</v>
      </c>
      <c r="L2775" s="23">
        <f t="shared" ref="L2775:L2838" si="483">H2775*0.05</f>
        <v>6548484.9374240264</v>
      </c>
      <c r="M2775" s="42">
        <v>25</v>
      </c>
      <c r="N2775" s="18">
        <f t="shared" si="479"/>
        <v>4.3890410958904109</v>
      </c>
      <c r="O2775" s="23">
        <v>16843592.824691784</v>
      </c>
      <c r="P2775" s="18">
        <f t="shared" si="480"/>
        <v>4.8904109589041092</v>
      </c>
      <c r="Q2775" s="18">
        <f t="shared" si="482"/>
        <v>2495241.8769778982</v>
      </c>
      <c r="R2775" s="18">
        <f t="shared" si="476"/>
        <v>19338834.701669682</v>
      </c>
      <c r="S2775" s="18">
        <f t="shared" si="477"/>
        <v>111630864.04681085</v>
      </c>
    </row>
    <row r="2776" spans="1:19" ht="18.75" customHeight="1" x14ac:dyDescent="0.25">
      <c r="A2776" s="14">
        <f t="shared" si="481"/>
        <v>2770</v>
      </c>
      <c r="B2776" s="14" t="s">
        <v>2357</v>
      </c>
      <c r="C2776" s="15" t="s">
        <v>3</v>
      </c>
      <c r="D2776" s="14" t="s">
        <v>500</v>
      </c>
      <c r="E2776" s="14" t="s">
        <v>2327</v>
      </c>
      <c r="F2776" s="72" t="s">
        <v>8</v>
      </c>
      <c r="G2776" s="32">
        <v>42686</v>
      </c>
      <c r="H2776" s="17">
        <v>51395381.415212885</v>
      </c>
      <c r="I2776" s="17">
        <v>0</v>
      </c>
      <c r="J2776" s="17">
        <v>0</v>
      </c>
      <c r="K2776" s="17">
        <f t="shared" si="478"/>
        <v>51395381.415212885</v>
      </c>
      <c r="L2776" s="23">
        <f t="shared" si="483"/>
        <v>2569769.0707606445</v>
      </c>
      <c r="M2776" s="42">
        <v>25</v>
      </c>
      <c r="N2776" s="18">
        <f t="shared" si="479"/>
        <v>4.3890410958904109</v>
      </c>
      <c r="O2776" s="23">
        <v>6571904.7644726019</v>
      </c>
      <c r="P2776" s="18">
        <f t="shared" si="480"/>
        <v>4.8904109589041092</v>
      </c>
      <c r="Q2776" s="18">
        <f t="shared" si="482"/>
        <v>979187.62290791806</v>
      </c>
      <c r="R2776" s="18">
        <f t="shared" si="476"/>
        <v>7551092.3873805199</v>
      </c>
      <c r="S2776" s="18">
        <f t="shared" si="477"/>
        <v>43844289.027832367</v>
      </c>
    </row>
    <row r="2777" spans="1:19" ht="18.75" customHeight="1" x14ac:dyDescent="0.25">
      <c r="A2777" s="14">
        <f t="shared" si="481"/>
        <v>2771</v>
      </c>
      <c r="B2777" s="14" t="s">
        <v>2358</v>
      </c>
      <c r="C2777" s="15" t="s">
        <v>3</v>
      </c>
      <c r="D2777" s="14" t="s">
        <v>500</v>
      </c>
      <c r="E2777" s="14" t="s">
        <v>2327</v>
      </c>
      <c r="F2777" s="72" t="s">
        <v>8</v>
      </c>
      <c r="G2777" s="32">
        <v>42686</v>
      </c>
      <c r="H2777" s="17">
        <v>10241135.741007308</v>
      </c>
      <c r="I2777" s="17">
        <v>0</v>
      </c>
      <c r="J2777" s="17">
        <v>0</v>
      </c>
      <c r="K2777" s="17">
        <f t="shared" si="478"/>
        <v>10241135.741007308</v>
      </c>
      <c r="L2777" s="23">
        <f t="shared" si="483"/>
        <v>512056.78705036541</v>
      </c>
      <c r="M2777" s="42">
        <v>25</v>
      </c>
      <c r="N2777" s="18">
        <f t="shared" si="479"/>
        <v>4.3890410958904109</v>
      </c>
      <c r="O2777" s="23">
        <v>1708053.0941631808</v>
      </c>
      <c r="P2777" s="18">
        <f t="shared" si="480"/>
        <v>4.8904109589041092</v>
      </c>
      <c r="Q2777" s="18">
        <f t="shared" si="482"/>
        <v>195114.67929579387</v>
      </c>
      <c r="R2777" s="18">
        <f t="shared" si="476"/>
        <v>1903167.7734589747</v>
      </c>
      <c r="S2777" s="18">
        <f t="shared" si="477"/>
        <v>8337967.9675483331</v>
      </c>
    </row>
    <row r="2778" spans="1:19" ht="18.75" customHeight="1" x14ac:dyDescent="0.25">
      <c r="A2778" s="14">
        <f t="shared" si="481"/>
        <v>2772</v>
      </c>
      <c r="B2778" s="14" t="s">
        <v>2359</v>
      </c>
      <c r="C2778" s="15" t="s">
        <v>3</v>
      </c>
      <c r="D2778" s="14" t="s">
        <v>500</v>
      </c>
      <c r="E2778" s="14" t="s">
        <v>2327</v>
      </c>
      <c r="F2778" s="72" t="s">
        <v>8</v>
      </c>
      <c r="G2778" s="32">
        <v>42686</v>
      </c>
      <c r="H2778" s="17">
        <v>290690.40986108989</v>
      </c>
      <c r="I2778" s="17">
        <v>0</v>
      </c>
      <c r="J2778" s="17">
        <v>0</v>
      </c>
      <c r="K2778" s="17">
        <f t="shared" si="478"/>
        <v>290690.40986108989</v>
      </c>
      <c r="L2778" s="23">
        <f t="shared" si="483"/>
        <v>14534.520493054495</v>
      </c>
      <c r="M2778" s="42">
        <v>25</v>
      </c>
      <c r="N2778" s="18">
        <f t="shared" si="479"/>
        <v>4.3890410958904109</v>
      </c>
      <c r="O2778" s="23">
        <v>48482.381892338934</v>
      </c>
      <c r="P2778" s="18">
        <f t="shared" si="480"/>
        <v>4.8904109589041092</v>
      </c>
      <c r="Q2778" s="18">
        <f t="shared" si="482"/>
        <v>5538.2496169151163</v>
      </c>
      <c r="R2778" s="18">
        <f t="shared" si="476"/>
        <v>54020.631509254046</v>
      </c>
      <c r="S2778" s="18">
        <f t="shared" si="477"/>
        <v>236669.77835183585</v>
      </c>
    </row>
    <row r="2779" spans="1:19" ht="18.75" customHeight="1" x14ac:dyDescent="0.25">
      <c r="A2779" s="14">
        <f t="shared" si="481"/>
        <v>2773</v>
      </c>
      <c r="B2779" s="14" t="s">
        <v>2360</v>
      </c>
      <c r="C2779" s="15" t="s">
        <v>3</v>
      </c>
      <c r="D2779" s="14" t="s">
        <v>500</v>
      </c>
      <c r="E2779" s="14" t="s">
        <v>2327</v>
      </c>
      <c r="F2779" s="72" t="s">
        <v>8</v>
      </c>
      <c r="G2779" s="32">
        <v>42686</v>
      </c>
      <c r="H2779" s="17">
        <v>44455262.950686574</v>
      </c>
      <c r="I2779" s="17">
        <v>0</v>
      </c>
      <c r="J2779" s="17">
        <v>0</v>
      </c>
      <c r="K2779" s="17">
        <f t="shared" si="478"/>
        <v>44455262.950686574</v>
      </c>
      <c r="L2779" s="23">
        <f t="shared" si="483"/>
        <v>2222763.147534329</v>
      </c>
      <c r="M2779" s="42">
        <v>25</v>
      </c>
      <c r="N2779" s="18">
        <f t="shared" si="479"/>
        <v>4.3890410958904109</v>
      </c>
      <c r="O2779" s="23">
        <v>7414407.0887287557</v>
      </c>
      <c r="P2779" s="18">
        <f t="shared" si="480"/>
        <v>4.8904109589041092</v>
      </c>
      <c r="Q2779" s="18">
        <f t="shared" si="482"/>
        <v>846964.10564129916</v>
      </c>
      <c r="R2779" s="18">
        <f t="shared" si="476"/>
        <v>8261371.1943700546</v>
      </c>
      <c r="S2779" s="18">
        <f t="shared" si="477"/>
        <v>36193891.75631652</v>
      </c>
    </row>
    <row r="2780" spans="1:19" ht="18.75" customHeight="1" x14ac:dyDescent="0.25">
      <c r="A2780" s="14">
        <f t="shared" si="481"/>
        <v>2774</v>
      </c>
      <c r="B2780" s="14" t="s">
        <v>2361</v>
      </c>
      <c r="C2780" s="15" t="s">
        <v>3</v>
      </c>
      <c r="D2780" s="14" t="s">
        <v>500</v>
      </c>
      <c r="E2780" s="14" t="s">
        <v>2327</v>
      </c>
      <c r="F2780" s="72" t="s">
        <v>11</v>
      </c>
      <c r="G2780" s="32">
        <v>42686</v>
      </c>
      <c r="H2780" s="17">
        <v>48942650.622593552</v>
      </c>
      <c r="I2780" s="17">
        <v>0</v>
      </c>
      <c r="J2780" s="17">
        <v>0</v>
      </c>
      <c r="K2780" s="17">
        <f t="shared" si="478"/>
        <v>48942650.622593552</v>
      </c>
      <c r="L2780" s="23">
        <f t="shared" si="483"/>
        <v>2447132.5311296778</v>
      </c>
      <c r="M2780" s="42">
        <v>25</v>
      </c>
      <c r="N2780" s="18">
        <f t="shared" si="479"/>
        <v>4.3890410958904109</v>
      </c>
      <c r="O2780" s="23">
        <v>6162829.5871260418</v>
      </c>
      <c r="P2780" s="18">
        <f t="shared" si="480"/>
        <v>4.8904109589041092</v>
      </c>
      <c r="Q2780" s="18">
        <f t="shared" si="482"/>
        <v>932458.0614507267</v>
      </c>
      <c r="R2780" s="18">
        <f t="shared" si="476"/>
        <v>7095287.6485767681</v>
      </c>
      <c r="S2780" s="18">
        <f t="shared" si="477"/>
        <v>41847362.974016786</v>
      </c>
    </row>
    <row r="2781" spans="1:19" ht="18.75" customHeight="1" x14ac:dyDescent="0.25">
      <c r="A2781" s="14">
        <f t="shared" si="481"/>
        <v>2775</v>
      </c>
      <c r="B2781" s="14" t="s">
        <v>2362</v>
      </c>
      <c r="C2781" s="15" t="s">
        <v>3</v>
      </c>
      <c r="D2781" s="14" t="s">
        <v>500</v>
      </c>
      <c r="E2781" s="14" t="s">
        <v>2327</v>
      </c>
      <c r="F2781" s="72" t="s">
        <v>8</v>
      </c>
      <c r="G2781" s="32">
        <v>42686</v>
      </c>
      <c r="H2781" s="17">
        <v>6689740.9403886339</v>
      </c>
      <c r="I2781" s="17">
        <v>0</v>
      </c>
      <c r="J2781" s="17">
        <v>0</v>
      </c>
      <c r="K2781" s="17">
        <f t="shared" si="478"/>
        <v>6689740.9403886339</v>
      </c>
      <c r="L2781" s="23">
        <f t="shared" si="483"/>
        <v>334487.04701943172</v>
      </c>
      <c r="M2781" s="42">
        <v>25</v>
      </c>
      <c r="N2781" s="18">
        <f t="shared" si="479"/>
        <v>4.3890410958904109</v>
      </c>
      <c r="O2781" s="23">
        <v>1115738.8205125986</v>
      </c>
      <c r="P2781" s="18">
        <f t="shared" si="480"/>
        <v>4.8904109589041092</v>
      </c>
      <c r="Q2781" s="18">
        <f t="shared" si="482"/>
        <v>127453.31095743157</v>
      </c>
      <c r="R2781" s="18">
        <f t="shared" si="476"/>
        <v>1243192.1314700302</v>
      </c>
      <c r="S2781" s="18">
        <f t="shared" si="477"/>
        <v>5446548.8089186037</v>
      </c>
    </row>
    <row r="2782" spans="1:19" ht="18.75" customHeight="1" x14ac:dyDescent="0.25">
      <c r="A2782" s="14">
        <f t="shared" si="481"/>
        <v>2776</v>
      </c>
      <c r="B2782" s="14" t="s">
        <v>2363</v>
      </c>
      <c r="C2782" s="15" t="s">
        <v>3</v>
      </c>
      <c r="D2782" s="14" t="s">
        <v>500</v>
      </c>
      <c r="E2782" s="14" t="s">
        <v>2327</v>
      </c>
      <c r="F2782" s="74" t="s">
        <v>11</v>
      </c>
      <c r="G2782" s="32">
        <v>42686</v>
      </c>
      <c r="H2782" s="17">
        <v>2865791.855612223</v>
      </c>
      <c r="I2782" s="17">
        <v>0</v>
      </c>
      <c r="J2782" s="17">
        <v>0</v>
      </c>
      <c r="K2782" s="17">
        <f t="shared" si="478"/>
        <v>2865791.855612223</v>
      </c>
      <c r="L2782" s="23">
        <f t="shared" si="483"/>
        <v>143289.59278061116</v>
      </c>
      <c r="M2782" s="42">
        <v>25</v>
      </c>
      <c r="N2782" s="18">
        <f t="shared" si="479"/>
        <v>4.3890410958904109</v>
      </c>
      <c r="O2782" s="23">
        <v>477966.97260890325</v>
      </c>
      <c r="P2782" s="18">
        <f t="shared" si="480"/>
        <v>4.8904109589041092</v>
      </c>
      <c r="Q2782" s="18">
        <f t="shared" si="482"/>
        <v>54599.223462814749</v>
      </c>
      <c r="R2782" s="18">
        <f t="shared" si="476"/>
        <v>532566.196071718</v>
      </c>
      <c r="S2782" s="18">
        <f t="shared" si="477"/>
        <v>2333225.6595405051</v>
      </c>
    </row>
    <row r="2783" spans="1:19" ht="18.75" customHeight="1" x14ac:dyDescent="0.25">
      <c r="A2783" s="14">
        <f t="shared" si="481"/>
        <v>2777</v>
      </c>
      <c r="B2783" s="14" t="s">
        <v>2364</v>
      </c>
      <c r="C2783" s="15" t="s">
        <v>3</v>
      </c>
      <c r="D2783" s="14" t="s">
        <v>500</v>
      </c>
      <c r="E2783" s="14" t="s">
        <v>2327</v>
      </c>
      <c r="F2783" s="72" t="s">
        <v>11</v>
      </c>
      <c r="G2783" s="32">
        <v>42686</v>
      </c>
      <c r="H2783" s="17">
        <v>1228174.1783788467</v>
      </c>
      <c r="I2783" s="17">
        <v>0</v>
      </c>
      <c r="J2783" s="17">
        <v>0</v>
      </c>
      <c r="K2783" s="17">
        <f t="shared" si="478"/>
        <v>1228174.1783788467</v>
      </c>
      <c r="L2783" s="23">
        <f t="shared" si="483"/>
        <v>61408.708918942342</v>
      </c>
      <c r="M2783" s="42">
        <v>25</v>
      </c>
      <c r="N2783" s="18">
        <f t="shared" si="479"/>
        <v>4.3890410958904109</v>
      </c>
      <c r="O2783" s="23">
        <v>204839.26378901553</v>
      </c>
      <c r="P2783" s="18">
        <f t="shared" si="480"/>
        <v>4.8904109589041092</v>
      </c>
      <c r="Q2783" s="18">
        <f t="shared" si="482"/>
        <v>23399.241743689021</v>
      </c>
      <c r="R2783" s="18">
        <f t="shared" si="476"/>
        <v>228238.50553270456</v>
      </c>
      <c r="S2783" s="18">
        <f t="shared" si="477"/>
        <v>999935.6728461422</v>
      </c>
    </row>
    <row r="2784" spans="1:19" ht="18.75" customHeight="1" x14ac:dyDescent="0.25">
      <c r="A2784" s="14">
        <f t="shared" si="481"/>
        <v>2778</v>
      </c>
      <c r="B2784" s="14" t="s">
        <v>2365</v>
      </c>
      <c r="C2784" s="15" t="s">
        <v>3</v>
      </c>
      <c r="D2784" s="14" t="s">
        <v>500</v>
      </c>
      <c r="E2784" s="14" t="s">
        <v>2327</v>
      </c>
      <c r="F2784" s="72" t="s">
        <v>11</v>
      </c>
      <c r="G2784" s="32">
        <v>42686</v>
      </c>
      <c r="H2784" s="17">
        <v>1902534.8477021828</v>
      </c>
      <c r="I2784" s="17">
        <v>0</v>
      </c>
      <c r="J2784" s="17">
        <v>0</v>
      </c>
      <c r="K2784" s="17">
        <f t="shared" si="478"/>
        <v>1902534.8477021828</v>
      </c>
      <c r="L2784" s="23">
        <f t="shared" si="483"/>
        <v>95126.742385109144</v>
      </c>
      <c r="M2784" s="42">
        <v>25</v>
      </c>
      <c r="N2784" s="18">
        <f t="shared" si="479"/>
        <v>4.3890410958904109</v>
      </c>
      <c r="O2784" s="23">
        <v>317311.5380512824</v>
      </c>
      <c r="P2784" s="18">
        <f t="shared" si="480"/>
        <v>4.8904109589041092</v>
      </c>
      <c r="Q2784" s="18">
        <f t="shared" si="482"/>
        <v>36247.198166906761</v>
      </c>
      <c r="R2784" s="18">
        <f t="shared" si="476"/>
        <v>353558.73621818918</v>
      </c>
      <c r="S2784" s="18">
        <f t="shared" si="477"/>
        <v>1548976.1114839937</v>
      </c>
    </row>
    <row r="2785" spans="1:19" ht="18.75" customHeight="1" x14ac:dyDescent="0.25">
      <c r="A2785" s="14">
        <f t="shared" si="481"/>
        <v>2779</v>
      </c>
      <c r="B2785" s="14" t="s">
        <v>2366</v>
      </c>
      <c r="C2785" s="15" t="s">
        <v>3</v>
      </c>
      <c r="D2785" s="14" t="s">
        <v>500</v>
      </c>
      <c r="E2785" s="14" t="s">
        <v>2327</v>
      </c>
      <c r="F2785" s="72" t="s">
        <v>11</v>
      </c>
      <c r="G2785" s="32">
        <v>42686</v>
      </c>
      <c r="H2785" s="17">
        <v>7308560.422213777</v>
      </c>
      <c r="I2785" s="17">
        <v>0</v>
      </c>
      <c r="J2785" s="17">
        <v>0</v>
      </c>
      <c r="K2785" s="17">
        <f t="shared" si="478"/>
        <v>7308560.422213777</v>
      </c>
      <c r="L2785" s="23">
        <f t="shared" si="483"/>
        <v>365428.02111068886</v>
      </c>
      <c r="M2785" s="42">
        <v>25</v>
      </c>
      <c r="N2785" s="18">
        <f t="shared" si="479"/>
        <v>4.3890410958904109</v>
      </c>
      <c r="O2785" s="23">
        <v>1218947.7377059888</v>
      </c>
      <c r="P2785" s="18">
        <f t="shared" si="480"/>
        <v>4.8904109589041092</v>
      </c>
      <c r="Q2785" s="18">
        <f t="shared" si="482"/>
        <v>139243.09363308098</v>
      </c>
      <c r="R2785" s="18">
        <f t="shared" si="476"/>
        <v>1358190.8313390699</v>
      </c>
      <c r="S2785" s="18">
        <f t="shared" si="477"/>
        <v>5950369.5908747073</v>
      </c>
    </row>
    <row r="2786" spans="1:19" ht="18.75" customHeight="1" x14ac:dyDescent="0.25">
      <c r="A2786" s="14">
        <f t="shared" si="481"/>
        <v>2780</v>
      </c>
      <c r="B2786" s="14" t="s">
        <v>2367</v>
      </c>
      <c r="C2786" s="15" t="s">
        <v>3</v>
      </c>
      <c r="D2786" s="14" t="s">
        <v>500</v>
      </c>
      <c r="E2786" s="14" t="s">
        <v>2327</v>
      </c>
      <c r="F2786" s="74" t="s">
        <v>11</v>
      </c>
      <c r="G2786" s="32">
        <v>42686</v>
      </c>
      <c r="H2786" s="17">
        <v>19648863.254695803</v>
      </c>
      <c r="I2786" s="17">
        <v>0</v>
      </c>
      <c r="J2786" s="17">
        <v>0</v>
      </c>
      <c r="K2786" s="17">
        <f t="shared" si="478"/>
        <v>19648863.254695803</v>
      </c>
      <c r="L2786" s="23">
        <f t="shared" si="483"/>
        <v>982443.16273479024</v>
      </c>
      <c r="M2786" s="42">
        <v>25</v>
      </c>
      <c r="N2786" s="18">
        <f t="shared" si="479"/>
        <v>4.3890410958904109</v>
      </c>
      <c r="O2786" s="23">
        <v>3277107.3958708532</v>
      </c>
      <c r="P2786" s="18">
        <f t="shared" si="480"/>
        <v>4.8904109589041092</v>
      </c>
      <c r="Q2786" s="18">
        <f t="shared" si="482"/>
        <v>374351.21937850543</v>
      </c>
      <c r="R2786" s="18">
        <f t="shared" si="476"/>
        <v>3651458.6152493586</v>
      </c>
      <c r="S2786" s="18">
        <f t="shared" si="477"/>
        <v>15997404.639446445</v>
      </c>
    </row>
    <row r="2787" spans="1:19" ht="18.75" customHeight="1" x14ac:dyDescent="0.25">
      <c r="A2787" s="14">
        <f t="shared" si="481"/>
        <v>2781</v>
      </c>
      <c r="B2787" s="14" t="s">
        <v>2368</v>
      </c>
      <c r="C2787" s="15" t="s">
        <v>3</v>
      </c>
      <c r="D2787" s="14" t="s">
        <v>500</v>
      </c>
      <c r="E2787" s="14" t="s">
        <v>2327</v>
      </c>
      <c r="F2787" s="72" t="s">
        <v>11</v>
      </c>
      <c r="G2787" s="32">
        <v>42686</v>
      </c>
      <c r="H2787" s="17">
        <v>1157371.0194527451</v>
      </c>
      <c r="I2787" s="17">
        <v>0</v>
      </c>
      <c r="J2787" s="17">
        <v>0</v>
      </c>
      <c r="K2787" s="17">
        <f t="shared" si="478"/>
        <v>1157371.0194527451</v>
      </c>
      <c r="L2787" s="23">
        <f t="shared" si="483"/>
        <v>57868.550972637255</v>
      </c>
      <c r="M2787" s="42">
        <v>25</v>
      </c>
      <c r="N2787" s="18">
        <f t="shared" si="479"/>
        <v>4.3890410958904109</v>
      </c>
      <c r="O2787" s="23">
        <v>193030.46076768578</v>
      </c>
      <c r="P2787" s="18">
        <f t="shared" si="480"/>
        <v>4.8904109589041092</v>
      </c>
      <c r="Q2787" s="18">
        <f t="shared" si="482"/>
        <v>22050.296080203789</v>
      </c>
      <c r="R2787" s="18">
        <f t="shared" si="476"/>
        <v>215080.75684788957</v>
      </c>
      <c r="S2787" s="18">
        <f t="shared" si="477"/>
        <v>942290.26260485547</v>
      </c>
    </row>
    <row r="2788" spans="1:19" ht="18.75" customHeight="1" x14ac:dyDescent="0.25">
      <c r="A2788" s="14">
        <f t="shared" si="481"/>
        <v>2782</v>
      </c>
      <c r="B2788" s="14" t="s">
        <v>2369</v>
      </c>
      <c r="C2788" s="15" t="s">
        <v>3</v>
      </c>
      <c r="D2788" s="14" t="s">
        <v>500</v>
      </c>
      <c r="E2788" s="14" t="s">
        <v>2327</v>
      </c>
      <c r="F2788" s="72" t="s">
        <v>11</v>
      </c>
      <c r="G2788" s="32">
        <v>42686</v>
      </c>
      <c r="H2788" s="17">
        <v>2232295.3864038149</v>
      </c>
      <c r="I2788" s="17">
        <v>0</v>
      </c>
      <c r="J2788" s="17">
        <v>0</v>
      </c>
      <c r="K2788" s="17">
        <f t="shared" si="478"/>
        <v>2232295.3864038149</v>
      </c>
      <c r="L2788" s="23">
        <f t="shared" si="483"/>
        <v>111614.76932019075</v>
      </c>
      <c r="M2788" s="42">
        <v>25</v>
      </c>
      <c r="N2788" s="18">
        <f t="shared" si="479"/>
        <v>4.3890410958904109</v>
      </c>
      <c r="O2788" s="23">
        <v>372310.17518553045</v>
      </c>
      <c r="P2788" s="18">
        <f t="shared" si="480"/>
        <v>4.8904109589041092</v>
      </c>
      <c r="Q2788" s="18">
        <f t="shared" si="482"/>
        <v>42529.81401932086</v>
      </c>
      <c r="R2788" s="18">
        <f t="shared" si="476"/>
        <v>414839.98920485133</v>
      </c>
      <c r="S2788" s="18">
        <f t="shared" si="477"/>
        <v>1817455.3971989634</v>
      </c>
    </row>
    <row r="2789" spans="1:19" ht="18.75" customHeight="1" x14ac:dyDescent="0.25">
      <c r="A2789" s="14">
        <f t="shared" si="481"/>
        <v>2783</v>
      </c>
      <c r="B2789" s="14" t="s">
        <v>2370</v>
      </c>
      <c r="C2789" s="15" t="s">
        <v>3</v>
      </c>
      <c r="D2789" s="14" t="s">
        <v>500</v>
      </c>
      <c r="E2789" s="14" t="s">
        <v>2327</v>
      </c>
      <c r="F2789" s="72" t="s">
        <v>11</v>
      </c>
      <c r="G2789" s="32">
        <v>42686</v>
      </c>
      <c r="H2789" s="17">
        <v>35599353.873642363</v>
      </c>
      <c r="I2789" s="17">
        <v>0</v>
      </c>
      <c r="J2789" s="17">
        <v>0</v>
      </c>
      <c r="K2789" s="17">
        <f t="shared" si="478"/>
        <v>35599353.873642363</v>
      </c>
      <c r="L2789" s="23">
        <f t="shared" si="483"/>
        <v>1779967.6936821183</v>
      </c>
      <c r="M2789" s="42">
        <v>25</v>
      </c>
      <c r="N2789" s="18">
        <f t="shared" si="479"/>
        <v>4.3890410958904109</v>
      </c>
      <c r="O2789" s="23">
        <v>5937387.0312653491</v>
      </c>
      <c r="P2789" s="18">
        <f t="shared" si="480"/>
        <v>4.8904109589041092</v>
      </c>
      <c r="Q2789" s="18">
        <f t="shared" si="482"/>
        <v>678240.84065016103</v>
      </c>
      <c r="R2789" s="18">
        <f t="shared" si="476"/>
        <v>6615627.8719155099</v>
      </c>
      <c r="S2789" s="18">
        <f t="shared" si="477"/>
        <v>28983726.001726851</v>
      </c>
    </row>
    <row r="2790" spans="1:19" ht="18.75" customHeight="1" x14ac:dyDescent="0.25">
      <c r="A2790" s="14">
        <f t="shared" si="481"/>
        <v>2784</v>
      </c>
      <c r="B2790" s="14" t="s">
        <v>2371</v>
      </c>
      <c r="C2790" s="15" t="s">
        <v>3</v>
      </c>
      <c r="D2790" s="14" t="s">
        <v>500</v>
      </c>
      <c r="E2790" s="14" t="s">
        <v>2327</v>
      </c>
      <c r="F2790" s="72" t="s">
        <v>11</v>
      </c>
      <c r="G2790" s="32">
        <v>42686</v>
      </c>
      <c r="H2790" s="17">
        <v>7885762.986361498</v>
      </c>
      <c r="I2790" s="17">
        <v>0</v>
      </c>
      <c r="J2790" s="17">
        <v>0</v>
      </c>
      <c r="K2790" s="17">
        <f t="shared" si="478"/>
        <v>7885762.986361498</v>
      </c>
      <c r="L2790" s="23">
        <f t="shared" si="483"/>
        <v>394288.14931807492</v>
      </c>
      <c r="M2790" s="42">
        <v>25</v>
      </c>
      <c r="N2790" s="18">
        <f t="shared" si="479"/>
        <v>4.3890410958904109</v>
      </c>
      <c r="O2790" s="23">
        <v>1315215.6371445002</v>
      </c>
      <c r="P2790" s="18">
        <f t="shared" si="480"/>
        <v>4.8904109589041092</v>
      </c>
      <c r="Q2790" s="18">
        <f t="shared" si="482"/>
        <v>150239.98851276113</v>
      </c>
      <c r="R2790" s="18">
        <f t="shared" si="476"/>
        <v>1465455.6256572613</v>
      </c>
      <c r="S2790" s="18">
        <f t="shared" si="477"/>
        <v>6420307.3607042367</v>
      </c>
    </row>
    <row r="2791" spans="1:19" ht="18.75" customHeight="1" x14ac:dyDescent="0.25">
      <c r="A2791" s="14">
        <f t="shared" si="481"/>
        <v>2785</v>
      </c>
      <c r="B2791" s="14" t="s">
        <v>2372</v>
      </c>
      <c r="C2791" s="15" t="s">
        <v>3</v>
      </c>
      <c r="D2791" s="14" t="s">
        <v>500</v>
      </c>
      <c r="E2791" s="14" t="s">
        <v>2327</v>
      </c>
      <c r="F2791" s="72" t="s">
        <v>11</v>
      </c>
      <c r="G2791" s="32">
        <v>42686</v>
      </c>
      <c r="H2791" s="17">
        <v>1904619.6993080664</v>
      </c>
      <c r="I2791" s="17">
        <v>0</v>
      </c>
      <c r="J2791" s="17">
        <v>0</v>
      </c>
      <c r="K2791" s="17">
        <f t="shared" si="478"/>
        <v>1904619.6993080664</v>
      </c>
      <c r="L2791" s="23">
        <f t="shared" si="483"/>
        <v>95230.984965403331</v>
      </c>
      <c r="M2791" s="42">
        <v>25</v>
      </c>
      <c r="N2791" s="18">
        <f t="shared" si="479"/>
        <v>4.3890410958904109</v>
      </c>
      <c r="O2791" s="23">
        <v>317659.2570276105</v>
      </c>
      <c r="P2791" s="18">
        <f t="shared" si="480"/>
        <v>4.8904109589041092</v>
      </c>
      <c r="Q2791" s="18">
        <f t="shared" si="482"/>
        <v>36286.9188739405</v>
      </c>
      <c r="R2791" s="18">
        <f t="shared" si="476"/>
        <v>353946.17590155097</v>
      </c>
      <c r="S2791" s="18">
        <f t="shared" si="477"/>
        <v>1550673.5234065154</v>
      </c>
    </row>
    <row r="2792" spans="1:19" ht="18.75" customHeight="1" x14ac:dyDescent="0.25">
      <c r="A2792" s="14">
        <f t="shared" si="481"/>
        <v>2786</v>
      </c>
      <c r="B2792" s="14" t="s">
        <v>2373</v>
      </c>
      <c r="C2792" s="15" t="s">
        <v>3</v>
      </c>
      <c r="D2792" s="14" t="s">
        <v>500</v>
      </c>
      <c r="E2792" s="14" t="s">
        <v>2327</v>
      </c>
      <c r="F2792" s="72" t="s">
        <v>11</v>
      </c>
      <c r="G2792" s="32">
        <v>42686</v>
      </c>
      <c r="H2792" s="17">
        <v>3704.2938677132925</v>
      </c>
      <c r="I2792" s="17">
        <v>0</v>
      </c>
      <c r="J2792" s="17">
        <v>0</v>
      </c>
      <c r="K2792" s="17">
        <f t="shared" si="478"/>
        <v>3704.2938677132925</v>
      </c>
      <c r="L2792" s="23">
        <f t="shared" si="483"/>
        <v>185.21469338566465</v>
      </c>
      <c r="M2792" s="42">
        <v>25</v>
      </c>
      <c r="N2792" s="18">
        <f t="shared" si="479"/>
        <v>4.3890410958904109</v>
      </c>
      <c r="O2792" s="23">
        <v>617.81532463264216</v>
      </c>
      <c r="P2792" s="18">
        <f t="shared" si="480"/>
        <v>4.8904109589041092</v>
      </c>
      <c r="Q2792" s="18">
        <f t="shared" si="482"/>
        <v>70.574409742680032</v>
      </c>
      <c r="R2792" s="18">
        <f t="shared" si="476"/>
        <v>688.38973437532218</v>
      </c>
      <c r="S2792" s="18">
        <f t="shared" si="477"/>
        <v>3015.9041333379701</v>
      </c>
    </row>
    <row r="2793" spans="1:19" ht="18.75" customHeight="1" x14ac:dyDescent="0.25">
      <c r="A2793" s="14">
        <f t="shared" si="481"/>
        <v>2787</v>
      </c>
      <c r="B2793" s="14" t="s">
        <v>2374</v>
      </c>
      <c r="C2793" s="15" t="s">
        <v>3</v>
      </c>
      <c r="D2793" s="14" t="s">
        <v>500</v>
      </c>
      <c r="E2793" s="14" t="s">
        <v>2327</v>
      </c>
      <c r="F2793" s="72" t="s">
        <v>11</v>
      </c>
      <c r="G2793" s="32">
        <v>42686</v>
      </c>
      <c r="H2793" s="17">
        <v>4878582.1428088201</v>
      </c>
      <c r="I2793" s="17">
        <v>0</v>
      </c>
      <c r="J2793" s="17">
        <v>0</v>
      </c>
      <c r="K2793" s="17">
        <f t="shared" si="478"/>
        <v>4878582.1428088201</v>
      </c>
      <c r="L2793" s="23">
        <f t="shared" si="483"/>
        <v>243929.10714044102</v>
      </c>
      <c r="M2793" s="42">
        <v>25</v>
      </c>
      <c r="N2793" s="18">
        <f t="shared" si="479"/>
        <v>4.3890410958904109</v>
      </c>
      <c r="O2793" s="23">
        <v>813667.30554967048</v>
      </c>
      <c r="P2793" s="18">
        <f t="shared" si="480"/>
        <v>4.8904109589041092</v>
      </c>
      <c r="Q2793" s="18">
        <f t="shared" si="482"/>
        <v>92947.014304363023</v>
      </c>
      <c r="R2793" s="18">
        <f t="shared" si="476"/>
        <v>906614.31985403353</v>
      </c>
      <c r="S2793" s="18">
        <f t="shared" si="477"/>
        <v>3971967.8229547865</v>
      </c>
    </row>
    <row r="2794" spans="1:19" ht="18.75" customHeight="1" x14ac:dyDescent="0.25">
      <c r="A2794" s="14">
        <f t="shared" si="481"/>
        <v>2788</v>
      </c>
      <c r="B2794" s="14" t="s">
        <v>2375</v>
      </c>
      <c r="C2794" s="15" t="s">
        <v>3</v>
      </c>
      <c r="D2794" s="14" t="s">
        <v>500</v>
      </c>
      <c r="E2794" s="14" t="s">
        <v>2327</v>
      </c>
      <c r="F2794" s="72" t="s">
        <v>11</v>
      </c>
      <c r="G2794" s="32">
        <v>42686</v>
      </c>
      <c r="H2794" s="17">
        <v>2550158.4068653821</v>
      </c>
      <c r="I2794" s="17">
        <v>0</v>
      </c>
      <c r="J2794" s="17">
        <v>0</v>
      </c>
      <c r="K2794" s="17">
        <f t="shared" si="478"/>
        <v>2550158.4068653821</v>
      </c>
      <c r="L2794" s="23">
        <f t="shared" si="483"/>
        <v>127507.92034326911</v>
      </c>
      <c r="M2794" s="42">
        <v>25</v>
      </c>
      <c r="N2794" s="18">
        <f t="shared" si="479"/>
        <v>4.3890410958904109</v>
      </c>
      <c r="O2794" s="23">
        <v>425324.50185297808</v>
      </c>
      <c r="P2794" s="18">
        <f t="shared" si="480"/>
        <v>4.8904109589041092</v>
      </c>
      <c r="Q2794" s="18">
        <f t="shared" si="482"/>
        <v>48585.757702306444</v>
      </c>
      <c r="R2794" s="18">
        <f t="shared" si="476"/>
        <v>473910.25955528452</v>
      </c>
      <c r="S2794" s="18">
        <f t="shared" si="477"/>
        <v>2076248.1473100977</v>
      </c>
    </row>
    <row r="2795" spans="1:19" ht="18.75" customHeight="1" x14ac:dyDescent="0.25">
      <c r="A2795" s="14">
        <f t="shared" si="481"/>
        <v>2789</v>
      </c>
      <c r="B2795" s="14" t="s">
        <v>2376</v>
      </c>
      <c r="C2795" s="15" t="s">
        <v>3</v>
      </c>
      <c r="D2795" s="14" t="s">
        <v>500</v>
      </c>
      <c r="E2795" s="14" t="s">
        <v>2327</v>
      </c>
      <c r="F2795" s="72" t="s">
        <v>11</v>
      </c>
      <c r="G2795" s="32">
        <v>42686</v>
      </c>
      <c r="H2795" s="17">
        <v>17179155.693197593</v>
      </c>
      <c r="I2795" s="17">
        <v>0</v>
      </c>
      <c r="J2795" s="17">
        <v>0</v>
      </c>
      <c r="K2795" s="17">
        <f t="shared" si="478"/>
        <v>17179155.693197593</v>
      </c>
      <c r="L2795" s="23">
        <f t="shared" si="483"/>
        <v>858957.78465987975</v>
      </c>
      <c r="M2795" s="42">
        <v>25</v>
      </c>
      <c r="N2795" s="18">
        <f t="shared" si="479"/>
        <v>4.3890410958904109</v>
      </c>
      <c r="O2795" s="23">
        <v>2865200.7725454704</v>
      </c>
      <c r="P2795" s="18">
        <f t="shared" si="480"/>
        <v>4.8904109589041092</v>
      </c>
      <c r="Q2795" s="18">
        <f t="shared" si="482"/>
        <v>327298.21559039992</v>
      </c>
      <c r="R2795" s="18">
        <f t="shared" si="476"/>
        <v>3192498.9881358705</v>
      </c>
      <c r="S2795" s="18">
        <f t="shared" si="477"/>
        <v>13986656.705061723</v>
      </c>
    </row>
    <row r="2796" spans="1:19" ht="18.75" customHeight="1" x14ac:dyDescent="0.25">
      <c r="A2796" s="14">
        <f t="shared" si="481"/>
        <v>2790</v>
      </c>
      <c r="B2796" s="14" t="s">
        <v>2377</v>
      </c>
      <c r="C2796" s="15" t="s">
        <v>3</v>
      </c>
      <c r="D2796" s="14" t="s">
        <v>500</v>
      </c>
      <c r="E2796" s="14" t="s">
        <v>2327</v>
      </c>
      <c r="F2796" s="72" t="s">
        <v>11</v>
      </c>
      <c r="G2796" s="32">
        <v>42686</v>
      </c>
      <c r="H2796" s="17">
        <v>981989.32588264544</v>
      </c>
      <c r="I2796" s="17">
        <v>0</v>
      </c>
      <c r="J2796" s="17">
        <v>0</v>
      </c>
      <c r="K2796" s="17">
        <f t="shared" si="478"/>
        <v>981989.32588264544</v>
      </c>
      <c r="L2796" s="23">
        <f t="shared" si="483"/>
        <v>49099.466294132275</v>
      </c>
      <c r="M2796" s="42">
        <v>25</v>
      </c>
      <c r="N2796" s="18">
        <f t="shared" si="479"/>
        <v>4.3890410958904109</v>
      </c>
      <c r="O2796" s="23">
        <v>163779.67726693678</v>
      </c>
      <c r="P2796" s="18">
        <f t="shared" si="480"/>
        <v>4.8904109589041092</v>
      </c>
      <c r="Q2796" s="18">
        <f t="shared" si="482"/>
        <v>18708.914444350441</v>
      </c>
      <c r="R2796" s="18">
        <f t="shared" si="476"/>
        <v>182488.59171128721</v>
      </c>
      <c r="S2796" s="18">
        <f t="shared" si="477"/>
        <v>799500.73417135817</v>
      </c>
    </row>
    <row r="2797" spans="1:19" ht="18.75" customHeight="1" x14ac:dyDescent="0.25">
      <c r="A2797" s="14">
        <f t="shared" si="481"/>
        <v>2791</v>
      </c>
      <c r="B2797" s="14" t="s">
        <v>2378</v>
      </c>
      <c r="C2797" s="15" t="s">
        <v>3</v>
      </c>
      <c r="D2797" s="14" t="s">
        <v>500</v>
      </c>
      <c r="E2797" s="14" t="s">
        <v>2327</v>
      </c>
      <c r="F2797" s="74" t="s">
        <v>11</v>
      </c>
      <c r="G2797" s="32">
        <v>42686</v>
      </c>
      <c r="H2797" s="17">
        <v>198915459.06141996</v>
      </c>
      <c r="I2797" s="17">
        <v>0</v>
      </c>
      <c r="J2797" s="17">
        <v>0</v>
      </c>
      <c r="K2797" s="17">
        <f t="shared" si="478"/>
        <v>198915459.06141996</v>
      </c>
      <c r="L2797" s="23">
        <f t="shared" si="483"/>
        <v>9945772.9530709982</v>
      </c>
      <c r="M2797" s="42">
        <v>25</v>
      </c>
      <c r="N2797" s="18">
        <f t="shared" si="479"/>
        <v>4.3890410958904109</v>
      </c>
      <c r="O2797" s="23">
        <v>26553924.728282195</v>
      </c>
      <c r="P2797" s="18">
        <f t="shared" si="480"/>
        <v>4.8904109589041092</v>
      </c>
      <c r="Q2797" s="18">
        <f t="shared" si="482"/>
        <v>3789748.2255153786</v>
      </c>
      <c r="R2797" s="18">
        <f t="shared" si="476"/>
        <v>30343672.953797571</v>
      </c>
      <c r="S2797" s="18">
        <f t="shared" si="477"/>
        <v>168571786.10762239</v>
      </c>
    </row>
    <row r="2798" spans="1:19" ht="18.75" customHeight="1" x14ac:dyDescent="0.25">
      <c r="A2798" s="14">
        <f t="shared" si="481"/>
        <v>2792</v>
      </c>
      <c r="B2798" s="14" t="s">
        <v>2379</v>
      </c>
      <c r="C2798" s="15" t="s">
        <v>3</v>
      </c>
      <c r="D2798" s="14" t="s">
        <v>500</v>
      </c>
      <c r="E2798" s="14" t="s">
        <v>2327</v>
      </c>
      <c r="F2798" s="72" t="s">
        <v>11</v>
      </c>
      <c r="G2798" s="32">
        <v>42686</v>
      </c>
      <c r="H2798" s="17">
        <v>604626.36080797855</v>
      </c>
      <c r="I2798" s="17">
        <v>0</v>
      </c>
      <c r="J2798" s="17">
        <v>0</v>
      </c>
      <c r="K2798" s="17">
        <f t="shared" si="478"/>
        <v>604626.36080797855</v>
      </c>
      <c r="L2798" s="23">
        <f t="shared" si="483"/>
        <v>30231.318040398928</v>
      </c>
      <c r="M2798" s="42">
        <v>25</v>
      </c>
      <c r="N2798" s="18">
        <f t="shared" si="479"/>
        <v>4.3890410958904109</v>
      </c>
      <c r="O2798" s="23">
        <v>100841.73791930551</v>
      </c>
      <c r="P2798" s="18">
        <f t="shared" si="480"/>
        <v>4.8904109589041092</v>
      </c>
      <c r="Q2798" s="18">
        <f t="shared" si="482"/>
        <v>11519.37455632515</v>
      </c>
      <c r="R2798" s="18">
        <f t="shared" si="476"/>
        <v>112361.11247563065</v>
      </c>
      <c r="S2798" s="18">
        <f t="shared" si="477"/>
        <v>492265.2483323479</v>
      </c>
    </row>
    <row r="2799" spans="1:19" ht="18.75" customHeight="1" x14ac:dyDescent="0.25">
      <c r="A2799" s="14">
        <f t="shared" si="481"/>
        <v>2793</v>
      </c>
      <c r="B2799" s="14" t="s">
        <v>2380</v>
      </c>
      <c r="C2799" s="15" t="s">
        <v>3</v>
      </c>
      <c r="D2799" s="14" t="s">
        <v>500</v>
      </c>
      <c r="E2799" s="14" t="s">
        <v>2327</v>
      </c>
      <c r="F2799" s="72" t="s">
        <v>11</v>
      </c>
      <c r="G2799" s="32">
        <v>42686</v>
      </c>
      <c r="H2799" s="17">
        <v>5081514.6758285537</v>
      </c>
      <c r="I2799" s="17">
        <v>0</v>
      </c>
      <c r="J2799" s="17">
        <v>0</v>
      </c>
      <c r="K2799" s="17">
        <f t="shared" si="478"/>
        <v>5081514.6758285537</v>
      </c>
      <c r="L2799" s="23">
        <f t="shared" si="483"/>
        <v>254075.73379142769</v>
      </c>
      <c r="M2799" s="42">
        <v>25</v>
      </c>
      <c r="N2799" s="18">
        <f t="shared" si="479"/>
        <v>4.3890410958904109</v>
      </c>
      <c r="O2799" s="23">
        <v>847513.116180107</v>
      </c>
      <c r="P2799" s="18">
        <f t="shared" si="480"/>
        <v>4.8904109589041092</v>
      </c>
      <c r="Q2799" s="18">
        <f t="shared" si="482"/>
        <v>96813.296043045848</v>
      </c>
      <c r="R2799" s="18">
        <f t="shared" si="476"/>
        <v>944326.41222315282</v>
      </c>
      <c r="S2799" s="18">
        <f t="shared" si="477"/>
        <v>4137188.2636054009</v>
      </c>
    </row>
    <row r="2800" spans="1:19" ht="18.75" customHeight="1" x14ac:dyDescent="0.25">
      <c r="A2800" s="14">
        <f t="shared" si="481"/>
        <v>2794</v>
      </c>
      <c r="B2800" s="14" t="s">
        <v>2381</v>
      </c>
      <c r="C2800" s="15" t="s">
        <v>3</v>
      </c>
      <c r="D2800" s="14" t="s">
        <v>2382</v>
      </c>
      <c r="E2800" s="14" t="s">
        <v>2382</v>
      </c>
      <c r="F2800" s="72" t="s">
        <v>18</v>
      </c>
      <c r="G2800" s="32">
        <v>43127</v>
      </c>
      <c r="H2800" s="17">
        <v>29853865.120000001</v>
      </c>
      <c r="I2800" s="17">
        <v>0</v>
      </c>
      <c r="J2800" s="17">
        <v>0</v>
      </c>
      <c r="K2800" s="17">
        <f t="shared" si="478"/>
        <v>29853865.120000001</v>
      </c>
      <c r="L2800" s="23">
        <f t="shared" si="483"/>
        <v>1492693.2560000001</v>
      </c>
      <c r="M2800" s="42">
        <v>15</v>
      </c>
      <c r="N2800" s="18">
        <f t="shared" si="479"/>
        <v>3.1808219178082191</v>
      </c>
      <c r="O2800" s="23">
        <v>6014122.4719824661</v>
      </c>
      <c r="P2800" s="18">
        <f t="shared" si="480"/>
        <v>3.6821917808219178</v>
      </c>
      <c r="Q2800" s="18">
        <f t="shared" si="482"/>
        <v>947962.45682410977</v>
      </c>
      <c r="R2800" s="18">
        <f t="shared" si="476"/>
        <v>6962084.9288065759</v>
      </c>
      <c r="S2800" s="18">
        <f t="shared" si="477"/>
        <v>22891780.191193424</v>
      </c>
    </row>
    <row r="2801" spans="1:19" ht="18.75" customHeight="1" x14ac:dyDescent="0.25">
      <c r="A2801" s="14">
        <f t="shared" si="481"/>
        <v>2795</v>
      </c>
      <c r="B2801" s="14" t="s">
        <v>2383</v>
      </c>
      <c r="C2801" s="15" t="s">
        <v>3</v>
      </c>
      <c r="D2801" s="14" t="s">
        <v>500</v>
      </c>
      <c r="E2801" s="14" t="s">
        <v>2327</v>
      </c>
      <c r="F2801" s="72" t="s">
        <v>11</v>
      </c>
      <c r="G2801" s="32">
        <v>43101</v>
      </c>
      <c r="H2801" s="17">
        <v>2216592.3396951747</v>
      </c>
      <c r="I2801" s="17">
        <v>0</v>
      </c>
      <c r="J2801" s="17">
        <v>0</v>
      </c>
      <c r="K2801" s="17">
        <f t="shared" si="478"/>
        <v>2216592.3396951747</v>
      </c>
      <c r="L2801" s="23">
        <f t="shared" si="483"/>
        <v>110829.61698475874</v>
      </c>
      <c r="M2801" s="42">
        <v>25</v>
      </c>
      <c r="N2801" s="18">
        <f t="shared" si="479"/>
        <v>3.2520547945205478</v>
      </c>
      <c r="O2801" s="23">
        <v>273922.23034052207</v>
      </c>
      <c r="P2801" s="18">
        <f t="shared" si="480"/>
        <v>3.7534246575342465</v>
      </c>
      <c r="Q2801" s="18">
        <f t="shared" si="482"/>
        <v>42230.638712986976</v>
      </c>
      <c r="R2801" s="18">
        <f t="shared" si="476"/>
        <v>316152.86905350903</v>
      </c>
      <c r="S2801" s="18">
        <f t="shared" si="477"/>
        <v>1900439.4706416656</v>
      </c>
    </row>
    <row r="2802" spans="1:19" ht="18.75" customHeight="1" x14ac:dyDescent="0.25">
      <c r="A2802" s="14">
        <f t="shared" si="481"/>
        <v>2796</v>
      </c>
      <c r="B2802" s="14" t="s">
        <v>2384</v>
      </c>
      <c r="C2802" s="15" t="s">
        <v>3</v>
      </c>
      <c r="D2802" s="14" t="s">
        <v>500</v>
      </c>
      <c r="E2802" s="14" t="s">
        <v>2327</v>
      </c>
      <c r="F2802" s="72" t="s">
        <v>11</v>
      </c>
      <c r="G2802" s="32">
        <v>43101</v>
      </c>
      <c r="H2802" s="17">
        <v>4693.7692512831263</v>
      </c>
      <c r="I2802" s="17">
        <v>0</v>
      </c>
      <c r="J2802" s="17">
        <v>0</v>
      </c>
      <c r="K2802" s="17">
        <f t="shared" si="478"/>
        <v>4693.7692512831263</v>
      </c>
      <c r="L2802" s="23">
        <f t="shared" si="483"/>
        <v>234.68846256415634</v>
      </c>
      <c r="M2802" s="42">
        <v>25</v>
      </c>
      <c r="N2802" s="18">
        <f t="shared" si="479"/>
        <v>3.2520547945205478</v>
      </c>
      <c r="O2802" s="23">
        <v>580.04700232431969</v>
      </c>
      <c r="P2802" s="18">
        <f t="shared" si="480"/>
        <v>3.7534246575342465</v>
      </c>
      <c r="Q2802" s="18">
        <f t="shared" si="482"/>
        <v>89.425948968281816</v>
      </c>
      <c r="R2802" s="18">
        <f t="shared" si="476"/>
        <v>669.47295129260146</v>
      </c>
      <c r="S2802" s="18">
        <f t="shared" si="477"/>
        <v>4024.2962999905249</v>
      </c>
    </row>
    <row r="2803" spans="1:19" ht="18.75" customHeight="1" x14ac:dyDescent="0.25">
      <c r="A2803" s="14">
        <f t="shared" si="481"/>
        <v>2797</v>
      </c>
      <c r="B2803" s="14" t="s">
        <v>2385</v>
      </c>
      <c r="C2803" s="15" t="s">
        <v>3</v>
      </c>
      <c r="D2803" s="14" t="s">
        <v>500</v>
      </c>
      <c r="E2803" s="14" t="s">
        <v>2327</v>
      </c>
      <c r="F2803" s="72" t="s">
        <v>11</v>
      </c>
      <c r="G2803" s="32">
        <v>43101</v>
      </c>
      <c r="H2803" s="17">
        <v>1845821.7605920311</v>
      </c>
      <c r="I2803" s="17">
        <v>0</v>
      </c>
      <c r="J2803" s="17">
        <v>0</v>
      </c>
      <c r="K2803" s="17">
        <f t="shared" si="478"/>
        <v>1845821.7605920311</v>
      </c>
      <c r="L2803" s="23">
        <f t="shared" si="483"/>
        <v>92291.088029601553</v>
      </c>
      <c r="M2803" s="42">
        <v>25</v>
      </c>
      <c r="N2803" s="18">
        <f t="shared" si="479"/>
        <v>3.2520547945205478</v>
      </c>
      <c r="O2803" s="23">
        <v>228103.11324181958</v>
      </c>
      <c r="P2803" s="18">
        <f t="shared" si="480"/>
        <v>3.7534246575342465</v>
      </c>
      <c r="Q2803" s="18">
        <f t="shared" si="482"/>
        <v>35166.697323717766</v>
      </c>
      <c r="R2803" s="18">
        <f t="shared" si="476"/>
        <v>263269.81056553737</v>
      </c>
      <c r="S2803" s="18">
        <f t="shared" si="477"/>
        <v>1582551.9500264938</v>
      </c>
    </row>
    <row r="2804" spans="1:19" ht="18.75" customHeight="1" x14ac:dyDescent="0.25">
      <c r="A2804" s="14">
        <f t="shared" si="481"/>
        <v>2798</v>
      </c>
      <c r="B2804" s="14" t="s">
        <v>2296</v>
      </c>
      <c r="C2804" s="15" t="s">
        <v>3</v>
      </c>
      <c r="D2804" s="14" t="s">
        <v>500</v>
      </c>
      <c r="E2804" s="14" t="s">
        <v>2327</v>
      </c>
      <c r="F2804" s="72" t="s">
        <v>4</v>
      </c>
      <c r="G2804" s="32">
        <v>43101</v>
      </c>
      <c r="H2804" s="17">
        <v>4414027.3090277817</v>
      </c>
      <c r="I2804" s="17">
        <v>0</v>
      </c>
      <c r="J2804" s="17">
        <v>0</v>
      </c>
      <c r="K2804" s="17">
        <f t="shared" si="478"/>
        <v>4414027.3090277817</v>
      </c>
      <c r="L2804" s="23">
        <f t="shared" si="483"/>
        <v>220701.36545138911</v>
      </c>
      <c r="M2804" s="42">
        <v>25</v>
      </c>
      <c r="N2804" s="18">
        <f t="shared" si="479"/>
        <v>3.2520547945205478</v>
      </c>
      <c r="O2804" s="23">
        <v>545477.0295918003</v>
      </c>
      <c r="P2804" s="18">
        <f t="shared" si="480"/>
        <v>3.7534246575342465</v>
      </c>
      <c r="Q2804" s="18">
        <f t="shared" si="482"/>
        <v>84096.290156107381</v>
      </c>
      <c r="R2804" s="18">
        <f t="shared" si="476"/>
        <v>629573.31974790769</v>
      </c>
      <c r="S2804" s="18">
        <f t="shared" si="477"/>
        <v>3784453.9892798741</v>
      </c>
    </row>
    <row r="2805" spans="1:19" ht="18.75" customHeight="1" x14ac:dyDescent="0.25">
      <c r="A2805" s="14">
        <f t="shared" si="481"/>
        <v>2799</v>
      </c>
      <c r="B2805" s="14" t="s">
        <v>2332</v>
      </c>
      <c r="C2805" s="15" t="s">
        <v>3</v>
      </c>
      <c r="D2805" s="14" t="s">
        <v>500</v>
      </c>
      <c r="E2805" s="14" t="s">
        <v>2327</v>
      </c>
      <c r="F2805" s="72" t="s">
        <v>11</v>
      </c>
      <c r="G2805" s="32">
        <v>43101</v>
      </c>
      <c r="H2805" s="17">
        <v>662945.51757778111</v>
      </c>
      <c r="I2805" s="17">
        <v>0</v>
      </c>
      <c r="J2805" s="17">
        <v>0</v>
      </c>
      <c r="K2805" s="17">
        <f t="shared" si="478"/>
        <v>662945.51757778111</v>
      </c>
      <c r="L2805" s="23">
        <f t="shared" si="483"/>
        <v>33147.275878889057</v>
      </c>
      <c r="M2805" s="42">
        <v>25</v>
      </c>
      <c r="N2805" s="18">
        <f t="shared" si="479"/>
        <v>3.2520547945205478</v>
      </c>
      <c r="O2805" s="23">
        <v>81925.535659899717</v>
      </c>
      <c r="P2805" s="18">
        <f t="shared" si="480"/>
        <v>3.7534246575342465</v>
      </c>
      <c r="Q2805" s="18">
        <f t="shared" si="482"/>
        <v>12630.474326673671</v>
      </c>
      <c r="R2805" s="18">
        <f t="shared" si="476"/>
        <v>94556.009986573394</v>
      </c>
      <c r="S2805" s="18">
        <f t="shared" si="477"/>
        <v>568389.50759120774</v>
      </c>
    </row>
    <row r="2806" spans="1:19" ht="18.75" customHeight="1" x14ac:dyDescent="0.25">
      <c r="A2806" s="14">
        <f t="shared" si="481"/>
        <v>2800</v>
      </c>
      <c r="B2806" s="14" t="s">
        <v>2386</v>
      </c>
      <c r="C2806" s="15" t="s">
        <v>3</v>
      </c>
      <c r="D2806" s="14" t="s">
        <v>500</v>
      </c>
      <c r="E2806" s="14" t="s">
        <v>2327</v>
      </c>
      <c r="F2806" s="72" t="s">
        <v>11</v>
      </c>
      <c r="G2806" s="32">
        <v>43101</v>
      </c>
      <c r="H2806" s="17">
        <v>17379.590962993476</v>
      </c>
      <c r="I2806" s="17">
        <v>0</v>
      </c>
      <c r="J2806" s="17">
        <v>0</v>
      </c>
      <c r="K2806" s="17">
        <f t="shared" si="478"/>
        <v>17379.590962993476</v>
      </c>
      <c r="L2806" s="23">
        <f t="shared" si="483"/>
        <v>868.97954814967386</v>
      </c>
      <c r="M2806" s="42">
        <v>25</v>
      </c>
      <c r="N2806" s="18">
        <f t="shared" si="479"/>
        <v>3.2520547945205478</v>
      </c>
      <c r="O2806" s="23">
        <v>2147.7365204843391</v>
      </c>
      <c r="P2806" s="18">
        <f t="shared" si="480"/>
        <v>3.7534246575342465</v>
      </c>
      <c r="Q2806" s="18">
        <f t="shared" si="482"/>
        <v>331.11691933330587</v>
      </c>
      <c r="R2806" s="18">
        <f t="shared" si="476"/>
        <v>2478.8534398176448</v>
      </c>
      <c r="S2806" s="18">
        <f t="shared" si="477"/>
        <v>14900.737523175831</v>
      </c>
    </row>
    <row r="2807" spans="1:19" ht="18.75" customHeight="1" x14ac:dyDescent="0.25">
      <c r="A2807" s="14">
        <f t="shared" si="481"/>
        <v>2801</v>
      </c>
      <c r="B2807" s="14" t="s">
        <v>2387</v>
      </c>
      <c r="C2807" s="15" t="s">
        <v>3</v>
      </c>
      <c r="D2807" s="14" t="s">
        <v>500</v>
      </c>
      <c r="E2807" s="14" t="s">
        <v>2327</v>
      </c>
      <c r="F2807" s="72" t="s">
        <v>16</v>
      </c>
      <c r="G2807" s="32">
        <v>43115</v>
      </c>
      <c r="H2807" s="17">
        <v>51340412.331409134</v>
      </c>
      <c r="I2807" s="17">
        <v>0</v>
      </c>
      <c r="J2807" s="17">
        <v>0</v>
      </c>
      <c r="K2807" s="17">
        <f t="shared" si="478"/>
        <v>51340412.331409134</v>
      </c>
      <c r="L2807" s="23">
        <f t="shared" si="483"/>
        <v>2567020.6165704569</v>
      </c>
      <c r="M2807" s="42">
        <v>25</v>
      </c>
      <c r="N2807" s="18">
        <f t="shared" si="479"/>
        <v>3.2136986301369861</v>
      </c>
      <c r="O2807" s="23">
        <v>6269719.2856444679</v>
      </c>
      <c r="P2807" s="18">
        <f t="shared" si="480"/>
        <v>3.7150684931506848</v>
      </c>
      <c r="Q2807" s="18">
        <f t="shared" si="482"/>
        <v>978140.34891128528</v>
      </c>
      <c r="R2807" s="18">
        <f t="shared" si="476"/>
        <v>7247859.6345557533</v>
      </c>
      <c r="S2807" s="18">
        <f t="shared" si="477"/>
        <v>44092552.696853384</v>
      </c>
    </row>
    <row r="2808" spans="1:19" ht="18.75" customHeight="1" x14ac:dyDescent="0.25">
      <c r="A2808" s="14">
        <f t="shared" si="481"/>
        <v>2802</v>
      </c>
      <c r="B2808" s="14" t="s">
        <v>2388</v>
      </c>
      <c r="C2808" s="15" t="s">
        <v>3</v>
      </c>
      <c r="D2808" s="14" t="s">
        <v>500</v>
      </c>
      <c r="E2808" s="14" t="s">
        <v>2327</v>
      </c>
      <c r="F2808" s="72" t="s">
        <v>11</v>
      </c>
      <c r="G2808" s="32">
        <v>43101</v>
      </c>
      <c r="H2808" s="17">
        <v>1486020.937200974</v>
      </c>
      <c r="I2808" s="17">
        <v>0</v>
      </c>
      <c r="J2808" s="17">
        <v>0</v>
      </c>
      <c r="K2808" s="17">
        <f t="shared" si="478"/>
        <v>1486020.937200974</v>
      </c>
      <c r="L2808" s="23">
        <f t="shared" si="483"/>
        <v>74301.046860048707</v>
      </c>
      <c r="M2808" s="42">
        <v>25</v>
      </c>
      <c r="N2808" s="18">
        <f t="shared" si="479"/>
        <v>3.2520547945205478</v>
      </c>
      <c r="O2808" s="23">
        <v>183639.6175161291</v>
      </c>
      <c r="P2808" s="18">
        <f t="shared" si="480"/>
        <v>3.7534246575342465</v>
      </c>
      <c r="Q2808" s="18">
        <f t="shared" si="482"/>
        <v>28311.752321357733</v>
      </c>
      <c r="R2808" s="18">
        <f t="shared" si="476"/>
        <v>211951.36983748683</v>
      </c>
      <c r="S2808" s="18">
        <f t="shared" si="477"/>
        <v>1274069.5673634871</v>
      </c>
    </row>
    <row r="2809" spans="1:19" ht="18.75" customHeight="1" x14ac:dyDescent="0.25">
      <c r="A2809" s="14">
        <f t="shared" si="481"/>
        <v>2803</v>
      </c>
      <c r="B2809" s="14" t="s">
        <v>2389</v>
      </c>
      <c r="C2809" s="15" t="s">
        <v>3</v>
      </c>
      <c r="D2809" s="14" t="s">
        <v>500</v>
      </c>
      <c r="E2809" s="14" t="s">
        <v>2327</v>
      </c>
      <c r="F2809" s="72" t="s">
        <v>4</v>
      </c>
      <c r="G2809" s="32">
        <v>43101</v>
      </c>
      <c r="H2809" s="17">
        <v>845161.79579647293</v>
      </c>
      <c r="I2809" s="17">
        <v>0</v>
      </c>
      <c r="J2809" s="17">
        <v>0</v>
      </c>
      <c r="K2809" s="17">
        <f t="shared" si="478"/>
        <v>845161.79579647293</v>
      </c>
      <c r="L2809" s="23">
        <f t="shared" si="483"/>
        <v>42258.089789823651</v>
      </c>
      <c r="M2809" s="42">
        <v>25</v>
      </c>
      <c r="N2809" s="18">
        <f t="shared" si="479"/>
        <v>3.2520547945205478</v>
      </c>
      <c r="O2809" s="23">
        <v>104443.47386628961</v>
      </c>
      <c r="P2809" s="18">
        <f t="shared" si="480"/>
        <v>3.7534246575342465</v>
      </c>
      <c r="Q2809" s="18">
        <f t="shared" si="482"/>
        <v>16102.068843749788</v>
      </c>
      <c r="R2809" s="18">
        <f t="shared" si="476"/>
        <v>120545.5427100394</v>
      </c>
      <c r="S2809" s="18">
        <f t="shared" si="477"/>
        <v>724616.25308643351</v>
      </c>
    </row>
    <row r="2810" spans="1:19" ht="18.75" customHeight="1" x14ac:dyDescent="0.25">
      <c r="A2810" s="14">
        <f t="shared" si="481"/>
        <v>2804</v>
      </c>
      <c r="B2810" s="14" t="s">
        <v>2390</v>
      </c>
      <c r="C2810" s="15" t="s">
        <v>3</v>
      </c>
      <c r="D2810" s="14" t="s">
        <v>500</v>
      </c>
      <c r="E2810" s="14" t="s">
        <v>2327</v>
      </c>
      <c r="F2810" s="72" t="s">
        <v>4</v>
      </c>
      <c r="G2810" s="32">
        <v>43101</v>
      </c>
      <c r="H2810" s="17">
        <v>646083.08329234505</v>
      </c>
      <c r="I2810" s="17">
        <v>0</v>
      </c>
      <c r="J2810" s="17">
        <v>0</v>
      </c>
      <c r="K2810" s="17">
        <f t="shared" si="478"/>
        <v>646083.08329234505</v>
      </c>
      <c r="L2810" s="23">
        <f t="shared" si="483"/>
        <v>32304.154164617255</v>
      </c>
      <c r="M2810" s="42">
        <v>25</v>
      </c>
      <c r="N2810" s="18">
        <f t="shared" si="479"/>
        <v>3.2520547945205478</v>
      </c>
      <c r="O2810" s="23">
        <v>79841.708369820582</v>
      </c>
      <c r="P2810" s="18">
        <f t="shared" si="480"/>
        <v>3.7534246575342465</v>
      </c>
      <c r="Q2810" s="18">
        <f t="shared" si="482"/>
        <v>12309.210304698541</v>
      </c>
      <c r="R2810" s="18">
        <f t="shared" si="476"/>
        <v>92150.918674519125</v>
      </c>
      <c r="S2810" s="18">
        <f t="shared" si="477"/>
        <v>553932.16461782588</v>
      </c>
    </row>
    <row r="2811" spans="1:19" ht="18.75" customHeight="1" x14ac:dyDescent="0.25">
      <c r="A2811" s="14">
        <f t="shared" si="481"/>
        <v>2805</v>
      </c>
      <c r="B2811" s="14" t="s">
        <v>2318</v>
      </c>
      <c r="C2811" s="15" t="s">
        <v>3</v>
      </c>
      <c r="D2811" s="14" t="s">
        <v>500</v>
      </c>
      <c r="E2811" s="14" t="s">
        <v>2319</v>
      </c>
      <c r="F2811" s="72" t="s">
        <v>11</v>
      </c>
      <c r="G2811" s="32">
        <v>43101</v>
      </c>
      <c r="H2811" s="17">
        <v>108010.48592805806</v>
      </c>
      <c r="I2811" s="17">
        <v>0</v>
      </c>
      <c r="J2811" s="17">
        <v>0</v>
      </c>
      <c r="K2811" s="17">
        <f t="shared" si="478"/>
        <v>108010.48592805806</v>
      </c>
      <c r="L2811" s="23">
        <f t="shared" si="483"/>
        <v>5400.524296402903</v>
      </c>
      <c r="M2811" s="42">
        <v>25</v>
      </c>
      <c r="N2811" s="18">
        <f t="shared" si="479"/>
        <v>3.2520547945205478</v>
      </c>
      <c r="O2811" s="23">
        <v>13347.728707591745</v>
      </c>
      <c r="P2811" s="18">
        <f t="shared" si="480"/>
        <v>3.7534246575342465</v>
      </c>
      <c r="Q2811" s="18">
        <f t="shared" si="482"/>
        <v>2057.8216962841529</v>
      </c>
      <c r="R2811" s="18">
        <f t="shared" si="476"/>
        <v>15405.550403875897</v>
      </c>
      <c r="S2811" s="18">
        <f t="shared" si="477"/>
        <v>92604.935524182161</v>
      </c>
    </row>
    <row r="2812" spans="1:19" ht="18.75" customHeight="1" x14ac:dyDescent="0.25">
      <c r="A2812" s="14">
        <f t="shared" si="481"/>
        <v>2806</v>
      </c>
      <c r="B2812" s="14" t="s">
        <v>2391</v>
      </c>
      <c r="C2812" s="15" t="s">
        <v>3</v>
      </c>
      <c r="D2812" s="14" t="s">
        <v>500</v>
      </c>
      <c r="E2812" s="14" t="s">
        <v>2392</v>
      </c>
      <c r="F2812" s="72" t="s">
        <v>8</v>
      </c>
      <c r="G2812" s="32">
        <v>43101</v>
      </c>
      <c r="H2812" s="17">
        <v>922745.39661529718</v>
      </c>
      <c r="I2812" s="17">
        <v>0</v>
      </c>
      <c r="J2812" s="17">
        <v>0</v>
      </c>
      <c r="K2812" s="17">
        <f t="shared" si="478"/>
        <v>922745.39661529718</v>
      </c>
      <c r="L2812" s="23">
        <f t="shared" si="483"/>
        <v>46137.269830764861</v>
      </c>
      <c r="M2812" s="42">
        <v>25</v>
      </c>
      <c r="N2812" s="18">
        <f t="shared" si="479"/>
        <v>3.2520547945205478</v>
      </c>
      <c r="O2812" s="23">
        <v>114031.10646501259</v>
      </c>
      <c r="P2812" s="18">
        <f t="shared" si="480"/>
        <v>3.7534246575342465</v>
      </c>
      <c r="Q2812" s="18">
        <f t="shared" si="482"/>
        <v>17580.19585770624</v>
      </c>
      <c r="R2812" s="18">
        <f t="shared" si="476"/>
        <v>131611.30232271884</v>
      </c>
      <c r="S2812" s="18">
        <f t="shared" si="477"/>
        <v>791134.09429257829</v>
      </c>
    </row>
    <row r="2813" spans="1:19" ht="18.75" customHeight="1" x14ac:dyDescent="0.25">
      <c r="A2813" s="14">
        <f t="shared" si="481"/>
        <v>2807</v>
      </c>
      <c r="B2813" s="14" t="s">
        <v>2393</v>
      </c>
      <c r="C2813" s="15" t="s">
        <v>3</v>
      </c>
      <c r="D2813" s="14" t="s">
        <v>500</v>
      </c>
      <c r="E2813" s="14" t="s">
        <v>507</v>
      </c>
      <c r="F2813" s="72" t="s">
        <v>2394</v>
      </c>
      <c r="G2813" s="32">
        <v>43101</v>
      </c>
      <c r="H2813" s="17">
        <v>736869.47804043384</v>
      </c>
      <c r="I2813" s="17">
        <v>0</v>
      </c>
      <c r="J2813" s="17">
        <v>0</v>
      </c>
      <c r="K2813" s="17">
        <f t="shared" si="478"/>
        <v>736869.47804043384</v>
      </c>
      <c r="L2813" s="23">
        <f t="shared" si="483"/>
        <v>36843.473902021695</v>
      </c>
      <c r="M2813" s="42">
        <v>25</v>
      </c>
      <c r="N2813" s="18">
        <f t="shared" si="479"/>
        <v>3.2520547945205478</v>
      </c>
      <c r="O2813" s="23">
        <v>91060.916921895361</v>
      </c>
      <c r="P2813" s="18">
        <f t="shared" si="480"/>
        <v>3.7534246575342465</v>
      </c>
      <c r="Q2813" s="18">
        <f t="shared" si="482"/>
        <v>14038.877672036102</v>
      </c>
      <c r="R2813" s="18">
        <f t="shared" si="476"/>
        <v>105099.79459393147</v>
      </c>
      <c r="S2813" s="18">
        <f t="shared" si="477"/>
        <v>631769.68344650231</v>
      </c>
    </row>
    <row r="2814" spans="1:19" ht="18.75" customHeight="1" x14ac:dyDescent="0.25">
      <c r="A2814" s="14">
        <f t="shared" si="481"/>
        <v>2808</v>
      </c>
      <c r="B2814" s="14" t="s">
        <v>57</v>
      </c>
      <c r="C2814" s="15" t="s">
        <v>3</v>
      </c>
      <c r="D2814" s="14" t="s">
        <v>500</v>
      </c>
      <c r="E2814" s="14" t="s">
        <v>2392</v>
      </c>
      <c r="F2814" s="72" t="s">
        <v>2394</v>
      </c>
      <c r="G2814" s="32">
        <v>43101</v>
      </c>
      <c r="H2814" s="17">
        <v>374579.47065971792</v>
      </c>
      <c r="I2814" s="17">
        <v>0</v>
      </c>
      <c r="J2814" s="17">
        <v>0</v>
      </c>
      <c r="K2814" s="17">
        <f t="shared" si="478"/>
        <v>374579.47065971792</v>
      </c>
      <c r="L2814" s="23">
        <f t="shared" si="483"/>
        <v>18728.973532985896</v>
      </c>
      <c r="M2814" s="42">
        <v>25</v>
      </c>
      <c r="N2814" s="18">
        <f t="shared" si="479"/>
        <v>3.2520547945205478</v>
      </c>
      <c r="O2814" s="23">
        <v>46289.812612540372</v>
      </c>
      <c r="P2814" s="18">
        <f t="shared" si="480"/>
        <v>3.7534246575342465</v>
      </c>
      <c r="Q2814" s="18">
        <f t="shared" si="482"/>
        <v>7136.5085999114481</v>
      </c>
      <c r="R2814" s="18">
        <f t="shared" si="476"/>
        <v>53426.321212451818</v>
      </c>
      <c r="S2814" s="18">
        <f t="shared" si="477"/>
        <v>321153.14944726613</v>
      </c>
    </row>
    <row r="2815" spans="1:19" ht="18.75" customHeight="1" x14ac:dyDescent="0.25">
      <c r="A2815" s="14">
        <f t="shared" si="481"/>
        <v>2809</v>
      </c>
      <c r="B2815" s="14" t="s">
        <v>2395</v>
      </c>
      <c r="C2815" s="15" t="s">
        <v>3</v>
      </c>
      <c r="D2815" s="14" t="s">
        <v>500</v>
      </c>
      <c r="E2815" s="14" t="s">
        <v>2392</v>
      </c>
      <c r="F2815" s="72" t="s">
        <v>2394</v>
      </c>
      <c r="G2815" s="32">
        <v>43101</v>
      </c>
      <c r="H2815" s="17">
        <v>665235.40406231408</v>
      </c>
      <c r="I2815" s="17">
        <v>0</v>
      </c>
      <c r="J2815" s="17">
        <v>0</v>
      </c>
      <c r="K2815" s="17">
        <f t="shared" si="478"/>
        <v>665235.40406231408</v>
      </c>
      <c r="L2815" s="23">
        <f t="shared" si="483"/>
        <v>33261.770203115702</v>
      </c>
      <c r="M2815" s="42">
        <v>25</v>
      </c>
      <c r="N2815" s="18">
        <f t="shared" si="479"/>
        <v>3.2520547945205478</v>
      </c>
      <c r="O2815" s="23">
        <v>82208.515440095172</v>
      </c>
      <c r="P2815" s="18">
        <f t="shared" si="480"/>
        <v>3.7534246575342465</v>
      </c>
      <c r="Q2815" s="18">
        <f t="shared" si="482"/>
        <v>12674.101369450227</v>
      </c>
      <c r="R2815" s="18">
        <f t="shared" si="476"/>
        <v>94882.616809545405</v>
      </c>
      <c r="S2815" s="18">
        <f t="shared" si="477"/>
        <v>570352.78725276864</v>
      </c>
    </row>
    <row r="2816" spans="1:19" ht="18.75" customHeight="1" x14ac:dyDescent="0.25">
      <c r="A2816" s="14">
        <f t="shared" si="481"/>
        <v>2810</v>
      </c>
      <c r="B2816" s="14" t="s">
        <v>511</v>
      </c>
      <c r="C2816" s="15" t="s">
        <v>3</v>
      </c>
      <c r="D2816" s="14" t="s">
        <v>500</v>
      </c>
      <c r="E2816" s="14" t="s">
        <v>2327</v>
      </c>
      <c r="F2816" s="72" t="s">
        <v>11</v>
      </c>
      <c r="G2816" s="32">
        <v>43101</v>
      </c>
      <c r="H2816" s="17">
        <v>2717086.6298411493</v>
      </c>
      <c r="I2816" s="17">
        <v>0</v>
      </c>
      <c r="J2816" s="17">
        <v>0</v>
      </c>
      <c r="K2816" s="17">
        <f t="shared" si="478"/>
        <v>2717086.6298411493</v>
      </c>
      <c r="L2816" s="23">
        <f t="shared" si="483"/>
        <v>135854.33149205748</v>
      </c>
      <c r="M2816" s="42">
        <v>25</v>
      </c>
      <c r="N2816" s="18">
        <f t="shared" si="479"/>
        <v>3.2520547945205478</v>
      </c>
      <c r="O2816" s="23">
        <v>335772.35486469831</v>
      </c>
      <c r="P2816" s="18">
        <f t="shared" si="480"/>
        <v>3.7534246575342465</v>
      </c>
      <c r="Q2816" s="18">
        <f t="shared" si="482"/>
        <v>51766.083353192749</v>
      </c>
      <c r="R2816" s="18">
        <f t="shared" si="476"/>
        <v>387538.43821789103</v>
      </c>
      <c r="S2816" s="18">
        <f t="shared" si="477"/>
        <v>2329548.1916232584</v>
      </c>
    </row>
    <row r="2817" spans="1:19" ht="18.75" customHeight="1" x14ac:dyDescent="0.25">
      <c r="A2817" s="14">
        <f t="shared" si="481"/>
        <v>2811</v>
      </c>
      <c r="B2817" s="14" t="s">
        <v>2396</v>
      </c>
      <c r="C2817" s="15" t="s">
        <v>3</v>
      </c>
      <c r="D2817" s="14" t="s">
        <v>500</v>
      </c>
      <c r="E2817" s="14" t="s">
        <v>2327</v>
      </c>
      <c r="F2817" s="72" t="s">
        <v>11</v>
      </c>
      <c r="G2817" s="32">
        <v>43101</v>
      </c>
      <c r="H2817" s="17">
        <v>1229858.1136979403</v>
      </c>
      <c r="I2817" s="17">
        <v>0</v>
      </c>
      <c r="J2817" s="17">
        <v>0</v>
      </c>
      <c r="K2817" s="17">
        <f t="shared" si="478"/>
        <v>1229858.1136979403</v>
      </c>
      <c r="L2817" s="23">
        <f t="shared" si="483"/>
        <v>61492.905684897014</v>
      </c>
      <c r="M2817" s="42">
        <v>25</v>
      </c>
      <c r="N2817" s="18">
        <f t="shared" si="479"/>
        <v>3.2520547945205478</v>
      </c>
      <c r="O2817" s="23">
        <v>151983.50705879257</v>
      </c>
      <c r="P2817" s="18">
        <f t="shared" si="480"/>
        <v>3.7534246575342465</v>
      </c>
      <c r="Q2817" s="18">
        <f t="shared" si="482"/>
        <v>23431.324171658842</v>
      </c>
      <c r="R2817" s="18">
        <f t="shared" si="476"/>
        <v>175414.83123045141</v>
      </c>
      <c r="S2817" s="18">
        <f t="shared" si="477"/>
        <v>1054443.2824674889</v>
      </c>
    </row>
    <row r="2818" spans="1:19" ht="18.75" customHeight="1" x14ac:dyDescent="0.25">
      <c r="A2818" s="14">
        <f t="shared" si="481"/>
        <v>2812</v>
      </c>
      <c r="B2818" s="14" t="s">
        <v>2397</v>
      </c>
      <c r="C2818" s="15" t="s">
        <v>3</v>
      </c>
      <c r="D2818" s="14" t="s">
        <v>500</v>
      </c>
      <c r="E2818" s="14" t="s">
        <v>2327</v>
      </c>
      <c r="F2818" s="72" t="s">
        <v>16</v>
      </c>
      <c r="G2818" s="32">
        <v>43115</v>
      </c>
      <c r="H2818" s="17">
        <v>9029342.7348389104</v>
      </c>
      <c r="I2818" s="17">
        <v>0</v>
      </c>
      <c r="J2818" s="17">
        <v>0</v>
      </c>
      <c r="K2818" s="17">
        <f t="shared" si="478"/>
        <v>9029342.7348389104</v>
      </c>
      <c r="L2818" s="23">
        <f t="shared" si="483"/>
        <v>451467.13674194552</v>
      </c>
      <c r="M2818" s="42">
        <v>25</v>
      </c>
      <c r="N2818" s="18">
        <f t="shared" si="479"/>
        <v>3.2136986301369861</v>
      </c>
      <c r="O2818" s="23">
        <v>1102668.282363588</v>
      </c>
      <c r="P2818" s="18">
        <f t="shared" si="480"/>
        <v>3.7150684931506848</v>
      </c>
      <c r="Q2818" s="18">
        <f t="shared" si="482"/>
        <v>172027.53254265693</v>
      </c>
      <c r="R2818" s="18">
        <f t="shared" si="476"/>
        <v>1274695.8149062449</v>
      </c>
      <c r="S2818" s="18">
        <f t="shared" si="477"/>
        <v>7754646.9199326653</v>
      </c>
    </row>
    <row r="2819" spans="1:19" ht="18.75" customHeight="1" x14ac:dyDescent="0.25">
      <c r="A2819" s="14">
        <f t="shared" si="481"/>
        <v>2813</v>
      </c>
      <c r="B2819" s="14" t="s">
        <v>2398</v>
      </c>
      <c r="C2819" s="15" t="s">
        <v>3</v>
      </c>
      <c r="D2819" s="14" t="s">
        <v>500</v>
      </c>
      <c r="E2819" s="14" t="s">
        <v>2327</v>
      </c>
      <c r="F2819" s="72" t="s">
        <v>4</v>
      </c>
      <c r="G2819" s="32">
        <v>43101</v>
      </c>
      <c r="H2819" s="17">
        <v>2095939.8874212592</v>
      </c>
      <c r="I2819" s="17">
        <v>0</v>
      </c>
      <c r="J2819" s="17">
        <v>0</v>
      </c>
      <c r="K2819" s="17">
        <f t="shared" si="478"/>
        <v>2095939.8874212592</v>
      </c>
      <c r="L2819" s="23">
        <f t="shared" si="483"/>
        <v>104796.99437106296</v>
      </c>
      <c r="M2819" s="42">
        <v>25</v>
      </c>
      <c r="N2819" s="18">
        <f t="shared" si="479"/>
        <v>3.2520547945205478</v>
      </c>
      <c r="O2819" s="23">
        <v>259012.23167677619</v>
      </c>
      <c r="P2819" s="18">
        <f t="shared" si="480"/>
        <v>3.7534246575342465</v>
      </c>
      <c r="Q2819" s="18">
        <f t="shared" si="482"/>
        <v>39931.961581171061</v>
      </c>
      <c r="R2819" s="18">
        <f t="shared" si="476"/>
        <v>298944.19325794728</v>
      </c>
      <c r="S2819" s="18">
        <f t="shared" si="477"/>
        <v>1796995.694163312</v>
      </c>
    </row>
    <row r="2820" spans="1:19" ht="18.75" customHeight="1" x14ac:dyDescent="0.25">
      <c r="A2820" s="14">
        <f t="shared" si="481"/>
        <v>2814</v>
      </c>
      <c r="B2820" s="14" t="s">
        <v>2399</v>
      </c>
      <c r="C2820" s="15" t="s">
        <v>3</v>
      </c>
      <c r="D2820" s="14" t="s">
        <v>500</v>
      </c>
      <c r="E2820" s="14" t="s">
        <v>2327</v>
      </c>
      <c r="F2820" s="72" t="s">
        <v>11</v>
      </c>
      <c r="G2820" s="32">
        <v>43101</v>
      </c>
      <c r="H2820" s="17">
        <v>683712.53204665217</v>
      </c>
      <c r="I2820" s="17">
        <v>0</v>
      </c>
      <c r="J2820" s="17">
        <v>0</v>
      </c>
      <c r="K2820" s="17">
        <f t="shared" si="478"/>
        <v>683712.53204665217</v>
      </c>
      <c r="L2820" s="23">
        <f t="shared" si="483"/>
        <v>34185.62660233261</v>
      </c>
      <c r="M2820" s="42">
        <v>25</v>
      </c>
      <c r="N2820" s="18">
        <f t="shared" si="479"/>
        <v>3.2520547945205478</v>
      </c>
      <c r="O2820" s="23">
        <v>84491.883480811768</v>
      </c>
      <c r="P2820" s="18">
        <f t="shared" si="480"/>
        <v>3.7534246575342465</v>
      </c>
      <c r="Q2820" s="18">
        <f t="shared" si="482"/>
        <v>13026.128624253204</v>
      </c>
      <c r="R2820" s="18">
        <f t="shared" ref="R2820:R2883" si="484">Q2820+O2820</f>
        <v>97518.012105064976</v>
      </c>
      <c r="S2820" s="18">
        <f t="shared" ref="S2820:S2883" si="485">K2820-R2820</f>
        <v>586194.51994158723</v>
      </c>
    </row>
    <row r="2821" spans="1:19" ht="18.75" customHeight="1" x14ac:dyDescent="0.25">
      <c r="A2821" s="14">
        <f t="shared" si="481"/>
        <v>2815</v>
      </c>
      <c r="B2821" s="14" t="s">
        <v>2400</v>
      </c>
      <c r="C2821" s="15" t="s">
        <v>3</v>
      </c>
      <c r="D2821" s="14" t="s">
        <v>500</v>
      </c>
      <c r="E2821" s="14" t="s">
        <v>2327</v>
      </c>
      <c r="F2821" s="72" t="s">
        <v>11</v>
      </c>
      <c r="G2821" s="32">
        <v>43115</v>
      </c>
      <c r="H2821" s="17">
        <v>15562135.438695606</v>
      </c>
      <c r="I2821" s="17">
        <v>0</v>
      </c>
      <c r="J2821" s="17">
        <v>0</v>
      </c>
      <c r="K2821" s="17">
        <f t="shared" ref="K2821:K2884" si="486">H2821+I2821-J2821</f>
        <v>15562135.438695606</v>
      </c>
      <c r="L2821" s="23">
        <f t="shared" si="483"/>
        <v>778106.77193478029</v>
      </c>
      <c r="M2821" s="42">
        <v>25</v>
      </c>
      <c r="N2821" s="18">
        <f t="shared" ref="N2821:N2884" si="487">IF(($N$2-G2821+1)/365&gt;0,($N$2-G2821+1)/365,0)</f>
        <v>3.2136986301369861</v>
      </c>
      <c r="O2821" s="23">
        <v>1900456.5069710079</v>
      </c>
      <c r="P2821" s="18">
        <f t="shared" ref="P2821:P2884" si="488">($P$2-G2821+1)/365</f>
        <v>3.7150684931506848</v>
      </c>
      <c r="Q2821" s="18">
        <f t="shared" si="482"/>
        <v>296490.65709777875</v>
      </c>
      <c r="R2821" s="18">
        <f t="shared" si="484"/>
        <v>2196947.1640687864</v>
      </c>
      <c r="S2821" s="18">
        <f t="shared" si="485"/>
        <v>13365188.274626819</v>
      </c>
    </row>
    <row r="2822" spans="1:19" ht="18.75" customHeight="1" x14ac:dyDescent="0.25">
      <c r="A2822" s="14">
        <f t="shared" ref="A2822:A2885" si="489">+A2821+1</f>
        <v>2816</v>
      </c>
      <c r="B2822" s="14" t="s">
        <v>2401</v>
      </c>
      <c r="C2822" s="15" t="s">
        <v>3</v>
      </c>
      <c r="D2822" s="14" t="s">
        <v>500</v>
      </c>
      <c r="E2822" s="14" t="s">
        <v>2327</v>
      </c>
      <c r="F2822" s="72" t="s">
        <v>11</v>
      </c>
      <c r="G2822" s="32">
        <v>43101</v>
      </c>
      <c r="H2822" s="17">
        <v>10837.036739505693</v>
      </c>
      <c r="I2822" s="17">
        <v>0</v>
      </c>
      <c r="J2822" s="17">
        <v>0</v>
      </c>
      <c r="K2822" s="17">
        <f t="shared" si="486"/>
        <v>10837.036739505693</v>
      </c>
      <c r="L2822" s="23">
        <f t="shared" si="483"/>
        <v>541.85183697528464</v>
      </c>
      <c r="M2822" s="42">
        <v>25</v>
      </c>
      <c r="N2822" s="18">
        <f t="shared" si="487"/>
        <v>3.2520547945205478</v>
      </c>
      <c r="O2822" s="23">
        <v>1339.2202169099828</v>
      </c>
      <c r="P2822" s="18">
        <f t="shared" si="488"/>
        <v>3.7534246575342465</v>
      </c>
      <c r="Q2822" s="18">
        <f t="shared" si="482"/>
        <v>206.46781777129476</v>
      </c>
      <c r="R2822" s="18">
        <f t="shared" si="484"/>
        <v>1545.6880346812775</v>
      </c>
      <c r="S2822" s="18">
        <f t="shared" si="485"/>
        <v>9291.3487048244151</v>
      </c>
    </row>
    <row r="2823" spans="1:19" ht="18.75" customHeight="1" x14ac:dyDescent="0.25">
      <c r="A2823" s="14">
        <f t="shared" si="489"/>
        <v>2817</v>
      </c>
      <c r="B2823" s="14" t="s">
        <v>599</v>
      </c>
      <c r="C2823" s="15" t="s">
        <v>3</v>
      </c>
      <c r="D2823" s="14" t="s">
        <v>500</v>
      </c>
      <c r="E2823" s="14" t="s">
        <v>599</v>
      </c>
      <c r="F2823" s="74" t="s">
        <v>17</v>
      </c>
      <c r="G2823" s="32">
        <v>43101</v>
      </c>
      <c r="H2823" s="17">
        <v>1834184.9168057209</v>
      </c>
      <c r="I2823" s="17">
        <v>0</v>
      </c>
      <c r="J2823" s="17">
        <v>0</v>
      </c>
      <c r="K2823" s="17">
        <f t="shared" si="486"/>
        <v>1834184.9168057209</v>
      </c>
      <c r="L2823" s="23">
        <f t="shared" si="483"/>
        <v>91709.24584028605</v>
      </c>
      <c r="M2823" s="42">
        <v>25</v>
      </c>
      <c r="N2823" s="18">
        <f t="shared" si="487"/>
        <v>3.2520547945205478</v>
      </c>
      <c r="O2823" s="23">
        <v>226665.05440394202</v>
      </c>
      <c r="P2823" s="18">
        <f t="shared" si="488"/>
        <v>3.7534246575342465</v>
      </c>
      <c r="Q2823" s="18">
        <f t="shared" si="482"/>
        <v>34944.991538265705</v>
      </c>
      <c r="R2823" s="18">
        <f t="shared" si="484"/>
        <v>261610.04594220774</v>
      </c>
      <c r="S2823" s="18">
        <f t="shared" si="485"/>
        <v>1572574.8708635131</v>
      </c>
    </row>
    <row r="2824" spans="1:19" ht="18.75" customHeight="1" x14ac:dyDescent="0.25">
      <c r="A2824" s="14">
        <f t="shared" si="489"/>
        <v>2818</v>
      </c>
      <c r="B2824" s="14" t="s">
        <v>2402</v>
      </c>
      <c r="C2824" s="15" t="s">
        <v>3</v>
      </c>
      <c r="D2824" s="14" t="s">
        <v>500</v>
      </c>
      <c r="E2824" s="14" t="s">
        <v>2327</v>
      </c>
      <c r="F2824" s="72" t="s">
        <v>8</v>
      </c>
      <c r="G2824" s="32">
        <v>43101</v>
      </c>
      <c r="H2824" s="17">
        <v>489971.88452883769</v>
      </c>
      <c r="I2824" s="17">
        <v>0</v>
      </c>
      <c r="J2824" s="17">
        <v>0</v>
      </c>
      <c r="K2824" s="17">
        <f t="shared" si="486"/>
        <v>489971.88452883769</v>
      </c>
      <c r="L2824" s="23">
        <f t="shared" si="483"/>
        <v>24498.594226441885</v>
      </c>
      <c r="M2824" s="42">
        <v>25</v>
      </c>
      <c r="N2824" s="18">
        <f t="shared" si="487"/>
        <v>3.2520547945205478</v>
      </c>
      <c r="O2824" s="23">
        <v>60549.78581796644</v>
      </c>
      <c r="P2824" s="18">
        <f t="shared" si="488"/>
        <v>3.7534246575342465</v>
      </c>
      <c r="Q2824" s="18">
        <f t="shared" si="482"/>
        <v>9334.9711918179109</v>
      </c>
      <c r="R2824" s="18">
        <f t="shared" si="484"/>
        <v>69884.757009784356</v>
      </c>
      <c r="S2824" s="18">
        <f t="shared" si="485"/>
        <v>420087.12751905335</v>
      </c>
    </row>
    <row r="2825" spans="1:19" ht="18.75" customHeight="1" x14ac:dyDescent="0.25">
      <c r="A2825" s="14">
        <f t="shared" si="489"/>
        <v>2819</v>
      </c>
      <c r="B2825" s="14" t="s">
        <v>2403</v>
      </c>
      <c r="C2825" s="15" t="s">
        <v>3</v>
      </c>
      <c r="D2825" s="14" t="s">
        <v>500</v>
      </c>
      <c r="E2825" s="14" t="s">
        <v>2327</v>
      </c>
      <c r="F2825" s="72" t="s">
        <v>11</v>
      </c>
      <c r="G2825" s="32">
        <v>43101</v>
      </c>
      <c r="H2825" s="17">
        <v>316793.21265715681</v>
      </c>
      <c r="I2825" s="17">
        <v>0</v>
      </c>
      <c r="J2825" s="17">
        <v>0</v>
      </c>
      <c r="K2825" s="17">
        <f t="shared" si="486"/>
        <v>316793.21265715681</v>
      </c>
      <c r="L2825" s="23">
        <f t="shared" si="483"/>
        <v>15839.660632857842</v>
      </c>
      <c r="M2825" s="42">
        <v>25</v>
      </c>
      <c r="N2825" s="18">
        <f t="shared" si="487"/>
        <v>3.2520547945205478</v>
      </c>
      <c r="O2825" s="23">
        <v>39148.697671544433</v>
      </c>
      <c r="P2825" s="18">
        <f t="shared" si="488"/>
        <v>3.7534246575342465</v>
      </c>
      <c r="Q2825" s="18">
        <f t="shared" si="482"/>
        <v>6035.5616460763522</v>
      </c>
      <c r="R2825" s="18">
        <f t="shared" si="484"/>
        <v>45184.259317620788</v>
      </c>
      <c r="S2825" s="18">
        <f t="shared" si="485"/>
        <v>271608.95333953603</v>
      </c>
    </row>
    <row r="2826" spans="1:19" ht="18.75" customHeight="1" x14ac:dyDescent="0.25">
      <c r="A2826" s="14">
        <f t="shared" si="489"/>
        <v>2820</v>
      </c>
      <c r="B2826" s="14" t="s">
        <v>2404</v>
      </c>
      <c r="C2826" s="15" t="s">
        <v>3</v>
      </c>
      <c r="D2826" s="14" t="s">
        <v>500</v>
      </c>
      <c r="E2826" s="14" t="s">
        <v>2327</v>
      </c>
      <c r="F2826" s="72" t="s">
        <v>8</v>
      </c>
      <c r="G2826" s="32">
        <v>43101</v>
      </c>
      <c r="H2826" s="17">
        <v>3926646.2113643293</v>
      </c>
      <c r="I2826" s="17">
        <v>0</v>
      </c>
      <c r="J2826" s="17">
        <v>0</v>
      </c>
      <c r="K2826" s="17">
        <f t="shared" si="486"/>
        <v>3926646.2113643293</v>
      </c>
      <c r="L2826" s="23">
        <f t="shared" si="483"/>
        <v>196332.31056821649</v>
      </c>
      <c r="M2826" s="42">
        <v>25</v>
      </c>
      <c r="N2826" s="18">
        <f t="shared" si="487"/>
        <v>3.2520547945205478</v>
      </c>
      <c r="O2826" s="23">
        <v>485247.40824602579</v>
      </c>
      <c r="P2826" s="18">
        <f t="shared" si="488"/>
        <v>3.7534246575342465</v>
      </c>
      <c r="Q2826" s="18">
        <f t="shared" si="482"/>
        <v>74810.678777609719</v>
      </c>
      <c r="R2826" s="18">
        <f t="shared" si="484"/>
        <v>560058.08702363551</v>
      </c>
      <c r="S2826" s="18">
        <f t="shared" si="485"/>
        <v>3366588.1243406939</v>
      </c>
    </row>
    <row r="2827" spans="1:19" ht="18.75" customHeight="1" x14ac:dyDescent="0.25">
      <c r="A2827" s="14">
        <f t="shared" si="489"/>
        <v>2821</v>
      </c>
      <c r="B2827" s="14" t="s">
        <v>2405</v>
      </c>
      <c r="C2827" s="15" t="s">
        <v>3</v>
      </c>
      <c r="D2827" s="14" t="s">
        <v>500</v>
      </c>
      <c r="E2827" s="14" t="s">
        <v>2327</v>
      </c>
      <c r="F2827" s="72" t="s">
        <v>11</v>
      </c>
      <c r="G2827" s="32">
        <v>43101</v>
      </c>
      <c r="H2827" s="17">
        <v>582393.86307123478</v>
      </c>
      <c r="I2827" s="17">
        <v>0</v>
      </c>
      <c r="J2827" s="17">
        <v>0</v>
      </c>
      <c r="K2827" s="17">
        <f t="shared" si="486"/>
        <v>582393.86307123478</v>
      </c>
      <c r="L2827" s="23">
        <f t="shared" si="483"/>
        <v>29119.69315356174</v>
      </c>
      <c r="M2827" s="42">
        <v>25</v>
      </c>
      <c r="N2827" s="18">
        <f t="shared" si="487"/>
        <v>3.2520547945205478</v>
      </c>
      <c r="O2827" s="23">
        <v>71971.116678605787</v>
      </c>
      <c r="P2827" s="18">
        <f t="shared" si="488"/>
        <v>3.7534246575342465</v>
      </c>
      <c r="Q2827" s="18">
        <f t="shared" si="482"/>
        <v>11095.799791225661</v>
      </c>
      <c r="R2827" s="18">
        <f t="shared" si="484"/>
        <v>83066.916469831456</v>
      </c>
      <c r="S2827" s="18">
        <f t="shared" si="485"/>
        <v>499326.9466014033</v>
      </c>
    </row>
    <row r="2828" spans="1:19" ht="18.75" customHeight="1" x14ac:dyDescent="0.25">
      <c r="A2828" s="14">
        <f t="shared" si="489"/>
        <v>2822</v>
      </c>
      <c r="B2828" s="14" t="s">
        <v>2406</v>
      </c>
      <c r="C2828" s="15" t="s">
        <v>3</v>
      </c>
      <c r="D2828" s="14" t="s">
        <v>500</v>
      </c>
      <c r="E2828" s="14" t="s">
        <v>2327</v>
      </c>
      <c r="F2828" s="72" t="s">
        <v>2407</v>
      </c>
      <c r="G2828" s="32">
        <v>43101</v>
      </c>
      <c r="H2828" s="17">
        <v>230400.63213701776</v>
      </c>
      <c r="I2828" s="17">
        <v>0</v>
      </c>
      <c r="J2828" s="17">
        <v>0</v>
      </c>
      <c r="K2828" s="17">
        <f t="shared" si="486"/>
        <v>230400.63213701776</v>
      </c>
      <c r="L2828" s="23">
        <f t="shared" si="483"/>
        <v>11520.031606850889</v>
      </c>
      <c r="M2828" s="42">
        <v>25</v>
      </c>
      <c r="N2828" s="18">
        <f t="shared" si="487"/>
        <v>3.2520547945205478</v>
      </c>
      <c r="O2828" s="23">
        <v>28472.468255266638</v>
      </c>
      <c r="P2828" s="18">
        <f t="shared" si="488"/>
        <v>3.7534246575342465</v>
      </c>
      <c r="Q2828" s="18">
        <f t="shared" si="482"/>
        <v>4389.6054681666346</v>
      </c>
      <c r="R2828" s="18">
        <f t="shared" si="484"/>
        <v>32862.07372343327</v>
      </c>
      <c r="S2828" s="18">
        <f t="shared" si="485"/>
        <v>197538.55841358448</v>
      </c>
    </row>
    <row r="2829" spans="1:19" ht="18.75" customHeight="1" x14ac:dyDescent="0.25">
      <c r="A2829" s="14">
        <f t="shared" si="489"/>
        <v>2823</v>
      </c>
      <c r="B2829" s="14" t="s">
        <v>2408</v>
      </c>
      <c r="C2829" s="15" t="s">
        <v>3</v>
      </c>
      <c r="D2829" s="14" t="s">
        <v>500</v>
      </c>
      <c r="E2829" s="14" t="s">
        <v>2327</v>
      </c>
      <c r="F2829" s="72" t="s">
        <v>11</v>
      </c>
      <c r="G2829" s="32">
        <v>43101</v>
      </c>
      <c r="H2829" s="17">
        <v>301677.11886943318</v>
      </c>
      <c r="I2829" s="17">
        <v>0</v>
      </c>
      <c r="J2829" s="17">
        <v>0</v>
      </c>
      <c r="K2829" s="17">
        <f t="shared" si="486"/>
        <v>301677.11886943318</v>
      </c>
      <c r="L2829" s="23">
        <f t="shared" si="483"/>
        <v>15083.855943471659</v>
      </c>
      <c r="M2829" s="42">
        <v>25</v>
      </c>
      <c r="N2829" s="18">
        <f t="shared" si="487"/>
        <v>3.2520547945205478</v>
      </c>
      <c r="O2829" s="23">
        <v>37280.679791026443</v>
      </c>
      <c r="P2829" s="18">
        <f t="shared" si="488"/>
        <v>3.7534246575342465</v>
      </c>
      <c r="Q2829" s="18">
        <f t="shared" si="482"/>
        <v>5747.5689989535294</v>
      </c>
      <c r="R2829" s="18">
        <f t="shared" si="484"/>
        <v>43028.248789979974</v>
      </c>
      <c r="S2829" s="18">
        <f t="shared" si="485"/>
        <v>258648.87007945322</v>
      </c>
    </row>
    <row r="2830" spans="1:19" ht="18.75" customHeight="1" x14ac:dyDescent="0.25">
      <c r="A2830" s="14">
        <f t="shared" si="489"/>
        <v>2824</v>
      </c>
      <c r="B2830" s="14" t="s">
        <v>2409</v>
      </c>
      <c r="C2830" s="15" t="s">
        <v>3</v>
      </c>
      <c r="D2830" s="14" t="s">
        <v>500</v>
      </c>
      <c r="E2830" s="14" t="s">
        <v>2327</v>
      </c>
      <c r="F2830" s="72" t="s">
        <v>8</v>
      </c>
      <c r="G2830" s="32">
        <v>43101</v>
      </c>
      <c r="H2830" s="17">
        <v>6643787.0148027819</v>
      </c>
      <c r="I2830" s="17">
        <v>0</v>
      </c>
      <c r="J2830" s="17">
        <v>0</v>
      </c>
      <c r="K2830" s="17">
        <f t="shared" si="486"/>
        <v>6643787.0148027819</v>
      </c>
      <c r="L2830" s="23">
        <f t="shared" si="483"/>
        <v>332189.35074013914</v>
      </c>
      <c r="M2830" s="42">
        <v>25</v>
      </c>
      <c r="N2830" s="18">
        <f t="shared" si="487"/>
        <v>3.2520547945205478</v>
      </c>
      <c r="O2830" s="23">
        <v>821026.45777998422</v>
      </c>
      <c r="P2830" s="18">
        <f t="shared" si="488"/>
        <v>3.7534246575342465</v>
      </c>
      <c r="Q2830" s="18">
        <f t="shared" si="482"/>
        <v>126577.7942491467</v>
      </c>
      <c r="R2830" s="18">
        <f t="shared" si="484"/>
        <v>947604.25202913093</v>
      </c>
      <c r="S2830" s="18">
        <f t="shared" si="485"/>
        <v>5696182.7627736507</v>
      </c>
    </row>
    <row r="2831" spans="1:19" ht="18.75" customHeight="1" x14ac:dyDescent="0.25">
      <c r="A2831" s="14">
        <f t="shared" si="489"/>
        <v>2825</v>
      </c>
      <c r="B2831" s="14" t="s">
        <v>2410</v>
      </c>
      <c r="C2831" s="15" t="s">
        <v>3</v>
      </c>
      <c r="D2831" s="14" t="s">
        <v>500</v>
      </c>
      <c r="E2831" s="14" t="s">
        <v>2327</v>
      </c>
      <c r="F2831" s="74" t="s">
        <v>11</v>
      </c>
      <c r="G2831" s="32">
        <v>43101</v>
      </c>
      <c r="H2831" s="17">
        <v>7358816.2554872232</v>
      </c>
      <c r="I2831" s="17">
        <v>0</v>
      </c>
      <c r="J2831" s="17">
        <v>0</v>
      </c>
      <c r="K2831" s="17">
        <f t="shared" si="486"/>
        <v>7358816.2554872232</v>
      </c>
      <c r="L2831" s="23">
        <f t="shared" si="483"/>
        <v>367940.81277436117</v>
      </c>
      <c r="M2831" s="42">
        <v>25</v>
      </c>
      <c r="N2831" s="18">
        <f t="shared" si="487"/>
        <v>3.2520547945205478</v>
      </c>
      <c r="O2831" s="23">
        <v>909388.40005481278</v>
      </c>
      <c r="P2831" s="18">
        <f t="shared" si="488"/>
        <v>3.7534246575342465</v>
      </c>
      <c r="Q2831" s="18">
        <f t="shared" si="482"/>
        <v>140200.5705223511</v>
      </c>
      <c r="R2831" s="18">
        <f t="shared" si="484"/>
        <v>1049588.9705771639</v>
      </c>
      <c r="S2831" s="18">
        <f t="shared" si="485"/>
        <v>6309227.2849100595</v>
      </c>
    </row>
    <row r="2832" spans="1:19" ht="18.75" customHeight="1" x14ac:dyDescent="0.25">
      <c r="A2832" s="14">
        <f t="shared" si="489"/>
        <v>2826</v>
      </c>
      <c r="B2832" s="14" t="s">
        <v>2411</v>
      </c>
      <c r="C2832" s="15" t="s">
        <v>3</v>
      </c>
      <c r="D2832" s="14" t="s">
        <v>500</v>
      </c>
      <c r="E2832" s="14" t="s">
        <v>2327</v>
      </c>
      <c r="F2832" s="72" t="s">
        <v>4</v>
      </c>
      <c r="G2832" s="32">
        <v>43101</v>
      </c>
      <c r="H2832" s="17">
        <v>1027566.7304838335</v>
      </c>
      <c r="I2832" s="17">
        <v>0</v>
      </c>
      <c r="J2832" s="17">
        <v>0</v>
      </c>
      <c r="K2832" s="17">
        <f t="shared" si="486"/>
        <v>1027566.7304838335</v>
      </c>
      <c r="L2832" s="23">
        <f t="shared" si="483"/>
        <v>51378.336524191676</v>
      </c>
      <c r="M2832" s="42">
        <v>25</v>
      </c>
      <c r="N2832" s="18">
        <f t="shared" si="487"/>
        <v>3.2520547945205478</v>
      </c>
      <c r="O2832" s="23">
        <v>126984.72587727066</v>
      </c>
      <c r="P2832" s="18">
        <f t="shared" si="488"/>
        <v>3.7534246575342465</v>
      </c>
      <c r="Q2832" s="18">
        <f t="shared" si="482"/>
        <v>19577.257654204324</v>
      </c>
      <c r="R2832" s="18">
        <f t="shared" si="484"/>
        <v>146561.98353147498</v>
      </c>
      <c r="S2832" s="18">
        <f t="shared" si="485"/>
        <v>881004.74695235852</v>
      </c>
    </row>
    <row r="2833" spans="1:19" ht="18.75" customHeight="1" x14ac:dyDescent="0.25">
      <c r="A2833" s="14">
        <f t="shared" si="489"/>
        <v>2827</v>
      </c>
      <c r="B2833" s="14" t="s">
        <v>2412</v>
      </c>
      <c r="C2833" s="15" t="s">
        <v>3</v>
      </c>
      <c r="D2833" s="14" t="s">
        <v>500</v>
      </c>
      <c r="E2833" s="14" t="s">
        <v>2327</v>
      </c>
      <c r="F2833" s="72" t="s">
        <v>11</v>
      </c>
      <c r="G2833" s="32">
        <v>43101</v>
      </c>
      <c r="H2833" s="17">
        <v>2695204.9696856006</v>
      </c>
      <c r="I2833" s="17">
        <v>0</v>
      </c>
      <c r="J2833" s="17">
        <v>0</v>
      </c>
      <c r="K2833" s="17">
        <f t="shared" si="486"/>
        <v>2695204.9696856006</v>
      </c>
      <c r="L2833" s="23">
        <f t="shared" si="483"/>
        <v>134760.24848428005</v>
      </c>
      <c r="M2833" s="42">
        <v>25</v>
      </c>
      <c r="N2833" s="18">
        <f t="shared" si="487"/>
        <v>3.2520547945205478</v>
      </c>
      <c r="O2833" s="23">
        <v>333068.26126750326</v>
      </c>
      <c r="P2833" s="18">
        <f t="shared" si="488"/>
        <v>3.7534246575342465</v>
      </c>
      <c r="Q2833" s="18">
        <f t="shared" si="482"/>
        <v>51349.192764914158</v>
      </c>
      <c r="R2833" s="18">
        <f t="shared" si="484"/>
        <v>384417.45403241739</v>
      </c>
      <c r="S2833" s="18">
        <f t="shared" si="485"/>
        <v>2310787.5156531832</v>
      </c>
    </row>
    <row r="2834" spans="1:19" ht="18.75" customHeight="1" x14ac:dyDescent="0.25">
      <c r="A2834" s="14">
        <f t="shared" si="489"/>
        <v>2828</v>
      </c>
      <c r="B2834" s="14" t="s">
        <v>2413</v>
      </c>
      <c r="C2834" s="15" t="s">
        <v>3</v>
      </c>
      <c r="D2834" s="14" t="s">
        <v>500</v>
      </c>
      <c r="E2834" s="14" t="s">
        <v>2327</v>
      </c>
      <c r="F2834" s="72" t="s">
        <v>11</v>
      </c>
      <c r="G2834" s="32">
        <v>43101</v>
      </c>
      <c r="H2834" s="17">
        <v>759449.21555080824</v>
      </c>
      <c r="I2834" s="17">
        <v>0</v>
      </c>
      <c r="J2834" s="17">
        <v>0</v>
      </c>
      <c r="K2834" s="17">
        <f t="shared" si="486"/>
        <v>759449.21555080824</v>
      </c>
      <c r="L2834" s="23">
        <f t="shared" si="483"/>
        <v>37972.460777540415</v>
      </c>
      <c r="M2834" s="42">
        <v>25</v>
      </c>
      <c r="N2834" s="18">
        <f t="shared" si="487"/>
        <v>3.2520547945205478</v>
      </c>
      <c r="O2834" s="23">
        <v>93851.277579821239</v>
      </c>
      <c r="P2834" s="18">
        <f t="shared" si="488"/>
        <v>3.7534246575342465</v>
      </c>
      <c r="Q2834" s="18">
        <f t="shared" si="482"/>
        <v>14469.068068329645</v>
      </c>
      <c r="R2834" s="18">
        <f t="shared" si="484"/>
        <v>108320.34564815089</v>
      </c>
      <c r="S2834" s="18">
        <f t="shared" si="485"/>
        <v>651128.86990265734</v>
      </c>
    </row>
    <row r="2835" spans="1:19" ht="18.75" customHeight="1" x14ac:dyDescent="0.25">
      <c r="A2835" s="14">
        <f t="shared" si="489"/>
        <v>2829</v>
      </c>
      <c r="B2835" s="14" t="s">
        <v>2414</v>
      </c>
      <c r="C2835" s="15" t="s">
        <v>3</v>
      </c>
      <c r="D2835" s="14" t="s">
        <v>500</v>
      </c>
      <c r="E2835" s="14" t="s">
        <v>2327</v>
      </c>
      <c r="F2835" s="72" t="s">
        <v>11</v>
      </c>
      <c r="G2835" s="32">
        <v>43101</v>
      </c>
      <c r="H2835" s="17">
        <v>727132.1111410642</v>
      </c>
      <c r="I2835" s="17">
        <v>0</v>
      </c>
      <c r="J2835" s="17">
        <v>0</v>
      </c>
      <c r="K2835" s="17">
        <f t="shared" si="486"/>
        <v>727132.1111410642</v>
      </c>
      <c r="L2835" s="23">
        <f t="shared" si="483"/>
        <v>36356.605557053212</v>
      </c>
      <c r="M2835" s="42">
        <v>25</v>
      </c>
      <c r="N2835" s="18">
        <f t="shared" si="487"/>
        <v>3.2520547945205478</v>
      </c>
      <c r="O2835" s="23">
        <v>89857.59179487353</v>
      </c>
      <c r="P2835" s="18">
        <f t="shared" si="488"/>
        <v>3.7534246575342465</v>
      </c>
      <c r="Q2835" s="18">
        <f t="shared" si="482"/>
        <v>13853.360824314961</v>
      </c>
      <c r="R2835" s="18">
        <f t="shared" si="484"/>
        <v>103710.95261918849</v>
      </c>
      <c r="S2835" s="18">
        <f t="shared" si="485"/>
        <v>623421.15852187574</v>
      </c>
    </row>
    <row r="2836" spans="1:19" ht="18.75" customHeight="1" x14ac:dyDescent="0.25">
      <c r="A2836" s="14">
        <f t="shared" si="489"/>
        <v>2830</v>
      </c>
      <c r="B2836" s="14" t="s">
        <v>2415</v>
      </c>
      <c r="C2836" s="15" t="s">
        <v>3</v>
      </c>
      <c r="D2836" s="14" t="s">
        <v>500</v>
      </c>
      <c r="E2836" s="14" t="s">
        <v>2327</v>
      </c>
      <c r="F2836" s="72" t="s">
        <v>11</v>
      </c>
      <c r="G2836" s="32">
        <v>43101</v>
      </c>
      <c r="H2836" s="17">
        <v>38319.259995222368</v>
      </c>
      <c r="I2836" s="17">
        <v>0</v>
      </c>
      <c r="J2836" s="17">
        <v>0</v>
      </c>
      <c r="K2836" s="17">
        <f t="shared" si="486"/>
        <v>38319.259995222368</v>
      </c>
      <c r="L2836" s="23">
        <f t="shared" si="483"/>
        <v>1915.9629997611185</v>
      </c>
      <c r="M2836" s="42">
        <v>25</v>
      </c>
      <c r="N2836" s="18">
        <f t="shared" si="487"/>
        <v>3.2520547945205478</v>
      </c>
      <c r="O2836" s="23">
        <v>4735.4206612178086</v>
      </c>
      <c r="P2836" s="18">
        <f t="shared" si="488"/>
        <v>3.7534246575342465</v>
      </c>
      <c r="Q2836" s="18">
        <f t="shared" si="482"/>
        <v>730.06064111445573</v>
      </c>
      <c r="R2836" s="18">
        <f t="shared" si="484"/>
        <v>5465.481302332264</v>
      </c>
      <c r="S2836" s="18">
        <f t="shared" si="485"/>
        <v>32853.778692890104</v>
      </c>
    </row>
    <row r="2837" spans="1:19" ht="18.75" customHeight="1" x14ac:dyDescent="0.25">
      <c r="A2837" s="14">
        <f t="shared" si="489"/>
        <v>2831</v>
      </c>
      <c r="B2837" s="14" t="s">
        <v>2416</v>
      </c>
      <c r="C2837" s="15" t="s">
        <v>3</v>
      </c>
      <c r="D2837" s="14" t="s">
        <v>500</v>
      </c>
      <c r="E2837" s="14" t="s">
        <v>2319</v>
      </c>
      <c r="F2837" s="72" t="s">
        <v>11</v>
      </c>
      <c r="G2837" s="32">
        <v>43101</v>
      </c>
      <c r="H2837" s="17">
        <v>5696524.8879169803</v>
      </c>
      <c r="I2837" s="17">
        <v>0</v>
      </c>
      <c r="J2837" s="17">
        <v>0</v>
      </c>
      <c r="K2837" s="17">
        <f t="shared" si="486"/>
        <v>5696524.8879169803</v>
      </c>
      <c r="L2837" s="23">
        <f t="shared" si="483"/>
        <v>284826.244395849</v>
      </c>
      <c r="M2837" s="42">
        <v>25</v>
      </c>
      <c r="N2837" s="18">
        <f t="shared" si="487"/>
        <v>3.2520547945205478</v>
      </c>
      <c r="O2837" s="23">
        <v>703965.62080652954</v>
      </c>
      <c r="P2837" s="18">
        <f t="shared" si="488"/>
        <v>3.7534246575342465</v>
      </c>
      <c r="Q2837" s="18">
        <f t="shared" si="482"/>
        <v>108530.50430294433</v>
      </c>
      <c r="R2837" s="18">
        <f t="shared" si="484"/>
        <v>812496.12510947383</v>
      </c>
      <c r="S2837" s="18">
        <f t="shared" si="485"/>
        <v>4884028.7628075061</v>
      </c>
    </row>
    <row r="2838" spans="1:19" ht="18.75" customHeight="1" x14ac:dyDescent="0.25">
      <c r="A2838" s="14">
        <f t="shared" si="489"/>
        <v>2832</v>
      </c>
      <c r="B2838" s="14" t="s">
        <v>2417</v>
      </c>
      <c r="C2838" s="15" t="s">
        <v>3</v>
      </c>
      <c r="D2838" s="14" t="s">
        <v>500</v>
      </c>
      <c r="E2838" s="14" t="s">
        <v>2327</v>
      </c>
      <c r="F2838" s="72" t="s">
        <v>8</v>
      </c>
      <c r="G2838" s="32">
        <v>43101</v>
      </c>
      <c r="H2838" s="17">
        <v>11336926.807852417</v>
      </c>
      <c r="I2838" s="17">
        <v>0</v>
      </c>
      <c r="J2838" s="17">
        <v>0</v>
      </c>
      <c r="K2838" s="17">
        <f t="shared" si="486"/>
        <v>11336926.807852417</v>
      </c>
      <c r="L2838" s="23">
        <f t="shared" si="483"/>
        <v>566846.34039262088</v>
      </c>
      <c r="M2838" s="42">
        <v>25</v>
      </c>
      <c r="N2838" s="18">
        <f t="shared" si="487"/>
        <v>3.2520547945205478</v>
      </c>
      <c r="O2838" s="23">
        <v>1400995.6728629894</v>
      </c>
      <c r="P2838" s="18">
        <f t="shared" si="488"/>
        <v>3.7534246575342465</v>
      </c>
      <c r="Q2838" s="18">
        <f t="shared" ref="Q2838:Q2896" si="490">(P2838-N2838)/M2838*(K2838-L2838)</f>
        <v>215991.75074467316</v>
      </c>
      <c r="R2838" s="18">
        <f t="shared" si="484"/>
        <v>1616987.4236076626</v>
      </c>
      <c r="S2838" s="18">
        <f t="shared" si="485"/>
        <v>9719939.3842447549</v>
      </c>
    </row>
    <row r="2839" spans="1:19" ht="18.75" customHeight="1" x14ac:dyDescent="0.25">
      <c r="A2839" s="14">
        <f t="shared" si="489"/>
        <v>2833</v>
      </c>
      <c r="B2839" s="14" t="s">
        <v>2418</v>
      </c>
      <c r="C2839" s="15" t="s">
        <v>3</v>
      </c>
      <c r="D2839" s="14" t="s">
        <v>500</v>
      </c>
      <c r="E2839" s="14" t="s">
        <v>2327</v>
      </c>
      <c r="F2839" s="72" t="s">
        <v>8</v>
      </c>
      <c r="G2839" s="32">
        <v>43101</v>
      </c>
      <c r="H2839" s="17">
        <v>8921679.3911088519</v>
      </c>
      <c r="I2839" s="17">
        <v>0</v>
      </c>
      <c r="J2839" s="17">
        <v>0</v>
      </c>
      <c r="K2839" s="17">
        <f t="shared" si="486"/>
        <v>8921679.3911088519</v>
      </c>
      <c r="L2839" s="23">
        <f t="shared" ref="L2839:L2896" si="491">H2839*0.05</f>
        <v>446083.96955544263</v>
      </c>
      <c r="M2839" s="42">
        <v>25</v>
      </c>
      <c r="N2839" s="18">
        <f t="shared" si="487"/>
        <v>3.2520547945205478</v>
      </c>
      <c r="O2839" s="23">
        <v>1102524.0290831667</v>
      </c>
      <c r="P2839" s="18">
        <f t="shared" si="488"/>
        <v>3.7534246575342465</v>
      </c>
      <c r="Q2839" s="18">
        <f t="shared" si="490"/>
        <v>169976.32461855057</v>
      </c>
      <c r="R2839" s="18">
        <f t="shared" si="484"/>
        <v>1272500.3537017172</v>
      </c>
      <c r="S2839" s="18">
        <f t="shared" si="485"/>
        <v>7649179.0374071347</v>
      </c>
    </row>
    <row r="2840" spans="1:19" ht="18.75" customHeight="1" x14ac:dyDescent="0.25">
      <c r="A2840" s="14">
        <f t="shared" si="489"/>
        <v>2834</v>
      </c>
      <c r="B2840" s="14" t="s">
        <v>2419</v>
      </c>
      <c r="C2840" s="15" t="s">
        <v>3</v>
      </c>
      <c r="D2840" s="14" t="s">
        <v>500</v>
      </c>
      <c r="E2840" s="14" t="s">
        <v>2327</v>
      </c>
      <c r="F2840" s="72" t="s">
        <v>8</v>
      </c>
      <c r="G2840" s="32">
        <v>43101</v>
      </c>
      <c r="H2840" s="17">
        <v>597246.90536509256</v>
      </c>
      <c r="I2840" s="17">
        <v>0</v>
      </c>
      <c r="J2840" s="17">
        <v>0</v>
      </c>
      <c r="K2840" s="17">
        <f t="shared" si="486"/>
        <v>597246.90536509256</v>
      </c>
      <c r="L2840" s="23">
        <f t="shared" si="491"/>
        <v>29862.34526825463</v>
      </c>
      <c r="M2840" s="42">
        <v>25</v>
      </c>
      <c r="N2840" s="18">
        <f t="shared" si="487"/>
        <v>3.2520547945205478</v>
      </c>
      <c r="O2840" s="23">
        <v>73806.627159994154</v>
      </c>
      <c r="P2840" s="18">
        <f t="shared" si="488"/>
        <v>3.7534246575342465</v>
      </c>
      <c r="Q2840" s="18">
        <f t="shared" si="490"/>
        <v>11378.780766873571</v>
      </c>
      <c r="R2840" s="18">
        <f t="shared" si="484"/>
        <v>85185.407926867731</v>
      </c>
      <c r="S2840" s="18">
        <f t="shared" si="485"/>
        <v>512061.49743822485</v>
      </c>
    </row>
    <row r="2841" spans="1:19" ht="18.75" customHeight="1" x14ac:dyDescent="0.25">
      <c r="A2841" s="14">
        <f t="shared" si="489"/>
        <v>2835</v>
      </c>
      <c r="B2841" s="14" t="s">
        <v>2420</v>
      </c>
      <c r="C2841" s="15" t="s">
        <v>3</v>
      </c>
      <c r="D2841" s="14" t="s">
        <v>500</v>
      </c>
      <c r="E2841" s="14" t="s">
        <v>2327</v>
      </c>
      <c r="F2841" s="72" t="s">
        <v>6</v>
      </c>
      <c r="G2841" s="32">
        <v>43101</v>
      </c>
      <c r="H2841" s="17">
        <v>356430.91205676977</v>
      </c>
      <c r="I2841" s="17">
        <v>0</v>
      </c>
      <c r="J2841" s="17">
        <v>0</v>
      </c>
      <c r="K2841" s="17">
        <f t="shared" si="486"/>
        <v>356430.91205676977</v>
      </c>
      <c r="L2841" s="23">
        <f t="shared" si="491"/>
        <v>17821.545602838491</v>
      </c>
      <c r="M2841" s="42">
        <v>25</v>
      </c>
      <c r="N2841" s="18">
        <f t="shared" si="487"/>
        <v>3.2520547945205478</v>
      </c>
      <c r="O2841" s="23">
        <v>44047.048545842888</v>
      </c>
      <c r="P2841" s="18">
        <f t="shared" si="488"/>
        <v>3.7534246575342465</v>
      </c>
      <c r="Q2841" s="18">
        <f t="shared" si="490"/>
        <v>6790.7412669665118</v>
      </c>
      <c r="R2841" s="18">
        <f t="shared" si="484"/>
        <v>50837.789812809402</v>
      </c>
      <c r="S2841" s="18">
        <f t="shared" si="485"/>
        <v>305593.12224396039</v>
      </c>
    </row>
    <row r="2842" spans="1:19" ht="18.75" customHeight="1" x14ac:dyDescent="0.25">
      <c r="A2842" s="14">
        <f t="shared" si="489"/>
        <v>2836</v>
      </c>
      <c r="B2842" s="14" t="s">
        <v>2421</v>
      </c>
      <c r="C2842" s="15" t="s">
        <v>3</v>
      </c>
      <c r="D2842" s="14" t="s">
        <v>500</v>
      </c>
      <c r="E2842" s="14" t="s">
        <v>2327</v>
      </c>
      <c r="F2842" s="72" t="s">
        <v>8</v>
      </c>
      <c r="G2842" s="32">
        <v>43101</v>
      </c>
      <c r="H2842" s="17">
        <v>1401606.425058054</v>
      </c>
      <c r="I2842" s="17">
        <v>0</v>
      </c>
      <c r="J2842" s="17">
        <v>0</v>
      </c>
      <c r="K2842" s="17">
        <f t="shared" si="486"/>
        <v>1401606.425058054</v>
      </c>
      <c r="L2842" s="23">
        <f t="shared" si="491"/>
        <v>70080.321252902708</v>
      </c>
      <c r="M2842" s="42">
        <v>25</v>
      </c>
      <c r="N2842" s="18">
        <f t="shared" si="487"/>
        <v>3.2520547945205478</v>
      </c>
      <c r="O2842" s="23">
        <v>173207.83399635227</v>
      </c>
      <c r="P2842" s="18">
        <f t="shared" si="488"/>
        <v>3.7534246575342465</v>
      </c>
      <c r="Q2842" s="18">
        <f t="shared" si="490"/>
        <v>26703.482410558103</v>
      </c>
      <c r="R2842" s="18">
        <f t="shared" si="484"/>
        <v>199911.31640691037</v>
      </c>
      <c r="S2842" s="18">
        <f t="shared" si="485"/>
        <v>1201695.1086511437</v>
      </c>
    </row>
    <row r="2843" spans="1:19" ht="18.75" customHeight="1" x14ac:dyDescent="0.25">
      <c r="A2843" s="14">
        <f t="shared" si="489"/>
        <v>2837</v>
      </c>
      <c r="B2843" s="14" t="s">
        <v>2422</v>
      </c>
      <c r="C2843" s="15" t="s">
        <v>3</v>
      </c>
      <c r="D2843" s="14" t="s">
        <v>500</v>
      </c>
      <c r="E2843" s="14" t="s">
        <v>2327</v>
      </c>
      <c r="F2843" s="72" t="s">
        <v>8</v>
      </c>
      <c r="G2843" s="32">
        <v>43101</v>
      </c>
      <c r="H2843" s="17">
        <v>524930.39854620118</v>
      </c>
      <c r="I2843" s="17">
        <v>0</v>
      </c>
      <c r="J2843" s="17">
        <v>0</v>
      </c>
      <c r="K2843" s="17">
        <f t="shared" si="486"/>
        <v>524930.39854620118</v>
      </c>
      <c r="L2843" s="23">
        <f t="shared" si="491"/>
        <v>26246.519927310059</v>
      </c>
      <c r="M2843" s="42">
        <v>25</v>
      </c>
      <c r="N2843" s="18">
        <f t="shared" si="487"/>
        <v>3.2520547945205478</v>
      </c>
      <c r="O2843" s="23">
        <v>64869.891936506712</v>
      </c>
      <c r="P2843" s="18">
        <f t="shared" si="488"/>
        <v>3.7534246575342465</v>
      </c>
      <c r="Q2843" s="18">
        <f t="shared" si="490"/>
        <v>10001.002716411735</v>
      </c>
      <c r="R2843" s="18">
        <f t="shared" si="484"/>
        <v>74870.894652918447</v>
      </c>
      <c r="S2843" s="18">
        <f t="shared" si="485"/>
        <v>450059.50389328273</v>
      </c>
    </row>
    <row r="2844" spans="1:19" ht="18.75" customHeight="1" x14ac:dyDescent="0.25">
      <c r="A2844" s="14">
        <f t="shared" si="489"/>
        <v>2838</v>
      </c>
      <c r="B2844" s="14" t="s">
        <v>2423</v>
      </c>
      <c r="C2844" s="15" t="s">
        <v>3</v>
      </c>
      <c r="D2844" s="14" t="s">
        <v>500</v>
      </c>
      <c r="E2844" s="14" t="s">
        <v>2327</v>
      </c>
      <c r="F2844" s="74" t="s">
        <v>11</v>
      </c>
      <c r="G2844" s="32">
        <v>43101</v>
      </c>
      <c r="H2844" s="17">
        <v>17700096.225705326</v>
      </c>
      <c r="I2844" s="17">
        <v>0</v>
      </c>
      <c r="J2844" s="17">
        <v>0</v>
      </c>
      <c r="K2844" s="17">
        <f t="shared" si="486"/>
        <v>17700096.225705326</v>
      </c>
      <c r="L2844" s="23">
        <f t="shared" si="491"/>
        <v>885004.8112852663</v>
      </c>
      <c r="M2844" s="42">
        <v>25</v>
      </c>
      <c r="N2844" s="18">
        <f t="shared" si="487"/>
        <v>3.2520547945205478</v>
      </c>
      <c r="O2844" s="23">
        <v>2187343.9461826426</v>
      </c>
      <c r="P2844" s="18">
        <f t="shared" si="488"/>
        <v>3.7534246575342465</v>
      </c>
      <c r="Q2844" s="18">
        <f t="shared" si="490"/>
        <v>337223.20316042425</v>
      </c>
      <c r="R2844" s="18">
        <f t="shared" si="484"/>
        <v>2524567.1493430668</v>
      </c>
      <c r="S2844" s="18">
        <f t="shared" si="485"/>
        <v>15175529.07636226</v>
      </c>
    </row>
    <row r="2845" spans="1:19" ht="18.75" customHeight="1" x14ac:dyDescent="0.25">
      <c r="A2845" s="14">
        <f t="shared" si="489"/>
        <v>2839</v>
      </c>
      <c r="B2845" s="14" t="s">
        <v>2424</v>
      </c>
      <c r="C2845" s="15" t="s">
        <v>3</v>
      </c>
      <c r="D2845" s="14" t="s">
        <v>500</v>
      </c>
      <c r="E2845" s="14" t="s">
        <v>2327</v>
      </c>
      <c r="F2845" s="72" t="s">
        <v>11</v>
      </c>
      <c r="G2845" s="32">
        <v>43101</v>
      </c>
      <c r="H2845" s="17">
        <v>823439.15169276693</v>
      </c>
      <c r="I2845" s="17">
        <v>0</v>
      </c>
      <c r="J2845" s="17">
        <v>0</v>
      </c>
      <c r="K2845" s="17">
        <f t="shared" si="486"/>
        <v>823439.15169276693</v>
      </c>
      <c r="L2845" s="23">
        <f t="shared" si="491"/>
        <v>41171.957584638352</v>
      </c>
      <c r="M2845" s="42">
        <v>25</v>
      </c>
      <c r="N2845" s="18">
        <f t="shared" si="487"/>
        <v>3.2520547945205478</v>
      </c>
      <c r="O2845" s="23">
        <v>101759.03116781902</v>
      </c>
      <c r="P2845" s="18">
        <f t="shared" si="488"/>
        <v>3.7534246575342465</v>
      </c>
      <c r="Q2845" s="18">
        <f t="shared" si="490"/>
        <v>15688.207838004113</v>
      </c>
      <c r="R2845" s="18">
        <f t="shared" si="484"/>
        <v>117447.23900582312</v>
      </c>
      <c r="S2845" s="18">
        <f t="shared" si="485"/>
        <v>705991.91268694378</v>
      </c>
    </row>
    <row r="2846" spans="1:19" ht="18.75" customHeight="1" x14ac:dyDescent="0.25">
      <c r="A2846" s="14">
        <f t="shared" si="489"/>
        <v>2840</v>
      </c>
      <c r="B2846" s="14" t="s">
        <v>2425</v>
      </c>
      <c r="C2846" s="15" t="s">
        <v>3</v>
      </c>
      <c r="D2846" s="14" t="s">
        <v>500</v>
      </c>
      <c r="E2846" s="14" t="s">
        <v>2327</v>
      </c>
      <c r="F2846" s="72" t="s">
        <v>16</v>
      </c>
      <c r="G2846" s="32">
        <v>43101</v>
      </c>
      <c r="H2846" s="17">
        <v>5683763.7847862663</v>
      </c>
      <c r="I2846" s="17">
        <v>0</v>
      </c>
      <c r="J2846" s="17">
        <v>0</v>
      </c>
      <c r="K2846" s="17">
        <f t="shared" si="486"/>
        <v>5683763.7847862663</v>
      </c>
      <c r="L2846" s="23">
        <f t="shared" si="491"/>
        <v>284188.1892393133</v>
      </c>
      <c r="M2846" s="42">
        <v>25</v>
      </c>
      <c r="N2846" s="18">
        <f t="shared" si="487"/>
        <v>3.2520547945205478</v>
      </c>
      <c r="O2846" s="23">
        <v>702388.62815498444</v>
      </c>
      <c r="P2846" s="18">
        <f t="shared" si="488"/>
        <v>3.7534246575342465</v>
      </c>
      <c r="Q2846" s="18">
        <f t="shared" si="490"/>
        <v>108287.37906685944</v>
      </c>
      <c r="R2846" s="18">
        <f t="shared" si="484"/>
        <v>810676.00722184393</v>
      </c>
      <c r="S2846" s="18">
        <f t="shared" si="485"/>
        <v>4873087.7775644222</v>
      </c>
    </row>
    <row r="2847" spans="1:19" ht="18.75" customHeight="1" x14ac:dyDescent="0.25">
      <c r="A2847" s="14">
        <f t="shared" si="489"/>
        <v>2841</v>
      </c>
      <c r="B2847" s="14" t="s">
        <v>2426</v>
      </c>
      <c r="C2847" s="15" t="s">
        <v>3</v>
      </c>
      <c r="D2847" s="14" t="s">
        <v>500</v>
      </c>
      <c r="E2847" s="14" t="s">
        <v>2327</v>
      </c>
      <c r="F2847" s="72" t="s">
        <v>11</v>
      </c>
      <c r="G2847" s="32">
        <v>43101</v>
      </c>
      <c r="H2847" s="17">
        <v>260704.5977113609</v>
      </c>
      <c r="I2847" s="17">
        <v>0</v>
      </c>
      <c r="J2847" s="17">
        <v>0</v>
      </c>
      <c r="K2847" s="17">
        <f t="shared" si="486"/>
        <v>260704.5977113609</v>
      </c>
      <c r="L2847" s="23">
        <f t="shared" si="491"/>
        <v>13035.229885568046</v>
      </c>
      <c r="M2847" s="42">
        <v>25</v>
      </c>
      <c r="N2847" s="18">
        <f t="shared" si="487"/>
        <v>3.2520547945205478</v>
      </c>
      <c r="O2847" s="23">
        <v>32217.374203749707</v>
      </c>
      <c r="P2847" s="18">
        <f t="shared" si="488"/>
        <v>3.7534246575342465</v>
      </c>
      <c r="Q2847" s="18">
        <f t="shared" si="490"/>
        <v>4966.9582807802835</v>
      </c>
      <c r="R2847" s="18">
        <f t="shared" si="484"/>
        <v>37184.332484529994</v>
      </c>
      <c r="S2847" s="18">
        <f t="shared" si="485"/>
        <v>223520.2652268309</v>
      </c>
    </row>
    <row r="2848" spans="1:19" ht="18.75" customHeight="1" x14ac:dyDescent="0.25">
      <c r="A2848" s="14">
        <f t="shared" si="489"/>
        <v>2842</v>
      </c>
      <c r="B2848" s="14" t="s">
        <v>2427</v>
      </c>
      <c r="C2848" s="15" t="s">
        <v>3</v>
      </c>
      <c r="D2848" s="14" t="s">
        <v>500</v>
      </c>
      <c r="E2848" s="14" t="s">
        <v>2327</v>
      </c>
      <c r="F2848" s="72" t="s">
        <v>2394</v>
      </c>
      <c r="G2848" s="32">
        <v>43101</v>
      </c>
      <c r="H2848" s="17">
        <v>489189.23226236686</v>
      </c>
      <c r="I2848" s="17">
        <v>0</v>
      </c>
      <c r="J2848" s="17">
        <v>0</v>
      </c>
      <c r="K2848" s="17">
        <f t="shared" si="486"/>
        <v>489189.23226236686</v>
      </c>
      <c r="L2848" s="23">
        <f t="shared" si="491"/>
        <v>24459.461613118343</v>
      </c>
      <c r="M2848" s="42">
        <v>25</v>
      </c>
      <c r="N2848" s="18">
        <f t="shared" si="487"/>
        <v>3.2520547945205478</v>
      </c>
      <c r="O2848" s="23">
        <v>60453.067151852927</v>
      </c>
      <c r="P2848" s="18">
        <f t="shared" si="488"/>
        <v>3.7534246575342465</v>
      </c>
      <c r="Q2848" s="18">
        <f t="shared" si="490"/>
        <v>9320.0600579520524</v>
      </c>
      <c r="R2848" s="18">
        <f t="shared" si="484"/>
        <v>69773.127209804981</v>
      </c>
      <c r="S2848" s="18">
        <f t="shared" si="485"/>
        <v>419416.10505256185</v>
      </c>
    </row>
    <row r="2849" spans="1:19" ht="18.75" customHeight="1" x14ac:dyDescent="0.25">
      <c r="A2849" s="14">
        <f t="shared" si="489"/>
        <v>2843</v>
      </c>
      <c r="B2849" s="14" t="s">
        <v>2428</v>
      </c>
      <c r="C2849" s="15" t="s">
        <v>3</v>
      </c>
      <c r="D2849" s="14" t="s">
        <v>500</v>
      </c>
      <c r="E2849" s="14" t="s">
        <v>2327</v>
      </c>
      <c r="F2849" s="72" t="s">
        <v>11</v>
      </c>
      <c r="G2849" s="32">
        <v>43101</v>
      </c>
      <c r="H2849" s="17">
        <v>13141609.122511879</v>
      </c>
      <c r="I2849" s="17">
        <v>0</v>
      </c>
      <c r="J2849" s="17">
        <v>0</v>
      </c>
      <c r="K2849" s="17">
        <f t="shared" si="486"/>
        <v>13141609.122511879</v>
      </c>
      <c r="L2849" s="23">
        <f t="shared" si="491"/>
        <v>657080.45612559398</v>
      </c>
      <c r="M2849" s="42">
        <v>25</v>
      </c>
      <c r="N2849" s="18">
        <f t="shared" si="487"/>
        <v>3.2520547945205478</v>
      </c>
      <c r="O2849" s="23">
        <v>1624014.8522740295</v>
      </c>
      <c r="P2849" s="18">
        <f t="shared" si="488"/>
        <v>3.7534246575342465</v>
      </c>
      <c r="Q2849" s="18">
        <f t="shared" si="490"/>
        <v>250374.6570902674</v>
      </c>
      <c r="R2849" s="18">
        <f t="shared" si="484"/>
        <v>1874389.5093642969</v>
      </c>
      <c r="S2849" s="18">
        <f t="shared" si="485"/>
        <v>11267219.613147581</v>
      </c>
    </row>
    <row r="2850" spans="1:19" ht="18.75" customHeight="1" x14ac:dyDescent="0.25">
      <c r="A2850" s="14">
        <f t="shared" si="489"/>
        <v>2844</v>
      </c>
      <c r="B2850" s="14" t="s">
        <v>2429</v>
      </c>
      <c r="C2850" s="15" t="s">
        <v>3</v>
      </c>
      <c r="D2850" s="14" t="s">
        <v>500</v>
      </c>
      <c r="E2850" s="14" t="s">
        <v>2327</v>
      </c>
      <c r="F2850" s="72" t="s">
        <v>11</v>
      </c>
      <c r="G2850" s="32">
        <v>43101</v>
      </c>
      <c r="H2850" s="17">
        <v>100666.74120773893</v>
      </c>
      <c r="I2850" s="17">
        <v>0</v>
      </c>
      <c r="J2850" s="17">
        <v>0</v>
      </c>
      <c r="K2850" s="17">
        <f t="shared" si="486"/>
        <v>100666.74120773893</v>
      </c>
      <c r="L2850" s="23">
        <f t="shared" si="491"/>
        <v>5033.3370603869471</v>
      </c>
      <c r="M2850" s="42">
        <v>25</v>
      </c>
      <c r="N2850" s="18">
        <f t="shared" si="487"/>
        <v>3.2520547945205478</v>
      </c>
      <c r="O2850" s="23">
        <v>12440.20281894869</v>
      </c>
      <c r="P2850" s="18">
        <f t="shared" si="488"/>
        <v>3.7534246575342465</v>
      </c>
      <c r="Q2850" s="18">
        <f t="shared" si="490"/>
        <v>1917.9082694756619</v>
      </c>
      <c r="R2850" s="18">
        <f t="shared" si="484"/>
        <v>14358.111088424352</v>
      </c>
      <c r="S2850" s="18">
        <f t="shared" si="485"/>
        <v>86308.630119314577</v>
      </c>
    </row>
    <row r="2851" spans="1:19" ht="18.75" customHeight="1" x14ac:dyDescent="0.25">
      <c r="A2851" s="14">
        <f t="shared" si="489"/>
        <v>2845</v>
      </c>
      <c r="B2851" s="14" t="s">
        <v>2430</v>
      </c>
      <c r="C2851" s="15" t="s">
        <v>3</v>
      </c>
      <c r="D2851" s="14" t="s">
        <v>500</v>
      </c>
      <c r="E2851" s="14" t="s">
        <v>2327</v>
      </c>
      <c r="F2851" s="72" t="s">
        <v>8</v>
      </c>
      <c r="G2851" s="32">
        <v>43101</v>
      </c>
      <c r="H2851" s="17">
        <v>62707.178219511858</v>
      </c>
      <c r="I2851" s="17">
        <v>0</v>
      </c>
      <c r="J2851" s="17">
        <v>0</v>
      </c>
      <c r="K2851" s="17">
        <f t="shared" si="486"/>
        <v>62707.178219511858</v>
      </c>
      <c r="L2851" s="23">
        <f t="shared" si="491"/>
        <v>3135.3589109755931</v>
      </c>
      <c r="M2851" s="42">
        <v>25</v>
      </c>
      <c r="N2851" s="18">
        <f t="shared" si="487"/>
        <v>3.2520547945205478</v>
      </c>
      <c r="O2851" s="23">
        <v>7749.2328240254847</v>
      </c>
      <c r="P2851" s="18">
        <f t="shared" si="488"/>
        <v>3.7534246575342465</v>
      </c>
      <c r="Q2851" s="18">
        <f t="shared" si="490"/>
        <v>1194.7005954479055</v>
      </c>
      <c r="R2851" s="18">
        <f t="shared" si="484"/>
        <v>8943.9334194733892</v>
      </c>
      <c r="S2851" s="18">
        <f t="shared" si="485"/>
        <v>53763.244800038468</v>
      </c>
    </row>
    <row r="2852" spans="1:19" ht="18.75" customHeight="1" x14ac:dyDescent="0.25">
      <c r="A2852" s="14">
        <f t="shared" si="489"/>
        <v>2846</v>
      </c>
      <c r="B2852" s="14" t="s">
        <v>213</v>
      </c>
      <c r="C2852" s="15" t="s">
        <v>3</v>
      </c>
      <c r="D2852" s="14" t="s">
        <v>500</v>
      </c>
      <c r="E2852" s="14" t="s">
        <v>2327</v>
      </c>
      <c r="F2852" s="72" t="s">
        <v>11</v>
      </c>
      <c r="G2852" s="32">
        <v>43101</v>
      </c>
      <c r="H2852" s="17">
        <v>447546.08370375243</v>
      </c>
      <c r="I2852" s="17">
        <v>0</v>
      </c>
      <c r="J2852" s="17">
        <v>0</v>
      </c>
      <c r="K2852" s="17">
        <f t="shared" si="486"/>
        <v>447546.08370375243</v>
      </c>
      <c r="L2852" s="23">
        <f t="shared" si="491"/>
        <v>22377.304185187622</v>
      </c>
      <c r="M2852" s="42">
        <v>25</v>
      </c>
      <c r="N2852" s="18">
        <f t="shared" si="487"/>
        <v>3.2520547945205478</v>
      </c>
      <c r="O2852" s="23">
        <v>55306.886716551933</v>
      </c>
      <c r="P2852" s="18">
        <f t="shared" si="488"/>
        <v>3.7534246575342465</v>
      </c>
      <c r="Q2852" s="18">
        <f t="shared" si="490"/>
        <v>8526.672509796972</v>
      </c>
      <c r="R2852" s="18">
        <f t="shared" si="484"/>
        <v>63833.559226348909</v>
      </c>
      <c r="S2852" s="18">
        <f t="shared" si="485"/>
        <v>383712.52447740349</v>
      </c>
    </row>
    <row r="2853" spans="1:19" ht="18.75" customHeight="1" x14ac:dyDescent="0.25">
      <c r="A2853" s="14">
        <f t="shared" si="489"/>
        <v>2847</v>
      </c>
      <c r="B2853" s="14" t="s">
        <v>2431</v>
      </c>
      <c r="C2853" s="15" t="s">
        <v>3</v>
      </c>
      <c r="D2853" s="14" t="s">
        <v>500</v>
      </c>
      <c r="E2853" s="14" t="s">
        <v>2327</v>
      </c>
      <c r="F2853" s="72" t="s">
        <v>11</v>
      </c>
      <c r="G2853" s="32">
        <v>43101</v>
      </c>
      <c r="H2853" s="17">
        <v>2439557.331443836</v>
      </c>
      <c r="I2853" s="17">
        <v>0</v>
      </c>
      <c r="J2853" s="17">
        <v>0</v>
      </c>
      <c r="K2853" s="17">
        <f t="shared" si="486"/>
        <v>2439557.331443836</v>
      </c>
      <c r="L2853" s="23">
        <f t="shared" si="491"/>
        <v>121977.86657219181</v>
      </c>
      <c r="M2853" s="42">
        <v>25</v>
      </c>
      <c r="N2853" s="18">
        <f t="shared" si="487"/>
        <v>3.2520547945205478</v>
      </c>
      <c r="O2853" s="23">
        <v>301475.81641672784</v>
      </c>
      <c r="P2853" s="18">
        <f t="shared" si="488"/>
        <v>3.7534246575342465</v>
      </c>
      <c r="Q2853" s="18">
        <f t="shared" si="490"/>
        <v>46478.579953042288</v>
      </c>
      <c r="R2853" s="18">
        <f t="shared" si="484"/>
        <v>347954.39636977011</v>
      </c>
      <c r="S2853" s="18">
        <f t="shared" si="485"/>
        <v>2091602.9350740658</v>
      </c>
    </row>
    <row r="2854" spans="1:19" ht="18.75" customHeight="1" x14ac:dyDescent="0.25">
      <c r="A2854" s="14">
        <f t="shared" si="489"/>
        <v>2848</v>
      </c>
      <c r="B2854" s="14" t="s">
        <v>2432</v>
      </c>
      <c r="C2854" s="15" t="s">
        <v>3</v>
      </c>
      <c r="D2854" s="14" t="s">
        <v>500</v>
      </c>
      <c r="E2854" s="14" t="s">
        <v>507</v>
      </c>
      <c r="F2854" s="72" t="s">
        <v>2394</v>
      </c>
      <c r="G2854" s="32">
        <v>43101</v>
      </c>
      <c r="H2854" s="17">
        <v>4465173.6870974628</v>
      </c>
      <c r="I2854" s="17">
        <v>0</v>
      </c>
      <c r="J2854" s="17">
        <v>0</v>
      </c>
      <c r="K2854" s="17">
        <f t="shared" si="486"/>
        <v>4465173.6870974628</v>
      </c>
      <c r="L2854" s="23">
        <f t="shared" si="491"/>
        <v>223258.68435487314</v>
      </c>
      <c r="M2854" s="42">
        <v>25</v>
      </c>
      <c r="N2854" s="18">
        <f t="shared" si="487"/>
        <v>3.2520547945205478</v>
      </c>
      <c r="O2854" s="23">
        <v>551797.60090470721</v>
      </c>
      <c r="P2854" s="18">
        <f t="shared" si="488"/>
        <v>3.7534246575342465</v>
      </c>
      <c r="Q2854" s="18">
        <f t="shared" si="490"/>
        <v>85070.733753632201</v>
      </c>
      <c r="R2854" s="18">
        <f t="shared" si="484"/>
        <v>636868.33465833939</v>
      </c>
      <c r="S2854" s="18">
        <f t="shared" si="485"/>
        <v>3828305.3524391232</v>
      </c>
    </row>
    <row r="2855" spans="1:19" ht="18.75" customHeight="1" x14ac:dyDescent="0.25">
      <c r="A2855" s="14">
        <f t="shared" si="489"/>
        <v>2849</v>
      </c>
      <c r="B2855" s="14" t="s">
        <v>2433</v>
      </c>
      <c r="C2855" s="15" t="s">
        <v>3</v>
      </c>
      <c r="D2855" s="14" t="s">
        <v>500</v>
      </c>
      <c r="E2855" s="14" t="s">
        <v>507</v>
      </c>
      <c r="F2855" s="72" t="s">
        <v>2394</v>
      </c>
      <c r="G2855" s="32">
        <v>43101</v>
      </c>
      <c r="H2855" s="17">
        <v>13488.637762323297</v>
      </c>
      <c r="I2855" s="17">
        <v>0</v>
      </c>
      <c r="J2855" s="17">
        <v>0</v>
      </c>
      <c r="K2855" s="17">
        <f t="shared" si="486"/>
        <v>13488.637762323297</v>
      </c>
      <c r="L2855" s="23">
        <f t="shared" si="491"/>
        <v>674.43188811616483</v>
      </c>
      <c r="M2855" s="42">
        <v>25</v>
      </c>
      <c r="N2855" s="18">
        <f t="shared" si="487"/>
        <v>3.2520547945205478</v>
      </c>
      <c r="O2855" s="23">
        <v>1666.8999860475469</v>
      </c>
      <c r="P2855" s="18">
        <f t="shared" si="488"/>
        <v>3.7534246575342465</v>
      </c>
      <c r="Q2855" s="18">
        <f t="shared" si="490"/>
        <v>256.9862657512225</v>
      </c>
      <c r="R2855" s="18">
        <f t="shared" si="484"/>
        <v>1923.8862517987695</v>
      </c>
      <c r="S2855" s="18">
        <f t="shared" si="485"/>
        <v>11564.751510524527</v>
      </c>
    </row>
    <row r="2856" spans="1:19" ht="18.75" customHeight="1" x14ac:dyDescent="0.25">
      <c r="A2856" s="14">
        <f t="shared" si="489"/>
        <v>2850</v>
      </c>
      <c r="B2856" s="14" t="s">
        <v>2434</v>
      </c>
      <c r="C2856" s="15" t="s">
        <v>3</v>
      </c>
      <c r="D2856" s="14" t="s">
        <v>500</v>
      </c>
      <c r="E2856" s="14" t="s">
        <v>2327</v>
      </c>
      <c r="F2856" s="72" t="s">
        <v>11</v>
      </c>
      <c r="G2856" s="32">
        <v>43101</v>
      </c>
      <c r="H2856" s="17">
        <v>17826919.706698004</v>
      </c>
      <c r="I2856" s="17">
        <v>0</v>
      </c>
      <c r="J2856" s="17">
        <v>0</v>
      </c>
      <c r="K2856" s="17">
        <f t="shared" si="486"/>
        <v>17826919.706698004</v>
      </c>
      <c r="L2856" s="23">
        <f t="shared" si="491"/>
        <v>891345.98533490021</v>
      </c>
      <c r="M2856" s="42">
        <v>25</v>
      </c>
      <c r="N2856" s="18">
        <f t="shared" si="487"/>
        <v>3.2520547945205478</v>
      </c>
      <c r="O2856" s="23">
        <v>2203016.548740603</v>
      </c>
      <c r="P2856" s="18">
        <f t="shared" si="488"/>
        <v>3.7534246575342465</v>
      </c>
      <c r="Q2856" s="18">
        <f t="shared" si="490"/>
        <v>339639.45106952859</v>
      </c>
      <c r="R2856" s="18">
        <f t="shared" si="484"/>
        <v>2542655.9998101317</v>
      </c>
      <c r="S2856" s="18">
        <f t="shared" si="485"/>
        <v>15284263.706887873</v>
      </c>
    </row>
    <row r="2857" spans="1:19" ht="18.75" customHeight="1" x14ac:dyDescent="0.25">
      <c r="A2857" s="14">
        <f t="shared" si="489"/>
        <v>2851</v>
      </c>
      <c r="B2857" s="14" t="s">
        <v>2435</v>
      </c>
      <c r="C2857" s="15" t="s">
        <v>3</v>
      </c>
      <c r="D2857" s="14" t="s">
        <v>500</v>
      </c>
      <c r="E2857" s="14" t="s">
        <v>2327</v>
      </c>
      <c r="F2857" s="72" t="s">
        <v>11</v>
      </c>
      <c r="G2857" s="32">
        <v>43524</v>
      </c>
      <c r="H2857" s="17">
        <v>681103.19000000006</v>
      </c>
      <c r="I2857" s="17">
        <v>0</v>
      </c>
      <c r="J2857" s="17">
        <v>0</v>
      </c>
      <c r="K2857" s="17">
        <f t="shared" si="486"/>
        <v>681103.19000000006</v>
      </c>
      <c r="L2857" s="23">
        <f t="shared" si="491"/>
        <v>34055.159500000002</v>
      </c>
      <c r="M2857" s="42">
        <v>25</v>
      </c>
      <c r="N2857" s="18">
        <f t="shared" si="487"/>
        <v>2.0931506849315067</v>
      </c>
      <c r="O2857" s="23">
        <v>54174.761128986313</v>
      </c>
      <c r="P2857" s="18">
        <f t="shared" si="488"/>
        <v>2.5945205479452054</v>
      </c>
      <c r="Q2857" s="18">
        <f t="shared" si="490"/>
        <v>12976.415296602743</v>
      </c>
      <c r="R2857" s="18">
        <f t="shared" si="484"/>
        <v>67151.176425589059</v>
      </c>
      <c r="S2857" s="18">
        <f t="shared" si="485"/>
        <v>613952.01357441104</v>
      </c>
    </row>
    <row r="2858" spans="1:19" ht="18.75" customHeight="1" x14ac:dyDescent="0.25">
      <c r="A2858" s="14">
        <f t="shared" si="489"/>
        <v>2852</v>
      </c>
      <c r="B2858" s="14" t="s">
        <v>2436</v>
      </c>
      <c r="C2858" s="15" t="s">
        <v>3</v>
      </c>
      <c r="D2858" s="14" t="s">
        <v>500</v>
      </c>
      <c r="E2858" s="14" t="s">
        <v>2327</v>
      </c>
      <c r="F2858" s="72" t="s">
        <v>4</v>
      </c>
      <c r="G2858" s="32">
        <v>43524</v>
      </c>
      <c r="H2858" s="17">
        <v>22697.24</v>
      </c>
      <c r="I2858" s="17">
        <v>0</v>
      </c>
      <c r="J2858" s="17">
        <v>0</v>
      </c>
      <c r="K2858" s="17">
        <f t="shared" si="486"/>
        <v>22697.24</v>
      </c>
      <c r="L2858" s="23">
        <f t="shared" si="491"/>
        <v>1134.8620000000001</v>
      </c>
      <c r="M2858" s="42">
        <v>25</v>
      </c>
      <c r="N2858" s="18">
        <f t="shared" si="487"/>
        <v>2.0931506849315067</v>
      </c>
      <c r="O2858" s="23">
        <v>1805.3322511780821</v>
      </c>
      <c r="P2858" s="18">
        <f t="shared" si="488"/>
        <v>2.5945205479452054</v>
      </c>
      <c r="Q2858" s="18">
        <f t="shared" si="490"/>
        <v>432.4290601643836</v>
      </c>
      <c r="R2858" s="18">
        <f t="shared" si="484"/>
        <v>2237.7613113424659</v>
      </c>
      <c r="S2858" s="18">
        <f t="shared" si="485"/>
        <v>20459.478688657535</v>
      </c>
    </row>
    <row r="2859" spans="1:19" ht="18.75" customHeight="1" x14ac:dyDescent="0.25">
      <c r="A2859" s="14">
        <f t="shared" si="489"/>
        <v>2853</v>
      </c>
      <c r="B2859" s="14" t="s">
        <v>2378</v>
      </c>
      <c r="C2859" s="15" t="s">
        <v>3</v>
      </c>
      <c r="D2859" s="14" t="s">
        <v>500</v>
      </c>
      <c r="E2859" s="14" t="s">
        <v>2327</v>
      </c>
      <c r="F2859" s="74" t="s">
        <v>11</v>
      </c>
      <c r="G2859" s="32">
        <v>43524</v>
      </c>
      <c r="H2859" s="17">
        <v>31065646.18</v>
      </c>
      <c r="I2859" s="17">
        <v>0</v>
      </c>
      <c r="J2859" s="17">
        <v>0</v>
      </c>
      <c r="K2859" s="17">
        <f t="shared" si="486"/>
        <v>31065646.18</v>
      </c>
      <c r="L2859" s="23">
        <f t="shared" si="491"/>
        <v>1553282.3090000001</v>
      </c>
      <c r="M2859" s="42">
        <v>25</v>
      </c>
      <c r="N2859" s="18">
        <f t="shared" si="487"/>
        <v>2.0931506849315067</v>
      </c>
      <c r="O2859" s="23">
        <v>2470952.9860212598</v>
      </c>
      <c r="P2859" s="18">
        <f t="shared" si="488"/>
        <v>2.5945205479452054</v>
      </c>
      <c r="Q2859" s="18">
        <f t="shared" si="490"/>
        <v>591864.39324854792</v>
      </c>
      <c r="R2859" s="18">
        <f t="shared" si="484"/>
        <v>3062817.3792698076</v>
      </c>
      <c r="S2859" s="18">
        <f t="shared" si="485"/>
        <v>28002828.800730191</v>
      </c>
    </row>
    <row r="2860" spans="1:19" ht="18.75" customHeight="1" x14ac:dyDescent="0.25">
      <c r="A2860" s="14">
        <f t="shared" si="489"/>
        <v>2854</v>
      </c>
      <c r="B2860" s="14" t="s">
        <v>2323</v>
      </c>
      <c r="C2860" s="15" t="s">
        <v>3</v>
      </c>
      <c r="D2860" s="14" t="s">
        <v>500</v>
      </c>
      <c r="E2860" s="14" t="s">
        <v>2327</v>
      </c>
      <c r="F2860" s="72" t="s">
        <v>11</v>
      </c>
      <c r="G2860" s="32">
        <v>43524</v>
      </c>
      <c r="H2860" s="17">
        <v>864971.89</v>
      </c>
      <c r="I2860" s="17">
        <v>0</v>
      </c>
      <c r="J2860" s="17">
        <v>0</v>
      </c>
      <c r="K2860" s="17">
        <f t="shared" si="486"/>
        <v>864971.89</v>
      </c>
      <c r="L2860" s="23">
        <f t="shared" si="491"/>
        <v>43248.594500000007</v>
      </c>
      <c r="M2860" s="42">
        <v>25</v>
      </c>
      <c r="N2860" s="18">
        <f t="shared" si="487"/>
        <v>2.0931506849315067</v>
      </c>
      <c r="O2860" s="23">
        <v>68799.627152000001</v>
      </c>
      <c r="P2860" s="18">
        <f t="shared" si="488"/>
        <v>2.5945205479452054</v>
      </c>
      <c r="Q2860" s="18">
        <f t="shared" si="490"/>
        <v>16479.491844</v>
      </c>
      <c r="R2860" s="18">
        <f t="shared" si="484"/>
        <v>85279.118996000005</v>
      </c>
      <c r="S2860" s="18">
        <f t="shared" si="485"/>
        <v>779692.77100399998</v>
      </c>
    </row>
    <row r="2861" spans="1:19" ht="18.75" customHeight="1" x14ac:dyDescent="0.25">
      <c r="A2861" s="14">
        <f t="shared" si="489"/>
        <v>2855</v>
      </c>
      <c r="B2861" s="14" t="s">
        <v>2437</v>
      </c>
      <c r="C2861" s="15" t="s">
        <v>3</v>
      </c>
      <c r="D2861" s="14" t="s">
        <v>500</v>
      </c>
      <c r="E2861" s="14" t="s">
        <v>2382</v>
      </c>
      <c r="F2861" s="72" t="s">
        <v>11</v>
      </c>
      <c r="G2861" s="32">
        <v>43524</v>
      </c>
      <c r="H2861" s="17">
        <v>10966046.68</v>
      </c>
      <c r="I2861" s="17">
        <v>0</v>
      </c>
      <c r="J2861" s="17">
        <v>0</v>
      </c>
      <c r="K2861" s="17">
        <f t="shared" si="486"/>
        <v>10966046.68</v>
      </c>
      <c r="L2861" s="23">
        <f t="shared" si="491"/>
        <v>548302.33400000003</v>
      </c>
      <c r="M2861" s="42">
        <v>25</v>
      </c>
      <c r="N2861" s="18">
        <f t="shared" si="487"/>
        <v>2.0931506849315067</v>
      </c>
      <c r="O2861" s="23">
        <v>872236.34853084921</v>
      </c>
      <c r="P2861" s="18">
        <f t="shared" si="488"/>
        <v>2.5945205479452054</v>
      </c>
      <c r="Q2861" s="18">
        <f t="shared" si="490"/>
        <v>208925.72222663011</v>
      </c>
      <c r="R2861" s="18">
        <f t="shared" si="484"/>
        <v>1081162.0707574794</v>
      </c>
      <c r="S2861" s="18">
        <f t="shared" si="485"/>
        <v>9884884.6092425212</v>
      </c>
    </row>
    <row r="2862" spans="1:19" ht="18.75" customHeight="1" x14ac:dyDescent="0.25">
      <c r="A2862" s="14">
        <f t="shared" si="489"/>
        <v>2856</v>
      </c>
      <c r="B2862" s="14" t="s">
        <v>2356</v>
      </c>
      <c r="C2862" s="15" t="s">
        <v>3</v>
      </c>
      <c r="D2862" s="14" t="s">
        <v>500</v>
      </c>
      <c r="E2862" s="14" t="s">
        <v>2327</v>
      </c>
      <c r="F2862" s="72" t="s">
        <v>8</v>
      </c>
      <c r="G2862" s="32">
        <v>43549</v>
      </c>
      <c r="H2862" s="17">
        <v>6827574.1399999997</v>
      </c>
      <c r="I2862" s="17">
        <v>0</v>
      </c>
      <c r="J2862" s="17">
        <v>0</v>
      </c>
      <c r="K2862" s="17">
        <f t="shared" si="486"/>
        <v>6827574.1399999997</v>
      </c>
      <c r="L2862" s="23">
        <f t="shared" si="491"/>
        <v>341378.70699999999</v>
      </c>
      <c r="M2862" s="42">
        <v>25</v>
      </c>
      <c r="N2862" s="18">
        <f t="shared" si="487"/>
        <v>2.0246575342465754</v>
      </c>
      <c r="O2862" s="23">
        <v>525292.97808076709</v>
      </c>
      <c r="P2862" s="18">
        <f t="shared" si="488"/>
        <v>2.526027397260274</v>
      </c>
      <c r="Q2862" s="18">
        <f t="shared" si="490"/>
        <v>130079.3166289315</v>
      </c>
      <c r="R2862" s="18">
        <f t="shared" si="484"/>
        <v>655372.29470969853</v>
      </c>
      <c r="S2862" s="18">
        <f t="shared" si="485"/>
        <v>6172201.8452903014</v>
      </c>
    </row>
    <row r="2863" spans="1:19" ht="18.75" customHeight="1" x14ac:dyDescent="0.25">
      <c r="A2863" s="14">
        <f t="shared" si="489"/>
        <v>2857</v>
      </c>
      <c r="B2863" s="14" t="s">
        <v>2438</v>
      </c>
      <c r="C2863" s="15" t="s">
        <v>3</v>
      </c>
      <c r="D2863" s="14" t="s">
        <v>500</v>
      </c>
      <c r="E2863" s="14" t="s">
        <v>2327</v>
      </c>
      <c r="F2863" s="72" t="s">
        <v>8</v>
      </c>
      <c r="G2863" s="32">
        <v>43549</v>
      </c>
      <c r="H2863" s="17">
        <v>1150338.8500000001</v>
      </c>
      <c r="I2863" s="17">
        <v>0</v>
      </c>
      <c r="J2863" s="17">
        <v>0</v>
      </c>
      <c r="K2863" s="17">
        <f t="shared" si="486"/>
        <v>1150338.8500000001</v>
      </c>
      <c r="L2863" s="23">
        <f t="shared" si="491"/>
        <v>57516.942500000005</v>
      </c>
      <c r="M2863" s="42">
        <v>25</v>
      </c>
      <c r="N2863" s="18">
        <f t="shared" si="487"/>
        <v>2.0246575342465754</v>
      </c>
      <c r="O2863" s="23">
        <v>88503.604344383581</v>
      </c>
      <c r="P2863" s="18">
        <f t="shared" si="488"/>
        <v>2.526027397260274</v>
      </c>
      <c r="Q2863" s="18">
        <f t="shared" si="490"/>
        <v>21916.318802465757</v>
      </c>
      <c r="R2863" s="18">
        <f t="shared" si="484"/>
        <v>110419.92314684934</v>
      </c>
      <c r="S2863" s="18">
        <f t="shared" si="485"/>
        <v>1039918.9268531507</v>
      </c>
    </row>
    <row r="2864" spans="1:19" ht="18.75" customHeight="1" x14ac:dyDescent="0.25">
      <c r="A2864" s="14">
        <f t="shared" si="489"/>
        <v>2858</v>
      </c>
      <c r="B2864" s="14" t="s">
        <v>2439</v>
      </c>
      <c r="C2864" s="15" t="s">
        <v>3</v>
      </c>
      <c r="D2864" s="14" t="s">
        <v>500</v>
      </c>
      <c r="E2864" s="14" t="s">
        <v>2327</v>
      </c>
      <c r="F2864" s="72" t="s">
        <v>8</v>
      </c>
      <c r="G2864" s="32">
        <v>43549</v>
      </c>
      <c r="H2864" s="17">
        <v>686824.36</v>
      </c>
      <c r="I2864" s="17">
        <v>0</v>
      </c>
      <c r="J2864" s="17">
        <v>0</v>
      </c>
      <c r="K2864" s="17">
        <f t="shared" si="486"/>
        <v>686824.36</v>
      </c>
      <c r="L2864" s="23">
        <f t="shared" si="491"/>
        <v>34341.218000000001</v>
      </c>
      <c r="M2864" s="42">
        <v>25</v>
      </c>
      <c r="N2864" s="18">
        <f t="shared" si="487"/>
        <v>2.0246575342465754</v>
      </c>
      <c r="O2864" s="23">
        <v>52842.196376767126</v>
      </c>
      <c r="P2864" s="18">
        <f t="shared" si="488"/>
        <v>2.526027397260274</v>
      </c>
      <c r="Q2864" s="18">
        <f t="shared" si="490"/>
        <v>13085.415340931508</v>
      </c>
      <c r="R2864" s="18">
        <f t="shared" si="484"/>
        <v>65927.61171769863</v>
      </c>
      <c r="S2864" s="18">
        <f t="shared" si="485"/>
        <v>620896.74828230136</v>
      </c>
    </row>
    <row r="2865" spans="1:19" ht="18.75" customHeight="1" x14ac:dyDescent="0.25">
      <c r="A2865" s="14">
        <f t="shared" si="489"/>
        <v>2859</v>
      </c>
      <c r="B2865" s="14" t="s">
        <v>2440</v>
      </c>
      <c r="C2865" s="15" t="s">
        <v>3</v>
      </c>
      <c r="D2865" s="14" t="s">
        <v>500</v>
      </c>
      <c r="E2865" s="14" t="s">
        <v>2327</v>
      </c>
      <c r="F2865" s="72" t="s">
        <v>8</v>
      </c>
      <c r="G2865" s="32">
        <v>43549</v>
      </c>
      <c r="H2865" s="17">
        <v>5802235.2999999998</v>
      </c>
      <c r="I2865" s="17">
        <v>0</v>
      </c>
      <c r="J2865" s="17">
        <v>0</v>
      </c>
      <c r="K2865" s="17">
        <f t="shared" si="486"/>
        <v>5802235.2999999998</v>
      </c>
      <c r="L2865" s="23">
        <f t="shared" si="491"/>
        <v>290111.76500000001</v>
      </c>
      <c r="M2865" s="42">
        <v>25</v>
      </c>
      <c r="N2865" s="18">
        <f t="shared" si="487"/>
        <v>2.0246575342465754</v>
      </c>
      <c r="O2865" s="23">
        <v>446406.49779342464</v>
      </c>
      <c r="P2865" s="18">
        <f t="shared" si="488"/>
        <v>2.526027397260274</v>
      </c>
      <c r="Q2865" s="18">
        <f t="shared" si="490"/>
        <v>110544.50486630137</v>
      </c>
      <c r="R2865" s="18">
        <f t="shared" si="484"/>
        <v>556951.00265972596</v>
      </c>
      <c r="S2865" s="18">
        <f t="shared" si="485"/>
        <v>5245284.2973402739</v>
      </c>
    </row>
    <row r="2866" spans="1:19" ht="18.75" customHeight="1" x14ac:dyDescent="0.25">
      <c r="A2866" s="14">
        <f t="shared" si="489"/>
        <v>2860</v>
      </c>
      <c r="B2866" s="14" t="s">
        <v>2387</v>
      </c>
      <c r="C2866" s="15" t="s">
        <v>3</v>
      </c>
      <c r="D2866" s="14" t="s">
        <v>500</v>
      </c>
      <c r="E2866" s="14" t="s">
        <v>2327</v>
      </c>
      <c r="F2866" s="72" t="s">
        <v>11</v>
      </c>
      <c r="G2866" s="32">
        <v>43549</v>
      </c>
      <c r="H2866" s="17">
        <v>7018343.8700000001</v>
      </c>
      <c r="I2866" s="17">
        <v>0</v>
      </c>
      <c r="J2866" s="17">
        <v>0</v>
      </c>
      <c r="K2866" s="17">
        <f t="shared" si="486"/>
        <v>7018343.8700000001</v>
      </c>
      <c r="L2866" s="23">
        <f t="shared" si="491"/>
        <v>350917.19350000005</v>
      </c>
      <c r="M2866" s="42">
        <v>25</v>
      </c>
      <c r="N2866" s="18">
        <f t="shared" si="487"/>
        <v>2.0246575342465754</v>
      </c>
      <c r="O2866" s="23">
        <v>539970.22618449316</v>
      </c>
      <c r="P2866" s="18">
        <f t="shared" si="488"/>
        <v>2.526027397260274</v>
      </c>
      <c r="Q2866" s="18">
        <f t="shared" si="490"/>
        <v>133713.8719780274</v>
      </c>
      <c r="R2866" s="18">
        <f t="shared" si="484"/>
        <v>673684.09816252056</v>
      </c>
      <c r="S2866" s="18">
        <f t="shared" si="485"/>
        <v>6344659.7718374794</v>
      </c>
    </row>
    <row r="2867" spans="1:19" ht="18.75" customHeight="1" x14ac:dyDescent="0.25">
      <c r="A2867" s="14">
        <f t="shared" si="489"/>
        <v>2861</v>
      </c>
      <c r="B2867" s="14" t="s">
        <v>2441</v>
      </c>
      <c r="C2867" s="15" t="s">
        <v>3</v>
      </c>
      <c r="D2867" s="14" t="s">
        <v>500</v>
      </c>
      <c r="E2867" s="14" t="s">
        <v>2327</v>
      </c>
      <c r="F2867" s="72" t="s">
        <v>16</v>
      </c>
      <c r="G2867" s="32">
        <v>43549</v>
      </c>
      <c r="H2867" s="17">
        <v>9208814.6999999993</v>
      </c>
      <c r="I2867" s="17">
        <v>0</v>
      </c>
      <c r="J2867" s="17">
        <v>0</v>
      </c>
      <c r="K2867" s="17">
        <f t="shared" si="486"/>
        <v>9208814.6999999993</v>
      </c>
      <c r="L2867" s="23">
        <f t="shared" si="491"/>
        <v>460440.73499999999</v>
      </c>
      <c r="M2867" s="42">
        <v>25</v>
      </c>
      <c r="N2867" s="18">
        <f t="shared" si="487"/>
        <v>2.0246575342465754</v>
      </c>
      <c r="O2867" s="23">
        <v>708498.45042575337</v>
      </c>
      <c r="P2867" s="18">
        <f t="shared" si="488"/>
        <v>2.526027397260274</v>
      </c>
      <c r="Q2867" s="18">
        <f t="shared" si="490"/>
        <v>175446.8422569863</v>
      </c>
      <c r="R2867" s="18">
        <f t="shared" si="484"/>
        <v>883945.29268273967</v>
      </c>
      <c r="S2867" s="18">
        <f t="shared" si="485"/>
        <v>8324869.4073172593</v>
      </c>
    </row>
    <row r="2868" spans="1:19" ht="18.75" customHeight="1" x14ac:dyDescent="0.25">
      <c r="A2868" s="14">
        <f t="shared" si="489"/>
        <v>2862</v>
      </c>
      <c r="B2868" s="14" t="s">
        <v>2442</v>
      </c>
      <c r="C2868" s="15" t="s">
        <v>3</v>
      </c>
      <c r="D2868" s="14" t="s">
        <v>500</v>
      </c>
      <c r="E2868" s="14" t="s">
        <v>2324</v>
      </c>
      <c r="F2868" s="72" t="s">
        <v>11</v>
      </c>
      <c r="G2868" s="32">
        <v>44270</v>
      </c>
      <c r="H2868" s="27">
        <v>10216504.140000001</v>
      </c>
      <c r="I2868" s="17">
        <v>0</v>
      </c>
      <c r="J2868" s="17">
        <v>0</v>
      </c>
      <c r="K2868" s="17">
        <f t="shared" si="486"/>
        <v>10216504.140000001</v>
      </c>
      <c r="L2868" s="23">
        <f t="shared" si="491"/>
        <v>510825.20700000005</v>
      </c>
      <c r="M2868" s="42">
        <v>25</v>
      </c>
      <c r="N2868" s="18">
        <f t="shared" si="487"/>
        <v>4.9315068493150684E-2</v>
      </c>
      <c r="O2868" s="23">
        <v>20153.104056986303</v>
      </c>
      <c r="P2868" s="18">
        <f t="shared" si="488"/>
        <v>0.55068493150684927</v>
      </c>
      <c r="Q2868" s="18">
        <f t="shared" si="490"/>
        <v>194645.39668372599</v>
      </c>
      <c r="R2868" s="18">
        <f t="shared" si="484"/>
        <v>214798.5007407123</v>
      </c>
      <c r="S2868" s="18">
        <f t="shared" si="485"/>
        <v>10001705.639259288</v>
      </c>
    </row>
    <row r="2869" spans="1:19" ht="18.75" customHeight="1" x14ac:dyDescent="0.25">
      <c r="A2869" s="14">
        <f t="shared" si="489"/>
        <v>2863</v>
      </c>
      <c r="B2869" s="14" t="s">
        <v>2443</v>
      </c>
      <c r="C2869" s="15" t="s">
        <v>3</v>
      </c>
      <c r="D2869" s="14" t="s">
        <v>500</v>
      </c>
      <c r="E2869" s="14" t="s">
        <v>2327</v>
      </c>
      <c r="F2869" s="72" t="s">
        <v>16</v>
      </c>
      <c r="G2869" s="32">
        <v>44270</v>
      </c>
      <c r="H2869" s="27">
        <v>5708721.4199999999</v>
      </c>
      <c r="I2869" s="17">
        <v>0</v>
      </c>
      <c r="J2869" s="17">
        <v>0</v>
      </c>
      <c r="K2869" s="17">
        <f t="shared" si="486"/>
        <v>5708721.4199999999</v>
      </c>
      <c r="L2869" s="23">
        <f t="shared" si="491"/>
        <v>285436.071</v>
      </c>
      <c r="M2869" s="42">
        <v>25</v>
      </c>
      <c r="N2869" s="18">
        <f t="shared" si="487"/>
        <v>4.9315068493150684E-2</v>
      </c>
      <c r="O2869" s="23">
        <v>11261.039513424657</v>
      </c>
      <c r="P2869" s="18">
        <f t="shared" si="488"/>
        <v>0.55068493150684927</v>
      </c>
      <c r="Q2869" s="18">
        <f t="shared" si="490"/>
        <v>108762.87330049313</v>
      </c>
      <c r="R2869" s="18">
        <f t="shared" si="484"/>
        <v>120023.91281391779</v>
      </c>
      <c r="S2869" s="18">
        <f t="shared" si="485"/>
        <v>5588697.5071860822</v>
      </c>
    </row>
    <row r="2870" spans="1:19" ht="18.75" customHeight="1" x14ac:dyDescent="0.25">
      <c r="A2870" s="14">
        <f t="shared" si="489"/>
        <v>2864</v>
      </c>
      <c r="B2870" s="14" t="s">
        <v>2444</v>
      </c>
      <c r="C2870" s="15" t="s">
        <v>3</v>
      </c>
      <c r="D2870" s="14" t="s">
        <v>500</v>
      </c>
      <c r="E2870" s="14" t="s">
        <v>2327</v>
      </c>
      <c r="F2870" s="72" t="s">
        <v>8</v>
      </c>
      <c r="G2870" s="32">
        <v>44270</v>
      </c>
      <c r="H2870" s="27">
        <v>1489005.6</v>
      </c>
      <c r="I2870" s="17">
        <v>0</v>
      </c>
      <c r="J2870" s="17">
        <v>0</v>
      </c>
      <c r="K2870" s="17">
        <f t="shared" si="486"/>
        <v>1489005.6</v>
      </c>
      <c r="L2870" s="23">
        <f t="shared" si="491"/>
        <v>74450.280000000013</v>
      </c>
      <c r="M2870" s="42">
        <v>25</v>
      </c>
      <c r="N2870" s="18">
        <f t="shared" si="487"/>
        <v>4.9315068493150684E-2</v>
      </c>
      <c r="O2870" s="23">
        <v>2937.2165260273973</v>
      </c>
      <c r="P2870" s="18">
        <f t="shared" si="488"/>
        <v>0.55068493150684927</v>
      </c>
      <c r="Q2870" s="18">
        <f t="shared" si="490"/>
        <v>28368.616280547943</v>
      </c>
      <c r="R2870" s="18">
        <f t="shared" si="484"/>
        <v>31305.832806575341</v>
      </c>
      <c r="S2870" s="18">
        <f t="shared" si="485"/>
        <v>1457699.7671934247</v>
      </c>
    </row>
    <row r="2871" spans="1:19" ht="18.75" customHeight="1" x14ac:dyDescent="0.25">
      <c r="A2871" s="14">
        <f t="shared" si="489"/>
        <v>2865</v>
      </c>
      <c r="B2871" s="14" t="s">
        <v>2445</v>
      </c>
      <c r="C2871" s="15" t="s">
        <v>3</v>
      </c>
      <c r="D2871" s="14" t="s">
        <v>500</v>
      </c>
      <c r="E2871" s="14" t="s">
        <v>2327</v>
      </c>
      <c r="F2871" s="72" t="s">
        <v>11</v>
      </c>
      <c r="G2871" s="32">
        <v>44270</v>
      </c>
      <c r="H2871" s="27">
        <v>1618974.35</v>
      </c>
      <c r="I2871" s="17">
        <v>0</v>
      </c>
      <c r="J2871" s="17">
        <v>0</v>
      </c>
      <c r="K2871" s="17">
        <f t="shared" si="486"/>
        <v>1618974.35</v>
      </c>
      <c r="L2871" s="23">
        <f t="shared" si="491"/>
        <v>80948.717500000013</v>
      </c>
      <c r="M2871" s="42">
        <v>25</v>
      </c>
      <c r="N2871" s="18">
        <f t="shared" si="487"/>
        <v>4.9315068493150684E-2</v>
      </c>
      <c r="O2871" s="23">
        <v>3193.5932383561644</v>
      </c>
      <c r="P2871" s="18">
        <f t="shared" si="488"/>
        <v>0.55068493150684927</v>
      </c>
      <c r="Q2871" s="18">
        <f t="shared" si="490"/>
        <v>30844.788027123286</v>
      </c>
      <c r="R2871" s="18">
        <f t="shared" si="484"/>
        <v>34038.381265479453</v>
      </c>
      <c r="S2871" s="18">
        <f t="shared" si="485"/>
        <v>1584935.9687345207</v>
      </c>
    </row>
    <row r="2872" spans="1:19" ht="18.75" customHeight="1" x14ac:dyDescent="0.25">
      <c r="A2872" s="14">
        <f t="shared" si="489"/>
        <v>2866</v>
      </c>
      <c r="B2872" s="14" t="s">
        <v>2446</v>
      </c>
      <c r="C2872" s="15" t="s">
        <v>3</v>
      </c>
      <c r="D2872" s="14" t="s">
        <v>1200</v>
      </c>
      <c r="E2872" s="14" t="s">
        <v>2447</v>
      </c>
      <c r="F2872" s="69" t="s">
        <v>4</v>
      </c>
      <c r="G2872" s="32">
        <v>42686</v>
      </c>
      <c r="H2872" s="17">
        <v>3767042.2055442007</v>
      </c>
      <c r="I2872" s="17">
        <v>0</v>
      </c>
      <c r="J2872" s="17">
        <v>0</v>
      </c>
      <c r="K2872" s="17">
        <f t="shared" si="486"/>
        <v>3767042.2055442007</v>
      </c>
      <c r="L2872" s="23">
        <f t="shared" si="491"/>
        <v>188352.11027721004</v>
      </c>
      <c r="M2872" s="42">
        <v>5</v>
      </c>
      <c r="N2872" s="18">
        <f t="shared" si="487"/>
        <v>4.3890410958904109</v>
      </c>
      <c r="O2872" s="23">
        <v>3042279.5795165584</v>
      </c>
      <c r="P2872" s="18">
        <f t="shared" si="488"/>
        <v>4.8904109589041092</v>
      </c>
      <c r="Q2872" s="18">
        <f t="shared" si="490"/>
        <v>358849.47256649798</v>
      </c>
      <c r="R2872" s="18">
        <f t="shared" si="484"/>
        <v>3401129.0520830564</v>
      </c>
      <c r="S2872" s="18">
        <f t="shared" si="485"/>
        <v>365913.15346114431</v>
      </c>
    </row>
    <row r="2873" spans="1:19" ht="18.75" customHeight="1" x14ac:dyDescent="0.25">
      <c r="A2873" s="14">
        <f t="shared" si="489"/>
        <v>2867</v>
      </c>
      <c r="B2873" s="14" t="s">
        <v>2448</v>
      </c>
      <c r="C2873" s="15" t="s">
        <v>3</v>
      </c>
      <c r="D2873" s="14" t="s">
        <v>1200</v>
      </c>
      <c r="E2873" s="14" t="s">
        <v>1200</v>
      </c>
      <c r="F2873" s="69" t="s">
        <v>4</v>
      </c>
      <c r="G2873" s="32">
        <v>43524</v>
      </c>
      <c r="H2873" s="17">
        <v>10238.01</v>
      </c>
      <c r="I2873" s="17">
        <v>0</v>
      </c>
      <c r="J2873" s="17">
        <v>0</v>
      </c>
      <c r="K2873" s="17">
        <f t="shared" si="486"/>
        <v>10238.01</v>
      </c>
      <c r="L2873" s="23">
        <f t="shared" si="491"/>
        <v>511.90050000000002</v>
      </c>
      <c r="M2873" s="42">
        <v>5</v>
      </c>
      <c r="N2873" s="18">
        <f t="shared" si="487"/>
        <v>2.0931506849315067</v>
      </c>
      <c r="O2873" s="23">
        <v>4071.6425523287671</v>
      </c>
      <c r="P2873" s="18">
        <f t="shared" si="488"/>
        <v>2.5945205479452054</v>
      </c>
      <c r="Q2873" s="18">
        <f t="shared" si="490"/>
        <v>975.2756375342467</v>
      </c>
      <c r="R2873" s="18">
        <f t="shared" si="484"/>
        <v>5046.918189863014</v>
      </c>
      <c r="S2873" s="18">
        <f t="shared" si="485"/>
        <v>5191.0918101369862</v>
      </c>
    </row>
    <row r="2874" spans="1:19" ht="18.75" customHeight="1" x14ac:dyDescent="0.25">
      <c r="A2874" s="14">
        <f t="shared" si="489"/>
        <v>2868</v>
      </c>
      <c r="B2874" s="14" t="s">
        <v>2449</v>
      </c>
      <c r="C2874" s="15" t="s">
        <v>3</v>
      </c>
      <c r="D2874" s="14" t="s">
        <v>1200</v>
      </c>
      <c r="E2874" s="14" t="s">
        <v>1200</v>
      </c>
      <c r="F2874" s="69" t="s">
        <v>4</v>
      </c>
      <c r="G2874" s="32">
        <v>43524</v>
      </c>
      <c r="H2874" s="17">
        <v>42750</v>
      </c>
      <c r="I2874" s="17">
        <v>0</v>
      </c>
      <c r="J2874" s="17">
        <v>0</v>
      </c>
      <c r="K2874" s="17">
        <f t="shared" si="486"/>
        <v>42750</v>
      </c>
      <c r="L2874" s="23">
        <f t="shared" si="491"/>
        <v>2137.5</v>
      </c>
      <c r="M2874" s="42">
        <v>5</v>
      </c>
      <c r="N2874" s="18">
        <f t="shared" si="487"/>
        <v>2.0931506849315067</v>
      </c>
      <c r="O2874" s="23">
        <v>17001.616438356163</v>
      </c>
      <c r="P2874" s="18">
        <f t="shared" si="488"/>
        <v>2.5945205479452054</v>
      </c>
      <c r="Q2874" s="18">
        <f t="shared" si="490"/>
        <v>4072.3767123287676</v>
      </c>
      <c r="R2874" s="18">
        <f t="shared" si="484"/>
        <v>21073.993150684932</v>
      </c>
      <c r="S2874" s="18">
        <f t="shared" si="485"/>
        <v>21676.006849315068</v>
      </c>
    </row>
    <row r="2875" spans="1:19" ht="18.75" customHeight="1" x14ac:dyDescent="0.25">
      <c r="A2875" s="14">
        <f t="shared" si="489"/>
        <v>2869</v>
      </c>
      <c r="B2875" s="14" t="s">
        <v>2450</v>
      </c>
      <c r="C2875" s="15" t="s">
        <v>3</v>
      </c>
      <c r="D2875" s="14" t="s">
        <v>1200</v>
      </c>
      <c r="E2875" s="14" t="s">
        <v>1200</v>
      </c>
      <c r="F2875" s="69" t="s">
        <v>4</v>
      </c>
      <c r="G2875" s="32">
        <v>43524</v>
      </c>
      <c r="H2875" s="17">
        <v>320000</v>
      </c>
      <c r="I2875" s="17">
        <v>0</v>
      </c>
      <c r="J2875" s="17">
        <v>0</v>
      </c>
      <c r="K2875" s="17">
        <f t="shared" si="486"/>
        <v>320000</v>
      </c>
      <c r="L2875" s="23">
        <f t="shared" si="491"/>
        <v>16000</v>
      </c>
      <c r="M2875" s="42">
        <v>5</v>
      </c>
      <c r="N2875" s="18">
        <f t="shared" si="487"/>
        <v>2.0931506849315067</v>
      </c>
      <c r="O2875" s="23">
        <v>127263.56164383561</v>
      </c>
      <c r="P2875" s="18">
        <f t="shared" si="488"/>
        <v>2.5945205479452054</v>
      </c>
      <c r="Q2875" s="18">
        <f t="shared" si="490"/>
        <v>30483.28767123288</v>
      </c>
      <c r="R2875" s="18">
        <f t="shared" si="484"/>
        <v>157746.84931506848</v>
      </c>
      <c r="S2875" s="18">
        <f t="shared" si="485"/>
        <v>162253.15068493152</v>
      </c>
    </row>
    <row r="2876" spans="1:19" ht="18.75" customHeight="1" x14ac:dyDescent="0.25">
      <c r="A2876" s="14">
        <f t="shared" si="489"/>
        <v>2870</v>
      </c>
      <c r="B2876" s="14" t="s">
        <v>2451</v>
      </c>
      <c r="C2876" s="15" t="s">
        <v>3</v>
      </c>
      <c r="D2876" s="14" t="s">
        <v>1200</v>
      </c>
      <c r="E2876" s="14" t="s">
        <v>1200</v>
      </c>
      <c r="F2876" s="69" t="s">
        <v>4</v>
      </c>
      <c r="G2876" s="32">
        <v>43524</v>
      </c>
      <c r="H2876" s="17">
        <v>677.93</v>
      </c>
      <c r="I2876" s="17">
        <v>0</v>
      </c>
      <c r="J2876" s="17">
        <v>0</v>
      </c>
      <c r="K2876" s="17">
        <f t="shared" si="486"/>
        <v>677.93</v>
      </c>
      <c r="L2876" s="23">
        <f t="shared" si="491"/>
        <v>33.896499999999996</v>
      </c>
      <c r="M2876" s="42">
        <v>5</v>
      </c>
      <c r="N2876" s="18">
        <f t="shared" si="487"/>
        <v>2.0931506849315067</v>
      </c>
      <c r="O2876" s="23">
        <v>269.61183232876715</v>
      </c>
      <c r="P2876" s="18">
        <f t="shared" si="488"/>
        <v>2.5945205479452054</v>
      </c>
      <c r="Q2876" s="18">
        <f t="shared" si="490"/>
        <v>64.57979753424658</v>
      </c>
      <c r="R2876" s="18">
        <f t="shared" si="484"/>
        <v>334.19162986301376</v>
      </c>
      <c r="S2876" s="18">
        <f t="shared" si="485"/>
        <v>343.73837013698619</v>
      </c>
    </row>
    <row r="2877" spans="1:19" ht="18.75" customHeight="1" x14ac:dyDescent="0.25">
      <c r="A2877" s="14">
        <f t="shared" si="489"/>
        <v>2871</v>
      </c>
      <c r="B2877" s="14" t="s">
        <v>2452</v>
      </c>
      <c r="C2877" s="15" t="s">
        <v>3</v>
      </c>
      <c r="D2877" s="14" t="s">
        <v>1200</v>
      </c>
      <c r="E2877" s="14" t="s">
        <v>1200</v>
      </c>
      <c r="F2877" s="69" t="s">
        <v>4</v>
      </c>
      <c r="G2877" s="32">
        <v>43524</v>
      </c>
      <c r="H2877" s="17">
        <v>2800</v>
      </c>
      <c r="I2877" s="17">
        <v>0</v>
      </c>
      <c r="J2877" s="17">
        <v>0</v>
      </c>
      <c r="K2877" s="17">
        <f t="shared" si="486"/>
        <v>2800</v>
      </c>
      <c r="L2877" s="23">
        <f t="shared" si="491"/>
        <v>140</v>
      </c>
      <c r="M2877" s="42">
        <v>5</v>
      </c>
      <c r="N2877" s="18">
        <f t="shared" si="487"/>
        <v>2.0931506849315067</v>
      </c>
      <c r="O2877" s="23">
        <v>1113.5561643835615</v>
      </c>
      <c r="P2877" s="18">
        <f t="shared" si="488"/>
        <v>2.5945205479452054</v>
      </c>
      <c r="Q2877" s="18">
        <f t="shared" si="490"/>
        <v>266.7287671232877</v>
      </c>
      <c r="R2877" s="18">
        <f t="shared" si="484"/>
        <v>1380.2849315068493</v>
      </c>
      <c r="S2877" s="18">
        <f t="shared" si="485"/>
        <v>1419.7150684931507</v>
      </c>
    </row>
    <row r="2878" spans="1:19" ht="18.75" customHeight="1" x14ac:dyDescent="0.25">
      <c r="A2878" s="14">
        <f t="shared" si="489"/>
        <v>2872</v>
      </c>
      <c r="B2878" s="14" t="s">
        <v>2453</v>
      </c>
      <c r="C2878" s="15" t="s">
        <v>3</v>
      </c>
      <c r="D2878" s="14" t="s">
        <v>1200</v>
      </c>
      <c r="E2878" s="14" t="s">
        <v>1200</v>
      </c>
      <c r="F2878" s="69" t="s">
        <v>4</v>
      </c>
      <c r="G2878" s="32">
        <v>43524</v>
      </c>
      <c r="H2878" s="17">
        <v>8553.75</v>
      </c>
      <c r="I2878" s="17">
        <v>0</v>
      </c>
      <c r="J2878" s="17">
        <v>0</v>
      </c>
      <c r="K2878" s="17">
        <f t="shared" si="486"/>
        <v>8553.75</v>
      </c>
      <c r="L2878" s="23">
        <f t="shared" si="491"/>
        <v>427.6875</v>
      </c>
      <c r="M2878" s="42">
        <v>5</v>
      </c>
      <c r="N2878" s="18">
        <f t="shared" si="487"/>
        <v>2.0931506849315067</v>
      </c>
      <c r="O2878" s="23">
        <v>3401.8146575342462</v>
      </c>
      <c r="P2878" s="18">
        <f t="shared" si="488"/>
        <v>2.5945205479452054</v>
      </c>
      <c r="Q2878" s="18">
        <f t="shared" si="490"/>
        <v>814.8325684931508</v>
      </c>
      <c r="R2878" s="18">
        <f t="shared" si="484"/>
        <v>4216.6472260273968</v>
      </c>
      <c r="S2878" s="18">
        <f t="shared" si="485"/>
        <v>4337.1027739726032</v>
      </c>
    </row>
    <row r="2879" spans="1:19" ht="18.75" customHeight="1" x14ac:dyDescent="0.25">
      <c r="A2879" s="14">
        <f t="shared" si="489"/>
        <v>2873</v>
      </c>
      <c r="B2879" s="14" t="s">
        <v>2454</v>
      </c>
      <c r="C2879" s="15" t="s">
        <v>3</v>
      </c>
      <c r="D2879" s="14" t="s">
        <v>1200</v>
      </c>
      <c r="E2879" s="14" t="s">
        <v>1200</v>
      </c>
      <c r="F2879" s="69" t="s">
        <v>4</v>
      </c>
      <c r="G2879" s="32">
        <v>43524</v>
      </c>
      <c r="H2879" s="17">
        <v>13646.619999999999</v>
      </c>
      <c r="I2879" s="17">
        <v>0</v>
      </c>
      <c r="J2879" s="17">
        <v>0</v>
      </c>
      <c r="K2879" s="17">
        <f t="shared" si="486"/>
        <v>13646.619999999999</v>
      </c>
      <c r="L2879" s="23">
        <f t="shared" si="491"/>
        <v>682.33100000000002</v>
      </c>
      <c r="M2879" s="42">
        <v>5</v>
      </c>
      <c r="N2879" s="18">
        <f t="shared" si="487"/>
        <v>2.0931506849315067</v>
      </c>
      <c r="O2879" s="23">
        <v>5427.2420799999991</v>
      </c>
      <c r="P2879" s="18">
        <f t="shared" si="488"/>
        <v>2.5945205479452054</v>
      </c>
      <c r="Q2879" s="18">
        <f t="shared" si="490"/>
        <v>1299.9807599999999</v>
      </c>
      <c r="R2879" s="18">
        <f t="shared" si="484"/>
        <v>6727.2228399999985</v>
      </c>
      <c r="S2879" s="18">
        <f t="shared" si="485"/>
        <v>6919.3971600000004</v>
      </c>
    </row>
    <row r="2880" spans="1:19" ht="18.75" customHeight="1" x14ac:dyDescent="0.25">
      <c r="A2880" s="14">
        <f t="shared" si="489"/>
        <v>2874</v>
      </c>
      <c r="B2880" s="14" t="s">
        <v>2455</v>
      </c>
      <c r="C2880" s="15" t="s">
        <v>3</v>
      </c>
      <c r="D2880" s="14" t="s">
        <v>1200</v>
      </c>
      <c r="E2880" s="14" t="s">
        <v>1200</v>
      </c>
      <c r="F2880" s="69" t="s">
        <v>4</v>
      </c>
      <c r="G2880" s="32">
        <v>43524</v>
      </c>
      <c r="H2880" s="17">
        <v>209864.39</v>
      </c>
      <c r="I2880" s="17">
        <v>0</v>
      </c>
      <c r="J2880" s="17">
        <v>0</v>
      </c>
      <c r="K2880" s="17">
        <f t="shared" si="486"/>
        <v>209864.39</v>
      </c>
      <c r="L2880" s="23">
        <f t="shared" si="491"/>
        <v>10493.219500000001</v>
      </c>
      <c r="M2880" s="42">
        <v>3</v>
      </c>
      <c r="N2880" s="18">
        <f t="shared" si="487"/>
        <v>2.0931506849315067</v>
      </c>
      <c r="O2880" s="23">
        <v>139104.63402922376</v>
      </c>
      <c r="P2880" s="18">
        <f t="shared" si="488"/>
        <v>2.5945205479452054</v>
      </c>
      <c r="Q2880" s="18">
        <f t="shared" si="490"/>
        <v>33319.565480821919</v>
      </c>
      <c r="R2880" s="18">
        <f t="shared" si="484"/>
        <v>172424.19951004567</v>
      </c>
      <c r="S2880" s="18">
        <f t="shared" si="485"/>
        <v>37440.190489954344</v>
      </c>
    </row>
    <row r="2881" spans="1:19" ht="18.75" customHeight="1" x14ac:dyDescent="0.25">
      <c r="A2881" s="14">
        <f t="shared" si="489"/>
        <v>2875</v>
      </c>
      <c r="B2881" s="14" t="s">
        <v>2456</v>
      </c>
      <c r="C2881" s="15" t="s">
        <v>3</v>
      </c>
      <c r="D2881" s="14" t="s">
        <v>1200</v>
      </c>
      <c r="E2881" s="14" t="s">
        <v>1200</v>
      </c>
      <c r="F2881" s="69" t="s">
        <v>4</v>
      </c>
      <c r="G2881" s="32">
        <v>43524</v>
      </c>
      <c r="H2881" s="17">
        <v>57385.05</v>
      </c>
      <c r="I2881" s="17">
        <v>0</v>
      </c>
      <c r="J2881" s="17">
        <v>0</v>
      </c>
      <c r="K2881" s="17">
        <f t="shared" si="486"/>
        <v>57385.05</v>
      </c>
      <c r="L2881" s="23">
        <f t="shared" si="491"/>
        <v>2869.2525000000005</v>
      </c>
      <c r="M2881" s="42">
        <v>5</v>
      </c>
      <c r="N2881" s="18">
        <f t="shared" si="487"/>
        <v>2.0931506849315067</v>
      </c>
      <c r="O2881" s="23">
        <v>22821.955775342463</v>
      </c>
      <c r="P2881" s="18">
        <f t="shared" si="488"/>
        <v>2.5945205479452054</v>
      </c>
      <c r="Q2881" s="18">
        <f t="shared" si="490"/>
        <v>5466.5155849315079</v>
      </c>
      <c r="R2881" s="18">
        <f t="shared" si="484"/>
        <v>28288.471360273972</v>
      </c>
      <c r="S2881" s="18">
        <f t="shared" si="485"/>
        <v>29096.578639726031</v>
      </c>
    </row>
    <row r="2882" spans="1:19" ht="18.75" customHeight="1" x14ac:dyDescent="0.25">
      <c r="A2882" s="14">
        <f t="shared" si="489"/>
        <v>2876</v>
      </c>
      <c r="B2882" s="14" t="s">
        <v>2457</v>
      </c>
      <c r="C2882" s="15" t="s">
        <v>3</v>
      </c>
      <c r="D2882" s="14" t="s">
        <v>1200</v>
      </c>
      <c r="E2882" s="14" t="s">
        <v>1200</v>
      </c>
      <c r="F2882" s="69" t="s">
        <v>4</v>
      </c>
      <c r="G2882" s="32">
        <v>43524</v>
      </c>
      <c r="H2882" s="17">
        <v>10305.01</v>
      </c>
      <c r="I2882" s="17">
        <v>0</v>
      </c>
      <c r="J2882" s="17">
        <v>0</v>
      </c>
      <c r="K2882" s="17">
        <f t="shared" si="486"/>
        <v>10305.01</v>
      </c>
      <c r="L2882" s="23">
        <f t="shared" si="491"/>
        <v>515.25049999999999</v>
      </c>
      <c r="M2882" s="42">
        <v>5</v>
      </c>
      <c r="N2882" s="18">
        <f t="shared" si="487"/>
        <v>2.0931506849315067</v>
      </c>
      <c r="O2882" s="23">
        <v>4098.2883605479456</v>
      </c>
      <c r="P2882" s="18">
        <f t="shared" si="488"/>
        <v>2.5945205479452054</v>
      </c>
      <c r="Q2882" s="18">
        <f t="shared" si="490"/>
        <v>981.65807589041106</v>
      </c>
      <c r="R2882" s="18">
        <f t="shared" si="484"/>
        <v>5079.9464364383566</v>
      </c>
      <c r="S2882" s="18">
        <f t="shared" si="485"/>
        <v>5225.0635635616436</v>
      </c>
    </row>
    <row r="2883" spans="1:19" ht="18.75" customHeight="1" x14ac:dyDescent="0.25">
      <c r="A2883" s="14">
        <f t="shared" si="489"/>
        <v>2877</v>
      </c>
      <c r="B2883" s="14" t="s">
        <v>2458</v>
      </c>
      <c r="C2883" s="15" t="s">
        <v>3</v>
      </c>
      <c r="D2883" s="14" t="s">
        <v>1200</v>
      </c>
      <c r="E2883" s="14" t="s">
        <v>1200</v>
      </c>
      <c r="F2883" s="69" t="s">
        <v>4</v>
      </c>
      <c r="G2883" s="32">
        <v>43524</v>
      </c>
      <c r="H2883" s="17">
        <v>55722.46</v>
      </c>
      <c r="I2883" s="17">
        <v>0</v>
      </c>
      <c r="J2883" s="17">
        <v>0</v>
      </c>
      <c r="K2883" s="17">
        <f t="shared" si="486"/>
        <v>55722.46</v>
      </c>
      <c r="L2883" s="23">
        <f t="shared" si="491"/>
        <v>2786.123</v>
      </c>
      <c r="M2883" s="42">
        <v>3</v>
      </c>
      <c r="N2883" s="18">
        <f t="shared" si="487"/>
        <v>2.0931506849315067</v>
      </c>
      <c r="O2883" s="23">
        <v>36934.57668310502</v>
      </c>
      <c r="P2883" s="18">
        <f t="shared" si="488"/>
        <v>2.5945205479452054</v>
      </c>
      <c r="Q2883" s="18">
        <f t="shared" si="490"/>
        <v>8846.8946767123289</v>
      </c>
      <c r="R2883" s="18">
        <f t="shared" si="484"/>
        <v>45781.471359817348</v>
      </c>
      <c r="S2883" s="18">
        <f t="shared" si="485"/>
        <v>9940.9886401826516</v>
      </c>
    </row>
    <row r="2884" spans="1:19" ht="18.75" customHeight="1" x14ac:dyDescent="0.25">
      <c r="A2884" s="14">
        <f t="shared" si="489"/>
        <v>2878</v>
      </c>
      <c r="B2884" s="14" t="s">
        <v>2459</v>
      </c>
      <c r="C2884" s="15" t="s">
        <v>3</v>
      </c>
      <c r="D2884" s="14" t="s">
        <v>1200</v>
      </c>
      <c r="E2884" s="14" t="s">
        <v>1200</v>
      </c>
      <c r="F2884" s="69" t="s">
        <v>4</v>
      </c>
      <c r="G2884" s="32">
        <v>43524</v>
      </c>
      <c r="H2884" s="17">
        <v>334399.52999999997</v>
      </c>
      <c r="I2884" s="17">
        <v>0</v>
      </c>
      <c r="J2884" s="17">
        <v>0</v>
      </c>
      <c r="K2884" s="17">
        <f t="shared" si="486"/>
        <v>334399.52999999997</v>
      </c>
      <c r="L2884" s="23">
        <f t="shared" si="491"/>
        <v>16719.976500000001</v>
      </c>
      <c r="M2884" s="42">
        <v>3</v>
      </c>
      <c r="N2884" s="18">
        <f t="shared" si="487"/>
        <v>2.0931506849315067</v>
      </c>
      <c r="O2884" s="23">
        <v>199151.2816657534</v>
      </c>
      <c r="P2884" s="18">
        <f t="shared" si="488"/>
        <v>2.5945205479452054</v>
      </c>
      <c r="Q2884" s="18">
        <f t="shared" si="490"/>
        <v>53091.651406849312</v>
      </c>
      <c r="R2884" s="18">
        <f t="shared" ref="R2884:R2896" si="492">Q2884+O2884</f>
        <v>252242.93307260273</v>
      </c>
      <c r="S2884" s="18">
        <f t="shared" ref="S2884:S2896" si="493">K2884-R2884</f>
        <v>82156.596927397244</v>
      </c>
    </row>
    <row r="2885" spans="1:19" ht="18.75" customHeight="1" x14ac:dyDescent="0.25">
      <c r="A2885" s="14">
        <f t="shared" si="489"/>
        <v>2879</v>
      </c>
      <c r="B2885" s="14" t="s">
        <v>2460</v>
      </c>
      <c r="C2885" s="15" t="s">
        <v>3</v>
      </c>
      <c r="D2885" s="14" t="s">
        <v>1200</v>
      </c>
      <c r="E2885" s="14" t="s">
        <v>1200</v>
      </c>
      <c r="F2885" s="69" t="s">
        <v>4</v>
      </c>
      <c r="G2885" s="32">
        <v>43524</v>
      </c>
      <c r="H2885" s="17">
        <v>184104.41</v>
      </c>
      <c r="I2885" s="17">
        <v>0</v>
      </c>
      <c r="J2885" s="17">
        <v>0</v>
      </c>
      <c r="K2885" s="17">
        <f t="shared" ref="K2885:K2896" si="494">H2885+I2885-J2885</f>
        <v>184104.41</v>
      </c>
      <c r="L2885" s="23">
        <f t="shared" si="491"/>
        <v>9205.2205000000013</v>
      </c>
      <c r="M2885" s="42">
        <v>3</v>
      </c>
      <c r="N2885" s="18">
        <f t="shared" ref="N2885:N2896" si="495">IF(($N$2-G2885+1)/365&gt;0,($N$2-G2885+1)/365,0)</f>
        <v>2.0931506849315067</v>
      </c>
      <c r="O2885" s="23">
        <v>122030.11943196347</v>
      </c>
      <c r="P2885" s="18">
        <f t="shared" ref="P2885:P2896" si="496">($P$2-G2885+1)/365</f>
        <v>2.5945205479452054</v>
      </c>
      <c r="Q2885" s="18">
        <f t="shared" si="490"/>
        <v>29229.727560273976</v>
      </c>
      <c r="R2885" s="18">
        <f t="shared" si="492"/>
        <v>151259.84699223744</v>
      </c>
      <c r="S2885" s="18">
        <f t="shared" si="493"/>
        <v>32844.563007762568</v>
      </c>
    </row>
    <row r="2886" spans="1:19" ht="18.75" customHeight="1" x14ac:dyDescent="0.25">
      <c r="A2886" s="14">
        <f t="shared" ref="A2886:A2893" si="497">+A2885+1</f>
        <v>2880</v>
      </c>
      <c r="B2886" s="14" t="s">
        <v>2456</v>
      </c>
      <c r="C2886" s="15" t="s">
        <v>3</v>
      </c>
      <c r="D2886" s="14" t="s">
        <v>1200</v>
      </c>
      <c r="E2886" s="14" t="s">
        <v>1200</v>
      </c>
      <c r="F2886" s="69" t="s">
        <v>4</v>
      </c>
      <c r="G2886" s="32">
        <v>43524</v>
      </c>
      <c r="H2886" s="17">
        <v>57888.179999999993</v>
      </c>
      <c r="I2886" s="17">
        <v>0</v>
      </c>
      <c r="J2886" s="17">
        <v>0</v>
      </c>
      <c r="K2886" s="17">
        <f t="shared" si="494"/>
        <v>57888.179999999993</v>
      </c>
      <c r="L2886" s="23">
        <f t="shared" si="491"/>
        <v>2894.4089999999997</v>
      </c>
      <c r="M2886" s="42">
        <v>5</v>
      </c>
      <c r="N2886" s="18">
        <f t="shared" si="495"/>
        <v>2.0931506849315067</v>
      </c>
      <c r="O2886" s="23">
        <v>23022.049887123285</v>
      </c>
      <c r="P2886" s="18">
        <f t="shared" si="496"/>
        <v>2.5945205479452054</v>
      </c>
      <c r="Q2886" s="18">
        <f t="shared" si="490"/>
        <v>5514.4438865753427</v>
      </c>
      <c r="R2886" s="18">
        <f t="shared" si="492"/>
        <v>28536.493773698629</v>
      </c>
      <c r="S2886" s="18">
        <f t="shared" si="493"/>
        <v>29351.686226301365</v>
      </c>
    </row>
    <row r="2887" spans="1:19" ht="18.75" customHeight="1" x14ac:dyDescent="0.25">
      <c r="A2887" s="14">
        <f t="shared" si="497"/>
        <v>2881</v>
      </c>
      <c r="B2887" s="14" t="s">
        <v>2461</v>
      </c>
      <c r="C2887" s="15" t="s">
        <v>3</v>
      </c>
      <c r="D2887" s="14" t="s">
        <v>1200</v>
      </c>
      <c r="E2887" s="14" t="s">
        <v>1200</v>
      </c>
      <c r="F2887" s="69" t="s">
        <v>4</v>
      </c>
      <c r="G2887" s="32">
        <v>43524</v>
      </c>
      <c r="H2887" s="17">
        <v>28893.759999999998</v>
      </c>
      <c r="I2887" s="17">
        <v>0</v>
      </c>
      <c r="J2887" s="17">
        <v>0</v>
      </c>
      <c r="K2887" s="17">
        <f t="shared" si="494"/>
        <v>28893.759999999998</v>
      </c>
      <c r="L2887" s="23">
        <f t="shared" si="491"/>
        <v>1444.6880000000001</v>
      </c>
      <c r="M2887" s="42">
        <v>5</v>
      </c>
      <c r="N2887" s="18">
        <f t="shared" si="495"/>
        <v>2.0931506849315067</v>
      </c>
      <c r="O2887" s="23">
        <v>11491.008771506848</v>
      </c>
      <c r="P2887" s="18">
        <f t="shared" si="496"/>
        <v>2.5945205479452054</v>
      </c>
      <c r="Q2887" s="18">
        <f t="shared" si="490"/>
        <v>2752.4274936986303</v>
      </c>
      <c r="R2887" s="18">
        <f t="shared" si="492"/>
        <v>14243.436265205477</v>
      </c>
      <c r="S2887" s="18">
        <f t="shared" si="493"/>
        <v>14650.323734794521</v>
      </c>
    </row>
    <row r="2888" spans="1:19" ht="18.75" customHeight="1" x14ac:dyDescent="0.25">
      <c r="A2888" s="14">
        <f t="shared" si="497"/>
        <v>2882</v>
      </c>
      <c r="B2888" s="14" t="s">
        <v>2462</v>
      </c>
      <c r="C2888" s="15" t="s">
        <v>3</v>
      </c>
      <c r="D2888" s="14" t="s">
        <v>1200</v>
      </c>
      <c r="E2888" s="14" t="s">
        <v>1200</v>
      </c>
      <c r="F2888" s="69" t="s">
        <v>4</v>
      </c>
      <c r="G2888" s="32">
        <v>43689</v>
      </c>
      <c r="H2888" s="17">
        <v>927108</v>
      </c>
      <c r="I2888" s="17">
        <v>0</v>
      </c>
      <c r="J2888" s="17">
        <v>0</v>
      </c>
      <c r="K2888" s="17">
        <f t="shared" si="494"/>
        <v>927108</v>
      </c>
      <c r="L2888" s="23">
        <f t="shared" si="491"/>
        <v>46355.4</v>
      </c>
      <c r="M2888" s="42">
        <v>5</v>
      </c>
      <c r="N2888" s="18">
        <f t="shared" si="495"/>
        <v>1.6410958904109589</v>
      </c>
      <c r="O2888" s="23">
        <v>289079.89446575346</v>
      </c>
      <c r="P2888" s="18">
        <f t="shared" si="496"/>
        <v>2.1424657534246574</v>
      </c>
      <c r="Q2888" s="18">
        <f t="shared" si="490"/>
        <v>88316.562082191755</v>
      </c>
      <c r="R2888" s="18">
        <f t="shared" si="492"/>
        <v>377396.45654794521</v>
      </c>
      <c r="S2888" s="18">
        <f t="shared" si="493"/>
        <v>549711.54345205473</v>
      </c>
    </row>
    <row r="2889" spans="1:19" ht="18.75" customHeight="1" x14ac:dyDescent="0.25">
      <c r="A2889" s="14">
        <f t="shared" si="497"/>
        <v>2883</v>
      </c>
      <c r="B2889" s="14" t="s">
        <v>2463</v>
      </c>
      <c r="C2889" s="15" t="s">
        <v>3</v>
      </c>
      <c r="D2889" s="31" t="s">
        <v>1708</v>
      </c>
      <c r="E2889" s="14" t="s">
        <v>2465</v>
      </c>
      <c r="F2889" s="73" t="s">
        <v>4</v>
      </c>
      <c r="G2889" s="32">
        <v>42686</v>
      </c>
      <c r="H2889" s="17">
        <v>23849.21030475591</v>
      </c>
      <c r="I2889" s="17">
        <v>0</v>
      </c>
      <c r="J2889" s="17">
        <v>0</v>
      </c>
      <c r="K2889" s="17">
        <f t="shared" si="494"/>
        <v>23849.21030475591</v>
      </c>
      <c r="L2889" s="23">
        <f t="shared" si="491"/>
        <v>1192.4605152377956</v>
      </c>
      <c r="M2889" s="42">
        <v>10</v>
      </c>
      <c r="N2889" s="18">
        <f t="shared" si="495"/>
        <v>4.3890410958904109</v>
      </c>
      <c r="O2889" s="23">
        <v>9944.1405925501422</v>
      </c>
      <c r="P2889" s="18">
        <f t="shared" si="496"/>
        <v>4.8904109589041092</v>
      </c>
      <c r="Q2889" s="18">
        <f t="shared" si="490"/>
        <v>1135.9411538306335</v>
      </c>
      <c r="R2889" s="18">
        <f t="shared" si="492"/>
        <v>11080.081746380776</v>
      </c>
      <c r="S2889" s="18">
        <f t="shared" si="493"/>
        <v>12769.128558375134</v>
      </c>
    </row>
    <row r="2890" spans="1:19" ht="18.75" customHeight="1" x14ac:dyDescent="0.25">
      <c r="A2890" s="14">
        <f t="shared" si="497"/>
        <v>2884</v>
      </c>
      <c r="B2890" s="14" t="s">
        <v>2466</v>
      </c>
      <c r="C2890" s="15" t="s">
        <v>3</v>
      </c>
      <c r="D2890" s="31" t="s">
        <v>1708</v>
      </c>
      <c r="E2890" s="14" t="s">
        <v>2464</v>
      </c>
      <c r="F2890" s="73" t="s">
        <v>4</v>
      </c>
      <c r="G2890" s="32">
        <v>43524</v>
      </c>
      <c r="H2890" s="17">
        <v>5100</v>
      </c>
      <c r="I2890" s="17">
        <v>0</v>
      </c>
      <c r="J2890" s="17">
        <v>0</v>
      </c>
      <c r="K2890" s="17">
        <f t="shared" si="494"/>
        <v>5100</v>
      </c>
      <c r="L2890" s="23">
        <f t="shared" si="491"/>
        <v>255</v>
      </c>
      <c r="M2890" s="42">
        <v>5</v>
      </c>
      <c r="N2890" s="18">
        <f t="shared" si="495"/>
        <v>2.0931506849315067</v>
      </c>
      <c r="O2890" s="23">
        <v>2028.2630136986299</v>
      </c>
      <c r="P2890" s="18">
        <f t="shared" si="496"/>
        <v>2.5945205479452054</v>
      </c>
      <c r="Q2890" s="18">
        <f t="shared" si="490"/>
        <v>485.82739726027404</v>
      </c>
      <c r="R2890" s="18">
        <f t="shared" si="492"/>
        <v>2514.0904109589042</v>
      </c>
      <c r="S2890" s="18">
        <f t="shared" si="493"/>
        <v>2585.9095890410958</v>
      </c>
    </row>
    <row r="2891" spans="1:19" ht="18.75" customHeight="1" x14ac:dyDescent="0.25">
      <c r="A2891" s="14">
        <f t="shared" si="497"/>
        <v>2885</v>
      </c>
      <c r="B2891" s="14" t="s">
        <v>2467</v>
      </c>
      <c r="C2891" s="15" t="s">
        <v>3</v>
      </c>
      <c r="D2891" s="31" t="s">
        <v>1708</v>
      </c>
      <c r="E2891" s="14" t="s">
        <v>2464</v>
      </c>
      <c r="F2891" s="73" t="s">
        <v>4</v>
      </c>
      <c r="G2891" s="32">
        <v>43524</v>
      </c>
      <c r="H2891" s="17">
        <v>8130</v>
      </c>
      <c r="I2891" s="17">
        <v>0</v>
      </c>
      <c r="J2891" s="17">
        <v>0</v>
      </c>
      <c r="K2891" s="17">
        <f t="shared" si="494"/>
        <v>8130</v>
      </c>
      <c r="L2891" s="23">
        <f t="shared" si="491"/>
        <v>406.5</v>
      </c>
      <c r="M2891" s="42">
        <v>10</v>
      </c>
      <c r="N2891" s="18">
        <f t="shared" si="495"/>
        <v>2.0931506849315067</v>
      </c>
      <c r="O2891" s="23">
        <v>1616.6449315068492</v>
      </c>
      <c r="P2891" s="18">
        <f t="shared" si="496"/>
        <v>2.5945205479452054</v>
      </c>
      <c r="Q2891" s="18">
        <f t="shared" si="490"/>
        <v>387.2330136986302</v>
      </c>
      <c r="R2891" s="18">
        <f t="shared" si="492"/>
        <v>2003.8779452054794</v>
      </c>
      <c r="S2891" s="18">
        <f t="shared" si="493"/>
        <v>6126.1220547945204</v>
      </c>
    </row>
    <row r="2892" spans="1:19" ht="18.75" customHeight="1" x14ac:dyDescent="0.25">
      <c r="A2892" s="14">
        <f t="shared" si="497"/>
        <v>2886</v>
      </c>
      <c r="B2892" s="14" t="s">
        <v>2468</v>
      </c>
      <c r="C2892" s="15" t="s">
        <v>3</v>
      </c>
      <c r="D2892" s="31" t="s">
        <v>1708</v>
      </c>
      <c r="E2892" s="14" t="s">
        <v>2464</v>
      </c>
      <c r="F2892" s="73" t="s">
        <v>4</v>
      </c>
      <c r="G2892" s="32">
        <v>43524</v>
      </c>
      <c r="H2892" s="17">
        <v>12490</v>
      </c>
      <c r="I2892" s="17">
        <v>0</v>
      </c>
      <c r="J2892" s="17">
        <v>0</v>
      </c>
      <c r="K2892" s="17">
        <f t="shared" si="494"/>
        <v>12490</v>
      </c>
      <c r="L2892" s="23">
        <f t="shared" si="491"/>
        <v>624.5</v>
      </c>
      <c r="M2892" s="42">
        <v>10</v>
      </c>
      <c r="N2892" s="18">
        <f t="shared" si="495"/>
        <v>2.0931506849315067</v>
      </c>
      <c r="O2892" s="23">
        <v>2483.6279452054791</v>
      </c>
      <c r="P2892" s="18">
        <f t="shared" si="496"/>
        <v>2.5945205479452054</v>
      </c>
      <c r="Q2892" s="18">
        <f t="shared" si="490"/>
        <v>594.90041095890422</v>
      </c>
      <c r="R2892" s="18">
        <f t="shared" si="492"/>
        <v>3078.5283561643832</v>
      </c>
      <c r="S2892" s="18">
        <f t="shared" si="493"/>
        <v>9411.4716438356172</v>
      </c>
    </row>
    <row r="2893" spans="1:19" ht="18.75" customHeight="1" x14ac:dyDescent="0.25">
      <c r="A2893" s="14">
        <f t="shared" si="497"/>
        <v>2887</v>
      </c>
      <c r="B2893" s="14" t="s">
        <v>2469</v>
      </c>
      <c r="C2893" s="15" t="s">
        <v>3</v>
      </c>
      <c r="D2893" s="31" t="s">
        <v>1708</v>
      </c>
      <c r="E2893" s="14" t="s">
        <v>2464</v>
      </c>
      <c r="F2893" s="73" t="s">
        <v>4</v>
      </c>
      <c r="G2893" s="32">
        <v>43524</v>
      </c>
      <c r="H2893" s="17">
        <v>47908.21</v>
      </c>
      <c r="I2893" s="17">
        <v>0</v>
      </c>
      <c r="J2893" s="17">
        <v>0</v>
      </c>
      <c r="K2893" s="17">
        <f t="shared" si="494"/>
        <v>47908.21</v>
      </c>
      <c r="L2893" s="23">
        <f t="shared" si="491"/>
        <v>2395.4105</v>
      </c>
      <c r="M2893" s="42">
        <v>10</v>
      </c>
      <c r="N2893" s="18">
        <f t="shared" si="495"/>
        <v>2.0931506849315067</v>
      </c>
      <c r="O2893" s="23">
        <v>9526.5147446575338</v>
      </c>
      <c r="P2893" s="18">
        <f t="shared" si="496"/>
        <v>2.5945205479452054</v>
      </c>
      <c r="Q2893" s="18">
        <f t="shared" si="490"/>
        <v>2281.8746050684936</v>
      </c>
      <c r="R2893" s="18">
        <f t="shared" si="492"/>
        <v>11808.389349726027</v>
      </c>
      <c r="S2893" s="18">
        <f t="shared" si="493"/>
        <v>36099.82065027397</v>
      </c>
    </row>
    <row r="2894" spans="1:19" ht="18.75" customHeight="1" x14ac:dyDescent="0.25">
      <c r="A2894" s="14">
        <f>+A2891+1</f>
        <v>2886</v>
      </c>
      <c r="B2894" s="14" t="s">
        <v>2470</v>
      </c>
      <c r="C2894" s="15" t="s">
        <v>3</v>
      </c>
      <c r="D2894" s="31" t="s">
        <v>1708</v>
      </c>
      <c r="E2894" s="14" t="s">
        <v>2464</v>
      </c>
      <c r="F2894" s="73" t="s">
        <v>4</v>
      </c>
      <c r="G2894" s="32">
        <v>43524</v>
      </c>
      <c r="H2894" s="17">
        <v>55500</v>
      </c>
      <c r="I2894" s="17">
        <v>0</v>
      </c>
      <c r="J2894" s="17">
        <v>0</v>
      </c>
      <c r="K2894" s="17">
        <f t="shared" si="494"/>
        <v>55500</v>
      </c>
      <c r="L2894" s="23">
        <f t="shared" si="491"/>
        <v>2775</v>
      </c>
      <c r="M2894" s="42">
        <v>10</v>
      </c>
      <c r="N2894" s="18">
        <f t="shared" si="495"/>
        <v>2.0931506849315067</v>
      </c>
      <c r="O2894" s="23">
        <v>11036.13698630137</v>
      </c>
      <c r="P2894" s="18">
        <f t="shared" si="496"/>
        <v>2.5945205479452054</v>
      </c>
      <c r="Q2894" s="18">
        <f t="shared" si="490"/>
        <v>2643.4726027397264</v>
      </c>
      <c r="R2894" s="18">
        <f t="shared" si="492"/>
        <v>13679.609589041096</v>
      </c>
      <c r="S2894" s="18">
        <f t="shared" si="493"/>
        <v>41820.390410958906</v>
      </c>
    </row>
    <row r="2895" spans="1:19" ht="18.75" customHeight="1" x14ac:dyDescent="0.25">
      <c r="A2895" s="14"/>
      <c r="B2895" s="14" t="s">
        <v>2614</v>
      </c>
      <c r="C2895" s="15" t="s">
        <v>3</v>
      </c>
      <c r="D2895" s="14" t="s">
        <v>2614</v>
      </c>
      <c r="E2895" s="14" t="s">
        <v>2615</v>
      </c>
      <c r="F2895" s="73"/>
      <c r="G2895" s="32">
        <v>42781</v>
      </c>
      <c r="H2895" s="17">
        <v>4567297</v>
      </c>
      <c r="I2895" s="17">
        <v>0</v>
      </c>
      <c r="J2895" s="17">
        <v>0</v>
      </c>
      <c r="K2895" s="17">
        <f t="shared" si="494"/>
        <v>4567297</v>
      </c>
      <c r="L2895" s="23">
        <f t="shared" si="491"/>
        <v>228364.85</v>
      </c>
      <c r="M2895" s="42">
        <v>5</v>
      </c>
      <c r="N2895" s="18">
        <f t="shared" si="495"/>
        <v>4.1287671232876715</v>
      </c>
      <c r="O2895" s="23">
        <v>3684510.5922191786</v>
      </c>
      <c r="P2895" s="18">
        <f t="shared" si="496"/>
        <v>4.6301369863013697</v>
      </c>
      <c r="Q2895" s="18">
        <f t="shared" si="490"/>
        <v>435081.96353424632</v>
      </c>
      <c r="R2895" s="18">
        <f t="shared" si="492"/>
        <v>4119592.5557534248</v>
      </c>
      <c r="S2895" s="18">
        <f t="shared" si="493"/>
        <v>447704.44424657524</v>
      </c>
    </row>
    <row r="2896" spans="1:19" ht="18.75" customHeight="1" x14ac:dyDescent="0.25">
      <c r="A2896" s="14"/>
      <c r="B2896" s="14" t="s">
        <v>2616</v>
      </c>
      <c r="C2896" s="15" t="s">
        <v>3</v>
      </c>
      <c r="D2896" s="14" t="s">
        <v>2616</v>
      </c>
      <c r="E2896" s="14" t="s">
        <v>2617</v>
      </c>
      <c r="F2896" s="73"/>
      <c r="G2896" s="32">
        <v>43738</v>
      </c>
      <c r="H2896" s="17">
        <v>52773160.229999997</v>
      </c>
      <c r="I2896" s="17">
        <v>0</v>
      </c>
      <c r="J2896" s="17">
        <v>0</v>
      </c>
      <c r="K2896" s="17">
        <f t="shared" si="494"/>
        <v>52773160.229999997</v>
      </c>
      <c r="L2896" s="23">
        <f t="shared" si="491"/>
        <v>2638658.0115</v>
      </c>
      <c r="M2896" s="42">
        <v>3</v>
      </c>
      <c r="N2896" s="18">
        <f t="shared" si="495"/>
        <v>1.5068493150684932</v>
      </c>
      <c r="O2896" s="23">
        <v>15005684.57</v>
      </c>
      <c r="P2896" s="18">
        <f t="shared" si="496"/>
        <v>2.0082191780821916</v>
      </c>
      <c r="Q2896" s="18">
        <f t="shared" si="490"/>
        <v>8378642.8365164353</v>
      </c>
      <c r="R2896" s="18">
        <f t="shared" si="492"/>
        <v>23384327.406516436</v>
      </c>
      <c r="S2896" s="18">
        <f t="shared" si="493"/>
        <v>29388832.82348356</v>
      </c>
    </row>
    <row r="2897" spans="1:19" ht="18.75" customHeight="1" x14ac:dyDescent="0.25">
      <c r="A2897" s="2"/>
      <c r="B2897" s="2"/>
      <c r="C2897" s="2"/>
      <c r="D2897" s="2"/>
      <c r="E2897" s="2"/>
      <c r="F2897" s="64"/>
      <c r="G2897" s="2"/>
      <c r="H2897" s="7"/>
      <c r="I2897" s="7"/>
      <c r="J2897" s="7"/>
      <c r="K2897" s="7"/>
      <c r="L2897" s="7"/>
      <c r="M2897" s="8"/>
      <c r="N2897" s="7"/>
      <c r="O2897" s="7"/>
      <c r="P2897" s="7"/>
      <c r="Q2897" s="7"/>
      <c r="R2897" s="7"/>
      <c r="S2897" s="7"/>
    </row>
    <row r="2898" spans="1:19" ht="18.75" customHeight="1" x14ac:dyDescent="0.25">
      <c r="A2898" s="2"/>
      <c r="B2898" s="2"/>
      <c r="C2898" s="2"/>
      <c r="D2898" s="2"/>
      <c r="E2898" s="2"/>
      <c r="F2898" s="64"/>
      <c r="G2898" s="2"/>
      <c r="H2898" s="43">
        <f>SUM(H4:H2897)</f>
        <v>2780138862.4309711</v>
      </c>
      <c r="I2898" s="43">
        <f>SUM(I4:I2897)</f>
        <v>0</v>
      </c>
      <c r="J2898" s="43">
        <f>SUM(J4:J2897)</f>
        <v>0</v>
      </c>
      <c r="K2898" s="43">
        <f>SUM(K4:K2897)</f>
        <v>2780138862.4309711</v>
      </c>
      <c r="L2898" s="43">
        <f>SUM(L4:L2897)</f>
        <v>131020586.61854862</v>
      </c>
      <c r="M2898" s="43"/>
      <c r="N2898" s="43"/>
      <c r="O2898" s="43">
        <f>SUM(O4:O2897)</f>
        <v>519028641.60048193</v>
      </c>
      <c r="P2898" s="43"/>
      <c r="Q2898" s="43">
        <f>SUM(Q4:Q2897)</f>
        <v>58249068.620198146</v>
      </c>
      <c r="R2898" s="43">
        <f>SUM(R4:R2897)</f>
        <v>577277710.22068</v>
      </c>
      <c r="S2898" s="43">
        <f>SUM(S4:S2897)</f>
        <v>2331522606.4624205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topLeftCell="D1" workbookViewId="0">
      <selection activeCell="H16" sqref="H16"/>
    </sheetView>
  </sheetViews>
  <sheetFormatPr defaultRowHeight="12.75" x14ac:dyDescent="0.2"/>
  <cols>
    <col min="1" max="1" width="8.5703125" style="79" customWidth="1"/>
    <col min="2" max="2" width="1.7109375" style="79" bestFit="1" customWidth="1"/>
    <col min="3" max="3" width="25.42578125" style="79" customWidth="1"/>
    <col min="4" max="4" width="18.42578125" style="79" bestFit="1" customWidth="1"/>
    <col min="5" max="5" width="6.42578125" style="79" bestFit="1" customWidth="1"/>
    <col min="6" max="6" width="20.140625" style="79" customWidth="1"/>
    <col min="7" max="7" width="12" style="79" customWidth="1"/>
    <col min="8" max="8" width="11.5703125" style="79" customWidth="1"/>
    <col min="9" max="9" width="14.7109375" style="79" customWidth="1"/>
    <col min="10" max="11" width="16.42578125" style="79" customWidth="1"/>
    <col min="12" max="12" width="17" style="79" bestFit="1" customWidth="1"/>
    <col min="13" max="13" width="16.5703125" style="79" customWidth="1"/>
    <col min="14" max="14" width="31.5703125" style="79" bestFit="1" customWidth="1"/>
    <col min="15" max="15" width="28" style="79" bestFit="1" customWidth="1"/>
    <col min="16" max="256" width="9.140625" style="79"/>
    <col min="257" max="257" width="14.5703125" style="79" bestFit="1" customWidth="1"/>
    <col min="258" max="258" width="1.7109375" style="79" bestFit="1" customWidth="1"/>
    <col min="259" max="259" width="25.42578125" style="79" customWidth="1"/>
    <col min="260" max="260" width="18.42578125" style="79" bestFit="1" customWidth="1"/>
    <col min="261" max="261" width="6.42578125" style="79" bestFit="1" customWidth="1"/>
    <col min="262" max="262" width="20.140625" style="79" customWidth="1"/>
    <col min="263" max="263" width="12" style="79" customWidth="1"/>
    <col min="264" max="264" width="11.5703125" style="79" customWidth="1"/>
    <col min="265" max="265" width="14.7109375" style="79" customWidth="1"/>
    <col min="266" max="267" width="16.42578125" style="79" customWidth="1"/>
    <col min="268" max="268" width="17" style="79" bestFit="1" customWidth="1"/>
    <col min="269" max="269" width="16.5703125" style="79" customWidth="1"/>
    <col min="270" max="270" width="31.5703125" style="79" bestFit="1" customWidth="1"/>
    <col min="271" max="271" width="28" style="79" bestFit="1" customWidth="1"/>
    <col min="272" max="512" width="9.140625" style="79"/>
    <col min="513" max="513" width="14.5703125" style="79" bestFit="1" customWidth="1"/>
    <col min="514" max="514" width="1.7109375" style="79" bestFit="1" customWidth="1"/>
    <col min="515" max="515" width="25.42578125" style="79" customWidth="1"/>
    <col min="516" max="516" width="18.42578125" style="79" bestFit="1" customWidth="1"/>
    <col min="517" max="517" width="6.42578125" style="79" bestFit="1" customWidth="1"/>
    <col min="518" max="518" width="20.140625" style="79" customWidth="1"/>
    <col min="519" max="519" width="12" style="79" customWidth="1"/>
    <col min="520" max="520" width="11.5703125" style="79" customWidth="1"/>
    <col min="521" max="521" width="14.7109375" style="79" customWidth="1"/>
    <col min="522" max="523" width="16.42578125" style="79" customWidth="1"/>
    <col min="524" max="524" width="17" style="79" bestFit="1" customWidth="1"/>
    <col min="525" max="525" width="16.5703125" style="79" customWidth="1"/>
    <col min="526" max="526" width="31.5703125" style="79" bestFit="1" customWidth="1"/>
    <col min="527" max="527" width="28" style="79" bestFit="1" customWidth="1"/>
    <col min="528" max="768" width="9.140625" style="79"/>
    <col min="769" max="769" width="14.5703125" style="79" bestFit="1" customWidth="1"/>
    <col min="770" max="770" width="1.7109375" style="79" bestFit="1" customWidth="1"/>
    <col min="771" max="771" width="25.42578125" style="79" customWidth="1"/>
    <col min="772" max="772" width="18.42578125" style="79" bestFit="1" customWidth="1"/>
    <col min="773" max="773" width="6.42578125" style="79" bestFit="1" customWidth="1"/>
    <col min="774" max="774" width="20.140625" style="79" customWidth="1"/>
    <col min="775" max="775" width="12" style="79" customWidth="1"/>
    <col min="776" max="776" width="11.5703125" style="79" customWidth="1"/>
    <col min="777" max="777" width="14.7109375" style="79" customWidth="1"/>
    <col min="778" max="779" width="16.42578125" style="79" customWidth="1"/>
    <col min="780" max="780" width="17" style="79" bestFit="1" customWidth="1"/>
    <col min="781" max="781" width="16.5703125" style="79" customWidth="1"/>
    <col min="782" max="782" width="31.5703125" style="79" bestFit="1" customWidth="1"/>
    <col min="783" max="783" width="28" style="79" bestFit="1" customWidth="1"/>
    <col min="784" max="1024" width="9.140625" style="79"/>
    <col min="1025" max="1025" width="14.5703125" style="79" bestFit="1" customWidth="1"/>
    <col min="1026" max="1026" width="1.7109375" style="79" bestFit="1" customWidth="1"/>
    <col min="1027" max="1027" width="25.42578125" style="79" customWidth="1"/>
    <col min="1028" max="1028" width="18.42578125" style="79" bestFit="1" customWidth="1"/>
    <col min="1029" max="1029" width="6.42578125" style="79" bestFit="1" customWidth="1"/>
    <col min="1030" max="1030" width="20.140625" style="79" customWidth="1"/>
    <col min="1031" max="1031" width="12" style="79" customWidth="1"/>
    <col min="1032" max="1032" width="11.5703125" style="79" customWidth="1"/>
    <col min="1033" max="1033" width="14.7109375" style="79" customWidth="1"/>
    <col min="1034" max="1035" width="16.42578125" style="79" customWidth="1"/>
    <col min="1036" max="1036" width="17" style="79" bestFit="1" customWidth="1"/>
    <col min="1037" max="1037" width="16.5703125" style="79" customWidth="1"/>
    <col min="1038" max="1038" width="31.5703125" style="79" bestFit="1" customWidth="1"/>
    <col min="1039" max="1039" width="28" style="79" bestFit="1" customWidth="1"/>
    <col min="1040" max="1280" width="9.140625" style="79"/>
    <col min="1281" max="1281" width="14.5703125" style="79" bestFit="1" customWidth="1"/>
    <col min="1282" max="1282" width="1.7109375" style="79" bestFit="1" customWidth="1"/>
    <col min="1283" max="1283" width="25.42578125" style="79" customWidth="1"/>
    <col min="1284" max="1284" width="18.42578125" style="79" bestFit="1" customWidth="1"/>
    <col min="1285" max="1285" width="6.42578125" style="79" bestFit="1" customWidth="1"/>
    <col min="1286" max="1286" width="20.140625" style="79" customWidth="1"/>
    <col min="1287" max="1287" width="12" style="79" customWidth="1"/>
    <col min="1288" max="1288" width="11.5703125" style="79" customWidth="1"/>
    <col min="1289" max="1289" width="14.7109375" style="79" customWidth="1"/>
    <col min="1290" max="1291" width="16.42578125" style="79" customWidth="1"/>
    <col min="1292" max="1292" width="17" style="79" bestFit="1" customWidth="1"/>
    <col min="1293" max="1293" width="16.5703125" style="79" customWidth="1"/>
    <col min="1294" max="1294" width="31.5703125" style="79" bestFit="1" customWidth="1"/>
    <col min="1295" max="1295" width="28" style="79" bestFit="1" customWidth="1"/>
    <col min="1296" max="1536" width="9.140625" style="79"/>
    <col min="1537" max="1537" width="14.5703125" style="79" bestFit="1" customWidth="1"/>
    <col min="1538" max="1538" width="1.7109375" style="79" bestFit="1" customWidth="1"/>
    <col min="1539" max="1539" width="25.42578125" style="79" customWidth="1"/>
    <col min="1540" max="1540" width="18.42578125" style="79" bestFit="1" customWidth="1"/>
    <col min="1541" max="1541" width="6.42578125" style="79" bestFit="1" customWidth="1"/>
    <col min="1542" max="1542" width="20.140625" style="79" customWidth="1"/>
    <col min="1543" max="1543" width="12" style="79" customWidth="1"/>
    <col min="1544" max="1544" width="11.5703125" style="79" customWidth="1"/>
    <col min="1545" max="1545" width="14.7109375" style="79" customWidth="1"/>
    <col min="1546" max="1547" width="16.42578125" style="79" customWidth="1"/>
    <col min="1548" max="1548" width="17" style="79" bestFit="1" customWidth="1"/>
    <col min="1549" max="1549" width="16.5703125" style="79" customWidth="1"/>
    <col min="1550" max="1550" width="31.5703125" style="79" bestFit="1" customWidth="1"/>
    <col min="1551" max="1551" width="28" style="79" bestFit="1" customWidth="1"/>
    <col min="1552" max="1792" width="9.140625" style="79"/>
    <col min="1793" max="1793" width="14.5703125" style="79" bestFit="1" customWidth="1"/>
    <col min="1794" max="1794" width="1.7109375" style="79" bestFit="1" customWidth="1"/>
    <col min="1795" max="1795" width="25.42578125" style="79" customWidth="1"/>
    <col min="1796" max="1796" width="18.42578125" style="79" bestFit="1" customWidth="1"/>
    <col min="1797" max="1797" width="6.42578125" style="79" bestFit="1" customWidth="1"/>
    <col min="1798" max="1798" width="20.140625" style="79" customWidth="1"/>
    <col min="1799" max="1799" width="12" style="79" customWidth="1"/>
    <col min="1800" max="1800" width="11.5703125" style="79" customWidth="1"/>
    <col min="1801" max="1801" width="14.7109375" style="79" customWidth="1"/>
    <col min="1802" max="1803" width="16.42578125" style="79" customWidth="1"/>
    <col min="1804" max="1804" width="17" style="79" bestFit="1" customWidth="1"/>
    <col min="1805" max="1805" width="16.5703125" style="79" customWidth="1"/>
    <col min="1806" max="1806" width="31.5703125" style="79" bestFit="1" customWidth="1"/>
    <col min="1807" max="1807" width="28" style="79" bestFit="1" customWidth="1"/>
    <col min="1808" max="2048" width="9.140625" style="79"/>
    <col min="2049" max="2049" width="14.5703125" style="79" bestFit="1" customWidth="1"/>
    <col min="2050" max="2050" width="1.7109375" style="79" bestFit="1" customWidth="1"/>
    <col min="2051" max="2051" width="25.42578125" style="79" customWidth="1"/>
    <col min="2052" max="2052" width="18.42578125" style="79" bestFit="1" customWidth="1"/>
    <col min="2053" max="2053" width="6.42578125" style="79" bestFit="1" customWidth="1"/>
    <col min="2054" max="2054" width="20.140625" style="79" customWidth="1"/>
    <col min="2055" max="2055" width="12" style="79" customWidth="1"/>
    <col min="2056" max="2056" width="11.5703125" style="79" customWidth="1"/>
    <col min="2057" max="2057" width="14.7109375" style="79" customWidth="1"/>
    <col min="2058" max="2059" width="16.42578125" style="79" customWidth="1"/>
    <col min="2060" max="2060" width="17" style="79" bestFit="1" customWidth="1"/>
    <col min="2061" max="2061" width="16.5703125" style="79" customWidth="1"/>
    <col min="2062" max="2062" width="31.5703125" style="79" bestFit="1" customWidth="1"/>
    <col min="2063" max="2063" width="28" style="79" bestFit="1" customWidth="1"/>
    <col min="2064" max="2304" width="9.140625" style="79"/>
    <col min="2305" max="2305" width="14.5703125" style="79" bestFit="1" customWidth="1"/>
    <col min="2306" max="2306" width="1.7109375" style="79" bestFit="1" customWidth="1"/>
    <col min="2307" max="2307" width="25.42578125" style="79" customWidth="1"/>
    <col min="2308" max="2308" width="18.42578125" style="79" bestFit="1" customWidth="1"/>
    <col min="2309" max="2309" width="6.42578125" style="79" bestFit="1" customWidth="1"/>
    <col min="2310" max="2310" width="20.140625" style="79" customWidth="1"/>
    <col min="2311" max="2311" width="12" style="79" customWidth="1"/>
    <col min="2312" max="2312" width="11.5703125" style="79" customWidth="1"/>
    <col min="2313" max="2313" width="14.7109375" style="79" customWidth="1"/>
    <col min="2314" max="2315" width="16.42578125" style="79" customWidth="1"/>
    <col min="2316" max="2316" width="17" style="79" bestFit="1" customWidth="1"/>
    <col min="2317" max="2317" width="16.5703125" style="79" customWidth="1"/>
    <col min="2318" max="2318" width="31.5703125" style="79" bestFit="1" customWidth="1"/>
    <col min="2319" max="2319" width="28" style="79" bestFit="1" customWidth="1"/>
    <col min="2320" max="2560" width="9.140625" style="79"/>
    <col min="2561" max="2561" width="14.5703125" style="79" bestFit="1" customWidth="1"/>
    <col min="2562" max="2562" width="1.7109375" style="79" bestFit="1" customWidth="1"/>
    <col min="2563" max="2563" width="25.42578125" style="79" customWidth="1"/>
    <col min="2564" max="2564" width="18.42578125" style="79" bestFit="1" customWidth="1"/>
    <col min="2565" max="2565" width="6.42578125" style="79" bestFit="1" customWidth="1"/>
    <col min="2566" max="2566" width="20.140625" style="79" customWidth="1"/>
    <col min="2567" max="2567" width="12" style="79" customWidth="1"/>
    <col min="2568" max="2568" width="11.5703125" style="79" customWidth="1"/>
    <col min="2569" max="2569" width="14.7109375" style="79" customWidth="1"/>
    <col min="2570" max="2571" width="16.42578125" style="79" customWidth="1"/>
    <col min="2572" max="2572" width="17" style="79" bestFit="1" customWidth="1"/>
    <col min="2573" max="2573" width="16.5703125" style="79" customWidth="1"/>
    <col min="2574" max="2574" width="31.5703125" style="79" bestFit="1" customWidth="1"/>
    <col min="2575" max="2575" width="28" style="79" bestFit="1" customWidth="1"/>
    <col min="2576" max="2816" width="9.140625" style="79"/>
    <col min="2817" max="2817" width="14.5703125" style="79" bestFit="1" customWidth="1"/>
    <col min="2818" max="2818" width="1.7109375" style="79" bestFit="1" customWidth="1"/>
    <col min="2819" max="2819" width="25.42578125" style="79" customWidth="1"/>
    <col min="2820" max="2820" width="18.42578125" style="79" bestFit="1" customWidth="1"/>
    <col min="2821" max="2821" width="6.42578125" style="79" bestFit="1" customWidth="1"/>
    <col min="2822" max="2822" width="20.140625" style="79" customWidth="1"/>
    <col min="2823" max="2823" width="12" style="79" customWidth="1"/>
    <col min="2824" max="2824" width="11.5703125" style="79" customWidth="1"/>
    <col min="2825" max="2825" width="14.7109375" style="79" customWidth="1"/>
    <col min="2826" max="2827" width="16.42578125" style="79" customWidth="1"/>
    <col min="2828" max="2828" width="17" style="79" bestFit="1" customWidth="1"/>
    <col min="2829" max="2829" width="16.5703125" style="79" customWidth="1"/>
    <col min="2830" max="2830" width="31.5703125" style="79" bestFit="1" customWidth="1"/>
    <col min="2831" max="2831" width="28" style="79" bestFit="1" customWidth="1"/>
    <col min="2832" max="3072" width="9.140625" style="79"/>
    <col min="3073" max="3073" width="14.5703125" style="79" bestFit="1" customWidth="1"/>
    <col min="3074" max="3074" width="1.7109375" style="79" bestFit="1" customWidth="1"/>
    <col min="3075" max="3075" width="25.42578125" style="79" customWidth="1"/>
    <col min="3076" max="3076" width="18.42578125" style="79" bestFit="1" customWidth="1"/>
    <col min="3077" max="3077" width="6.42578125" style="79" bestFit="1" customWidth="1"/>
    <col min="3078" max="3078" width="20.140625" style="79" customWidth="1"/>
    <col min="3079" max="3079" width="12" style="79" customWidth="1"/>
    <col min="3080" max="3080" width="11.5703125" style="79" customWidth="1"/>
    <col min="3081" max="3081" width="14.7109375" style="79" customWidth="1"/>
    <col min="3082" max="3083" width="16.42578125" style="79" customWidth="1"/>
    <col min="3084" max="3084" width="17" style="79" bestFit="1" customWidth="1"/>
    <col min="3085" max="3085" width="16.5703125" style="79" customWidth="1"/>
    <col min="3086" max="3086" width="31.5703125" style="79" bestFit="1" customWidth="1"/>
    <col min="3087" max="3087" width="28" style="79" bestFit="1" customWidth="1"/>
    <col min="3088" max="3328" width="9.140625" style="79"/>
    <col min="3329" max="3329" width="14.5703125" style="79" bestFit="1" customWidth="1"/>
    <col min="3330" max="3330" width="1.7109375" style="79" bestFit="1" customWidth="1"/>
    <col min="3331" max="3331" width="25.42578125" style="79" customWidth="1"/>
    <col min="3332" max="3332" width="18.42578125" style="79" bestFit="1" customWidth="1"/>
    <col min="3333" max="3333" width="6.42578125" style="79" bestFit="1" customWidth="1"/>
    <col min="3334" max="3334" width="20.140625" style="79" customWidth="1"/>
    <col min="3335" max="3335" width="12" style="79" customWidth="1"/>
    <col min="3336" max="3336" width="11.5703125" style="79" customWidth="1"/>
    <col min="3337" max="3337" width="14.7109375" style="79" customWidth="1"/>
    <col min="3338" max="3339" width="16.42578125" style="79" customWidth="1"/>
    <col min="3340" max="3340" width="17" style="79" bestFit="1" customWidth="1"/>
    <col min="3341" max="3341" width="16.5703125" style="79" customWidth="1"/>
    <col min="3342" max="3342" width="31.5703125" style="79" bestFit="1" customWidth="1"/>
    <col min="3343" max="3343" width="28" style="79" bestFit="1" customWidth="1"/>
    <col min="3344" max="3584" width="9.140625" style="79"/>
    <col min="3585" max="3585" width="14.5703125" style="79" bestFit="1" customWidth="1"/>
    <col min="3586" max="3586" width="1.7109375" style="79" bestFit="1" customWidth="1"/>
    <col min="3587" max="3587" width="25.42578125" style="79" customWidth="1"/>
    <col min="3588" max="3588" width="18.42578125" style="79" bestFit="1" customWidth="1"/>
    <col min="3589" max="3589" width="6.42578125" style="79" bestFit="1" customWidth="1"/>
    <col min="3590" max="3590" width="20.140625" style="79" customWidth="1"/>
    <col min="3591" max="3591" width="12" style="79" customWidth="1"/>
    <col min="3592" max="3592" width="11.5703125" style="79" customWidth="1"/>
    <col min="3593" max="3593" width="14.7109375" style="79" customWidth="1"/>
    <col min="3594" max="3595" width="16.42578125" style="79" customWidth="1"/>
    <col min="3596" max="3596" width="17" style="79" bestFit="1" customWidth="1"/>
    <col min="3597" max="3597" width="16.5703125" style="79" customWidth="1"/>
    <col min="3598" max="3598" width="31.5703125" style="79" bestFit="1" customWidth="1"/>
    <col min="3599" max="3599" width="28" style="79" bestFit="1" customWidth="1"/>
    <col min="3600" max="3840" width="9.140625" style="79"/>
    <col min="3841" max="3841" width="14.5703125" style="79" bestFit="1" customWidth="1"/>
    <col min="3842" max="3842" width="1.7109375" style="79" bestFit="1" customWidth="1"/>
    <col min="3843" max="3843" width="25.42578125" style="79" customWidth="1"/>
    <col min="3844" max="3844" width="18.42578125" style="79" bestFit="1" customWidth="1"/>
    <col min="3845" max="3845" width="6.42578125" style="79" bestFit="1" customWidth="1"/>
    <col min="3846" max="3846" width="20.140625" style="79" customWidth="1"/>
    <col min="3847" max="3847" width="12" style="79" customWidth="1"/>
    <col min="3848" max="3848" width="11.5703125" style="79" customWidth="1"/>
    <col min="3849" max="3849" width="14.7109375" style="79" customWidth="1"/>
    <col min="3850" max="3851" width="16.42578125" style="79" customWidth="1"/>
    <col min="3852" max="3852" width="17" style="79" bestFit="1" customWidth="1"/>
    <col min="3853" max="3853" width="16.5703125" style="79" customWidth="1"/>
    <col min="3854" max="3854" width="31.5703125" style="79" bestFit="1" customWidth="1"/>
    <col min="3855" max="3855" width="28" style="79" bestFit="1" customWidth="1"/>
    <col min="3856" max="4096" width="9.140625" style="79"/>
    <col min="4097" max="4097" width="14.5703125" style="79" bestFit="1" customWidth="1"/>
    <col min="4098" max="4098" width="1.7109375" style="79" bestFit="1" customWidth="1"/>
    <col min="4099" max="4099" width="25.42578125" style="79" customWidth="1"/>
    <col min="4100" max="4100" width="18.42578125" style="79" bestFit="1" customWidth="1"/>
    <col min="4101" max="4101" width="6.42578125" style="79" bestFit="1" customWidth="1"/>
    <col min="4102" max="4102" width="20.140625" style="79" customWidth="1"/>
    <col min="4103" max="4103" width="12" style="79" customWidth="1"/>
    <col min="4104" max="4104" width="11.5703125" style="79" customWidth="1"/>
    <col min="4105" max="4105" width="14.7109375" style="79" customWidth="1"/>
    <col min="4106" max="4107" width="16.42578125" style="79" customWidth="1"/>
    <col min="4108" max="4108" width="17" style="79" bestFit="1" customWidth="1"/>
    <col min="4109" max="4109" width="16.5703125" style="79" customWidth="1"/>
    <col min="4110" max="4110" width="31.5703125" style="79" bestFit="1" customWidth="1"/>
    <col min="4111" max="4111" width="28" style="79" bestFit="1" customWidth="1"/>
    <col min="4112" max="4352" width="9.140625" style="79"/>
    <col min="4353" max="4353" width="14.5703125" style="79" bestFit="1" customWidth="1"/>
    <col min="4354" max="4354" width="1.7109375" style="79" bestFit="1" customWidth="1"/>
    <col min="4355" max="4355" width="25.42578125" style="79" customWidth="1"/>
    <col min="4356" max="4356" width="18.42578125" style="79" bestFit="1" customWidth="1"/>
    <col min="4357" max="4357" width="6.42578125" style="79" bestFit="1" customWidth="1"/>
    <col min="4358" max="4358" width="20.140625" style="79" customWidth="1"/>
    <col min="4359" max="4359" width="12" style="79" customWidth="1"/>
    <col min="4360" max="4360" width="11.5703125" style="79" customWidth="1"/>
    <col min="4361" max="4361" width="14.7109375" style="79" customWidth="1"/>
    <col min="4362" max="4363" width="16.42578125" style="79" customWidth="1"/>
    <col min="4364" max="4364" width="17" style="79" bestFit="1" customWidth="1"/>
    <col min="4365" max="4365" width="16.5703125" style="79" customWidth="1"/>
    <col min="4366" max="4366" width="31.5703125" style="79" bestFit="1" customWidth="1"/>
    <col min="4367" max="4367" width="28" style="79" bestFit="1" customWidth="1"/>
    <col min="4368" max="4608" width="9.140625" style="79"/>
    <col min="4609" max="4609" width="14.5703125" style="79" bestFit="1" customWidth="1"/>
    <col min="4610" max="4610" width="1.7109375" style="79" bestFit="1" customWidth="1"/>
    <col min="4611" max="4611" width="25.42578125" style="79" customWidth="1"/>
    <col min="4612" max="4612" width="18.42578125" style="79" bestFit="1" customWidth="1"/>
    <col min="4613" max="4613" width="6.42578125" style="79" bestFit="1" customWidth="1"/>
    <col min="4614" max="4614" width="20.140625" style="79" customWidth="1"/>
    <col min="4615" max="4615" width="12" style="79" customWidth="1"/>
    <col min="4616" max="4616" width="11.5703125" style="79" customWidth="1"/>
    <col min="4617" max="4617" width="14.7109375" style="79" customWidth="1"/>
    <col min="4618" max="4619" width="16.42578125" style="79" customWidth="1"/>
    <col min="4620" max="4620" width="17" style="79" bestFit="1" customWidth="1"/>
    <col min="4621" max="4621" width="16.5703125" style="79" customWidth="1"/>
    <col min="4622" max="4622" width="31.5703125" style="79" bestFit="1" customWidth="1"/>
    <col min="4623" max="4623" width="28" style="79" bestFit="1" customWidth="1"/>
    <col min="4624" max="4864" width="9.140625" style="79"/>
    <col min="4865" max="4865" width="14.5703125" style="79" bestFit="1" customWidth="1"/>
    <col min="4866" max="4866" width="1.7109375" style="79" bestFit="1" customWidth="1"/>
    <col min="4867" max="4867" width="25.42578125" style="79" customWidth="1"/>
    <col min="4868" max="4868" width="18.42578125" style="79" bestFit="1" customWidth="1"/>
    <col min="4869" max="4869" width="6.42578125" style="79" bestFit="1" customWidth="1"/>
    <col min="4870" max="4870" width="20.140625" style="79" customWidth="1"/>
    <col min="4871" max="4871" width="12" style="79" customWidth="1"/>
    <col min="4872" max="4872" width="11.5703125" style="79" customWidth="1"/>
    <col min="4873" max="4873" width="14.7109375" style="79" customWidth="1"/>
    <col min="4874" max="4875" width="16.42578125" style="79" customWidth="1"/>
    <col min="4876" max="4876" width="17" style="79" bestFit="1" customWidth="1"/>
    <col min="4877" max="4877" width="16.5703125" style="79" customWidth="1"/>
    <col min="4878" max="4878" width="31.5703125" style="79" bestFit="1" customWidth="1"/>
    <col min="4879" max="4879" width="28" style="79" bestFit="1" customWidth="1"/>
    <col min="4880" max="5120" width="9.140625" style="79"/>
    <col min="5121" max="5121" width="14.5703125" style="79" bestFit="1" customWidth="1"/>
    <col min="5122" max="5122" width="1.7109375" style="79" bestFit="1" customWidth="1"/>
    <col min="5123" max="5123" width="25.42578125" style="79" customWidth="1"/>
    <col min="5124" max="5124" width="18.42578125" style="79" bestFit="1" customWidth="1"/>
    <col min="5125" max="5125" width="6.42578125" style="79" bestFit="1" customWidth="1"/>
    <col min="5126" max="5126" width="20.140625" style="79" customWidth="1"/>
    <col min="5127" max="5127" width="12" style="79" customWidth="1"/>
    <col min="5128" max="5128" width="11.5703125" style="79" customWidth="1"/>
    <col min="5129" max="5129" width="14.7109375" style="79" customWidth="1"/>
    <col min="5130" max="5131" width="16.42578125" style="79" customWidth="1"/>
    <col min="5132" max="5132" width="17" style="79" bestFit="1" customWidth="1"/>
    <col min="5133" max="5133" width="16.5703125" style="79" customWidth="1"/>
    <col min="5134" max="5134" width="31.5703125" style="79" bestFit="1" customWidth="1"/>
    <col min="5135" max="5135" width="28" style="79" bestFit="1" customWidth="1"/>
    <col min="5136" max="5376" width="9.140625" style="79"/>
    <col min="5377" max="5377" width="14.5703125" style="79" bestFit="1" customWidth="1"/>
    <col min="5378" max="5378" width="1.7109375" style="79" bestFit="1" customWidth="1"/>
    <col min="5379" max="5379" width="25.42578125" style="79" customWidth="1"/>
    <col min="5380" max="5380" width="18.42578125" style="79" bestFit="1" customWidth="1"/>
    <col min="5381" max="5381" width="6.42578125" style="79" bestFit="1" customWidth="1"/>
    <col min="5382" max="5382" width="20.140625" style="79" customWidth="1"/>
    <col min="5383" max="5383" width="12" style="79" customWidth="1"/>
    <col min="5384" max="5384" width="11.5703125" style="79" customWidth="1"/>
    <col min="5385" max="5385" width="14.7109375" style="79" customWidth="1"/>
    <col min="5386" max="5387" width="16.42578125" style="79" customWidth="1"/>
    <col min="5388" max="5388" width="17" style="79" bestFit="1" customWidth="1"/>
    <col min="5389" max="5389" width="16.5703125" style="79" customWidth="1"/>
    <col min="5390" max="5390" width="31.5703125" style="79" bestFit="1" customWidth="1"/>
    <col min="5391" max="5391" width="28" style="79" bestFit="1" customWidth="1"/>
    <col min="5392" max="5632" width="9.140625" style="79"/>
    <col min="5633" max="5633" width="14.5703125" style="79" bestFit="1" customWidth="1"/>
    <col min="5634" max="5634" width="1.7109375" style="79" bestFit="1" customWidth="1"/>
    <col min="5635" max="5635" width="25.42578125" style="79" customWidth="1"/>
    <col min="5636" max="5636" width="18.42578125" style="79" bestFit="1" customWidth="1"/>
    <col min="5637" max="5637" width="6.42578125" style="79" bestFit="1" customWidth="1"/>
    <col min="5638" max="5638" width="20.140625" style="79" customWidth="1"/>
    <col min="5639" max="5639" width="12" style="79" customWidth="1"/>
    <col min="5640" max="5640" width="11.5703125" style="79" customWidth="1"/>
    <col min="5641" max="5641" width="14.7109375" style="79" customWidth="1"/>
    <col min="5642" max="5643" width="16.42578125" style="79" customWidth="1"/>
    <col min="5644" max="5644" width="17" style="79" bestFit="1" customWidth="1"/>
    <col min="5645" max="5645" width="16.5703125" style="79" customWidth="1"/>
    <col min="5646" max="5646" width="31.5703125" style="79" bestFit="1" customWidth="1"/>
    <col min="5647" max="5647" width="28" style="79" bestFit="1" customWidth="1"/>
    <col min="5648" max="5888" width="9.140625" style="79"/>
    <col min="5889" max="5889" width="14.5703125" style="79" bestFit="1" customWidth="1"/>
    <col min="5890" max="5890" width="1.7109375" style="79" bestFit="1" customWidth="1"/>
    <col min="5891" max="5891" width="25.42578125" style="79" customWidth="1"/>
    <col min="5892" max="5892" width="18.42578125" style="79" bestFit="1" customWidth="1"/>
    <col min="5893" max="5893" width="6.42578125" style="79" bestFit="1" customWidth="1"/>
    <col min="5894" max="5894" width="20.140625" style="79" customWidth="1"/>
    <col min="5895" max="5895" width="12" style="79" customWidth="1"/>
    <col min="5896" max="5896" width="11.5703125" style="79" customWidth="1"/>
    <col min="5897" max="5897" width="14.7109375" style="79" customWidth="1"/>
    <col min="5898" max="5899" width="16.42578125" style="79" customWidth="1"/>
    <col min="5900" max="5900" width="17" style="79" bestFit="1" customWidth="1"/>
    <col min="5901" max="5901" width="16.5703125" style="79" customWidth="1"/>
    <col min="5902" max="5902" width="31.5703125" style="79" bestFit="1" customWidth="1"/>
    <col min="5903" max="5903" width="28" style="79" bestFit="1" customWidth="1"/>
    <col min="5904" max="6144" width="9.140625" style="79"/>
    <col min="6145" max="6145" width="14.5703125" style="79" bestFit="1" customWidth="1"/>
    <col min="6146" max="6146" width="1.7109375" style="79" bestFit="1" customWidth="1"/>
    <col min="6147" max="6147" width="25.42578125" style="79" customWidth="1"/>
    <col min="6148" max="6148" width="18.42578125" style="79" bestFit="1" customWidth="1"/>
    <col min="6149" max="6149" width="6.42578125" style="79" bestFit="1" customWidth="1"/>
    <col min="6150" max="6150" width="20.140625" style="79" customWidth="1"/>
    <col min="6151" max="6151" width="12" style="79" customWidth="1"/>
    <col min="6152" max="6152" width="11.5703125" style="79" customWidth="1"/>
    <col min="6153" max="6153" width="14.7109375" style="79" customWidth="1"/>
    <col min="6154" max="6155" width="16.42578125" style="79" customWidth="1"/>
    <col min="6156" max="6156" width="17" style="79" bestFit="1" customWidth="1"/>
    <col min="6157" max="6157" width="16.5703125" style="79" customWidth="1"/>
    <col min="6158" max="6158" width="31.5703125" style="79" bestFit="1" customWidth="1"/>
    <col min="6159" max="6159" width="28" style="79" bestFit="1" customWidth="1"/>
    <col min="6160" max="6400" width="9.140625" style="79"/>
    <col min="6401" max="6401" width="14.5703125" style="79" bestFit="1" customWidth="1"/>
    <col min="6402" max="6402" width="1.7109375" style="79" bestFit="1" customWidth="1"/>
    <col min="6403" max="6403" width="25.42578125" style="79" customWidth="1"/>
    <col min="6404" max="6404" width="18.42578125" style="79" bestFit="1" customWidth="1"/>
    <col min="6405" max="6405" width="6.42578125" style="79" bestFit="1" customWidth="1"/>
    <col min="6406" max="6406" width="20.140625" style="79" customWidth="1"/>
    <col min="6407" max="6407" width="12" style="79" customWidth="1"/>
    <col min="6408" max="6408" width="11.5703125" style="79" customWidth="1"/>
    <col min="6409" max="6409" width="14.7109375" style="79" customWidth="1"/>
    <col min="6410" max="6411" width="16.42578125" style="79" customWidth="1"/>
    <col min="6412" max="6412" width="17" style="79" bestFit="1" customWidth="1"/>
    <col min="6413" max="6413" width="16.5703125" style="79" customWidth="1"/>
    <col min="6414" max="6414" width="31.5703125" style="79" bestFit="1" customWidth="1"/>
    <col min="6415" max="6415" width="28" style="79" bestFit="1" customWidth="1"/>
    <col min="6416" max="6656" width="9.140625" style="79"/>
    <col min="6657" max="6657" width="14.5703125" style="79" bestFit="1" customWidth="1"/>
    <col min="6658" max="6658" width="1.7109375" style="79" bestFit="1" customWidth="1"/>
    <col min="6659" max="6659" width="25.42578125" style="79" customWidth="1"/>
    <col min="6660" max="6660" width="18.42578125" style="79" bestFit="1" customWidth="1"/>
    <col min="6661" max="6661" width="6.42578125" style="79" bestFit="1" customWidth="1"/>
    <col min="6662" max="6662" width="20.140625" style="79" customWidth="1"/>
    <col min="6663" max="6663" width="12" style="79" customWidth="1"/>
    <col min="6664" max="6664" width="11.5703125" style="79" customWidth="1"/>
    <col min="6665" max="6665" width="14.7109375" style="79" customWidth="1"/>
    <col min="6666" max="6667" width="16.42578125" style="79" customWidth="1"/>
    <col min="6668" max="6668" width="17" style="79" bestFit="1" customWidth="1"/>
    <col min="6669" max="6669" width="16.5703125" style="79" customWidth="1"/>
    <col min="6670" max="6670" width="31.5703125" style="79" bestFit="1" customWidth="1"/>
    <col min="6671" max="6671" width="28" style="79" bestFit="1" customWidth="1"/>
    <col min="6672" max="6912" width="9.140625" style="79"/>
    <col min="6913" max="6913" width="14.5703125" style="79" bestFit="1" customWidth="1"/>
    <col min="6914" max="6914" width="1.7109375" style="79" bestFit="1" customWidth="1"/>
    <col min="6915" max="6915" width="25.42578125" style="79" customWidth="1"/>
    <col min="6916" max="6916" width="18.42578125" style="79" bestFit="1" customWidth="1"/>
    <col min="6917" max="6917" width="6.42578125" style="79" bestFit="1" customWidth="1"/>
    <col min="6918" max="6918" width="20.140625" style="79" customWidth="1"/>
    <col min="6919" max="6919" width="12" style="79" customWidth="1"/>
    <col min="6920" max="6920" width="11.5703125" style="79" customWidth="1"/>
    <col min="6921" max="6921" width="14.7109375" style="79" customWidth="1"/>
    <col min="6922" max="6923" width="16.42578125" style="79" customWidth="1"/>
    <col min="6924" max="6924" width="17" style="79" bestFit="1" customWidth="1"/>
    <col min="6925" max="6925" width="16.5703125" style="79" customWidth="1"/>
    <col min="6926" max="6926" width="31.5703125" style="79" bestFit="1" customWidth="1"/>
    <col min="6927" max="6927" width="28" style="79" bestFit="1" customWidth="1"/>
    <col min="6928" max="7168" width="9.140625" style="79"/>
    <col min="7169" max="7169" width="14.5703125" style="79" bestFit="1" customWidth="1"/>
    <col min="7170" max="7170" width="1.7109375" style="79" bestFit="1" customWidth="1"/>
    <col min="7171" max="7171" width="25.42578125" style="79" customWidth="1"/>
    <col min="7172" max="7172" width="18.42578125" style="79" bestFit="1" customWidth="1"/>
    <col min="7173" max="7173" width="6.42578125" style="79" bestFit="1" customWidth="1"/>
    <col min="7174" max="7174" width="20.140625" style="79" customWidth="1"/>
    <col min="7175" max="7175" width="12" style="79" customWidth="1"/>
    <col min="7176" max="7176" width="11.5703125" style="79" customWidth="1"/>
    <col min="7177" max="7177" width="14.7109375" style="79" customWidth="1"/>
    <col min="7178" max="7179" width="16.42578125" style="79" customWidth="1"/>
    <col min="7180" max="7180" width="17" style="79" bestFit="1" customWidth="1"/>
    <col min="7181" max="7181" width="16.5703125" style="79" customWidth="1"/>
    <col min="7182" max="7182" width="31.5703125" style="79" bestFit="1" customWidth="1"/>
    <col min="7183" max="7183" width="28" style="79" bestFit="1" customWidth="1"/>
    <col min="7184" max="7424" width="9.140625" style="79"/>
    <col min="7425" max="7425" width="14.5703125" style="79" bestFit="1" customWidth="1"/>
    <col min="7426" max="7426" width="1.7109375" style="79" bestFit="1" customWidth="1"/>
    <col min="7427" max="7427" width="25.42578125" style="79" customWidth="1"/>
    <col min="7428" max="7428" width="18.42578125" style="79" bestFit="1" customWidth="1"/>
    <col min="7429" max="7429" width="6.42578125" style="79" bestFit="1" customWidth="1"/>
    <col min="7430" max="7430" width="20.140625" style="79" customWidth="1"/>
    <col min="7431" max="7431" width="12" style="79" customWidth="1"/>
    <col min="7432" max="7432" width="11.5703125" style="79" customWidth="1"/>
    <col min="7433" max="7433" width="14.7109375" style="79" customWidth="1"/>
    <col min="7434" max="7435" width="16.42578125" style="79" customWidth="1"/>
    <col min="7436" max="7436" width="17" style="79" bestFit="1" customWidth="1"/>
    <col min="7437" max="7437" width="16.5703125" style="79" customWidth="1"/>
    <col min="7438" max="7438" width="31.5703125" style="79" bestFit="1" customWidth="1"/>
    <col min="7439" max="7439" width="28" style="79" bestFit="1" customWidth="1"/>
    <col min="7440" max="7680" width="9.140625" style="79"/>
    <col min="7681" max="7681" width="14.5703125" style="79" bestFit="1" customWidth="1"/>
    <col min="7682" max="7682" width="1.7109375" style="79" bestFit="1" customWidth="1"/>
    <col min="7683" max="7683" width="25.42578125" style="79" customWidth="1"/>
    <col min="7684" max="7684" width="18.42578125" style="79" bestFit="1" customWidth="1"/>
    <col min="7685" max="7685" width="6.42578125" style="79" bestFit="1" customWidth="1"/>
    <col min="7686" max="7686" width="20.140625" style="79" customWidth="1"/>
    <col min="7687" max="7687" width="12" style="79" customWidth="1"/>
    <col min="7688" max="7688" width="11.5703125" style="79" customWidth="1"/>
    <col min="7689" max="7689" width="14.7109375" style="79" customWidth="1"/>
    <col min="7690" max="7691" width="16.42578125" style="79" customWidth="1"/>
    <col min="7692" max="7692" width="17" style="79" bestFit="1" customWidth="1"/>
    <col min="7693" max="7693" width="16.5703125" style="79" customWidth="1"/>
    <col min="7694" max="7694" width="31.5703125" style="79" bestFit="1" customWidth="1"/>
    <col min="7695" max="7695" width="28" style="79" bestFit="1" customWidth="1"/>
    <col min="7696" max="7936" width="9.140625" style="79"/>
    <col min="7937" max="7937" width="14.5703125" style="79" bestFit="1" customWidth="1"/>
    <col min="7938" max="7938" width="1.7109375" style="79" bestFit="1" customWidth="1"/>
    <col min="7939" max="7939" width="25.42578125" style="79" customWidth="1"/>
    <col min="7940" max="7940" width="18.42578125" style="79" bestFit="1" customWidth="1"/>
    <col min="7941" max="7941" width="6.42578125" style="79" bestFit="1" customWidth="1"/>
    <col min="7942" max="7942" width="20.140625" style="79" customWidth="1"/>
    <col min="7943" max="7943" width="12" style="79" customWidth="1"/>
    <col min="7944" max="7944" width="11.5703125" style="79" customWidth="1"/>
    <col min="7945" max="7945" width="14.7109375" style="79" customWidth="1"/>
    <col min="7946" max="7947" width="16.42578125" style="79" customWidth="1"/>
    <col min="7948" max="7948" width="17" style="79" bestFit="1" customWidth="1"/>
    <col min="7949" max="7949" width="16.5703125" style="79" customWidth="1"/>
    <col min="7950" max="7950" width="31.5703125" style="79" bestFit="1" customWidth="1"/>
    <col min="7951" max="7951" width="28" style="79" bestFit="1" customWidth="1"/>
    <col min="7952" max="8192" width="9.140625" style="79"/>
    <col min="8193" max="8193" width="14.5703125" style="79" bestFit="1" customWidth="1"/>
    <col min="8194" max="8194" width="1.7109375" style="79" bestFit="1" customWidth="1"/>
    <col min="8195" max="8195" width="25.42578125" style="79" customWidth="1"/>
    <col min="8196" max="8196" width="18.42578125" style="79" bestFit="1" customWidth="1"/>
    <col min="8197" max="8197" width="6.42578125" style="79" bestFit="1" customWidth="1"/>
    <col min="8198" max="8198" width="20.140625" style="79" customWidth="1"/>
    <col min="8199" max="8199" width="12" style="79" customWidth="1"/>
    <col min="8200" max="8200" width="11.5703125" style="79" customWidth="1"/>
    <col min="8201" max="8201" width="14.7109375" style="79" customWidth="1"/>
    <col min="8202" max="8203" width="16.42578125" style="79" customWidth="1"/>
    <col min="8204" max="8204" width="17" style="79" bestFit="1" customWidth="1"/>
    <col min="8205" max="8205" width="16.5703125" style="79" customWidth="1"/>
    <col min="8206" max="8206" width="31.5703125" style="79" bestFit="1" customWidth="1"/>
    <col min="8207" max="8207" width="28" style="79" bestFit="1" customWidth="1"/>
    <col min="8208" max="8448" width="9.140625" style="79"/>
    <col min="8449" max="8449" width="14.5703125" style="79" bestFit="1" customWidth="1"/>
    <col min="8450" max="8450" width="1.7109375" style="79" bestFit="1" customWidth="1"/>
    <col min="8451" max="8451" width="25.42578125" style="79" customWidth="1"/>
    <col min="8452" max="8452" width="18.42578125" style="79" bestFit="1" customWidth="1"/>
    <col min="8453" max="8453" width="6.42578125" style="79" bestFit="1" customWidth="1"/>
    <col min="8454" max="8454" width="20.140625" style="79" customWidth="1"/>
    <col min="8455" max="8455" width="12" style="79" customWidth="1"/>
    <col min="8456" max="8456" width="11.5703125" style="79" customWidth="1"/>
    <col min="8457" max="8457" width="14.7109375" style="79" customWidth="1"/>
    <col min="8458" max="8459" width="16.42578125" style="79" customWidth="1"/>
    <col min="8460" max="8460" width="17" style="79" bestFit="1" customWidth="1"/>
    <col min="8461" max="8461" width="16.5703125" style="79" customWidth="1"/>
    <col min="8462" max="8462" width="31.5703125" style="79" bestFit="1" customWidth="1"/>
    <col min="8463" max="8463" width="28" style="79" bestFit="1" customWidth="1"/>
    <col min="8464" max="8704" width="9.140625" style="79"/>
    <col min="8705" max="8705" width="14.5703125" style="79" bestFit="1" customWidth="1"/>
    <col min="8706" max="8706" width="1.7109375" style="79" bestFit="1" customWidth="1"/>
    <col min="8707" max="8707" width="25.42578125" style="79" customWidth="1"/>
    <col min="8708" max="8708" width="18.42578125" style="79" bestFit="1" customWidth="1"/>
    <col min="8709" max="8709" width="6.42578125" style="79" bestFit="1" customWidth="1"/>
    <col min="8710" max="8710" width="20.140625" style="79" customWidth="1"/>
    <col min="8711" max="8711" width="12" style="79" customWidth="1"/>
    <col min="8712" max="8712" width="11.5703125" style="79" customWidth="1"/>
    <col min="8713" max="8713" width="14.7109375" style="79" customWidth="1"/>
    <col min="8714" max="8715" width="16.42578125" style="79" customWidth="1"/>
    <col min="8716" max="8716" width="17" style="79" bestFit="1" customWidth="1"/>
    <col min="8717" max="8717" width="16.5703125" style="79" customWidth="1"/>
    <col min="8718" max="8718" width="31.5703125" style="79" bestFit="1" customWidth="1"/>
    <col min="8719" max="8719" width="28" style="79" bestFit="1" customWidth="1"/>
    <col min="8720" max="8960" width="9.140625" style="79"/>
    <col min="8961" max="8961" width="14.5703125" style="79" bestFit="1" customWidth="1"/>
    <col min="8962" max="8962" width="1.7109375" style="79" bestFit="1" customWidth="1"/>
    <col min="8963" max="8963" width="25.42578125" style="79" customWidth="1"/>
    <col min="8964" max="8964" width="18.42578125" style="79" bestFit="1" customWidth="1"/>
    <col min="8965" max="8965" width="6.42578125" style="79" bestFit="1" customWidth="1"/>
    <col min="8966" max="8966" width="20.140625" style="79" customWidth="1"/>
    <col min="8967" max="8967" width="12" style="79" customWidth="1"/>
    <col min="8968" max="8968" width="11.5703125" style="79" customWidth="1"/>
    <col min="8969" max="8969" width="14.7109375" style="79" customWidth="1"/>
    <col min="8970" max="8971" width="16.42578125" style="79" customWidth="1"/>
    <col min="8972" max="8972" width="17" style="79" bestFit="1" customWidth="1"/>
    <col min="8973" max="8973" width="16.5703125" style="79" customWidth="1"/>
    <col min="8974" max="8974" width="31.5703125" style="79" bestFit="1" customWidth="1"/>
    <col min="8975" max="8975" width="28" style="79" bestFit="1" customWidth="1"/>
    <col min="8976" max="9216" width="9.140625" style="79"/>
    <col min="9217" max="9217" width="14.5703125" style="79" bestFit="1" customWidth="1"/>
    <col min="9218" max="9218" width="1.7109375" style="79" bestFit="1" customWidth="1"/>
    <col min="9219" max="9219" width="25.42578125" style="79" customWidth="1"/>
    <col min="9220" max="9220" width="18.42578125" style="79" bestFit="1" customWidth="1"/>
    <col min="9221" max="9221" width="6.42578125" style="79" bestFit="1" customWidth="1"/>
    <col min="9222" max="9222" width="20.140625" style="79" customWidth="1"/>
    <col min="9223" max="9223" width="12" style="79" customWidth="1"/>
    <col min="9224" max="9224" width="11.5703125" style="79" customWidth="1"/>
    <col min="9225" max="9225" width="14.7109375" style="79" customWidth="1"/>
    <col min="9226" max="9227" width="16.42578125" style="79" customWidth="1"/>
    <col min="9228" max="9228" width="17" style="79" bestFit="1" customWidth="1"/>
    <col min="9229" max="9229" width="16.5703125" style="79" customWidth="1"/>
    <col min="9230" max="9230" width="31.5703125" style="79" bestFit="1" customWidth="1"/>
    <col min="9231" max="9231" width="28" style="79" bestFit="1" customWidth="1"/>
    <col min="9232" max="9472" width="9.140625" style="79"/>
    <col min="9473" max="9473" width="14.5703125" style="79" bestFit="1" customWidth="1"/>
    <col min="9474" max="9474" width="1.7109375" style="79" bestFit="1" customWidth="1"/>
    <col min="9475" max="9475" width="25.42578125" style="79" customWidth="1"/>
    <col min="9476" max="9476" width="18.42578125" style="79" bestFit="1" customWidth="1"/>
    <col min="9477" max="9477" width="6.42578125" style="79" bestFit="1" customWidth="1"/>
    <col min="9478" max="9478" width="20.140625" style="79" customWidth="1"/>
    <col min="9479" max="9479" width="12" style="79" customWidth="1"/>
    <col min="9480" max="9480" width="11.5703125" style="79" customWidth="1"/>
    <col min="9481" max="9481" width="14.7109375" style="79" customWidth="1"/>
    <col min="9482" max="9483" width="16.42578125" style="79" customWidth="1"/>
    <col min="9484" max="9484" width="17" style="79" bestFit="1" customWidth="1"/>
    <col min="9485" max="9485" width="16.5703125" style="79" customWidth="1"/>
    <col min="9486" max="9486" width="31.5703125" style="79" bestFit="1" customWidth="1"/>
    <col min="9487" max="9487" width="28" style="79" bestFit="1" customWidth="1"/>
    <col min="9488" max="9728" width="9.140625" style="79"/>
    <col min="9729" max="9729" width="14.5703125" style="79" bestFit="1" customWidth="1"/>
    <col min="9730" max="9730" width="1.7109375" style="79" bestFit="1" customWidth="1"/>
    <col min="9731" max="9731" width="25.42578125" style="79" customWidth="1"/>
    <col min="9732" max="9732" width="18.42578125" style="79" bestFit="1" customWidth="1"/>
    <col min="9733" max="9733" width="6.42578125" style="79" bestFit="1" customWidth="1"/>
    <col min="9734" max="9734" width="20.140625" style="79" customWidth="1"/>
    <col min="9735" max="9735" width="12" style="79" customWidth="1"/>
    <col min="9736" max="9736" width="11.5703125" style="79" customWidth="1"/>
    <col min="9737" max="9737" width="14.7109375" style="79" customWidth="1"/>
    <col min="9738" max="9739" width="16.42578125" style="79" customWidth="1"/>
    <col min="9740" max="9740" width="17" style="79" bestFit="1" customWidth="1"/>
    <col min="9741" max="9741" width="16.5703125" style="79" customWidth="1"/>
    <col min="9742" max="9742" width="31.5703125" style="79" bestFit="1" customWidth="1"/>
    <col min="9743" max="9743" width="28" style="79" bestFit="1" customWidth="1"/>
    <col min="9744" max="9984" width="9.140625" style="79"/>
    <col min="9985" max="9985" width="14.5703125" style="79" bestFit="1" customWidth="1"/>
    <col min="9986" max="9986" width="1.7109375" style="79" bestFit="1" customWidth="1"/>
    <col min="9987" max="9987" width="25.42578125" style="79" customWidth="1"/>
    <col min="9988" max="9988" width="18.42578125" style="79" bestFit="1" customWidth="1"/>
    <col min="9989" max="9989" width="6.42578125" style="79" bestFit="1" customWidth="1"/>
    <col min="9990" max="9990" width="20.140625" style="79" customWidth="1"/>
    <col min="9991" max="9991" width="12" style="79" customWidth="1"/>
    <col min="9992" max="9992" width="11.5703125" style="79" customWidth="1"/>
    <col min="9993" max="9993" width="14.7109375" style="79" customWidth="1"/>
    <col min="9994" max="9995" width="16.42578125" style="79" customWidth="1"/>
    <col min="9996" max="9996" width="17" style="79" bestFit="1" customWidth="1"/>
    <col min="9997" max="9997" width="16.5703125" style="79" customWidth="1"/>
    <col min="9998" max="9998" width="31.5703125" style="79" bestFit="1" customWidth="1"/>
    <col min="9999" max="9999" width="28" style="79" bestFit="1" customWidth="1"/>
    <col min="10000" max="10240" width="9.140625" style="79"/>
    <col min="10241" max="10241" width="14.5703125" style="79" bestFit="1" customWidth="1"/>
    <col min="10242" max="10242" width="1.7109375" style="79" bestFit="1" customWidth="1"/>
    <col min="10243" max="10243" width="25.42578125" style="79" customWidth="1"/>
    <col min="10244" max="10244" width="18.42578125" style="79" bestFit="1" customWidth="1"/>
    <col min="10245" max="10245" width="6.42578125" style="79" bestFit="1" customWidth="1"/>
    <col min="10246" max="10246" width="20.140625" style="79" customWidth="1"/>
    <col min="10247" max="10247" width="12" style="79" customWidth="1"/>
    <col min="10248" max="10248" width="11.5703125" style="79" customWidth="1"/>
    <col min="10249" max="10249" width="14.7109375" style="79" customWidth="1"/>
    <col min="10250" max="10251" width="16.42578125" style="79" customWidth="1"/>
    <col min="10252" max="10252" width="17" style="79" bestFit="1" customWidth="1"/>
    <col min="10253" max="10253" width="16.5703125" style="79" customWidth="1"/>
    <col min="10254" max="10254" width="31.5703125" style="79" bestFit="1" customWidth="1"/>
    <col min="10255" max="10255" width="28" style="79" bestFit="1" customWidth="1"/>
    <col min="10256" max="10496" width="9.140625" style="79"/>
    <col min="10497" max="10497" width="14.5703125" style="79" bestFit="1" customWidth="1"/>
    <col min="10498" max="10498" width="1.7109375" style="79" bestFit="1" customWidth="1"/>
    <col min="10499" max="10499" width="25.42578125" style="79" customWidth="1"/>
    <col min="10500" max="10500" width="18.42578125" style="79" bestFit="1" customWidth="1"/>
    <col min="10501" max="10501" width="6.42578125" style="79" bestFit="1" customWidth="1"/>
    <col min="10502" max="10502" width="20.140625" style="79" customWidth="1"/>
    <col min="10503" max="10503" width="12" style="79" customWidth="1"/>
    <col min="10504" max="10504" width="11.5703125" style="79" customWidth="1"/>
    <col min="10505" max="10505" width="14.7109375" style="79" customWidth="1"/>
    <col min="10506" max="10507" width="16.42578125" style="79" customWidth="1"/>
    <col min="10508" max="10508" width="17" style="79" bestFit="1" customWidth="1"/>
    <col min="10509" max="10509" width="16.5703125" style="79" customWidth="1"/>
    <col min="10510" max="10510" width="31.5703125" style="79" bestFit="1" customWidth="1"/>
    <col min="10511" max="10511" width="28" style="79" bestFit="1" customWidth="1"/>
    <col min="10512" max="10752" width="9.140625" style="79"/>
    <col min="10753" max="10753" width="14.5703125" style="79" bestFit="1" customWidth="1"/>
    <col min="10754" max="10754" width="1.7109375" style="79" bestFit="1" customWidth="1"/>
    <col min="10755" max="10755" width="25.42578125" style="79" customWidth="1"/>
    <col min="10756" max="10756" width="18.42578125" style="79" bestFit="1" customWidth="1"/>
    <col min="10757" max="10757" width="6.42578125" style="79" bestFit="1" customWidth="1"/>
    <col min="10758" max="10758" width="20.140625" style="79" customWidth="1"/>
    <col min="10759" max="10759" width="12" style="79" customWidth="1"/>
    <col min="10760" max="10760" width="11.5703125" style="79" customWidth="1"/>
    <col min="10761" max="10761" width="14.7109375" style="79" customWidth="1"/>
    <col min="10762" max="10763" width="16.42578125" style="79" customWidth="1"/>
    <col min="10764" max="10764" width="17" style="79" bestFit="1" customWidth="1"/>
    <col min="10765" max="10765" width="16.5703125" style="79" customWidth="1"/>
    <col min="10766" max="10766" width="31.5703125" style="79" bestFit="1" customWidth="1"/>
    <col min="10767" max="10767" width="28" style="79" bestFit="1" customWidth="1"/>
    <col min="10768" max="11008" width="9.140625" style="79"/>
    <col min="11009" max="11009" width="14.5703125" style="79" bestFit="1" customWidth="1"/>
    <col min="11010" max="11010" width="1.7109375" style="79" bestFit="1" customWidth="1"/>
    <col min="11011" max="11011" width="25.42578125" style="79" customWidth="1"/>
    <col min="11012" max="11012" width="18.42578125" style="79" bestFit="1" customWidth="1"/>
    <col min="11013" max="11013" width="6.42578125" style="79" bestFit="1" customWidth="1"/>
    <col min="11014" max="11014" width="20.140625" style="79" customWidth="1"/>
    <col min="11015" max="11015" width="12" style="79" customWidth="1"/>
    <col min="11016" max="11016" width="11.5703125" style="79" customWidth="1"/>
    <col min="11017" max="11017" width="14.7109375" style="79" customWidth="1"/>
    <col min="11018" max="11019" width="16.42578125" style="79" customWidth="1"/>
    <col min="11020" max="11020" width="17" style="79" bestFit="1" customWidth="1"/>
    <col min="11021" max="11021" width="16.5703125" style="79" customWidth="1"/>
    <col min="11022" max="11022" width="31.5703125" style="79" bestFit="1" customWidth="1"/>
    <col min="11023" max="11023" width="28" style="79" bestFit="1" customWidth="1"/>
    <col min="11024" max="11264" width="9.140625" style="79"/>
    <col min="11265" max="11265" width="14.5703125" style="79" bestFit="1" customWidth="1"/>
    <col min="11266" max="11266" width="1.7109375" style="79" bestFit="1" customWidth="1"/>
    <col min="11267" max="11267" width="25.42578125" style="79" customWidth="1"/>
    <col min="11268" max="11268" width="18.42578125" style="79" bestFit="1" customWidth="1"/>
    <col min="11269" max="11269" width="6.42578125" style="79" bestFit="1" customWidth="1"/>
    <col min="11270" max="11270" width="20.140625" style="79" customWidth="1"/>
    <col min="11271" max="11271" width="12" style="79" customWidth="1"/>
    <col min="11272" max="11272" width="11.5703125" style="79" customWidth="1"/>
    <col min="11273" max="11273" width="14.7109375" style="79" customWidth="1"/>
    <col min="11274" max="11275" width="16.42578125" style="79" customWidth="1"/>
    <col min="11276" max="11276" width="17" style="79" bestFit="1" customWidth="1"/>
    <col min="11277" max="11277" width="16.5703125" style="79" customWidth="1"/>
    <col min="11278" max="11278" width="31.5703125" style="79" bestFit="1" customWidth="1"/>
    <col min="11279" max="11279" width="28" style="79" bestFit="1" customWidth="1"/>
    <col min="11280" max="11520" width="9.140625" style="79"/>
    <col min="11521" max="11521" width="14.5703125" style="79" bestFit="1" customWidth="1"/>
    <col min="11522" max="11522" width="1.7109375" style="79" bestFit="1" customWidth="1"/>
    <col min="11523" max="11523" width="25.42578125" style="79" customWidth="1"/>
    <col min="11524" max="11524" width="18.42578125" style="79" bestFit="1" customWidth="1"/>
    <col min="11525" max="11525" width="6.42578125" style="79" bestFit="1" customWidth="1"/>
    <col min="11526" max="11526" width="20.140625" style="79" customWidth="1"/>
    <col min="11527" max="11527" width="12" style="79" customWidth="1"/>
    <col min="11528" max="11528" width="11.5703125" style="79" customWidth="1"/>
    <col min="11529" max="11529" width="14.7109375" style="79" customWidth="1"/>
    <col min="11530" max="11531" width="16.42578125" style="79" customWidth="1"/>
    <col min="11532" max="11532" width="17" style="79" bestFit="1" customWidth="1"/>
    <col min="11533" max="11533" width="16.5703125" style="79" customWidth="1"/>
    <col min="11534" max="11534" width="31.5703125" style="79" bestFit="1" customWidth="1"/>
    <col min="11535" max="11535" width="28" style="79" bestFit="1" customWidth="1"/>
    <col min="11536" max="11776" width="9.140625" style="79"/>
    <col min="11777" max="11777" width="14.5703125" style="79" bestFit="1" customWidth="1"/>
    <col min="11778" max="11778" width="1.7109375" style="79" bestFit="1" customWidth="1"/>
    <col min="11779" max="11779" width="25.42578125" style="79" customWidth="1"/>
    <col min="11780" max="11780" width="18.42578125" style="79" bestFit="1" customWidth="1"/>
    <col min="11781" max="11781" width="6.42578125" style="79" bestFit="1" customWidth="1"/>
    <col min="11782" max="11782" width="20.140625" style="79" customWidth="1"/>
    <col min="11783" max="11783" width="12" style="79" customWidth="1"/>
    <col min="11784" max="11784" width="11.5703125" style="79" customWidth="1"/>
    <col min="11785" max="11785" width="14.7109375" style="79" customWidth="1"/>
    <col min="11786" max="11787" width="16.42578125" style="79" customWidth="1"/>
    <col min="11788" max="11788" width="17" style="79" bestFit="1" customWidth="1"/>
    <col min="11789" max="11789" width="16.5703125" style="79" customWidth="1"/>
    <col min="11790" max="11790" width="31.5703125" style="79" bestFit="1" customWidth="1"/>
    <col min="11791" max="11791" width="28" style="79" bestFit="1" customWidth="1"/>
    <col min="11792" max="12032" width="9.140625" style="79"/>
    <col min="12033" max="12033" width="14.5703125" style="79" bestFit="1" customWidth="1"/>
    <col min="12034" max="12034" width="1.7109375" style="79" bestFit="1" customWidth="1"/>
    <col min="12035" max="12035" width="25.42578125" style="79" customWidth="1"/>
    <col min="12036" max="12036" width="18.42578125" style="79" bestFit="1" customWidth="1"/>
    <col min="12037" max="12037" width="6.42578125" style="79" bestFit="1" customWidth="1"/>
    <col min="12038" max="12038" width="20.140625" style="79" customWidth="1"/>
    <col min="12039" max="12039" width="12" style="79" customWidth="1"/>
    <col min="12040" max="12040" width="11.5703125" style="79" customWidth="1"/>
    <col min="12041" max="12041" width="14.7109375" style="79" customWidth="1"/>
    <col min="12042" max="12043" width="16.42578125" style="79" customWidth="1"/>
    <col min="12044" max="12044" width="17" style="79" bestFit="1" customWidth="1"/>
    <col min="12045" max="12045" width="16.5703125" style="79" customWidth="1"/>
    <col min="12046" max="12046" width="31.5703125" style="79" bestFit="1" customWidth="1"/>
    <col min="12047" max="12047" width="28" style="79" bestFit="1" customWidth="1"/>
    <col min="12048" max="12288" width="9.140625" style="79"/>
    <col min="12289" max="12289" width="14.5703125" style="79" bestFit="1" customWidth="1"/>
    <col min="12290" max="12290" width="1.7109375" style="79" bestFit="1" customWidth="1"/>
    <col min="12291" max="12291" width="25.42578125" style="79" customWidth="1"/>
    <col min="12292" max="12292" width="18.42578125" style="79" bestFit="1" customWidth="1"/>
    <col min="12293" max="12293" width="6.42578125" style="79" bestFit="1" customWidth="1"/>
    <col min="12294" max="12294" width="20.140625" style="79" customWidth="1"/>
    <col min="12295" max="12295" width="12" style="79" customWidth="1"/>
    <col min="12296" max="12296" width="11.5703125" style="79" customWidth="1"/>
    <col min="12297" max="12297" width="14.7109375" style="79" customWidth="1"/>
    <col min="12298" max="12299" width="16.42578125" style="79" customWidth="1"/>
    <col min="12300" max="12300" width="17" style="79" bestFit="1" customWidth="1"/>
    <col min="12301" max="12301" width="16.5703125" style="79" customWidth="1"/>
    <col min="12302" max="12302" width="31.5703125" style="79" bestFit="1" customWidth="1"/>
    <col min="12303" max="12303" width="28" style="79" bestFit="1" customWidth="1"/>
    <col min="12304" max="12544" width="9.140625" style="79"/>
    <col min="12545" max="12545" width="14.5703125" style="79" bestFit="1" customWidth="1"/>
    <col min="12546" max="12546" width="1.7109375" style="79" bestFit="1" customWidth="1"/>
    <col min="12547" max="12547" width="25.42578125" style="79" customWidth="1"/>
    <col min="12548" max="12548" width="18.42578125" style="79" bestFit="1" customWidth="1"/>
    <col min="12549" max="12549" width="6.42578125" style="79" bestFit="1" customWidth="1"/>
    <col min="12550" max="12550" width="20.140625" style="79" customWidth="1"/>
    <col min="12551" max="12551" width="12" style="79" customWidth="1"/>
    <col min="12552" max="12552" width="11.5703125" style="79" customWidth="1"/>
    <col min="12553" max="12553" width="14.7109375" style="79" customWidth="1"/>
    <col min="12554" max="12555" width="16.42578125" style="79" customWidth="1"/>
    <col min="12556" max="12556" width="17" style="79" bestFit="1" customWidth="1"/>
    <col min="12557" max="12557" width="16.5703125" style="79" customWidth="1"/>
    <col min="12558" max="12558" width="31.5703125" style="79" bestFit="1" customWidth="1"/>
    <col min="12559" max="12559" width="28" style="79" bestFit="1" customWidth="1"/>
    <col min="12560" max="12800" width="9.140625" style="79"/>
    <col min="12801" max="12801" width="14.5703125" style="79" bestFit="1" customWidth="1"/>
    <col min="12802" max="12802" width="1.7109375" style="79" bestFit="1" customWidth="1"/>
    <col min="12803" max="12803" width="25.42578125" style="79" customWidth="1"/>
    <col min="12804" max="12804" width="18.42578125" style="79" bestFit="1" customWidth="1"/>
    <col min="12805" max="12805" width="6.42578125" style="79" bestFit="1" customWidth="1"/>
    <col min="12806" max="12806" width="20.140625" style="79" customWidth="1"/>
    <col min="12807" max="12807" width="12" style="79" customWidth="1"/>
    <col min="12808" max="12808" width="11.5703125" style="79" customWidth="1"/>
    <col min="12809" max="12809" width="14.7109375" style="79" customWidth="1"/>
    <col min="12810" max="12811" width="16.42578125" style="79" customWidth="1"/>
    <col min="12812" max="12812" width="17" style="79" bestFit="1" customWidth="1"/>
    <col min="12813" max="12813" width="16.5703125" style="79" customWidth="1"/>
    <col min="12814" max="12814" width="31.5703125" style="79" bestFit="1" customWidth="1"/>
    <col min="12815" max="12815" width="28" style="79" bestFit="1" customWidth="1"/>
    <col min="12816" max="13056" width="9.140625" style="79"/>
    <col min="13057" max="13057" width="14.5703125" style="79" bestFit="1" customWidth="1"/>
    <col min="13058" max="13058" width="1.7109375" style="79" bestFit="1" customWidth="1"/>
    <col min="13059" max="13059" width="25.42578125" style="79" customWidth="1"/>
    <col min="13060" max="13060" width="18.42578125" style="79" bestFit="1" customWidth="1"/>
    <col min="13061" max="13061" width="6.42578125" style="79" bestFit="1" customWidth="1"/>
    <col min="13062" max="13062" width="20.140625" style="79" customWidth="1"/>
    <col min="13063" max="13063" width="12" style="79" customWidth="1"/>
    <col min="13064" max="13064" width="11.5703125" style="79" customWidth="1"/>
    <col min="13065" max="13065" width="14.7109375" style="79" customWidth="1"/>
    <col min="13066" max="13067" width="16.42578125" style="79" customWidth="1"/>
    <col min="13068" max="13068" width="17" style="79" bestFit="1" customWidth="1"/>
    <col min="13069" max="13069" width="16.5703125" style="79" customWidth="1"/>
    <col min="13070" max="13070" width="31.5703125" style="79" bestFit="1" customWidth="1"/>
    <col min="13071" max="13071" width="28" style="79" bestFit="1" customWidth="1"/>
    <col min="13072" max="13312" width="9.140625" style="79"/>
    <col min="13313" max="13313" width="14.5703125" style="79" bestFit="1" customWidth="1"/>
    <col min="13314" max="13314" width="1.7109375" style="79" bestFit="1" customWidth="1"/>
    <col min="13315" max="13315" width="25.42578125" style="79" customWidth="1"/>
    <col min="13316" max="13316" width="18.42578125" style="79" bestFit="1" customWidth="1"/>
    <col min="13317" max="13317" width="6.42578125" style="79" bestFit="1" customWidth="1"/>
    <col min="13318" max="13318" width="20.140625" style="79" customWidth="1"/>
    <col min="13319" max="13319" width="12" style="79" customWidth="1"/>
    <col min="13320" max="13320" width="11.5703125" style="79" customWidth="1"/>
    <col min="13321" max="13321" width="14.7109375" style="79" customWidth="1"/>
    <col min="13322" max="13323" width="16.42578125" style="79" customWidth="1"/>
    <col min="13324" max="13324" width="17" style="79" bestFit="1" customWidth="1"/>
    <col min="13325" max="13325" width="16.5703125" style="79" customWidth="1"/>
    <col min="13326" max="13326" width="31.5703125" style="79" bestFit="1" customWidth="1"/>
    <col min="13327" max="13327" width="28" style="79" bestFit="1" customWidth="1"/>
    <col min="13328" max="13568" width="9.140625" style="79"/>
    <col min="13569" max="13569" width="14.5703125" style="79" bestFit="1" customWidth="1"/>
    <col min="13570" max="13570" width="1.7109375" style="79" bestFit="1" customWidth="1"/>
    <col min="13571" max="13571" width="25.42578125" style="79" customWidth="1"/>
    <col min="13572" max="13572" width="18.42578125" style="79" bestFit="1" customWidth="1"/>
    <col min="13573" max="13573" width="6.42578125" style="79" bestFit="1" customWidth="1"/>
    <col min="13574" max="13574" width="20.140625" style="79" customWidth="1"/>
    <col min="13575" max="13575" width="12" style="79" customWidth="1"/>
    <col min="13576" max="13576" width="11.5703125" style="79" customWidth="1"/>
    <col min="13577" max="13577" width="14.7109375" style="79" customWidth="1"/>
    <col min="13578" max="13579" width="16.42578125" style="79" customWidth="1"/>
    <col min="13580" max="13580" width="17" style="79" bestFit="1" customWidth="1"/>
    <col min="13581" max="13581" width="16.5703125" style="79" customWidth="1"/>
    <col min="13582" max="13582" width="31.5703125" style="79" bestFit="1" customWidth="1"/>
    <col min="13583" max="13583" width="28" style="79" bestFit="1" customWidth="1"/>
    <col min="13584" max="13824" width="9.140625" style="79"/>
    <col min="13825" max="13825" width="14.5703125" style="79" bestFit="1" customWidth="1"/>
    <col min="13826" max="13826" width="1.7109375" style="79" bestFit="1" customWidth="1"/>
    <col min="13827" max="13827" width="25.42578125" style="79" customWidth="1"/>
    <col min="13828" max="13828" width="18.42578125" style="79" bestFit="1" customWidth="1"/>
    <col min="13829" max="13829" width="6.42578125" style="79" bestFit="1" customWidth="1"/>
    <col min="13830" max="13830" width="20.140625" style="79" customWidth="1"/>
    <col min="13831" max="13831" width="12" style="79" customWidth="1"/>
    <col min="13832" max="13832" width="11.5703125" style="79" customWidth="1"/>
    <col min="13833" max="13833" width="14.7109375" style="79" customWidth="1"/>
    <col min="13834" max="13835" width="16.42578125" style="79" customWidth="1"/>
    <col min="13836" max="13836" width="17" style="79" bestFit="1" customWidth="1"/>
    <col min="13837" max="13837" width="16.5703125" style="79" customWidth="1"/>
    <col min="13838" max="13838" width="31.5703125" style="79" bestFit="1" customWidth="1"/>
    <col min="13839" max="13839" width="28" style="79" bestFit="1" customWidth="1"/>
    <col min="13840" max="14080" width="9.140625" style="79"/>
    <col min="14081" max="14081" width="14.5703125" style="79" bestFit="1" customWidth="1"/>
    <col min="14082" max="14082" width="1.7109375" style="79" bestFit="1" customWidth="1"/>
    <col min="14083" max="14083" width="25.42578125" style="79" customWidth="1"/>
    <col min="14084" max="14084" width="18.42578125" style="79" bestFit="1" customWidth="1"/>
    <col min="14085" max="14085" width="6.42578125" style="79" bestFit="1" customWidth="1"/>
    <col min="14086" max="14086" width="20.140625" style="79" customWidth="1"/>
    <col min="14087" max="14087" width="12" style="79" customWidth="1"/>
    <col min="14088" max="14088" width="11.5703125" style="79" customWidth="1"/>
    <col min="14089" max="14089" width="14.7109375" style="79" customWidth="1"/>
    <col min="14090" max="14091" width="16.42578125" style="79" customWidth="1"/>
    <col min="14092" max="14092" width="17" style="79" bestFit="1" customWidth="1"/>
    <col min="14093" max="14093" width="16.5703125" style="79" customWidth="1"/>
    <col min="14094" max="14094" width="31.5703125" style="79" bestFit="1" customWidth="1"/>
    <col min="14095" max="14095" width="28" style="79" bestFit="1" customWidth="1"/>
    <col min="14096" max="14336" width="9.140625" style="79"/>
    <col min="14337" max="14337" width="14.5703125" style="79" bestFit="1" customWidth="1"/>
    <col min="14338" max="14338" width="1.7109375" style="79" bestFit="1" customWidth="1"/>
    <col min="14339" max="14339" width="25.42578125" style="79" customWidth="1"/>
    <col min="14340" max="14340" width="18.42578125" style="79" bestFit="1" customWidth="1"/>
    <col min="14341" max="14341" width="6.42578125" style="79" bestFit="1" customWidth="1"/>
    <col min="14342" max="14342" width="20.140625" style="79" customWidth="1"/>
    <col min="14343" max="14343" width="12" style="79" customWidth="1"/>
    <col min="14344" max="14344" width="11.5703125" style="79" customWidth="1"/>
    <col min="14345" max="14345" width="14.7109375" style="79" customWidth="1"/>
    <col min="14346" max="14347" width="16.42578125" style="79" customWidth="1"/>
    <col min="14348" max="14348" width="17" style="79" bestFit="1" customWidth="1"/>
    <col min="14349" max="14349" width="16.5703125" style="79" customWidth="1"/>
    <col min="14350" max="14350" width="31.5703125" style="79" bestFit="1" customWidth="1"/>
    <col min="14351" max="14351" width="28" style="79" bestFit="1" customWidth="1"/>
    <col min="14352" max="14592" width="9.140625" style="79"/>
    <col min="14593" max="14593" width="14.5703125" style="79" bestFit="1" customWidth="1"/>
    <col min="14594" max="14594" width="1.7109375" style="79" bestFit="1" customWidth="1"/>
    <col min="14595" max="14595" width="25.42578125" style="79" customWidth="1"/>
    <col min="14596" max="14596" width="18.42578125" style="79" bestFit="1" customWidth="1"/>
    <col min="14597" max="14597" width="6.42578125" style="79" bestFit="1" customWidth="1"/>
    <col min="14598" max="14598" width="20.140625" style="79" customWidth="1"/>
    <col min="14599" max="14599" width="12" style="79" customWidth="1"/>
    <col min="14600" max="14600" width="11.5703125" style="79" customWidth="1"/>
    <col min="14601" max="14601" width="14.7109375" style="79" customWidth="1"/>
    <col min="14602" max="14603" width="16.42578125" style="79" customWidth="1"/>
    <col min="14604" max="14604" width="17" style="79" bestFit="1" customWidth="1"/>
    <col min="14605" max="14605" width="16.5703125" style="79" customWidth="1"/>
    <col min="14606" max="14606" width="31.5703125" style="79" bestFit="1" customWidth="1"/>
    <col min="14607" max="14607" width="28" style="79" bestFit="1" customWidth="1"/>
    <col min="14608" max="14848" width="9.140625" style="79"/>
    <col min="14849" max="14849" width="14.5703125" style="79" bestFit="1" customWidth="1"/>
    <col min="14850" max="14850" width="1.7109375" style="79" bestFit="1" customWidth="1"/>
    <col min="14851" max="14851" width="25.42578125" style="79" customWidth="1"/>
    <col min="14852" max="14852" width="18.42578125" style="79" bestFit="1" customWidth="1"/>
    <col min="14853" max="14853" width="6.42578125" style="79" bestFit="1" customWidth="1"/>
    <col min="14854" max="14854" width="20.140625" style="79" customWidth="1"/>
    <col min="14855" max="14855" width="12" style="79" customWidth="1"/>
    <col min="14856" max="14856" width="11.5703125" style="79" customWidth="1"/>
    <col min="14857" max="14857" width="14.7109375" style="79" customWidth="1"/>
    <col min="14858" max="14859" width="16.42578125" style="79" customWidth="1"/>
    <col min="14860" max="14860" width="17" style="79" bestFit="1" customWidth="1"/>
    <col min="14861" max="14861" width="16.5703125" style="79" customWidth="1"/>
    <col min="14862" max="14862" width="31.5703125" style="79" bestFit="1" customWidth="1"/>
    <col min="14863" max="14863" width="28" style="79" bestFit="1" customWidth="1"/>
    <col min="14864" max="15104" width="9.140625" style="79"/>
    <col min="15105" max="15105" width="14.5703125" style="79" bestFit="1" customWidth="1"/>
    <col min="15106" max="15106" width="1.7109375" style="79" bestFit="1" customWidth="1"/>
    <col min="15107" max="15107" width="25.42578125" style="79" customWidth="1"/>
    <col min="15108" max="15108" width="18.42578125" style="79" bestFit="1" customWidth="1"/>
    <col min="15109" max="15109" width="6.42578125" style="79" bestFit="1" customWidth="1"/>
    <col min="15110" max="15110" width="20.140625" style="79" customWidth="1"/>
    <col min="15111" max="15111" width="12" style="79" customWidth="1"/>
    <col min="15112" max="15112" width="11.5703125" style="79" customWidth="1"/>
    <col min="15113" max="15113" width="14.7109375" style="79" customWidth="1"/>
    <col min="15114" max="15115" width="16.42578125" style="79" customWidth="1"/>
    <col min="15116" max="15116" width="17" style="79" bestFit="1" customWidth="1"/>
    <col min="15117" max="15117" width="16.5703125" style="79" customWidth="1"/>
    <col min="15118" max="15118" width="31.5703125" style="79" bestFit="1" customWidth="1"/>
    <col min="15119" max="15119" width="28" style="79" bestFit="1" customWidth="1"/>
    <col min="15120" max="15360" width="9.140625" style="79"/>
    <col min="15361" max="15361" width="14.5703125" style="79" bestFit="1" customWidth="1"/>
    <col min="15362" max="15362" width="1.7109375" style="79" bestFit="1" customWidth="1"/>
    <col min="15363" max="15363" width="25.42578125" style="79" customWidth="1"/>
    <col min="15364" max="15364" width="18.42578125" style="79" bestFit="1" customWidth="1"/>
    <col min="15365" max="15365" width="6.42578125" style="79" bestFit="1" customWidth="1"/>
    <col min="15366" max="15366" width="20.140625" style="79" customWidth="1"/>
    <col min="15367" max="15367" width="12" style="79" customWidth="1"/>
    <col min="15368" max="15368" width="11.5703125" style="79" customWidth="1"/>
    <col min="15369" max="15369" width="14.7109375" style="79" customWidth="1"/>
    <col min="15370" max="15371" width="16.42578125" style="79" customWidth="1"/>
    <col min="15372" max="15372" width="17" style="79" bestFit="1" customWidth="1"/>
    <col min="15373" max="15373" width="16.5703125" style="79" customWidth="1"/>
    <col min="15374" max="15374" width="31.5703125" style="79" bestFit="1" customWidth="1"/>
    <col min="15375" max="15375" width="28" style="79" bestFit="1" customWidth="1"/>
    <col min="15376" max="15616" width="9.140625" style="79"/>
    <col min="15617" max="15617" width="14.5703125" style="79" bestFit="1" customWidth="1"/>
    <col min="15618" max="15618" width="1.7109375" style="79" bestFit="1" customWidth="1"/>
    <col min="15619" max="15619" width="25.42578125" style="79" customWidth="1"/>
    <col min="15620" max="15620" width="18.42578125" style="79" bestFit="1" customWidth="1"/>
    <col min="15621" max="15621" width="6.42578125" style="79" bestFit="1" customWidth="1"/>
    <col min="15622" max="15622" width="20.140625" style="79" customWidth="1"/>
    <col min="15623" max="15623" width="12" style="79" customWidth="1"/>
    <col min="15624" max="15624" width="11.5703125" style="79" customWidth="1"/>
    <col min="15625" max="15625" width="14.7109375" style="79" customWidth="1"/>
    <col min="15626" max="15627" width="16.42578125" style="79" customWidth="1"/>
    <col min="15628" max="15628" width="17" style="79" bestFit="1" customWidth="1"/>
    <col min="15629" max="15629" width="16.5703125" style="79" customWidth="1"/>
    <col min="15630" max="15630" width="31.5703125" style="79" bestFit="1" customWidth="1"/>
    <col min="15631" max="15631" width="28" style="79" bestFit="1" customWidth="1"/>
    <col min="15632" max="15872" width="9.140625" style="79"/>
    <col min="15873" max="15873" width="14.5703125" style="79" bestFit="1" customWidth="1"/>
    <col min="15874" max="15874" width="1.7109375" style="79" bestFit="1" customWidth="1"/>
    <col min="15875" max="15875" width="25.42578125" style="79" customWidth="1"/>
    <col min="15876" max="15876" width="18.42578125" style="79" bestFit="1" customWidth="1"/>
    <col min="15877" max="15877" width="6.42578125" style="79" bestFit="1" customWidth="1"/>
    <col min="15878" max="15878" width="20.140625" style="79" customWidth="1"/>
    <col min="15879" max="15879" width="12" style="79" customWidth="1"/>
    <col min="15880" max="15880" width="11.5703125" style="79" customWidth="1"/>
    <col min="15881" max="15881" width="14.7109375" style="79" customWidth="1"/>
    <col min="15882" max="15883" width="16.42578125" style="79" customWidth="1"/>
    <col min="15884" max="15884" width="17" style="79" bestFit="1" customWidth="1"/>
    <col min="15885" max="15885" width="16.5703125" style="79" customWidth="1"/>
    <col min="15886" max="15886" width="31.5703125" style="79" bestFit="1" customWidth="1"/>
    <col min="15887" max="15887" width="28" style="79" bestFit="1" customWidth="1"/>
    <col min="15888" max="16128" width="9.140625" style="79"/>
    <col min="16129" max="16129" width="14.5703125" style="79" bestFit="1" customWidth="1"/>
    <col min="16130" max="16130" width="1.7109375" style="79" bestFit="1" customWidth="1"/>
    <col min="16131" max="16131" width="25.42578125" style="79" customWidth="1"/>
    <col min="16132" max="16132" width="18.42578125" style="79" bestFit="1" customWidth="1"/>
    <col min="16133" max="16133" width="6.42578125" style="79" bestFit="1" customWidth="1"/>
    <col min="16134" max="16134" width="20.140625" style="79" customWidth="1"/>
    <col min="16135" max="16135" width="12" style="79" customWidth="1"/>
    <col min="16136" max="16136" width="11.5703125" style="79" customWidth="1"/>
    <col min="16137" max="16137" width="14.7109375" style="79" customWidth="1"/>
    <col min="16138" max="16139" width="16.42578125" style="79" customWidth="1"/>
    <col min="16140" max="16140" width="17" style="79" bestFit="1" customWidth="1"/>
    <col min="16141" max="16141" width="16.5703125" style="79" customWidth="1"/>
    <col min="16142" max="16142" width="31.5703125" style="79" bestFit="1" customWidth="1"/>
    <col min="16143" max="16143" width="28" style="79" bestFit="1" customWidth="1"/>
    <col min="16144" max="16384" width="9.140625" style="79"/>
  </cols>
  <sheetData>
    <row r="1" spans="1:15" x14ac:dyDescent="0.2">
      <c r="A1" s="78" t="s">
        <v>2630</v>
      </c>
      <c r="B1" s="79" t="s">
        <v>2631</v>
      </c>
      <c r="C1" s="79" t="s">
        <v>2632</v>
      </c>
    </row>
    <row r="2" spans="1:15" x14ac:dyDescent="0.2">
      <c r="A2" s="78" t="s">
        <v>2633</v>
      </c>
      <c r="B2" s="79" t="s">
        <v>2631</v>
      </c>
      <c r="C2" s="80">
        <v>44469</v>
      </c>
      <c r="D2" s="80"/>
      <c r="E2" s="80"/>
    </row>
    <row r="3" spans="1:15" x14ac:dyDescent="0.2">
      <c r="A3" s="78" t="s">
        <v>2634</v>
      </c>
      <c r="B3" s="79" t="s">
        <v>2631</v>
      </c>
      <c r="C3" s="79" t="s">
        <v>2635</v>
      </c>
    </row>
    <row r="4" spans="1:15" x14ac:dyDescent="0.2">
      <c r="A4" s="78" t="s">
        <v>2636</v>
      </c>
      <c r="B4" s="79" t="s">
        <v>2631</v>
      </c>
      <c r="C4" s="79" t="s">
        <v>2637</v>
      </c>
    </row>
    <row r="7" spans="1:15" x14ac:dyDescent="0.2">
      <c r="J7" s="81">
        <v>44287</v>
      </c>
      <c r="K7" s="81"/>
      <c r="L7" s="81"/>
      <c r="M7" s="81">
        <f>C2</f>
        <v>44469</v>
      </c>
    </row>
    <row r="8" spans="1:15" ht="38.25" x14ac:dyDescent="0.2">
      <c r="C8" s="82" t="s">
        <v>2638</v>
      </c>
      <c r="D8" s="83" t="s">
        <v>2472</v>
      </c>
      <c r="E8" s="84" t="s">
        <v>2639</v>
      </c>
      <c r="F8" s="85" t="s">
        <v>28</v>
      </c>
      <c r="G8" s="85" t="s">
        <v>29</v>
      </c>
      <c r="H8" s="85" t="s">
        <v>33</v>
      </c>
      <c r="I8" s="85" t="s">
        <v>2640</v>
      </c>
      <c r="J8" s="85" t="s">
        <v>2641</v>
      </c>
      <c r="K8" s="85" t="s">
        <v>2642</v>
      </c>
      <c r="L8" s="86" t="s">
        <v>2643</v>
      </c>
      <c r="M8" s="85" t="s">
        <v>2644</v>
      </c>
      <c r="N8" s="85" t="s">
        <v>2645</v>
      </c>
      <c r="O8" s="85" t="s">
        <v>2646</v>
      </c>
    </row>
    <row r="9" spans="1:15" x14ac:dyDescent="0.2">
      <c r="C9" s="87"/>
      <c r="D9" s="88"/>
      <c r="E9" s="89"/>
      <c r="F9" s="89"/>
      <c r="G9" s="89"/>
      <c r="H9" s="89"/>
      <c r="I9" s="89"/>
      <c r="J9" s="89"/>
      <c r="K9" s="89"/>
      <c r="L9" s="88"/>
      <c r="M9" s="89"/>
      <c r="N9" s="89"/>
      <c r="O9" s="89"/>
    </row>
    <row r="10" spans="1:15" s="101" customFormat="1" ht="25.5" x14ac:dyDescent="0.25">
      <c r="A10" s="90"/>
      <c r="B10" s="90"/>
      <c r="C10" s="91" t="s">
        <v>2647</v>
      </c>
      <c r="D10" s="92" t="s">
        <v>500</v>
      </c>
      <c r="E10" s="93" t="s">
        <v>2648</v>
      </c>
      <c r="F10" s="55">
        <v>44372</v>
      </c>
      <c r="G10" s="94">
        <v>158697.12</v>
      </c>
      <c r="H10" s="95">
        <f>G10*5%</f>
        <v>7934.8559999999998</v>
      </c>
      <c r="I10" s="95">
        <f>G10-H10</f>
        <v>150762.264</v>
      </c>
      <c r="J10" s="96">
        <v>25</v>
      </c>
      <c r="K10" s="97">
        <f>I10/J10</f>
        <v>6030.4905600000002</v>
      </c>
      <c r="L10" s="98">
        <f>M10*365</f>
        <v>98</v>
      </c>
      <c r="M10" s="99">
        <f>(($M$7-F10)+1)/365</f>
        <v>0.26849315068493151</v>
      </c>
      <c r="N10" s="100">
        <f t="shared" ref="N10:N73" si="0">K10*M10</f>
        <v>1619.1454106301371</v>
      </c>
      <c r="O10" s="95">
        <f t="shared" ref="O10:O73" si="1">G10-N10</f>
        <v>157077.97458936987</v>
      </c>
    </row>
    <row r="11" spans="1:15" s="101" customFormat="1" ht="51" x14ac:dyDescent="0.25">
      <c r="A11" s="90"/>
      <c r="B11" s="90"/>
      <c r="C11" s="91" t="s">
        <v>2649</v>
      </c>
      <c r="D11" s="92" t="s">
        <v>500</v>
      </c>
      <c r="E11" s="93" t="s">
        <v>2648</v>
      </c>
      <c r="F11" s="55">
        <v>44442</v>
      </c>
      <c r="G11" s="94">
        <v>190000</v>
      </c>
      <c r="H11" s="95">
        <f t="shared" ref="H11:H64" si="2">G11*5%</f>
        <v>9500</v>
      </c>
      <c r="I11" s="95">
        <f t="shared" ref="I11:I64" si="3">G11-H11</f>
        <v>180500</v>
      </c>
      <c r="J11" s="96">
        <v>25</v>
      </c>
      <c r="K11" s="97">
        <f t="shared" ref="K11:K17" si="4">I11/J11</f>
        <v>7220</v>
      </c>
      <c r="L11" s="98">
        <f t="shared" ref="L11:L16" si="5">M11*365</f>
        <v>28</v>
      </c>
      <c r="M11" s="99">
        <f t="shared" ref="M11:M18" si="6">(($M$7-F11)+1)/365</f>
        <v>7.6712328767123292E-2</v>
      </c>
      <c r="N11" s="100">
        <f t="shared" si="0"/>
        <v>553.8630136986302</v>
      </c>
      <c r="O11" s="95">
        <f t="shared" si="1"/>
        <v>189446.13698630137</v>
      </c>
    </row>
    <row r="12" spans="1:15" s="101" customFormat="1" x14ac:dyDescent="0.25">
      <c r="A12" s="90"/>
      <c r="B12" s="90"/>
      <c r="C12" s="91"/>
      <c r="D12" s="92" t="s">
        <v>500</v>
      </c>
      <c r="E12" s="93" t="s">
        <v>2648</v>
      </c>
      <c r="F12" s="55"/>
      <c r="G12" s="94"/>
      <c r="H12" s="95">
        <f t="shared" si="2"/>
        <v>0</v>
      </c>
      <c r="I12" s="95">
        <f t="shared" si="3"/>
        <v>0</v>
      </c>
      <c r="J12" s="96"/>
      <c r="K12" s="97" t="e">
        <f t="shared" si="4"/>
        <v>#DIV/0!</v>
      </c>
      <c r="L12" s="98">
        <f t="shared" si="5"/>
        <v>44470</v>
      </c>
      <c r="M12" s="99">
        <f t="shared" si="6"/>
        <v>121.83561643835617</v>
      </c>
      <c r="N12" s="100" t="e">
        <f t="shared" si="0"/>
        <v>#DIV/0!</v>
      </c>
      <c r="O12" s="95" t="e">
        <f t="shared" si="1"/>
        <v>#DIV/0!</v>
      </c>
    </row>
    <row r="13" spans="1:15" s="101" customFormat="1" x14ac:dyDescent="0.25">
      <c r="A13" s="90"/>
      <c r="B13" s="90"/>
      <c r="C13" s="91"/>
      <c r="D13" s="92" t="s">
        <v>500</v>
      </c>
      <c r="E13" s="93" t="s">
        <v>2648</v>
      </c>
      <c r="F13" s="55"/>
      <c r="G13" s="94"/>
      <c r="H13" s="95">
        <f t="shared" si="2"/>
        <v>0</v>
      </c>
      <c r="I13" s="95">
        <f t="shared" si="3"/>
        <v>0</v>
      </c>
      <c r="J13" s="96"/>
      <c r="K13" s="97" t="e">
        <f t="shared" si="4"/>
        <v>#DIV/0!</v>
      </c>
      <c r="L13" s="98">
        <f t="shared" si="5"/>
        <v>44470</v>
      </c>
      <c r="M13" s="99">
        <f t="shared" si="6"/>
        <v>121.83561643835617</v>
      </c>
      <c r="N13" s="100" t="e">
        <f t="shared" si="0"/>
        <v>#DIV/0!</v>
      </c>
      <c r="O13" s="95" t="e">
        <f t="shared" si="1"/>
        <v>#DIV/0!</v>
      </c>
    </row>
    <row r="14" spans="1:15" s="101" customFormat="1" x14ac:dyDescent="0.25">
      <c r="A14" s="90"/>
      <c r="B14" s="90"/>
      <c r="C14" s="91"/>
      <c r="D14" s="92" t="s">
        <v>500</v>
      </c>
      <c r="E14" s="93" t="s">
        <v>2648</v>
      </c>
      <c r="F14" s="55"/>
      <c r="G14" s="94"/>
      <c r="H14" s="95">
        <f t="shared" si="2"/>
        <v>0</v>
      </c>
      <c r="I14" s="95">
        <f t="shared" si="3"/>
        <v>0</v>
      </c>
      <c r="J14" s="96"/>
      <c r="K14" s="97" t="e">
        <f t="shared" si="4"/>
        <v>#DIV/0!</v>
      </c>
      <c r="L14" s="98">
        <f t="shared" si="5"/>
        <v>44470</v>
      </c>
      <c r="M14" s="99">
        <f t="shared" si="6"/>
        <v>121.83561643835617</v>
      </c>
      <c r="N14" s="100" t="e">
        <f t="shared" si="0"/>
        <v>#DIV/0!</v>
      </c>
      <c r="O14" s="95" t="e">
        <f t="shared" si="1"/>
        <v>#DIV/0!</v>
      </c>
    </row>
    <row r="15" spans="1:15" s="101" customFormat="1" x14ac:dyDescent="0.25">
      <c r="A15" s="90"/>
      <c r="B15" s="90"/>
      <c r="C15" s="91"/>
      <c r="D15" s="92" t="s">
        <v>500</v>
      </c>
      <c r="E15" s="93" t="s">
        <v>2648</v>
      </c>
      <c r="F15" s="55"/>
      <c r="G15" s="94"/>
      <c r="H15" s="95">
        <f t="shared" si="2"/>
        <v>0</v>
      </c>
      <c r="I15" s="95">
        <f t="shared" si="3"/>
        <v>0</v>
      </c>
      <c r="J15" s="96"/>
      <c r="K15" s="97" t="e">
        <f t="shared" si="4"/>
        <v>#DIV/0!</v>
      </c>
      <c r="L15" s="98">
        <f t="shared" si="5"/>
        <v>44470</v>
      </c>
      <c r="M15" s="99">
        <f t="shared" si="6"/>
        <v>121.83561643835617</v>
      </c>
      <c r="N15" s="100" t="e">
        <f t="shared" si="0"/>
        <v>#DIV/0!</v>
      </c>
      <c r="O15" s="95" t="e">
        <f t="shared" si="1"/>
        <v>#DIV/0!</v>
      </c>
    </row>
    <row r="16" spans="1:15" s="101" customFormat="1" x14ac:dyDescent="0.25">
      <c r="A16" s="90"/>
      <c r="B16" s="90"/>
      <c r="C16" s="91"/>
      <c r="D16" s="92" t="s">
        <v>500</v>
      </c>
      <c r="E16" s="93" t="s">
        <v>2648</v>
      </c>
      <c r="F16" s="55"/>
      <c r="G16" s="94"/>
      <c r="H16" s="95">
        <f t="shared" si="2"/>
        <v>0</v>
      </c>
      <c r="I16" s="95">
        <f t="shared" si="3"/>
        <v>0</v>
      </c>
      <c r="J16" s="96"/>
      <c r="K16" s="97" t="e">
        <f t="shared" si="4"/>
        <v>#DIV/0!</v>
      </c>
      <c r="L16" s="98">
        <f t="shared" si="5"/>
        <v>44470</v>
      </c>
      <c r="M16" s="99">
        <f t="shared" si="6"/>
        <v>121.83561643835617</v>
      </c>
      <c r="N16" s="100" t="e">
        <f t="shared" si="0"/>
        <v>#DIV/0!</v>
      </c>
      <c r="O16" s="95" t="e">
        <f t="shared" si="1"/>
        <v>#DIV/0!</v>
      </c>
    </row>
    <row r="17" spans="1:15" s="101" customFormat="1" x14ac:dyDescent="0.25">
      <c r="A17" s="90"/>
      <c r="B17" s="90"/>
      <c r="C17" s="91"/>
      <c r="D17" s="92" t="s">
        <v>500</v>
      </c>
      <c r="E17" s="93" t="s">
        <v>2648</v>
      </c>
      <c r="F17" s="55"/>
      <c r="G17" s="94"/>
      <c r="H17" s="95">
        <f t="shared" si="2"/>
        <v>0</v>
      </c>
      <c r="I17" s="95">
        <f t="shared" si="3"/>
        <v>0</v>
      </c>
      <c r="J17" s="96"/>
      <c r="K17" s="97" t="e">
        <f t="shared" si="4"/>
        <v>#DIV/0!</v>
      </c>
      <c r="L17" s="98">
        <f>M17*365</f>
        <v>44470</v>
      </c>
      <c r="M17" s="99">
        <f>(($M$7-F17)+1)/365</f>
        <v>121.83561643835617</v>
      </c>
      <c r="N17" s="100" t="e">
        <f>K17*M17</f>
        <v>#DIV/0!</v>
      </c>
      <c r="O17" s="95" t="e">
        <f>G17-N17</f>
        <v>#DIV/0!</v>
      </c>
    </row>
    <row r="18" spans="1:15" s="101" customFormat="1" x14ac:dyDescent="0.2">
      <c r="A18" s="90"/>
      <c r="B18" s="90"/>
      <c r="C18" s="102"/>
      <c r="D18" s="103" t="s">
        <v>2650</v>
      </c>
      <c r="E18" s="93" t="s">
        <v>2648</v>
      </c>
      <c r="F18" s="55"/>
      <c r="G18" s="94"/>
      <c r="H18" s="95">
        <f t="shared" si="2"/>
        <v>0</v>
      </c>
      <c r="I18" s="95">
        <f t="shared" si="3"/>
        <v>0</v>
      </c>
      <c r="J18" s="96"/>
      <c r="K18" s="97" t="e">
        <f>I18/J18</f>
        <v>#DIV/0!</v>
      </c>
      <c r="L18" s="98">
        <f>M18*365</f>
        <v>44470</v>
      </c>
      <c r="M18" s="99">
        <f t="shared" si="6"/>
        <v>121.83561643835617</v>
      </c>
      <c r="N18" s="100" t="e">
        <f t="shared" si="0"/>
        <v>#DIV/0!</v>
      </c>
      <c r="O18" s="95" t="e">
        <f t="shared" si="1"/>
        <v>#DIV/0!</v>
      </c>
    </row>
    <row r="19" spans="1:15" s="104" customFormat="1" x14ac:dyDescent="0.25">
      <c r="C19" s="105"/>
      <c r="D19" s="106" t="s">
        <v>1162</v>
      </c>
      <c r="E19" s="93" t="s">
        <v>2648</v>
      </c>
      <c r="F19" s="54"/>
      <c r="G19" s="107"/>
      <c r="H19" s="95">
        <f t="shared" si="2"/>
        <v>0</v>
      </c>
      <c r="I19" s="95">
        <f t="shared" si="3"/>
        <v>0</v>
      </c>
      <c r="J19" s="96"/>
      <c r="K19" s="97" t="e">
        <f>I19/J19</f>
        <v>#DIV/0!</v>
      </c>
      <c r="L19" s="98">
        <f t="shared" ref="L19:L82" si="7">M19*365</f>
        <v>44470</v>
      </c>
      <c r="M19" s="99">
        <f>(($M$7-F19)+1)/365</f>
        <v>121.83561643835617</v>
      </c>
      <c r="N19" s="100" t="e">
        <f t="shared" si="0"/>
        <v>#DIV/0!</v>
      </c>
      <c r="O19" s="95" t="e">
        <f t="shared" si="1"/>
        <v>#DIV/0!</v>
      </c>
    </row>
    <row r="20" spans="1:15" s="104" customFormat="1" x14ac:dyDescent="0.25">
      <c r="C20" s="105" t="s">
        <v>2651</v>
      </c>
      <c r="D20" s="106" t="s">
        <v>1162</v>
      </c>
      <c r="E20" s="93" t="s">
        <v>2648</v>
      </c>
      <c r="F20" s="54">
        <v>44439</v>
      </c>
      <c r="G20" s="107">
        <v>2024602</v>
      </c>
      <c r="H20" s="95">
        <f t="shared" si="2"/>
        <v>101230.1</v>
      </c>
      <c r="I20" s="95">
        <f t="shared" si="3"/>
        <v>1923371.9</v>
      </c>
      <c r="J20" s="96">
        <v>8</v>
      </c>
      <c r="K20" s="97">
        <f>I20/J20</f>
        <v>240421.48749999999</v>
      </c>
      <c r="L20" s="98">
        <f t="shared" si="7"/>
        <v>31</v>
      </c>
      <c r="M20" s="99">
        <f>(($M$7-F20)+1)/365</f>
        <v>8.4931506849315067E-2</v>
      </c>
      <c r="N20" s="100">
        <f t="shared" si="0"/>
        <v>20419.359212328767</v>
      </c>
      <c r="O20" s="95">
        <f t="shared" si="1"/>
        <v>2004182.6407876713</v>
      </c>
    </row>
    <row r="21" spans="1:15" s="104" customFormat="1" x14ac:dyDescent="0.25">
      <c r="C21" s="105"/>
      <c r="D21" s="106" t="s">
        <v>1162</v>
      </c>
      <c r="E21" s="93" t="s">
        <v>2648</v>
      </c>
      <c r="F21" s="54"/>
      <c r="G21" s="107"/>
      <c r="H21" s="95">
        <f t="shared" si="2"/>
        <v>0</v>
      </c>
      <c r="I21" s="95">
        <f t="shared" si="3"/>
        <v>0</v>
      </c>
      <c r="J21" s="96"/>
      <c r="K21" s="97" t="e">
        <f>I21/J21</f>
        <v>#DIV/0!</v>
      </c>
      <c r="L21" s="98">
        <f>M21*365</f>
        <v>44470</v>
      </c>
      <c r="M21" s="99">
        <f>(($M$7-F21)+1)/365</f>
        <v>121.83561643835617</v>
      </c>
      <c r="N21" s="100" t="e">
        <f t="shared" si="0"/>
        <v>#DIV/0!</v>
      </c>
      <c r="O21" s="95" t="e">
        <f t="shared" si="1"/>
        <v>#DIV/0!</v>
      </c>
    </row>
    <row r="22" spans="1:15" s="104" customFormat="1" x14ac:dyDescent="0.25">
      <c r="C22" s="105" t="s">
        <v>2652</v>
      </c>
      <c r="D22" s="106" t="s">
        <v>1200</v>
      </c>
      <c r="E22" s="93" t="s">
        <v>2648</v>
      </c>
      <c r="F22" s="54">
        <v>44313</v>
      </c>
      <c r="G22" s="107">
        <v>9200</v>
      </c>
      <c r="H22" s="95">
        <f t="shared" si="2"/>
        <v>460</v>
      </c>
      <c r="I22" s="95">
        <f t="shared" si="3"/>
        <v>8740</v>
      </c>
      <c r="J22" s="96">
        <v>5</v>
      </c>
      <c r="K22" s="97">
        <f t="shared" ref="K22:K85" si="8">I22/J22</f>
        <v>1748</v>
      </c>
      <c r="L22" s="98">
        <f t="shared" si="7"/>
        <v>157</v>
      </c>
      <c r="M22" s="99">
        <f t="shared" ref="M22:M85" si="9">(($M$7-F22)+1)/365</f>
        <v>0.43013698630136987</v>
      </c>
      <c r="N22" s="100">
        <f t="shared" si="0"/>
        <v>751.87945205479457</v>
      </c>
      <c r="O22" s="95">
        <f t="shared" si="1"/>
        <v>8448.1205479452055</v>
      </c>
    </row>
    <row r="23" spans="1:15" s="104" customFormat="1" x14ac:dyDescent="0.25">
      <c r="C23" s="105"/>
      <c r="D23" s="106" t="s">
        <v>1200</v>
      </c>
      <c r="E23" s="93" t="s">
        <v>2648</v>
      </c>
      <c r="F23" s="54"/>
      <c r="G23" s="107"/>
      <c r="H23" s="95">
        <f t="shared" si="2"/>
        <v>0</v>
      </c>
      <c r="I23" s="95">
        <f t="shared" si="3"/>
        <v>0</v>
      </c>
      <c r="J23" s="96">
        <v>3</v>
      </c>
      <c r="K23" s="97">
        <f t="shared" si="8"/>
        <v>0</v>
      </c>
      <c r="L23" s="98">
        <f t="shared" si="7"/>
        <v>44470</v>
      </c>
      <c r="M23" s="99">
        <f t="shared" si="9"/>
        <v>121.83561643835617</v>
      </c>
      <c r="N23" s="100">
        <f t="shared" si="0"/>
        <v>0</v>
      </c>
      <c r="O23" s="95">
        <f t="shared" si="1"/>
        <v>0</v>
      </c>
    </row>
    <row r="24" spans="1:15" s="104" customFormat="1" x14ac:dyDescent="0.25">
      <c r="C24" s="105" t="s">
        <v>2653</v>
      </c>
      <c r="D24" s="106" t="s">
        <v>1200</v>
      </c>
      <c r="E24" s="93" t="s">
        <v>2648</v>
      </c>
      <c r="F24" s="54">
        <v>44392</v>
      </c>
      <c r="G24" s="107">
        <v>2764.52</v>
      </c>
      <c r="H24" s="95">
        <f t="shared" si="2"/>
        <v>138.226</v>
      </c>
      <c r="I24" s="95">
        <f t="shared" si="3"/>
        <v>2626.2939999999999</v>
      </c>
      <c r="J24" s="96">
        <v>5</v>
      </c>
      <c r="K24" s="97">
        <f t="shared" si="8"/>
        <v>525.25879999999995</v>
      </c>
      <c r="L24" s="98">
        <f t="shared" si="7"/>
        <v>78</v>
      </c>
      <c r="M24" s="99">
        <f t="shared" si="9"/>
        <v>0.21369863013698631</v>
      </c>
      <c r="N24" s="100">
        <f t="shared" si="0"/>
        <v>112.24708602739726</v>
      </c>
      <c r="O24" s="95">
        <f t="shared" si="1"/>
        <v>2652.2729139726025</v>
      </c>
    </row>
    <row r="25" spans="1:15" s="104" customFormat="1" x14ac:dyDescent="0.25">
      <c r="C25" s="105"/>
      <c r="D25" s="106" t="s">
        <v>1200</v>
      </c>
      <c r="E25" s="93" t="s">
        <v>2648</v>
      </c>
      <c r="F25" s="54"/>
      <c r="G25" s="107"/>
      <c r="H25" s="95">
        <f t="shared" si="2"/>
        <v>0</v>
      </c>
      <c r="I25" s="95">
        <f t="shared" si="3"/>
        <v>0</v>
      </c>
      <c r="J25" s="96">
        <v>3</v>
      </c>
      <c r="K25" s="97">
        <f t="shared" si="8"/>
        <v>0</v>
      </c>
      <c r="L25" s="98">
        <f t="shared" si="7"/>
        <v>44470</v>
      </c>
      <c r="M25" s="99">
        <f t="shared" si="9"/>
        <v>121.83561643835617</v>
      </c>
      <c r="N25" s="100">
        <f t="shared" si="0"/>
        <v>0</v>
      </c>
      <c r="O25" s="95">
        <f t="shared" si="1"/>
        <v>0</v>
      </c>
    </row>
    <row r="26" spans="1:15" s="104" customFormat="1" x14ac:dyDescent="0.25">
      <c r="C26" s="105"/>
      <c r="D26" s="106" t="s">
        <v>1200</v>
      </c>
      <c r="E26" s="93" t="s">
        <v>2648</v>
      </c>
      <c r="F26" s="54"/>
      <c r="G26" s="107"/>
      <c r="H26" s="95">
        <f t="shared" si="2"/>
        <v>0</v>
      </c>
      <c r="I26" s="95">
        <f t="shared" si="3"/>
        <v>0</v>
      </c>
      <c r="J26" s="96">
        <v>3</v>
      </c>
      <c r="K26" s="97">
        <f t="shared" si="8"/>
        <v>0</v>
      </c>
      <c r="L26" s="98">
        <f t="shared" si="7"/>
        <v>44470</v>
      </c>
      <c r="M26" s="99">
        <f t="shared" si="9"/>
        <v>121.83561643835617</v>
      </c>
      <c r="N26" s="100">
        <f t="shared" si="0"/>
        <v>0</v>
      </c>
      <c r="O26" s="95">
        <f t="shared" si="1"/>
        <v>0</v>
      </c>
    </row>
    <row r="27" spans="1:15" s="104" customFormat="1" x14ac:dyDescent="0.25">
      <c r="C27" s="105"/>
      <c r="D27" s="106" t="s">
        <v>1200</v>
      </c>
      <c r="E27" s="93" t="s">
        <v>2648</v>
      </c>
      <c r="F27" s="54"/>
      <c r="G27" s="107"/>
      <c r="H27" s="95">
        <f t="shared" si="2"/>
        <v>0</v>
      </c>
      <c r="I27" s="95">
        <f t="shared" si="3"/>
        <v>0</v>
      </c>
      <c r="J27" s="96">
        <v>3</v>
      </c>
      <c r="K27" s="97">
        <f t="shared" si="8"/>
        <v>0</v>
      </c>
      <c r="L27" s="98">
        <f t="shared" si="7"/>
        <v>44470</v>
      </c>
      <c r="M27" s="99">
        <f t="shared" si="9"/>
        <v>121.83561643835617</v>
      </c>
      <c r="N27" s="100">
        <f t="shared" si="0"/>
        <v>0</v>
      </c>
      <c r="O27" s="95">
        <f t="shared" si="1"/>
        <v>0</v>
      </c>
    </row>
    <row r="28" spans="1:15" s="104" customFormat="1" ht="12.75" hidden="1" customHeight="1" x14ac:dyDescent="0.25">
      <c r="C28" s="105"/>
      <c r="D28" s="106" t="s">
        <v>1200</v>
      </c>
      <c r="E28" s="93" t="s">
        <v>2648</v>
      </c>
      <c r="F28" s="54"/>
      <c r="G28" s="107"/>
      <c r="H28" s="95">
        <f t="shared" si="2"/>
        <v>0</v>
      </c>
      <c r="I28" s="95">
        <f t="shared" si="3"/>
        <v>0</v>
      </c>
      <c r="J28" s="96"/>
      <c r="K28" s="97" t="e">
        <f t="shared" si="8"/>
        <v>#DIV/0!</v>
      </c>
      <c r="L28" s="98">
        <f t="shared" si="7"/>
        <v>44470</v>
      </c>
      <c r="M28" s="99">
        <f t="shared" si="9"/>
        <v>121.83561643835617</v>
      </c>
      <c r="N28" s="100" t="e">
        <f t="shared" si="0"/>
        <v>#DIV/0!</v>
      </c>
      <c r="O28" s="95" t="e">
        <f t="shared" si="1"/>
        <v>#DIV/0!</v>
      </c>
    </row>
    <row r="29" spans="1:15" s="104" customFormat="1" ht="12.75" hidden="1" customHeight="1" x14ac:dyDescent="0.25">
      <c r="C29" s="105"/>
      <c r="D29" s="106" t="s">
        <v>1200</v>
      </c>
      <c r="E29" s="93" t="s">
        <v>2648</v>
      </c>
      <c r="F29" s="54"/>
      <c r="G29" s="107"/>
      <c r="H29" s="95">
        <f t="shared" si="2"/>
        <v>0</v>
      </c>
      <c r="I29" s="95">
        <f t="shared" si="3"/>
        <v>0</v>
      </c>
      <c r="J29" s="96"/>
      <c r="K29" s="97" t="e">
        <f t="shared" si="8"/>
        <v>#DIV/0!</v>
      </c>
      <c r="L29" s="98">
        <f t="shared" si="7"/>
        <v>44470</v>
      </c>
      <c r="M29" s="99">
        <f t="shared" si="9"/>
        <v>121.83561643835617</v>
      </c>
      <c r="N29" s="100" t="e">
        <f t="shared" si="0"/>
        <v>#DIV/0!</v>
      </c>
      <c r="O29" s="95" t="e">
        <f t="shared" si="1"/>
        <v>#DIV/0!</v>
      </c>
    </row>
    <row r="30" spans="1:15" s="104" customFormat="1" ht="12.75" hidden="1" customHeight="1" x14ac:dyDescent="0.25">
      <c r="C30" s="105"/>
      <c r="D30" s="106" t="s">
        <v>1200</v>
      </c>
      <c r="E30" s="93" t="s">
        <v>2648</v>
      </c>
      <c r="F30" s="54"/>
      <c r="G30" s="107"/>
      <c r="H30" s="95">
        <f t="shared" si="2"/>
        <v>0</v>
      </c>
      <c r="I30" s="95">
        <f t="shared" si="3"/>
        <v>0</v>
      </c>
      <c r="J30" s="96"/>
      <c r="K30" s="97" t="e">
        <f t="shared" si="8"/>
        <v>#DIV/0!</v>
      </c>
      <c r="L30" s="98">
        <f t="shared" si="7"/>
        <v>44470</v>
      </c>
      <c r="M30" s="99">
        <f t="shared" si="9"/>
        <v>121.83561643835617</v>
      </c>
      <c r="N30" s="100" t="e">
        <f t="shared" si="0"/>
        <v>#DIV/0!</v>
      </c>
      <c r="O30" s="95" t="e">
        <f t="shared" si="1"/>
        <v>#DIV/0!</v>
      </c>
    </row>
    <row r="31" spans="1:15" s="104" customFormat="1" ht="12.75" hidden="1" customHeight="1" x14ac:dyDescent="0.25">
      <c r="C31" s="105"/>
      <c r="D31" s="106" t="s">
        <v>1200</v>
      </c>
      <c r="E31" s="93" t="s">
        <v>2648</v>
      </c>
      <c r="F31" s="54"/>
      <c r="G31" s="107"/>
      <c r="H31" s="95">
        <f t="shared" si="2"/>
        <v>0</v>
      </c>
      <c r="I31" s="95">
        <f t="shared" si="3"/>
        <v>0</v>
      </c>
      <c r="J31" s="96"/>
      <c r="K31" s="97" t="e">
        <f t="shared" si="8"/>
        <v>#DIV/0!</v>
      </c>
      <c r="L31" s="98">
        <f t="shared" si="7"/>
        <v>44470</v>
      </c>
      <c r="M31" s="99">
        <f t="shared" si="9"/>
        <v>121.83561643835617</v>
      </c>
      <c r="N31" s="100" t="e">
        <f t="shared" si="0"/>
        <v>#DIV/0!</v>
      </c>
      <c r="O31" s="95" t="e">
        <f t="shared" si="1"/>
        <v>#DIV/0!</v>
      </c>
    </row>
    <row r="32" spans="1:15" s="104" customFormat="1" ht="12.75" hidden="1" customHeight="1" x14ac:dyDescent="0.25">
      <c r="C32" s="105"/>
      <c r="D32" s="106" t="s">
        <v>1200</v>
      </c>
      <c r="E32" s="93" t="s">
        <v>2648</v>
      </c>
      <c r="F32" s="54"/>
      <c r="G32" s="107"/>
      <c r="H32" s="95">
        <f t="shared" si="2"/>
        <v>0</v>
      </c>
      <c r="I32" s="95">
        <f t="shared" si="3"/>
        <v>0</v>
      </c>
      <c r="J32" s="96"/>
      <c r="K32" s="97" t="e">
        <f t="shared" si="8"/>
        <v>#DIV/0!</v>
      </c>
      <c r="L32" s="98">
        <f t="shared" si="7"/>
        <v>44470</v>
      </c>
      <c r="M32" s="99">
        <f t="shared" si="9"/>
        <v>121.83561643835617</v>
      </c>
      <c r="N32" s="100" t="e">
        <f t="shared" si="0"/>
        <v>#DIV/0!</v>
      </c>
      <c r="O32" s="95" t="e">
        <f t="shared" si="1"/>
        <v>#DIV/0!</v>
      </c>
    </row>
    <row r="33" spans="3:15" s="104" customFormat="1" ht="12.75" hidden="1" customHeight="1" x14ac:dyDescent="0.25">
      <c r="C33" s="105"/>
      <c r="D33" s="106" t="s">
        <v>1200</v>
      </c>
      <c r="E33" s="93" t="s">
        <v>2648</v>
      </c>
      <c r="F33" s="54"/>
      <c r="G33" s="107"/>
      <c r="H33" s="95">
        <f t="shared" si="2"/>
        <v>0</v>
      </c>
      <c r="I33" s="95">
        <f t="shared" si="3"/>
        <v>0</v>
      </c>
      <c r="J33" s="96"/>
      <c r="K33" s="97" t="e">
        <f t="shared" si="8"/>
        <v>#DIV/0!</v>
      </c>
      <c r="L33" s="98">
        <f t="shared" si="7"/>
        <v>44470</v>
      </c>
      <c r="M33" s="99">
        <f t="shared" si="9"/>
        <v>121.83561643835617</v>
      </c>
      <c r="N33" s="100" t="e">
        <f t="shared" si="0"/>
        <v>#DIV/0!</v>
      </c>
      <c r="O33" s="95" t="e">
        <f t="shared" si="1"/>
        <v>#DIV/0!</v>
      </c>
    </row>
    <row r="34" spans="3:15" s="104" customFormat="1" ht="12.75" hidden="1" customHeight="1" x14ac:dyDescent="0.25">
      <c r="C34" s="105"/>
      <c r="D34" s="106" t="s">
        <v>1200</v>
      </c>
      <c r="E34" s="93" t="s">
        <v>2648</v>
      </c>
      <c r="F34" s="54"/>
      <c r="G34" s="107"/>
      <c r="H34" s="95">
        <f t="shared" si="2"/>
        <v>0</v>
      </c>
      <c r="I34" s="95">
        <f t="shared" si="3"/>
        <v>0</v>
      </c>
      <c r="J34" s="96"/>
      <c r="K34" s="97" t="e">
        <f t="shared" si="8"/>
        <v>#DIV/0!</v>
      </c>
      <c r="L34" s="98">
        <f t="shared" si="7"/>
        <v>44470</v>
      </c>
      <c r="M34" s="99">
        <f t="shared" si="9"/>
        <v>121.83561643835617</v>
      </c>
      <c r="N34" s="100" t="e">
        <f t="shared" si="0"/>
        <v>#DIV/0!</v>
      </c>
      <c r="O34" s="95" t="e">
        <f t="shared" si="1"/>
        <v>#DIV/0!</v>
      </c>
    </row>
    <row r="35" spans="3:15" s="104" customFormat="1" ht="12.75" hidden="1" customHeight="1" x14ac:dyDescent="0.25">
      <c r="C35" s="105"/>
      <c r="D35" s="106" t="s">
        <v>1200</v>
      </c>
      <c r="E35" s="93" t="s">
        <v>2648</v>
      </c>
      <c r="F35" s="54"/>
      <c r="G35" s="107"/>
      <c r="H35" s="95">
        <f t="shared" si="2"/>
        <v>0</v>
      </c>
      <c r="I35" s="95">
        <f t="shared" si="3"/>
        <v>0</v>
      </c>
      <c r="J35" s="96"/>
      <c r="K35" s="97" t="e">
        <f t="shared" si="8"/>
        <v>#DIV/0!</v>
      </c>
      <c r="L35" s="98">
        <f t="shared" si="7"/>
        <v>44470</v>
      </c>
      <c r="M35" s="99">
        <f t="shared" si="9"/>
        <v>121.83561643835617</v>
      </c>
      <c r="N35" s="100" t="e">
        <f t="shared" si="0"/>
        <v>#DIV/0!</v>
      </c>
      <c r="O35" s="95" t="e">
        <f t="shared" si="1"/>
        <v>#DIV/0!</v>
      </c>
    </row>
    <row r="36" spans="3:15" s="104" customFormat="1" ht="12.75" hidden="1" customHeight="1" x14ac:dyDescent="0.25">
      <c r="C36" s="105"/>
      <c r="D36" s="106" t="s">
        <v>1200</v>
      </c>
      <c r="E36" s="93" t="s">
        <v>2648</v>
      </c>
      <c r="F36" s="54"/>
      <c r="G36" s="107"/>
      <c r="H36" s="95">
        <f t="shared" si="2"/>
        <v>0</v>
      </c>
      <c r="I36" s="95">
        <f t="shared" si="3"/>
        <v>0</v>
      </c>
      <c r="J36" s="96"/>
      <c r="K36" s="97" t="e">
        <f t="shared" si="8"/>
        <v>#DIV/0!</v>
      </c>
      <c r="L36" s="98">
        <f t="shared" si="7"/>
        <v>44470</v>
      </c>
      <c r="M36" s="99">
        <f t="shared" si="9"/>
        <v>121.83561643835617</v>
      </c>
      <c r="N36" s="100" t="e">
        <f t="shared" si="0"/>
        <v>#DIV/0!</v>
      </c>
      <c r="O36" s="95" t="e">
        <f t="shared" si="1"/>
        <v>#DIV/0!</v>
      </c>
    </row>
    <row r="37" spans="3:15" s="104" customFormat="1" ht="12.75" hidden="1" customHeight="1" x14ac:dyDescent="0.25">
      <c r="C37" s="105"/>
      <c r="D37" s="106" t="s">
        <v>1200</v>
      </c>
      <c r="E37" s="93" t="s">
        <v>2648</v>
      </c>
      <c r="F37" s="54"/>
      <c r="G37" s="107"/>
      <c r="H37" s="95">
        <f t="shared" si="2"/>
        <v>0</v>
      </c>
      <c r="I37" s="95">
        <f t="shared" si="3"/>
        <v>0</v>
      </c>
      <c r="J37" s="96"/>
      <c r="K37" s="97" t="e">
        <f t="shared" si="8"/>
        <v>#DIV/0!</v>
      </c>
      <c r="L37" s="98">
        <f t="shared" si="7"/>
        <v>44470</v>
      </c>
      <c r="M37" s="99">
        <f t="shared" si="9"/>
        <v>121.83561643835617</v>
      </c>
      <c r="N37" s="100" t="e">
        <f t="shared" si="0"/>
        <v>#DIV/0!</v>
      </c>
      <c r="O37" s="95" t="e">
        <f t="shared" si="1"/>
        <v>#DIV/0!</v>
      </c>
    </row>
    <row r="38" spans="3:15" s="104" customFormat="1" ht="12.75" hidden="1" customHeight="1" x14ac:dyDescent="0.25">
      <c r="C38" s="105"/>
      <c r="D38" s="106" t="s">
        <v>1200</v>
      </c>
      <c r="E38" s="93" t="s">
        <v>2648</v>
      </c>
      <c r="F38" s="54"/>
      <c r="G38" s="107"/>
      <c r="H38" s="95">
        <f t="shared" si="2"/>
        <v>0</v>
      </c>
      <c r="I38" s="95">
        <f t="shared" si="3"/>
        <v>0</v>
      </c>
      <c r="J38" s="96"/>
      <c r="K38" s="97" t="e">
        <f t="shared" si="8"/>
        <v>#DIV/0!</v>
      </c>
      <c r="L38" s="98">
        <f t="shared" si="7"/>
        <v>44470</v>
      </c>
      <c r="M38" s="99">
        <f t="shared" si="9"/>
        <v>121.83561643835617</v>
      </c>
      <c r="N38" s="100" t="e">
        <f t="shared" si="0"/>
        <v>#DIV/0!</v>
      </c>
      <c r="O38" s="95" t="e">
        <f t="shared" si="1"/>
        <v>#DIV/0!</v>
      </c>
    </row>
    <row r="39" spans="3:15" s="104" customFormat="1" ht="12.75" hidden="1" customHeight="1" x14ac:dyDescent="0.25">
      <c r="C39" s="105"/>
      <c r="D39" s="106" t="s">
        <v>1200</v>
      </c>
      <c r="E39" s="93" t="s">
        <v>2648</v>
      </c>
      <c r="F39" s="54"/>
      <c r="G39" s="107"/>
      <c r="H39" s="95">
        <f t="shared" si="2"/>
        <v>0</v>
      </c>
      <c r="I39" s="95">
        <f t="shared" si="3"/>
        <v>0</v>
      </c>
      <c r="J39" s="96"/>
      <c r="K39" s="97" t="e">
        <f t="shared" si="8"/>
        <v>#DIV/0!</v>
      </c>
      <c r="L39" s="98">
        <f t="shared" si="7"/>
        <v>44470</v>
      </c>
      <c r="M39" s="99">
        <f t="shared" si="9"/>
        <v>121.83561643835617</v>
      </c>
      <c r="N39" s="100" t="e">
        <f t="shared" si="0"/>
        <v>#DIV/0!</v>
      </c>
      <c r="O39" s="95" t="e">
        <f t="shared" si="1"/>
        <v>#DIV/0!</v>
      </c>
    </row>
    <row r="40" spans="3:15" s="104" customFormat="1" ht="12.75" hidden="1" customHeight="1" x14ac:dyDescent="0.25">
      <c r="C40" s="105"/>
      <c r="D40" s="106" t="s">
        <v>1200</v>
      </c>
      <c r="E40" s="93" t="s">
        <v>2648</v>
      </c>
      <c r="F40" s="54"/>
      <c r="G40" s="107"/>
      <c r="H40" s="95">
        <f t="shared" si="2"/>
        <v>0</v>
      </c>
      <c r="I40" s="95">
        <f t="shared" si="3"/>
        <v>0</v>
      </c>
      <c r="J40" s="96"/>
      <c r="K40" s="97" t="e">
        <f t="shared" si="8"/>
        <v>#DIV/0!</v>
      </c>
      <c r="L40" s="98">
        <f t="shared" si="7"/>
        <v>44470</v>
      </c>
      <c r="M40" s="99">
        <f t="shared" si="9"/>
        <v>121.83561643835617</v>
      </c>
      <c r="N40" s="100" t="e">
        <f t="shared" si="0"/>
        <v>#DIV/0!</v>
      </c>
      <c r="O40" s="95" t="e">
        <f t="shared" si="1"/>
        <v>#DIV/0!</v>
      </c>
    </row>
    <row r="41" spans="3:15" s="104" customFormat="1" ht="12.75" hidden="1" customHeight="1" x14ac:dyDescent="0.25">
      <c r="C41" s="105"/>
      <c r="D41" s="106" t="s">
        <v>1200</v>
      </c>
      <c r="E41" s="93" t="s">
        <v>2648</v>
      </c>
      <c r="F41" s="54"/>
      <c r="G41" s="107"/>
      <c r="H41" s="95">
        <f t="shared" si="2"/>
        <v>0</v>
      </c>
      <c r="I41" s="95">
        <f t="shared" si="3"/>
        <v>0</v>
      </c>
      <c r="J41" s="96"/>
      <c r="K41" s="97" t="e">
        <f t="shared" si="8"/>
        <v>#DIV/0!</v>
      </c>
      <c r="L41" s="98">
        <f t="shared" si="7"/>
        <v>44470</v>
      </c>
      <c r="M41" s="99">
        <f t="shared" si="9"/>
        <v>121.83561643835617</v>
      </c>
      <c r="N41" s="100" t="e">
        <f t="shared" si="0"/>
        <v>#DIV/0!</v>
      </c>
      <c r="O41" s="95" t="e">
        <f t="shared" si="1"/>
        <v>#DIV/0!</v>
      </c>
    </row>
    <row r="42" spans="3:15" s="104" customFormat="1" ht="12.75" hidden="1" customHeight="1" x14ac:dyDescent="0.25">
      <c r="C42" s="105"/>
      <c r="D42" s="106" t="s">
        <v>1200</v>
      </c>
      <c r="E42" s="93" t="s">
        <v>2648</v>
      </c>
      <c r="F42" s="54"/>
      <c r="G42" s="107"/>
      <c r="H42" s="95">
        <f t="shared" si="2"/>
        <v>0</v>
      </c>
      <c r="I42" s="95">
        <f t="shared" si="3"/>
        <v>0</v>
      </c>
      <c r="J42" s="96"/>
      <c r="K42" s="97" t="e">
        <f t="shared" si="8"/>
        <v>#DIV/0!</v>
      </c>
      <c r="L42" s="98">
        <f t="shared" si="7"/>
        <v>44470</v>
      </c>
      <c r="M42" s="99">
        <f t="shared" si="9"/>
        <v>121.83561643835617</v>
      </c>
      <c r="N42" s="100" t="e">
        <f t="shared" si="0"/>
        <v>#DIV/0!</v>
      </c>
      <c r="O42" s="95" t="e">
        <f t="shared" si="1"/>
        <v>#DIV/0!</v>
      </c>
    </row>
    <row r="43" spans="3:15" s="104" customFormat="1" ht="12.75" hidden="1" customHeight="1" x14ac:dyDescent="0.25">
      <c r="C43" s="105"/>
      <c r="D43" s="106" t="s">
        <v>1200</v>
      </c>
      <c r="E43" s="93" t="s">
        <v>2648</v>
      </c>
      <c r="F43" s="54"/>
      <c r="G43" s="107"/>
      <c r="H43" s="95">
        <f t="shared" si="2"/>
        <v>0</v>
      </c>
      <c r="I43" s="95">
        <f t="shared" si="3"/>
        <v>0</v>
      </c>
      <c r="J43" s="96"/>
      <c r="K43" s="97" t="e">
        <f t="shared" si="8"/>
        <v>#DIV/0!</v>
      </c>
      <c r="L43" s="98">
        <f t="shared" si="7"/>
        <v>44470</v>
      </c>
      <c r="M43" s="99">
        <f t="shared" si="9"/>
        <v>121.83561643835617</v>
      </c>
      <c r="N43" s="100" t="e">
        <f t="shared" si="0"/>
        <v>#DIV/0!</v>
      </c>
      <c r="O43" s="95" t="e">
        <f t="shared" si="1"/>
        <v>#DIV/0!</v>
      </c>
    </row>
    <row r="44" spans="3:15" s="104" customFormat="1" ht="12.75" hidden="1" customHeight="1" x14ac:dyDescent="0.25">
      <c r="C44" s="105"/>
      <c r="D44" s="106" t="s">
        <v>1200</v>
      </c>
      <c r="E44" s="93" t="s">
        <v>2648</v>
      </c>
      <c r="F44" s="54"/>
      <c r="G44" s="107"/>
      <c r="H44" s="95">
        <f t="shared" si="2"/>
        <v>0</v>
      </c>
      <c r="I44" s="95">
        <f t="shared" si="3"/>
        <v>0</v>
      </c>
      <c r="J44" s="96"/>
      <c r="K44" s="97" t="e">
        <f t="shared" si="8"/>
        <v>#DIV/0!</v>
      </c>
      <c r="L44" s="98">
        <f t="shared" si="7"/>
        <v>44470</v>
      </c>
      <c r="M44" s="99">
        <f t="shared" si="9"/>
        <v>121.83561643835617</v>
      </c>
      <c r="N44" s="100" t="e">
        <f t="shared" si="0"/>
        <v>#DIV/0!</v>
      </c>
      <c r="O44" s="95" t="e">
        <f t="shared" si="1"/>
        <v>#DIV/0!</v>
      </c>
    </row>
    <row r="45" spans="3:15" s="104" customFormat="1" ht="12.75" hidden="1" customHeight="1" x14ac:dyDescent="0.25">
      <c r="C45" s="105"/>
      <c r="D45" s="106" t="s">
        <v>1200</v>
      </c>
      <c r="E45" s="93" t="s">
        <v>2648</v>
      </c>
      <c r="F45" s="54"/>
      <c r="G45" s="107"/>
      <c r="H45" s="95">
        <f t="shared" si="2"/>
        <v>0</v>
      </c>
      <c r="I45" s="95">
        <f t="shared" si="3"/>
        <v>0</v>
      </c>
      <c r="J45" s="96"/>
      <c r="K45" s="97" t="e">
        <f t="shared" si="8"/>
        <v>#DIV/0!</v>
      </c>
      <c r="L45" s="98">
        <f t="shared" si="7"/>
        <v>44470</v>
      </c>
      <c r="M45" s="99">
        <f t="shared" si="9"/>
        <v>121.83561643835617</v>
      </c>
      <c r="N45" s="100" t="e">
        <f t="shared" si="0"/>
        <v>#DIV/0!</v>
      </c>
      <c r="O45" s="95" t="e">
        <f t="shared" si="1"/>
        <v>#DIV/0!</v>
      </c>
    </row>
    <row r="46" spans="3:15" s="104" customFormat="1" ht="12.75" hidden="1" customHeight="1" x14ac:dyDescent="0.25">
      <c r="C46" s="105"/>
      <c r="D46" s="106" t="s">
        <v>1200</v>
      </c>
      <c r="E46" s="93" t="s">
        <v>2648</v>
      </c>
      <c r="F46" s="54"/>
      <c r="G46" s="107"/>
      <c r="H46" s="95">
        <f t="shared" si="2"/>
        <v>0</v>
      </c>
      <c r="I46" s="95">
        <f t="shared" si="3"/>
        <v>0</v>
      </c>
      <c r="J46" s="96"/>
      <c r="K46" s="97" t="e">
        <f t="shared" si="8"/>
        <v>#DIV/0!</v>
      </c>
      <c r="L46" s="98">
        <f t="shared" si="7"/>
        <v>44470</v>
      </c>
      <c r="M46" s="99">
        <f t="shared" si="9"/>
        <v>121.83561643835617</v>
      </c>
      <c r="N46" s="100" t="e">
        <f t="shared" si="0"/>
        <v>#DIV/0!</v>
      </c>
      <c r="O46" s="95" t="e">
        <f t="shared" si="1"/>
        <v>#DIV/0!</v>
      </c>
    </row>
    <row r="47" spans="3:15" s="104" customFormat="1" ht="12.75" hidden="1" customHeight="1" x14ac:dyDescent="0.25">
      <c r="C47" s="105"/>
      <c r="D47" s="106" t="s">
        <v>1200</v>
      </c>
      <c r="E47" s="93" t="s">
        <v>2648</v>
      </c>
      <c r="F47" s="54"/>
      <c r="G47" s="107"/>
      <c r="H47" s="95">
        <f t="shared" si="2"/>
        <v>0</v>
      </c>
      <c r="I47" s="95">
        <f t="shared" si="3"/>
        <v>0</v>
      </c>
      <c r="J47" s="96"/>
      <c r="K47" s="97" t="e">
        <f t="shared" si="8"/>
        <v>#DIV/0!</v>
      </c>
      <c r="L47" s="98">
        <f t="shared" si="7"/>
        <v>44470</v>
      </c>
      <c r="M47" s="99">
        <f t="shared" si="9"/>
        <v>121.83561643835617</v>
      </c>
      <c r="N47" s="100" t="e">
        <f t="shared" si="0"/>
        <v>#DIV/0!</v>
      </c>
      <c r="O47" s="95" t="e">
        <f t="shared" si="1"/>
        <v>#DIV/0!</v>
      </c>
    </row>
    <row r="48" spans="3:15" s="104" customFormat="1" ht="12.75" hidden="1" customHeight="1" x14ac:dyDescent="0.25">
      <c r="C48" s="105"/>
      <c r="D48" s="106" t="s">
        <v>1200</v>
      </c>
      <c r="E48" s="93" t="s">
        <v>2648</v>
      </c>
      <c r="F48" s="54"/>
      <c r="G48" s="107"/>
      <c r="H48" s="95">
        <f t="shared" si="2"/>
        <v>0</v>
      </c>
      <c r="I48" s="95">
        <f t="shared" si="3"/>
        <v>0</v>
      </c>
      <c r="J48" s="96"/>
      <c r="K48" s="97" t="e">
        <f t="shared" si="8"/>
        <v>#DIV/0!</v>
      </c>
      <c r="L48" s="98">
        <f t="shared" si="7"/>
        <v>44470</v>
      </c>
      <c r="M48" s="99">
        <f t="shared" si="9"/>
        <v>121.83561643835617</v>
      </c>
      <c r="N48" s="100" t="e">
        <f t="shared" si="0"/>
        <v>#DIV/0!</v>
      </c>
      <c r="O48" s="95" t="e">
        <f t="shared" si="1"/>
        <v>#DIV/0!</v>
      </c>
    </row>
    <row r="49" spans="2:15" s="104" customFormat="1" ht="12.75" hidden="1" customHeight="1" x14ac:dyDescent="0.25">
      <c r="C49" s="105"/>
      <c r="D49" s="106" t="s">
        <v>1200</v>
      </c>
      <c r="E49" s="93" t="s">
        <v>2648</v>
      </c>
      <c r="F49" s="54"/>
      <c r="G49" s="107"/>
      <c r="H49" s="95">
        <f t="shared" si="2"/>
        <v>0</v>
      </c>
      <c r="I49" s="95">
        <f t="shared" si="3"/>
        <v>0</v>
      </c>
      <c r="J49" s="96"/>
      <c r="K49" s="97" t="e">
        <f t="shared" si="8"/>
        <v>#DIV/0!</v>
      </c>
      <c r="L49" s="98">
        <f t="shared" si="7"/>
        <v>44470</v>
      </c>
      <c r="M49" s="99">
        <f t="shared" si="9"/>
        <v>121.83561643835617</v>
      </c>
      <c r="N49" s="100" t="e">
        <f t="shared" si="0"/>
        <v>#DIV/0!</v>
      </c>
      <c r="O49" s="95" t="e">
        <f t="shared" si="1"/>
        <v>#DIV/0!</v>
      </c>
    </row>
    <row r="50" spans="2:15" s="104" customFormat="1" ht="12.75" hidden="1" customHeight="1" x14ac:dyDescent="0.25">
      <c r="C50" s="105"/>
      <c r="D50" s="106" t="s">
        <v>1200</v>
      </c>
      <c r="E50" s="93" t="s">
        <v>2648</v>
      </c>
      <c r="F50" s="54"/>
      <c r="G50" s="107"/>
      <c r="H50" s="95">
        <f t="shared" si="2"/>
        <v>0</v>
      </c>
      <c r="I50" s="95">
        <f t="shared" si="3"/>
        <v>0</v>
      </c>
      <c r="J50" s="96"/>
      <c r="K50" s="97" t="e">
        <f t="shared" si="8"/>
        <v>#DIV/0!</v>
      </c>
      <c r="L50" s="98">
        <f t="shared" si="7"/>
        <v>44470</v>
      </c>
      <c r="M50" s="99">
        <f t="shared" si="9"/>
        <v>121.83561643835617</v>
      </c>
      <c r="N50" s="100" t="e">
        <f t="shared" si="0"/>
        <v>#DIV/0!</v>
      </c>
      <c r="O50" s="95" t="e">
        <f t="shared" si="1"/>
        <v>#DIV/0!</v>
      </c>
    </row>
    <row r="51" spans="2:15" s="104" customFormat="1" ht="12.75" hidden="1" customHeight="1" x14ac:dyDescent="0.25">
      <c r="C51" s="105"/>
      <c r="D51" s="106" t="s">
        <v>1200</v>
      </c>
      <c r="E51" s="93" t="s">
        <v>2648</v>
      </c>
      <c r="F51" s="54"/>
      <c r="G51" s="107"/>
      <c r="H51" s="95">
        <f t="shared" si="2"/>
        <v>0</v>
      </c>
      <c r="I51" s="95">
        <f t="shared" si="3"/>
        <v>0</v>
      </c>
      <c r="J51" s="96"/>
      <c r="K51" s="97" t="e">
        <f t="shared" si="8"/>
        <v>#DIV/0!</v>
      </c>
      <c r="L51" s="98">
        <f t="shared" si="7"/>
        <v>44470</v>
      </c>
      <c r="M51" s="99">
        <f t="shared" si="9"/>
        <v>121.83561643835617</v>
      </c>
      <c r="N51" s="100" t="e">
        <f t="shared" si="0"/>
        <v>#DIV/0!</v>
      </c>
      <c r="O51" s="95" t="e">
        <f t="shared" si="1"/>
        <v>#DIV/0!</v>
      </c>
    </row>
    <row r="52" spans="2:15" s="104" customFormat="1" ht="12.75" hidden="1" customHeight="1" x14ac:dyDescent="0.25">
      <c r="C52" s="105"/>
      <c r="D52" s="106" t="s">
        <v>1200</v>
      </c>
      <c r="E52" s="93" t="s">
        <v>2648</v>
      </c>
      <c r="F52" s="54"/>
      <c r="G52" s="107"/>
      <c r="H52" s="95">
        <f t="shared" si="2"/>
        <v>0</v>
      </c>
      <c r="I52" s="95">
        <f t="shared" si="3"/>
        <v>0</v>
      </c>
      <c r="J52" s="96"/>
      <c r="K52" s="97" t="e">
        <f t="shared" si="8"/>
        <v>#DIV/0!</v>
      </c>
      <c r="L52" s="98">
        <f t="shared" si="7"/>
        <v>44470</v>
      </c>
      <c r="M52" s="99">
        <f t="shared" si="9"/>
        <v>121.83561643835617</v>
      </c>
      <c r="N52" s="100" t="e">
        <f t="shared" si="0"/>
        <v>#DIV/0!</v>
      </c>
      <c r="O52" s="95" t="e">
        <f t="shared" si="1"/>
        <v>#DIV/0!</v>
      </c>
    </row>
    <row r="53" spans="2:15" s="104" customFormat="1" ht="12.75" hidden="1" customHeight="1" x14ac:dyDescent="0.25">
      <c r="C53" s="105"/>
      <c r="D53" s="106" t="s">
        <v>1200</v>
      </c>
      <c r="E53" s="93" t="s">
        <v>2648</v>
      </c>
      <c r="F53" s="54"/>
      <c r="G53" s="107"/>
      <c r="H53" s="95">
        <f t="shared" si="2"/>
        <v>0</v>
      </c>
      <c r="I53" s="95">
        <f t="shared" si="3"/>
        <v>0</v>
      </c>
      <c r="J53" s="96"/>
      <c r="K53" s="97" t="e">
        <f t="shared" si="8"/>
        <v>#DIV/0!</v>
      </c>
      <c r="L53" s="98">
        <f t="shared" si="7"/>
        <v>44470</v>
      </c>
      <c r="M53" s="99">
        <f t="shared" si="9"/>
        <v>121.83561643835617</v>
      </c>
      <c r="N53" s="100" t="e">
        <f t="shared" si="0"/>
        <v>#DIV/0!</v>
      </c>
      <c r="O53" s="95" t="e">
        <f t="shared" si="1"/>
        <v>#DIV/0!</v>
      </c>
    </row>
    <row r="54" spans="2:15" s="104" customFormat="1" ht="12.75" hidden="1" customHeight="1" x14ac:dyDescent="0.25">
      <c r="C54" s="105"/>
      <c r="D54" s="106" t="s">
        <v>1200</v>
      </c>
      <c r="E54" s="93" t="s">
        <v>2648</v>
      </c>
      <c r="F54" s="54"/>
      <c r="G54" s="107"/>
      <c r="H54" s="95">
        <f t="shared" si="2"/>
        <v>0</v>
      </c>
      <c r="I54" s="95">
        <f t="shared" si="3"/>
        <v>0</v>
      </c>
      <c r="J54" s="96"/>
      <c r="K54" s="97" t="e">
        <f t="shared" si="8"/>
        <v>#DIV/0!</v>
      </c>
      <c r="L54" s="98">
        <f t="shared" si="7"/>
        <v>44470</v>
      </c>
      <c r="M54" s="99">
        <f t="shared" si="9"/>
        <v>121.83561643835617</v>
      </c>
      <c r="N54" s="100" t="e">
        <f t="shared" si="0"/>
        <v>#DIV/0!</v>
      </c>
      <c r="O54" s="95" t="e">
        <f t="shared" si="1"/>
        <v>#DIV/0!</v>
      </c>
    </row>
    <row r="55" spans="2:15" s="104" customFormat="1" ht="12.75" hidden="1" customHeight="1" x14ac:dyDescent="0.25">
      <c r="C55" s="105"/>
      <c r="D55" s="106" t="s">
        <v>1200</v>
      </c>
      <c r="E55" s="93" t="s">
        <v>2648</v>
      </c>
      <c r="F55" s="54"/>
      <c r="G55" s="107"/>
      <c r="H55" s="95">
        <f t="shared" si="2"/>
        <v>0</v>
      </c>
      <c r="I55" s="95">
        <f t="shared" si="3"/>
        <v>0</v>
      </c>
      <c r="J55" s="96"/>
      <c r="K55" s="97" t="e">
        <f t="shared" si="8"/>
        <v>#DIV/0!</v>
      </c>
      <c r="L55" s="98">
        <f t="shared" si="7"/>
        <v>44470</v>
      </c>
      <c r="M55" s="99">
        <f t="shared" si="9"/>
        <v>121.83561643835617</v>
      </c>
      <c r="N55" s="100" t="e">
        <f t="shared" si="0"/>
        <v>#DIV/0!</v>
      </c>
      <c r="O55" s="95" t="e">
        <f t="shared" si="1"/>
        <v>#DIV/0!</v>
      </c>
    </row>
    <row r="56" spans="2:15" s="104" customFormat="1" ht="12.75" hidden="1" customHeight="1" x14ac:dyDescent="0.25">
      <c r="C56" s="105"/>
      <c r="D56" s="106" t="s">
        <v>1200</v>
      </c>
      <c r="E56" s="93" t="s">
        <v>2648</v>
      </c>
      <c r="F56" s="54"/>
      <c r="G56" s="107"/>
      <c r="H56" s="95">
        <f t="shared" si="2"/>
        <v>0</v>
      </c>
      <c r="I56" s="95">
        <f t="shared" si="3"/>
        <v>0</v>
      </c>
      <c r="J56" s="96"/>
      <c r="K56" s="97" t="e">
        <f t="shared" si="8"/>
        <v>#DIV/0!</v>
      </c>
      <c r="L56" s="98">
        <f t="shared" si="7"/>
        <v>44470</v>
      </c>
      <c r="M56" s="99">
        <f t="shared" si="9"/>
        <v>121.83561643835617</v>
      </c>
      <c r="N56" s="100" t="e">
        <f t="shared" si="0"/>
        <v>#DIV/0!</v>
      </c>
      <c r="O56" s="95" t="e">
        <f t="shared" si="1"/>
        <v>#DIV/0!</v>
      </c>
    </row>
    <row r="57" spans="2:15" s="104" customFormat="1" ht="12.75" hidden="1" customHeight="1" x14ac:dyDescent="0.25">
      <c r="C57" s="105"/>
      <c r="D57" s="106" t="s">
        <v>1200</v>
      </c>
      <c r="E57" s="93" t="s">
        <v>2648</v>
      </c>
      <c r="F57" s="54"/>
      <c r="G57" s="107"/>
      <c r="H57" s="95">
        <f t="shared" si="2"/>
        <v>0</v>
      </c>
      <c r="I57" s="95">
        <f t="shared" si="3"/>
        <v>0</v>
      </c>
      <c r="J57" s="96"/>
      <c r="K57" s="97" t="e">
        <f t="shared" si="8"/>
        <v>#DIV/0!</v>
      </c>
      <c r="L57" s="98">
        <f t="shared" si="7"/>
        <v>44470</v>
      </c>
      <c r="M57" s="99">
        <f t="shared" si="9"/>
        <v>121.83561643835617</v>
      </c>
      <c r="N57" s="100" t="e">
        <f t="shared" si="0"/>
        <v>#DIV/0!</v>
      </c>
      <c r="O57" s="95" t="e">
        <f t="shared" si="1"/>
        <v>#DIV/0!</v>
      </c>
    </row>
    <row r="58" spans="2:15" s="104" customFormat="1" ht="12.75" hidden="1" customHeight="1" x14ac:dyDescent="0.25">
      <c r="C58" s="105"/>
      <c r="D58" s="106" t="s">
        <v>1708</v>
      </c>
      <c r="E58" s="93" t="s">
        <v>2648</v>
      </c>
      <c r="F58" s="54"/>
      <c r="G58" s="107"/>
      <c r="H58" s="95">
        <f t="shared" si="2"/>
        <v>0</v>
      </c>
      <c r="I58" s="95">
        <f t="shared" si="3"/>
        <v>0</v>
      </c>
      <c r="J58" s="96"/>
      <c r="K58" s="97" t="e">
        <f t="shared" si="8"/>
        <v>#DIV/0!</v>
      </c>
      <c r="L58" s="98">
        <f t="shared" si="7"/>
        <v>44470</v>
      </c>
      <c r="M58" s="99">
        <f t="shared" si="9"/>
        <v>121.83561643835617</v>
      </c>
      <c r="N58" s="100" t="e">
        <f t="shared" si="0"/>
        <v>#DIV/0!</v>
      </c>
      <c r="O58" s="95" t="e">
        <f t="shared" si="1"/>
        <v>#DIV/0!</v>
      </c>
    </row>
    <row r="59" spans="2:15" s="104" customFormat="1" ht="12.75" hidden="1" customHeight="1" x14ac:dyDescent="0.25">
      <c r="C59" s="105"/>
      <c r="D59" s="106" t="s">
        <v>1708</v>
      </c>
      <c r="E59" s="93" t="s">
        <v>2648</v>
      </c>
      <c r="F59" s="54"/>
      <c r="G59" s="107"/>
      <c r="H59" s="95">
        <f t="shared" si="2"/>
        <v>0</v>
      </c>
      <c r="I59" s="95">
        <f t="shared" si="3"/>
        <v>0</v>
      </c>
      <c r="J59" s="96"/>
      <c r="K59" s="97" t="e">
        <f t="shared" si="8"/>
        <v>#DIV/0!</v>
      </c>
      <c r="L59" s="98">
        <f t="shared" si="7"/>
        <v>44470</v>
      </c>
      <c r="M59" s="99">
        <f t="shared" si="9"/>
        <v>121.83561643835617</v>
      </c>
      <c r="N59" s="100" t="e">
        <f t="shared" si="0"/>
        <v>#DIV/0!</v>
      </c>
      <c r="O59" s="95" t="e">
        <f t="shared" si="1"/>
        <v>#DIV/0!</v>
      </c>
    </row>
    <row r="60" spans="2:15" s="104" customFormat="1" ht="12.75" hidden="1" customHeight="1" x14ac:dyDescent="0.25">
      <c r="C60" s="105"/>
      <c r="D60" s="106" t="s">
        <v>1708</v>
      </c>
      <c r="E60" s="93" t="s">
        <v>2648</v>
      </c>
      <c r="F60" s="54"/>
      <c r="G60" s="107"/>
      <c r="H60" s="95">
        <f t="shared" si="2"/>
        <v>0</v>
      </c>
      <c r="I60" s="95">
        <f t="shared" si="3"/>
        <v>0</v>
      </c>
      <c r="J60" s="96"/>
      <c r="K60" s="97" t="e">
        <f t="shared" si="8"/>
        <v>#DIV/0!</v>
      </c>
      <c r="L60" s="98">
        <f t="shared" si="7"/>
        <v>44470</v>
      </c>
      <c r="M60" s="99">
        <f t="shared" si="9"/>
        <v>121.83561643835617</v>
      </c>
      <c r="N60" s="100" t="e">
        <f t="shared" si="0"/>
        <v>#DIV/0!</v>
      </c>
      <c r="O60" s="95" t="e">
        <f t="shared" si="1"/>
        <v>#DIV/0!</v>
      </c>
    </row>
    <row r="61" spans="2:15" s="104" customFormat="1" ht="12.75" hidden="1" customHeight="1" x14ac:dyDescent="0.25">
      <c r="C61" s="105"/>
      <c r="D61" s="106" t="s">
        <v>1708</v>
      </c>
      <c r="E61" s="93" t="s">
        <v>2648</v>
      </c>
      <c r="F61" s="54"/>
      <c r="G61" s="107"/>
      <c r="H61" s="95">
        <f t="shared" si="2"/>
        <v>0</v>
      </c>
      <c r="I61" s="95">
        <f t="shared" si="3"/>
        <v>0</v>
      </c>
      <c r="J61" s="96"/>
      <c r="K61" s="97" t="e">
        <f t="shared" si="8"/>
        <v>#DIV/0!</v>
      </c>
      <c r="L61" s="98">
        <f t="shared" si="7"/>
        <v>44470</v>
      </c>
      <c r="M61" s="99">
        <f t="shared" si="9"/>
        <v>121.83561643835617</v>
      </c>
      <c r="N61" s="100" t="e">
        <f t="shared" si="0"/>
        <v>#DIV/0!</v>
      </c>
      <c r="O61" s="95" t="e">
        <f t="shared" si="1"/>
        <v>#DIV/0!</v>
      </c>
    </row>
    <row r="62" spans="2:15" s="104" customFormat="1" ht="12.75" hidden="1" customHeight="1" x14ac:dyDescent="0.25">
      <c r="C62" s="105"/>
      <c r="D62" s="106" t="s">
        <v>1708</v>
      </c>
      <c r="E62" s="93" t="s">
        <v>2648</v>
      </c>
      <c r="F62" s="54"/>
      <c r="G62" s="107"/>
      <c r="H62" s="95">
        <f t="shared" si="2"/>
        <v>0</v>
      </c>
      <c r="I62" s="95">
        <f t="shared" si="3"/>
        <v>0</v>
      </c>
      <c r="J62" s="96"/>
      <c r="K62" s="97" t="e">
        <f t="shared" si="8"/>
        <v>#DIV/0!</v>
      </c>
      <c r="L62" s="98">
        <f t="shared" si="7"/>
        <v>44470</v>
      </c>
      <c r="M62" s="99">
        <f t="shared" si="9"/>
        <v>121.83561643835617</v>
      </c>
      <c r="N62" s="100" t="e">
        <f t="shared" si="0"/>
        <v>#DIV/0!</v>
      </c>
      <c r="O62" s="95" t="e">
        <f t="shared" si="1"/>
        <v>#DIV/0!</v>
      </c>
    </row>
    <row r="63" spans="2:15" s="104" customFormat="1" ht="12.75" hidden="1" customHeight="1" x14ac:dyDescent="0.25">
      <c r="B63" s="96"/>
      <c r="C63" s="108"/>
      <c r="D63" s="106" t="s">
        <v>1708</v>
      </c>
      <c r="E63" s="93" t="s">
        <v>2648</v>
      </c>
      <c r="F63" s="54"/>
      <c r="G63" s="107"/>
      <c r="H63" s="95">
        <f t="shared" si="2"/>
        <v>0</v>
      </c>
      <c r="I63" s="95">
        <f t="shared" si="3"/>
        <v>0</v>
      </c>
      <c r="J63" s="96"/>
      <c r="K63" s="97" t="e">
        <f t="shared" si="8"/>
        <v>#DIV/0!</v>
      </c>
      <c r="L63" s="98">
        <f t="shared" si="7"/>
        <v>44470</v>
      </c>
      <c r="M63" s="99">
        <f t="shared" si="9"/>
        <v>121.83561643835617</v>
      </c>
      <c r="N63" s="100" t="e">
        <f t="shared" si="0"/>
        <v>#DIV/0!</v>
      </c>
      <c r="O63" s="95" t="e">
        <f t="shared" si="1"/>
        <v>#DIV/0!</v>
      </c>
    </row>
    <row r="64" spans="2:15" s="104" customFormat="1" ht="12.75" hidden="1" customHeight="1" x14ac:dyDescent="0.25">
      <c r="C64" s="105"/>
      <c r="D64" s="106" t="s">
        <v>1708</v>
      </c>
      <c r="E64" s="93" t="s">
        <v>2648</v>
      </c>
      <c r="F64" s="54"/>
      <c r="G64" s="107"/>
      <c r="H64" s="95">
        <f t="shared" si="2"/>
        <v>0</v>
      </c>
      <c r="I64" s="95">
        <f t="shared" si="3"/>
        <v>0</v>
      </c>
      <c r="J64" s="96"/>
      <c r="K64" s="97" t="e">
        <f t="shared" si="8"/>
        <v>#DIV/0!</v>
      </c>
      <c r="L64" s="98">
        <f t="shared" si="7"/>
        <v>44470</v>
      </c>
      <c r="M64" s="99">
        <f t="shared" si="9"/>
        <v>121.83561643835617</v>
      </c>
      <c r="N64" s="100" t="e">
        <f t="shared" si="0"/>
        <v>#DIV/0!</v>
      </c>
      <c r="O64" s="95" t="e">
        <f t="shared" si="1"/>
        <v>#DIV/0!</v>
      </c>
    </row>
    <row r="65" spans="3:15" s="104" customFormat="1" ht="12.75" hidden="1" customHeight="1" x14ac:dyDescent="0.25">
      <c r="C65" s="105"/>
      <c r="D65" s="106"/>
      <c r="E65" s="93"/>
      <c r="F65" s="54"/>
      <c r="G65" s="107"/>
      <c r="H65" s="95"/>
      <c r="I65" s="95"/>
      <c r="J65" s="96"/>
      <c r="K65" s="97" t="e">
        <f t="shared" si="8"/>
        <v>#DIV/0!</v>
      </c>
      <c r="L65" s="98">
        <f t="shared" si="7"/>
        <v>44470</v>
      </c>
      <c r="M65" s="99">
        <f t="shared" si="9"/>
        <v>121.83561643835617</v>
      </c>
      <c r="N65" s="100" t="e">
        <f t="shared" si="0"/>
        <v>#DIV/0!</v>
      </c>
      <c r="O65" s="95" t="e">
        <f t="shared" si="1"/>
        <v>#DIV/0!</v>
      </c>
    </row>
    <row r="66" spans="3:15" s="104" customFormat="1" hidden="1" x14ac:dyDescent="0.25">
      <c r="C66" s="105"/>
      <c r="D66" s="106"/>
      <c r="E66" s="93"/>
      <c r="F66" s="54"/>
      <c r="G66" s="107"/>
      <c r="H66" s="95"/>
      <c r="I66" s="95"/>
      <c r="J66" s="96"/>
      <c r="K66" s="97" t="e">
        <f t="shared" si="8"/>
        <v>#DIV/0!</v>
      </c>
      <c r="L66" s="98">
        <f t="shared" si="7"/>
        <v>44470</v>
      </c>
      <c r="M66" s="99">
        <f t="shared" si="9"/>
        <v>121.83561643835617</v>
      </c>
      <c r="N66" s="100" t="e">
        <f t="shared" si="0"/>
        <v>#DIV/0!</v>
      </c>
      <c r="O66" s="95" t="e">
        <f t="shared" si="1"/>
        <v>#DIV/0!</v>
      </c>
    </row>
    <row r="67" spans="3:15" hidden="1" x14ac:dyDescent="0.2">
      <c r="C67" s="87"/>
      <c r="D67" s="106"/>
      <c r="E67" s="93"/>
      <c r="F67" s="54"/>
      <c r="G67" s="107"/>
      <c r="H67" s="95"/>
      <c r="I67" s="95"/>
      <c r="J67" s="96"/>
      <c r="K67" s="97" t="e">
        <f t="shared" si="8"/>
        <v>#DIV/0!</v>
      </c>
      <c r="L67" s="98">
        <f t="shared" si="7"/>
        <v>44470</v>
      </c>
      <c r="M67" s="99">
        <f t="shared" si="9"/>
        <v>121.83561643835617</v>
      </c>
      <c r="N67" s="100" t="e">
        <f t="shared" si="0"/>
        <v>#DIV/0!</v>
      </c>
      <c r="O67" s="95" t="e">
        <f t="shared" si="1"/>
        <v>#DIV/0!</v>
      </c>
    </row>
    <row r="68" spans="3:15" hidden="1" x14ac:dyDescent="0.2">
      <c r="C68" s="87"/>
      <c r="D68" s="106"/>
      <c r="E68" s="93"/>
      <c r="F68" s="54"/>
      <c r="G68" s="107"/>
      <c r="H68" s="95"/>
      <c r="I68" s="95"/>
      <c r="J68" s="96"/>
      <c r="K68" s="97" t="e">
        <f t="shared" si="8"/>
        <v>#DIV/0!</v>
      </c>
      <c r="L68" s="98">
        <f t="shared" si="7"/>
        <v>44470</v>
      </c>
      <c r="M68" s="99">
        <f t="shared" si="9"/>
        <v>121.83561643835617</v>
      </c>
      <c r="N68" s="100" t="e">
        <f t="shared" si="0"/>
        <v>#DIV/0!</v>
      </c>
      <c r="O68" s="95" t="e">
        <f t="shared" si="1"/>
        <v>#DIV/0!</v>
      </c>
    </row>
    <row r="69" spans="3:15" hidden="1" x14ac:dyDescent="0.2">
      <c r="C69" s="87"/>
      <c r="D69" s="106"/>
      <c r="E69" s="93"/>
      <c r="F69" s="54"/>
      <c r="G69" s="107"/>
      <c r="H69" s="95"/>
      <c r="I69" s="95"/>
      <c r="J69" s="96"/>
      <c r="K69" s="97" t="e">
        <f t="shared" si="8"/>
        <v>#DIV/0!</v>
      </c>
      <c r="L69" s="98">
        <f t="shared" si="7"/>
        <v>44470</v>
      </c>
      <c r="M69" s="99">
        <f t="shared" si="9"/>
        <v>121.83561643835617</v>
      </c>
      <c r="N69" s="100" t="e">
        <f t="shared" si="0"/>
        <v>#DIV/0!</v>
      </c>
      <c r="O69" s="95" t="e">
        <f t="shared" si="1"/>
        <v>#DIV/0!</v>
      </c>
    </row>
    <row r="70" spans="3:15" hidden="1" x14ac:dyDescent="0.2">
      <c r="C70" s="87"/>
      <c r="D70" s="106"/>
      <c r="E70" s="93"/>
      <c r="F70" s="54"/>
      <c r="G70" s="107"/>
      <c r="H70" s="95"/>
      <c r="I70" s="95"/>
      <c r="J70" s="96"/>
      <c r="K70" s="97" t="e">
        <f t="shared" si="8"/>
        <v>#DIV/0!</v>
      </c>
      <c r="L70" s="98">
        <f t="shared" si="7"/>
        <v>44470</v>
      </c>
      <c r="M70" s="99">
        <f t="shared" si="9"/>
        <v>121.83561643835617</v>
      </c>
      <c r="N70" s="100" t="e">
        <f t="shared" si="0"/>
        <v>#DIV/0!</v>
      </c>
      <c r="O70" s="95" t="e">
        <f t="shared" si="1"/>
        <v>#DIV/0!</v>
      </c>
    </row>
    <row r="71" spans="3:15" hidden="1" x14ac:dyDescent="0.2">
      <c r="C71" s="87"/>
      <c r="D71" s="106"/>
      <c r="E71" s="93"/>
      <c r="F71" s="54"/>
      <c r="G71" s="107"/>
      <c r="H71" s="95"/>
      <c r="I71" s="95"/>
      <c r="J71" s="96"/>
      <c r="K71" s="97" t="e">
        <f t="shared" si="8"/>
        <v>#DIV/0!</v>
      </c>
      <c r="L71" s="98">
        <f t="shared" si="7"/>
        <v>44470</v>
      </c>
      <c r="M71" s="99">
        <f t="shared" si="9"/>
        <v>121.83561643835617</v>
      </c>
      <c r="N71" s="100" t="e">
        <f t="shared" si="0"/>
        <v>#DIV/0!</v>
      </c>
      <c r="O71" s="95" t="e">
        <f t="shared" si="1"/>
        <v>#DIV/0!</v>
      </c>
    </row>
    <row r="72" spans="3:15" hidden="1" x14ac:dyDescent="0.2">
      <c r="C72" s="87"/>
      <c r="D72" s="106"/>
      <c r="E72" s="93"/>
      <c r="F72" s="54"/>
      <c r="G72" s="107"/>
      <c r="H72" s="95"/>
      <c r="I72" s="95"/>
      <c r="J72" s="96"/>
      <c r="K72" s="97" t="e">
        <f t="shared" si="8"/>
        <v>#DIV/0!</v>
      </c>
      <c r="L72" s="98">
        <f t="shared" si="7"/>
        <v>44470</v>
      </c>
      <c r="M72" s="99">
        <f t="shared" si="9"/>
        <v>121.83561643835617</v>
      </c>
      <c r="N72" s="100" t="e">
        <f t="shared" si="0"/>
        <v>#DIV/0!</v>
      </c>
      <c r="O72" s="95" t="e">
        <f t="shared" si="1"/>
        <v>#DIV/0!</v>
      </c>
    </row>
    <row r="73" spans="3:15" hidden="1" x14ac:dyDescent="0.2">
      <c r="C73" s="87"/>
      <c r="D73" s="106"/>
      <c r="E73" s="93"/>
      <c r="F73" s="54"/>
      <c r="G73" s="107"/>
      <c r="H73" s="95"/>
      <c r="I73" s="95"/>
      <c r="J73" s="96"/>
      <c r="K73" s="97" t="e">
        <f t="shared" si="8"/>
        <v>#DIV/0!</v>
      </c>
      <c r="L73" s="98">
        <f t="shared" si="7"/>
        <v>44470</v>
      </c>
      <c r="M73" s="99">
        <f t="shared" si="9"/>
        <v>121.83561643835617</v>
      </c>
      <c r="N73" s="100" t="e">
        <f t="shared" si="0"/>
        <v>#DIV/0!</v>
      </c>
      <c r="O73" s="95" t="e">
        <f t="shared" si="1"/>
        <v>#DIV/0!</v>
      </c>
    </row>
    <row r="74" spans="3:15" hidden="1" x14ac:dyDescent="0.2">
      <c r="C74" s="87"/>
      <c r="D74" s="106"/>
      <c r="E74" s="93"/>
      <c r="F74" s="54"/>
      <c r="G74" s="107"/>
      <c r="H74" s="95"/>
      <c r="I74" s="95"/>
      <c r="J74" s="96"/>
      <c r="K74" s="97" t="e">
        <f t="shared" si="8"/>
        <v>#DIV/0!</v>
      </c>
      <c r="L74" s="98">
        <f t="shared" si="7"/>
        <v>44470</v>
      </c>
      <c r="M74" s="99">
        <f t="shared" si="9"/>
        <v>121.83561643835617</v>
      </c>
      <c r="N74" s="100" t="e">
        <f t="shared" ref="N74:N91" si="10">K74*M74</f>
        <v>#DIV/0!</v>
      </c>
      <c r="O74" s="95" t="e">
        <f t="shared" ref="O74:O91" si="11">G74-N74</f>
        <v>#DIV/0!</v>
      </c>
    </row>
    <row r="75" spans="3:15" hidden="1" x14ac:dyDescent="0.2">
      <c r="C75" s="87"/>
      <c r="D75" s="106"/>
      <c r="E75" s="93"/>
      <c r="F75" s="54"/>
      <c r="G75" s="107"/>
      <c r="H75" s="95"/>
      <c r="I75" s="95"/>
      <c r="J75" s="96"/>
      <c r="K75" s="97" t="e">
        <f t="shared" si="8"/>
        <v>#DIV/0!</v>
      </c>
      <c r="L75" s="98">
        <f t="shared" si="7"/>
        <v>44470</v>
      </c>
      <c r="M75" s="99">
        <f t="shared" si="9"/>
        <v>121.83561643835617</v>
      </c>
      <c r="N75" s="100" t="e">
        <f t="shared" si="10"/>
        <v>#DIV/0!</v>
      </c>
      <c r="O75" s="95" t="e">
        <f t="shared" si="11"/>
        <v>#DIV/0!</v>
      </c>
    </row>
    <row r="76" spans="3:15" hidden="1" x14ac:dyDescent="0.2">
      <c r="C76" s="87"/>
      <c r="D76" s="106"/>
      <c r="E76" s="93"/>
      <c r="F76" s="54"/>
      <c r="G76" s="107"/>
      <c r="H76" s="95"/>
      <c r="I76" s="95"/>
      <c r="J76" s="96"/>
      <c r="K76" s="97" t="e">
        <f t="shared" si="8"/>
        <v>#DIV/0!</v>
      </c>
      <c r="L76" s="98">
        <f t="shared" si="7"/>
        <v>44470</v>
      </c>
      <c r="M76" s="99">
        <f t="shared" si="9"/>
        <v>121.83561643835617</v>
      </c>
      <c r="N76" s="100" t="e">
        <f t="shared" si="10"/>
        <v>#DIV/0!</v>
      </c>
      <c r="O76" s="95" t="e">
        <f t="shared" si="11"/>
        <v>#DIV/0!</v>
      </c>
    </row>
    <row r="77" spans="3:15" hidden="1" x14ac:dyDescent="0.2">
      <c r="C77" s="87"/>
      <c r="D77" s="106"/>
      <c r="E77" s="93"/>
      <c r="F77" s="54"/>
      <c r="G77" s="107"/>
      <c r="H77" s="95"/>
      <c r="I77" s="95"/>
      <c r="J77" s="96"/>
      <c r="K77" s="97" t="e">
        <f t="shared" si="8"/>
        <v>#DIV/0!</v>
      </c>
      <c r="L77" s="98">
        <f t="shared" si="7"/>
        <v>44470</v>
      </c>
      <c r="M77" s="99">
        <f t="shared" si="9"/>
        <v>121.83561643835617</v>
      </c>
      <c r="N77" s="100" t="e">
        <f t="shared" si="10"/>
        <v>#DIV/0!</v>
      </c>
      <c r="O77" s="95" t="e">
        <f t="shared" si="11"/>
        <v>#DIV/0!</v>
      </c>
    </row>
    <row r="78" spans="3:15" hidden="1" x14ac:dyDescent="0.2">
      <c r="C78" s="87"/>
      <c r="D78" s="106"/>
      <c r="E78" s="93"/>
      <c r="F78" s="54"/>
      <c r="G78" s="107"/>
      <c r="H78" s="95"/>
      <c r="I78" s="95"/>
      <c r="J78" s="96"/>
      <c r="K78" s="97" t="e">
        <f t="shared" si="8"/>
        <v>#DIV/0!</v>
      </c>
      <c r="L78" s="98">
        <f t="shared" si="7"/>
        <v>44470</v>
      </c>
      <c r="M78" s="99">
        <f t="shared" si="9"/>
        <v>121.83561643835617</v>
      </c>
      <c r="N78" s="100" t="e">
        <f t="shared" si="10"/>
        <v>#DIV/0!</v>
      </c>
      <c r="O78" s="95" t="e">
        <f t="shared" si="11"/>
        <v>#DIV/0!</v>
      </c>
    </row>
    <row r="79" spans="3:15" hidden="1" x14ac:dyDescent="0.2">
      <c r="C79" s="87"/>
      <c r="D79" s="106"/>
      <c r="E79" s="93"/>
      <c r="F79" s="54"/>
      <c r="G79" s="107"/>
      <c r="H79" s="95"/>
      <c r="I79" s="95"/>
      <c r="J79" s="96"/>
      <c r="K79" s="97" t="e">
        <f t="shared" si="8"/>
        <v>#DIV/0!</v>
      </c>
      <c r="L79" s="98">
        <f t="shared" si="7"/>
        <v>44470</v>
      </c>
      <c r="M79" s="99">
        <f t="shared" si="9"/>
        <v>121.83561643835617</v>
      </c>
      <c r="N79" s="100" t="e">
        <f t="shared" si="10"/>
        <v>#DIV/0!</v>
      </c>
      <c r="O79" s="95" t="e">
        <f t="shared" si="11"/>
        <v>#DIV/0!</v>
      </c>
    </row>
    <row r="80" spans="3:15" hidden="1" x14ac:dyDescent="0.2">
      <c r="C80" s="87"/>
      <c r="D80" s="106"/>
      <c r="E80" s="93"/>
      <c r="F80" s="54"/>
      <c r="G80" s="107"/>
      <c r="H80" s="95"/>
      <c r="I80" s="95"/>
      <c r="J80" s="96"/>
      <c r="K80" s="97" t="e">
        <f t="shared" si="8"/>
        <v>#DIV/0!</v>
      </c>
      <c r="L80" s="98">
        <f t="shared" si="7"/>
        <v>44470</v>
      </c>
      <c r="M80" s="99">
        <f t="shared" si="9"/>
        <v>121.83561643835617</v>
      </c>
      <c r="N80" s="100" t="e">
        <f t="shared" si="10"/>
        <v>#DIV/0!</v>
      </c>
      <c r="O80" s="95" t="e">
        <f t="shared" si="11"/>
        <v>#DIV/0!</v>
      </c>
    </row>
    <row r="81" spans="3:15" hidden="1" x14ac:dyDescent="0.2">
      <c r="C81" s="87"/>
      <c r="D81" s="106"/>
      <c r="E81" s="93"/>
      <c r="F81" s="54"/>
      <c r="G81" s="107"/>
      <c r="H81" s="95"/>
      <c r="I81" s="95"/>
      <c r="J81" s="96"/>
      <c r="K81" s="97" t="e">
        <f t="shared" si="8"/>
        <v>#DIV/0!</v>
      </c>
      <c r="L81" s="98">
        <f t="shared" si="7"/>
        <v>44470</v>
      </c>
      <c r="M81" s="99">
        <f t="shared" si="9"/>
        <v>121.83561643835617</v>
      </c>
      <c r="N81" s="100" t="e">
        <f t="shared" si="10"/>
        <v>#DIV/0!</v>
      </c>
      <c r="O81" s="95" t="e">
        <f t="shared" si="11"/>
        <v>#DIV/0!</v>
      </c>
    </row>
    <row r="82" spans="3:15" hidden="1" x14ac:dyDescent="0.2">
      <c r="C82" s="87"/>
      <c r="D82" s="106"/>
      <c r="E82" s="93"/>
      <c r="F82" s="54"/>
      <c r="G82" s="107"/>
      <c r="H82" s="95"/>
      <c r="I82" s="95"/>
      <c r="J82" s="96"/>
      <c r="K82" s="97" t="e">
        <f t="shared" si="8"/>
        <v>#DIV/0!</v>
      </c>
      <c r="L82" s="98">
        <f t="shared" si="7"/>
        <v>44470</v>
      </c>
      <c r="M82" s="99">
        <f t="shared" si="9"/>
        <v>121.83561643835617</v>
      </c>
      <c r="N82" s="100" t="e">
        <f t="shared" si="10"/>
        <v>#DIV/0!</v>
      </c>
      <c r="O82" s="95" t="e">
        <f t="shared" si="11"/>
        <v>#DIV/0!</v>
      </c>
    </row>
    <row r="83" spans="3:15" hidden="1" x14ac:dyDescent="0.2">
      <c r="C83" s="87"/>
      <c r="D83" s="106"/>
      <c r="E83" s="93"/>
      <c r="F83" s="54"/>
      <c r="G83" s="107"/>
      <c r="H83" s="95"/>
      <c r="I83" s="95"/>
      <c r="J83" s="96"/>
      <c r="K83" s="97" t="e">
        <f t="shared" si="8"/>
        <v>#DIV/0!</v>
      </c>
      <c r="L83" s="98">
        <f t="shared" ref="L83:L91" si="12">M83*365</f>
        <v>44470</v>
      </c>
      <c r="M83" s="99">
        <f t="shared" si="9"/>
        <v>121.83561643835617</v>
      </c>
      <c r="N83" s="100" t="e">
        <f t="shared" si="10"/>
        <v>#DIV/0!</v>
      </c>
      <c r="O83" s="95" t="e">
        <f t="shared" si="11"/>
        <v>#DIV/0!</v>
      </c>
    </row>
    <row r="84" spans="3:15" hidden="1" x14ac:dyDescent="0.2">
      <c r="C84" s="87"/>
      <c r="D84" s="106"/>
      <c r="E84" s="93"/>
      <c r="F84" s="54"/>
      <c r="G84" s="107"/>
      <c r="H84" s="95"/>
      <c r="I84" s="95"/>
      <c r="J84" s="96"/>
      <c r="K84" s="97" t="e">
        <f t="shared" si="8"/>
        <v>#DIV/0!</v>
      </c>
      <c r="L84" s="98">
        <f t="shared" si="12"/>
        <v>44470</v>
      </c>
      <c r="M84" s="99">
        <f t="shared" si="9"/>
        <v>121.83561643835617</v>
      </c>
      <c r="N84" s="100" t="e">
        <f t="shared" si="10"/>
        <v>#DIV/0!</v>
      </c>
      <c r="O84" s="95" t="e">
        <f t="shared" si="11"/>
        <v>#DIV/0!</v>
      </c>
    </row>
    <row r="85" spans="3:15" hidden="1" x14ac:dyDescent="0.2">
      <c r="C85" s="87"/>
      <c r="D85" s="106"/>
      <c r="E85" s="93"/>
      <c r="F85" s="54"/>
      <c r="G85" s="107"/>
      <c r="H85" s="95"/>
      <c r="I85" s="95"/>
      <c r="J85" s="96"/>
      <c r="K85" s="97" t="e">
        <f t="shared" si="8"/>
        <v>#DIV/0!</v>
      </c>
      <c r="L85" s="98">
        <f t="shared" si="12"/>
        <v>44470</v>
      </c>
      <c r="M85" s="99">
        <f t="shared" si="9"/>
        <v>121.83561643835617</v>
      </c>
      <c r="N85" s="100" t="e">
        <f t="shared" si="10"/>
        <v>#DIV/0!</v>
      </c>
      <c r="O85" s="95" t="e">
        <f t="shared" si="11"/>
        <v>#DIV/0!</v>
      </c>
    </row>
    <row r="86" spans="3:15" hidden="1" x14ac:dyDescent="0.2">
      <c r="C86" s="87"/>
      <c r="D86" s="106"/>
      <c r="E86" s="93"/>
      <c r="F86" s="54"/>
      <c r="G86" s="107"/>
      <c r="H86" s="95"/>
      <c r="I86" s="95"/>
      <c r="J86" s="96"/>
      <c r="K86" s="97" t="e">
        <f t="shared" ref="K86:K91" si="13">I86/J86</f>
        <v>#DIV/0!</v>
      </c>
      <c r="L86" s="98">
        <f t="shared" si="12"/>
        <v>44470</v>
      </c>
      <c r="M86" s="99">
        <f t="shared" ref="M86:M91" si="14">(($M$7-F86)+1)/365</f>
        <v>121.83561643835617</v>
      </c>
      <c r="N86" s="100" t="e">
        <f t="shared" si="10"/>
        <v>#DIV/0!</v>
      </c>
      <c r="O86" s="95" t="e">
        <f t="shared" si="11"/>
        <v>#DIV/0!</v>
      </c>
    </row>
    <row r="87" spans="3:15" hidden="1" x14ac:dyDescent="0.2">
      <c r="C87" s="87"/>
      <c r="D87" s="106"/>
      <c r="E87" s="93"/>
      <c r="F87" s="54"/>
      <c r="G87" s="107"/>
      <c r="H87" s="95"/>
      <c r="I87" s="95"/>
      <c r="J87" s="96"/>
      <c r="K87" s="97" t="e">
        <f t="shared" si="13"/>
        <v>#DIV/0!</v>
      </c>
      <c r="L87" s="98">
        <f t="shared" si="12"/>
        <v>44470</v>
      </c>
      <c r="M87" s="99">
        <f t="shared" si="14"/>
        <v>121.83561643835617</v>
      </c>
      <c r="N87" s="100" t="e">
        <f t="shared" si="10"/>
        <v>#DIV/0!</v>
      </c>
      <c r="O87" s="95" t="e">
        <f t="shared" si="11"/>
        <v>#DIV/0!</v>
      </c>
    </row>
    <row r="88" spans="3:15" hidden="1" x14ac:dyDescent="0.2">
      <c r="C88" s="87"/>
      <c r="D88" s="106"/>
      <c r="E88" s="93"/>
      <c r="F88" s="54"/>
      <c r="G88" s="107"/>
      <c r="H88" s="95"/>
      <c r="I88" s="95"/>
      <c r="J88" s="96"/>
      <c r="K88" s="97" t="e">
        <f t="shared" si="13"/>
        <v>#DIV/0!</v>
      </c>
      <c r="L88" s="98">
        <f t="shared" si="12"/>
        <v>44470</v>
      </c>
      <c r="M88" s="99">
        <f t="shared" si="14"/>
        <v>121.83561643835617</v>
      </c>
      <c r="N88" s="100" t="e">
        <f t="shared" si="10"/>
        <v>#DIV/0!</v>
      </c>
      <c r="O88" s="95" t="e">
        <f t="shared" si="11"/>
        <v>#DIV/0!</v>
      </c>
    </row>
    <row r="89" spans="3:15" hidden="1" x14ac:dyDescent="0.2">
      <c r="C89" s="87"/>
      <c r="D89" s="106"/>
      <c r="E89" s="93"/>
      <c r="F89" s="54"/>
      <c r="G89" s="107"/>
      <c r="H89" s="95"/>
      <c r="I89" s="95"/>
      <c r="J89" s="96"/>
      <c r="K89" s="97" t="e">
        <f t="shared" si="13"/>
        <v>#DIV/0!</v>
      </c>
      <c r="L89" s="98">
        <f t="shared" si="12"/>
        <v>44470</v>
      </c>
      <c r="M89" s="99">
        <f t="shared" si="14"/>
        <v>121.83561643835617</v>
      </c>
      <c r="N89" s="100" t="e">
        <f t="shared" si="10"/>
        <v>#DIV/0!</v>
      </c>
      <c r="O89" s="95" t="e">
        <f t="shared" si="11"/>
        <v>#DIV/0!</v>
      </c>
    </row>
    <row r="90" spans="3:15" hidden="1" x14ac:dyDescent="0.2">
      <c r="C90" s="87"/>
      <c r="D90" s="106"/>
      <c r="E90" s="93"/>
      <c r="F90" s="54"/>
      <c r="G90" s="107"/>
      <c r="H90" s="95"/>
      <c r="I90" s="95"/>
      <c r="J90" s="96"/>
      <c r="K90" s="97" t="e">
        <f t="shared" si="13"/>
        <v>#DIV/0!</v>
      </c>
      <c r="L90" s="98">
        <f t="shared" si="12"/>
        <v>44470</v>
      </c>
      <c r="M90" s="99">
        <f t="shared" si="14"/>
        <v>121.83561643835617</v>
      </c>
      <c r="N90" s="100" t="e">
        <f t="shared" si="10"/>
        <v>#DIV/0!</v>
      </c>
      <c r="O90" s="95" t="e">
        <f t="shared" si="11"/>
        <v>#DIV/0!</v>
      </c>
    </row>
    <row r="91" spans="3:15" hidden="1" x14ac:dyDescent="0.2">
      <c r="C91" s="87"/>
      <c r="D91" s="106"/>
      <c r="E91" s="93"/>
      <c r="F91" s="54"/>
      <c r="G91" s="107"/>
      <c r="H91" s="95"/>
      <c r="I91" s="95"/>
      <c r="J91" s="96"/>
      <c r="K91" s="97" t="e">
        <f t="shared" si="13"/>
        <v>#DIV/0!</v>
      </c>
      <c r="L91" s="98">
        <f t="shared" si="12"/>
        <v>44470</v>
      </c>
      <c r="M91" s="99">
        <f t="shared" si="14"/>
        <v>121.83561643835617</v>
      </c>
      <c r="N91" s="100" t="e">
        <f t="shared" si="10"/>
        <v>#DIV/0!</v>
      </c>
      <c r="O91" s="95" t="e">
        <f t="shared" si="11"/>
        <v>#DIV/0!</v>
      </c>
    </row>
    <row r="92" spans="3:15" hidden="1" x14ac:dyDescent="0.2">
      <c r="C92" s="87"/>
      <c r="D92" s="106"/>
      <c r="E92" s="93"/>
      <c r="F92" s="54"/>
      <c r="G92" s="107"/>
      <c r="H92" s="95"/>
      <c r="I92" s="95"/>
      <c r="J92" s="96"/>
      <c r="K92" s="97"/>
      <c r="L92" s="98"/>
      <c r="M92" s="99"/>
      <c r="N92" s="100"/>
      <c r="O92" s="95"/>
    </row>
    <row r="93" spans="3:15" hidden="1" x14ac:dyDescent="0.2">
      <c r="C93" s="87"/>
      <c r="D93" s="106"/>
      <c r="E93" s="93"/>
      <c r="F93" s="54"/>
      <c r="G93" s="107"/>
      <c r="H93" s="95"/>
      <c r="I93" s="95"/>
      <c r="J93" s="96"/>
      <c r="K93" s="97"/>
      <c r="L93" s="98"/>
      <c r="M93" s="99"/>
      <c r="N93" s="100"/>
      <c r="O93" s="95"/>
    </row>
    <row r="94" spans="3:15" hidden="1" x14ac:dyDescent="0.2">
      <c r="C94" s="87"/>
      <c r="D94" s="106"/>
      <c r="E94" s="93"/>
      <c r="F94" s="54"/>
      <c r="G94" s="107"/>
      <c r="H94" s="95"/>
      <c r="I94" s="95"/>
      <c r="J94" s="96"/>
      <c r="K94" s="97"/>
      <c r="L94" s="98"/>
      <c r="M94" s="99"/>
      <c r="N94" s="100"/>
      <c r="O94" s="95"/>
    </row>
    <row r="95" spans="3:15" x14ac:dyDescent="0.2">
      <c r="C95" s="109"/>
      <c r="D95" s="110"/>
      <c r="E95" s="111"/>
      <c r="F95" s="112"/>
      <c r="G95" s="113"/>
      <c r="H95" s="114"/>
      <c r="I95" s="114"/>
      <c r="J95" s="115"/>
      <c r="K95" s="116"/>
      <c r="L95" s="117"/>
      <c r="M95" s="118"/>
      <c r="N95" s="119"/>
      <c r="O95" s="114"/>
    </row>
    <row r="96" spans="3:15" x14ac:dyDescent="0.2">
      <c r="F96" s="120"/>
      <c r="G96" s="121"/>
    </row>
    <row r="97" spans="6:15" ht="13.5" thickBot="1" x14ac:dyDescent="0.25">
      <c r="F97" s="122" t="s">
        <v>2654</v>
      </c>
      <c r="G97" s="123">
        <f>SUM(G10:G96)</f>
        <v>2385263.64</v>
      </c>
      <c r="N97" s="123">
        <v>23456</v>
      </c>
      <c r="O97" s="123">
        <v>2361807</v>
      </c>
    </row>
    <row r="98" spans="6:15" ht="13.5" thickTop="1" x14ac:dyDescent="0.2">
      <c r="F98" s="120"/>
      <c r="G98" s="121"/>
    </row>
    <row r="99" spans="6:15" x14ac:dyDescent="0.2">
      <c r="F99" s="120"/>
      <c r="G99" s="121"/>
    </row>
    <row r="100" spans="6:15" x14ac:dyDescent="0.2">
      <c r="F100" s="120"/>
      <c r="G100" s="121"/>
    </row>
    <row r="101" spans="6:15" x14ac:dyDescent="0.2">
      <c r="F101" s="120"/>
      <c r="G101" s="121"/>
    </row>
    <row r="102" spans="6:15" x14ac:dyDescent="0.2">
      <c r="F102" s="120"/>
      <c r="G102" s="121"/>
    </row>
    <row r="103" spans="6:15" x14ac:dyDescent="0.2">
      <c r="F103" s="120"/>
      <c r="G103" s="121"/>
    </row>
    <row r="104" spans="6:15" x14ac:dyDescent="0.2">
      <c r="F104" s="120"/>
      <c r="G104" s="121"/>
    </row>
    <row r="105" spans="6:15" x14ac:dyDescent="0.2">
      <c r="F105" s="120"/>
      <c r="G105" s="121"/>
    </row>
    <row r="106" spans="6:15" x14ac:dyDescent="0.2">
      <c r="F106" s="120"/>
      <c r="G106" s="121"/>
    </row>
    <row r="107" spans="6:15" x14ac:dyDescent="0.2">
      <c r="F107" s="120"/>
      <c r="G107" s="121"/>
    </row>
    <row r="108" spans="6:15" x14ac:dyDescent="0.2">
      <c r="F108" s="120"/>
      <c r="G108" s="121"/>
    </row>
    <row r="109" spans="6:15" x14ac:dyDescent="0.2">
      <c r="F109" s="120"/>
      <c r="G109" s="121"/>
    </row>
    <row r="110" spans="6:15" x14ac:dyDescent="0.2">
      <c r="F110" s="120"/>
      <c r="G110" s="121"/>
    </row>
    <row r="111" spans="6:15" x14ac:dyDescent="0.2">
      <c r="F111" s="120"/>
      <c r="G111" s="121"/>
    </row>
    <row r="112" spans="6:15" x14ac:dyDescent="0.2">
      <c r="F112" s="120"/>
      <c r="G112" s="121"/>
    </row>
    <row r="113" spans="6:7" x14ac:dyDescent="0.2">
      <c r="F113" s="120"/>
      <c r="G113" s="121"/>
    </row>
    <row r="114" spans="6:7" x14ac:dyDescent="0.2">
      <c r="F114" s="120"/>
      <c r="G114" s="121"/>
    </row>
    <row r="115" spans="6:7" x14ac:dyDescent="0.2">
      <c r="F115" s="120"/>
      <c r="G115" s="121"/>
    </row>
    <row r="116" spans="6:7" x14ac:dyDescent="0.2">
      <c r="F116" s="120"/>
      <c r="G116" s="121"/>
    </row>
    <row r="117" spans="6:7" x14ac:dyDescent="0.2">
      <c r="F117" s="120"/>
      <c r="G117" s="121"/>
    </row>
    <row r="118" spans="6:7" x14ac:dyDescent="0.2">
      <c r="F118" s="120"/>
      <c r="G118" s="121"/>
    </row>
    <row r="119" spans="6:7" x14ac:dyDescent="0.2">
      <c r="F119" s="120"/>
      <c r="G119" s="121"/>
    </row>
    <row r="120" spans="6:7" x14ac:dyDescent="0.2">
      <c r="F120" s="120"/>
      <c r="G120" s="121"/>
    </row>
    <row r="121" spans="6:7" x14ac:dyDescent="0.2">
      <c r="F121" s="120"/>
      <c r="G121" s="121"/>
    </row>
    <row r="122" spans="6:7" x14ac:dyDescent="0.2">
      <c r="F122" s="12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5"/>
  <sheetViews>
    <sheetView topLeftCell="A7" workbookViewId="0">
      <selection activeCell="P51" sqref="P51"/>
    </sheetView>
  </sheetViews>
  <sheetFormatPr defaultRowHeight="12.75" x14ac:dyDescent="0.2"/>
  <cols>
    <col min="1" max="1" width="7.85546875" style="79" customWidth="1"/>
    <col min="2" max="2" width="1.7109375" style="79" bestFit="1" customWidth="1"/>
    <col min="3" max="3" width="25.42578125" style="79" customWidth="1"/>
    <col min="4" max="4" width="18.42578125" style="79" bestFit="1" customWidth="1"/>
    <col min="5" max="5" width="8.5703125" style="79" customWidth="1"/>
    <col min="6" max="6" width="20.140625" style="79" customWidth="1"/>
    <col min="7" max="7" width="12" style="79" customWidth="1"/>
    <col min="8" max="8" width="11.5703125" style="79" customWidth="1"/>
    <col min="9" max="11" width="14.7109375" style="79" customWidth="1"/>
    <col min="12" max="13" width="16.42578125" style="79" customWidth="1"/>
    <col min="14" max="14" width="16.5703125" style="79" customWidth="1"/>
    <col min="15" max="15" width="13.85546875" style="79" customWidth="1"/>
    <col min="16" max="17" width="17.140625" style="79" customWidth="1"/>
    <col min="18" max="18" width="12.42578125" style="79" customWidth="1"/>
    <col min="19" max="19" width="12.42578125" style="79" bestFit="1" customWidth="1"/>
    <col min="20" max="256" width="9.140625" style="79"/>
    <col min="257" max="257" width="14.5703125" style="79" bestFit="1" customWidth="1"/>
    <col min="258" max="258" width="1.7109375" style="79" bestFit="1" customWidth="1"/>
    <col min="259" max="259" width="25.42578125" style="79" customWidth="1"/>
    <col min="260" max="260" width="18.42578125" style="79" bestFit="1" customWidth="1"/>
    <col min="261" max="261" width="7.42578125" style="79" bestFit="1" customWidth="1"/>
    <col min="262" max="262" width="20.140625" style="79" customWidth="1"/>
    <col min="263" max="263" width="12" style="79" customWidth="1"/>
    <col min="264" max="264" width="11.5703125" style="79" customWidth="1"/>
    <col min="265" max="267" width="14.7109375" style="79" customWidth="1"/>
    <col min="268" max="269" width="16.42578125" style="79" customWidth="1"/>
    <col min="270" max="270" width="16.5703125" style="79" customWidth="1"/>
    <col min="271" max="271" width="13.85546875" style="79" customWidth="1"/>
    <col min="272" max="273" width="17.140625" style="79" customWidth="1"/>
    <col min="274" max="274" width="12.42578125" style="79" customWidth="1"/>
    <col min="275" max="275" width="12.42578125" style="79" bestFit="1" customWidth="1"/>
    <col min="276" max="512" width="9.140625" style="79"/>
    <col min="513" max="513" width="14.5703125" style="79" bestFit="1" customWidth="1"/>
    <col min="514" max="514" width="1.7109375" style="79" bestFit="1" customWidth="1"/>
    <col min="515" max="515" width="25.42578125" style="79" customWidth="1"/>
    <col min="516" max="516" width="18.42578125" style="79" bestFit="1" customWidth="1"/>
    <col min="517" max="517" width="7.42578125" style="79" bestFit="1" customWidth="1"/>
    <col min="518" max="518" width="20.140625" style="79" customWidth="1"/>
    <col min="519" max="519" width="12" style="79" customWidth="1"/>
    <col min="520" max="520" width="11.5703125" style="79" customWidth="1"/>
    <col min="521" max="523" width="14.7109375" style="79" customWidth="1"/>
    <col min="524" max="525" width="16.42578125" style="79" customWidth="1"/>
    <col min="526" max="526" width="16.5703125" style="79" customWidth="1"/>
    <col min="527" max="527" width="13.85546875" style="79" customWidth="1"/>
    <col min="528" max="529" width="17.140625" style="79" customWidth="1"/>
    <col min="530" max="530" width="12.42578125" style="79" customWidth="1"/>
    <col min="531" max="531" width="12.42578125" style="79" bestFit="1" customWidth="1"/>
    <col min="532" max="768" width="9.140625" style="79"/>
    <col min="769" max="769" width="14.5703125" style="79" bestFit="1" customWidth="1"/>
    <col min="770" max="770" width="1.7109375" style="79" bestFit="1" customWidth="1"/>
    <col min="771" max="771" width="25.42578125" style="79" customWidth="1"/>
    <col min="772" max="772" width="18.42578125" style="79" bestFit="1" customWidth="1"/>
    <col min="773" max="773" width="7.42578125" style="79" bestFit="1" customWidth="1"/>
    <col min="774" max="774" width="20.140625" style="79" customWidth="1"/>
    <col min="775" max="775" width="12" style="79" customWidth="1"/>
    <col min="776" max="776" width="11.5703125" style="79" customWidth="1"/>
    <col min="777" max="779" width="14.7109375" style="79" customWidth="1"/>
    <col min="780" max="781" width="16.42578125" style="79" customWidth="1"/>
    <col min="782" max="782" width="16.5703125" style="79" customWidth="1"/>
    <col min="783" max="783" width="13.85546875" style="79" customWidth="1"/>
    <col min="784" max="785" width="17.140625" style="79" customWidth="1"/>
    <col min="786" max="786" width="12.42578125" style="79" customWidth="1"/>
    <col min="787" max="787" width="12.42578125" style="79" bestFit="1" customWidth="1"/>
    <col min="788" max="1024" width="9.140625" style="79"/>
    <col min="1025" max="1025" width="14.5703125" style="79" bestFit="1" customWidth="1"/>
    <col min="1026" max="1026" width="1.7109375" style="79" bestFit="1" customWidth="1"/>
    <col min="1027" max="1027" width="25.42578125" style="79" customWidth="1"/>
    <col min="1028" max="1028" width="18.42578125" style="79" bestFit="1" customWidth="1"/>
    <col min="1029" max="1029" width="7.42578125" style="79" bestFit="1" customWidth="1"/>
    <col min="1030" max="1030" width="20.140625" style="79" customWidth="1"/>
    <col min="1031" max="1031" width="12" style="79" customWidth="1"/>
    <col min="1032" max="1032" width="11.5703125" style="79" customWidth="1"/>
    <col min="1033" max="1035" width="14.7109375" style="79" customWidth="1"/>
    <col min="1036" max="1037" width="16.42578125" style="79" customWidth="1"/>
    <col min="1038" max="1038" width="16.5703125" style="79" customWidth="1"/>
    <col min="1039" max="1039" width="13.85546875" style="79" customWidth="1"/>
    <col min="1040" max="1041" width="17.140625" style="79" customWidth="1"/>
    <col min="1042" max="1042" width="12.42578125" style="79" customWidth="1"/>
    <col min="1043" max="1043" width="12.42578125" style="79" bestFit="1" customWidth="1"/>
    <col min="1044" max="1280" width="9.140625" style="79"/>
    <col min="1281" max="1281" width="14.5703125" style="79" bestFit="1" customWidth="1"/>
    <col min="1282" max="1282" width="1.7109375" style="79" bestFit="1" customWidth="1"/>
    <col min="1283" max="1283" width="25.42578125" style="79" customWidth="1"/>
    <col min="1284" max="1284" width="18.42578125" style="79" bestFit="1" customWidth="1"/>
    <col min="1285" max="1285" width="7.42578125" style="79" bestFit="1" customWidth="1"/>
    <col min="1286" max="1286" width="20.140625" style="79" customWidth="1"/>
    <col min="1287" max="1287" width="12" style="79" customWidth="1"/>
    <col min="1288" max="1288" width="11.5703125" style="79" customWidth="1"/>
    <col min="1289" max="1291" width="14.7109375" style="79" customWidth="1"/>
    <col min="1292" max="1293" width="16.42578125" style="79" customWidth="1"/>
    <col min="1294" max="1294" width="16.5703125" style="79" customWidth="1"/>
    <col min="1295" max="1295" width="13.85546875" style="79" customWidth="1"/>
    <col min="1296" max="1297" width="17.140625" style="79" customWidth="1"/>
    <col min="1298" max="1298" width="12.42578125" style="79" customWidth="1"/>
    <col min="1299" max="1299" width="12.42578125" style="79" bestFit="1" customWidth="1"/>
    <col min="1300" max="1536" width="9.140625" style="79"/>
    <col min="1537" max="1537" width="14.5703125" style="79" bestFit="1" customWidth="1"/>
    <col min="1538" max="1538" width="1.7109375" style="79" bestFit="1" customWidth="1"/>
    <col min="1539" max="1539" width="25.42578125" style="79" customWidth="1"/>
    <col min="1540" max="1540" width="18.42578125" style="79" bestFit="1" customWidth="1"/>
    <col min="1541" max="1541" width="7.42578125" style="79" bestFit="1" customWidth="1"/>
    <col min="1542" max="1542" width="20.140625" style="79" customWidth="1"/>
    <col min="1543" max="1543" width="12" style="79" customWidth="1"/>
    <col min="1544" max="1544" width="11.5703125" style="79" customWidth="1"/>
    <col min="1545" max="1547" width="14.7109375" style="79" customWidth="1"/>
    <col min="1548" max="1549" width="16.42578125" style="79" customWidth="1"/>
    <col min="1550" max="1550" width="16.5703125" style="79" customWidth="1"/>
    <col min="1551" max="1551" width="13.85546875" style="79" customWidth="1"/>
    <col min="1552" max="1553" width="17.140625" style="79" customWidth="1"/>
    <col min="1554" max="1554" width="12.42578125" style="79" customWidth="1"/>
    <col min="1555" max="1555" width="12.42578125" style="79" bestFit="1" customWidth="1"/>
    <col min="1556" max="1792" width="9.140625" style="79"/>
    <col min="1793" max="1793" width="14.5703125" style="79" bestFit="1" customWidth="1"/>
    <col min="1794" max="1794" width="1.7109375" style="79" bestFit="1" customWidth="1"/>
    <col min="1795" max="1795" width="25.42578125" style="79" customWidth="1"/>
    <col min="1796" max="1796" width="18.42578125" style="79" bestFit="1" customWidth="1"/>
    <col min="1797" max="1797" width="7.42578125" style="79" bestFit="1" customWidth="1"/>
    <col min="1798" max="1798" width="20.140625" style="79" customWidth="1"/>
    <col min="1799" max="1799" width="12" style="79" customWidth="1"/>
    <col min="1800" max="1800" width="11.5703125" style="79" customWidth="1"/>
    <col min="1801" max="1803" width="14.7109375" style="79" customWidth="1"/>
    <col min="1804" max="1805" width="16.42578125" style="79" customWidth="1"/>
    <col min="1806" max="1806" width="16.5703125" style="79" customWidth="1"/>
    <col min="1807" max="1807" width="13.85546875" style="79" customWidth="1"/>
    <col min="1808" max="1809" width="17.140625" style="79" customWidth="1"/>
    <col min="1810" max="1810" width="12.42578125" style="79" customWidth="1"/>
    <col min="1811" max="1811" width="12.42578125" style="79" bestFit="1" customWidth="1"/>
    <col min="1812" max="2048" width="9.140625" style="79"/>
    <col min="2049" max="2049" width="14.5703125" style="79" bestFit="1" customWidth="1"/>
    <col min="2050" max="2050" width="1.7109375" style="79" bestFit="1" customWidth="1"/>
    <col min="2051" max="2051" width="25.42578125" style="79" customWidth="1"/>
    <col min="2052" max="2052" width="18.42578125" style="79" bestFit="1" customWidth="1"/>
    <col min="2053" max="2053" width="7.42578125" style="79" bestFit="1" customWidth="1"/>
    <col min="2054" max="2054" width="20.140625" style="79" customWidth="1"/>
    <col min="2055" max="2055" width="12" style="79" customWidth="1"/>
    <col min="2056" max="2056" width="11.5703125" style="79" customWidth="1"/>
    <col min="2057" max="2059" width="14.7109375" style="79" customWidth="1"/>
    <col min="2060" max="2061" width="16.42578125" style="79" customWidth="1"/>
    <col min="2062" max="2062" width="16.5703125" style="79" customWidth="1"/>
    <col min="2063" max="2063" width="13.85546875" style="79" customWidth="1"/>
    <col min="2064" max="2065" width="17.140625" style="79" customWidth="1"/>
    <col min="2066" max="2066" width="12.42578125" style="79" customWidth="1"/>
    <col min="2067" max="2067" width="12.42578125" style="79" bestFit="1" customWidth="1"/>
    <col min="2068" max="2304" width="9.140625" style="79"/>
    <col min="2305" max="2305" width="14.5703125" style="79" bestFit="1" customWidth="1"/>
    <col min="2306" max="2306" width="1.7109375" style="79" bestFit="1" customWidth="1"/>
    <col min="2307" max="2307" width="25.42578125" style="79" customWidth="1"/>
    <col min="2308" max="2308" width="18.42578125" style="79" bestFit="1" customWidth="1"/>
    <col min="2309" max="2309" width="7.42578125" style="79" bestFit="1" customWidth="1"/>
    <col min="2310" max="2310" width="20.140625" style="79" customWidth="1"/>
    <col min="2311" max="2311" width="12" style="79" customWidth="1"/>
    <col min="2312" max="2312" width="11.5703125" style="79" customWidth="1"/>
    <col min="2313" max="2315" width="14.7109375" style="79" customWidth="1"/>
    <col min="2316" max="2317" width="16.42578125" style="79" customWidth="1"/>
    <col min="2318" max="2318" width="16.5703125" style="79" customWidth="1"/>
    <col min="2319" max="2319" width="13.85546875" style="79" customWidth="1"/>
    <col min="2320" max="2321" width="17.140625" style="79" customWidth="1"/>
    <col min="2322" max="2322" width="12.42578125" style="79" customWidth="1"/>
    <col min="2323" max="2323" width="12.42578125" style="79" bestFit="1" customWidth="1"/>
    <col min="2324" max="2560" width="9.140625" style="79"/>
    <col min="2561" max="2561" width="14.5703125" style="79" bestFit="1" customWidth="1"/>
    <col min="2562" max="2562" width="1.7109375" style="79" bestFit="1" customWidth="1"/>
    <col min="2563" max="2563" width="25.42578125" style="79" customWidth="1"/>
    <col min="2564" max="2564" width="18.42578125" style="79" bestFit="1" customWidth="1"/>
    <col min="2565" max="2565" width="7.42578125" style="79" bestFit="1" customWidth="1"/>
    <col min="2566" max="2566" width="20.140625" style="79" customWidth="1"/>
    <col min="2567" max="2567" width="12" style="79" customWidth="1"/>
    <col min="2568" max="2568" width="11.5703125" style="79" customWidth="1"/>
    <col min="2569" max="2571" width="14.7109375" style="79" customWidth="1"/>
    <col min="2572" max="2573" width="16.42578125" style="79" customWidth="1"/>
    <col min="2574" max="2574" width="16.5703125" style="79" customWidth="1"/>
    <col min="2575" max="2575" width="13.85546875" style="79" customWidth="1"/>
    <col min="2576" max="2577" width="17.140625" style="79" customWidth="1"/>
    <col min="2578" max="2578" width="12.42578125" style="79" customWidth="1"/>
    <col min="2579" max="2579" width="12.42578125" style="79" bestFit="1" customWidth="1"/>
    <col min="2580" max="2816" width="9.140625" style="79"/>
    <col min="2817" max="2817" width="14.5703125" style="79" bestFit="1" customWidth="1"/>
    <col min="2818" max="2818" width="1.7109375" style="79" bestFit="1" customWidth="1"/>
    <col min="2819" max="2819" width="25.42578125" style="79" customWidth="1"/>
    <col min="2820" max="2820" width="18.42578125" style="79" bestFit="1" customWidth="1"/>
    <col min="2821" max="2821" width="7.42578125" style="79" bestFit="1" customWidth="1"/>
    <col min="2822" max="2822" width="20.140625" style="79" customWidth="1"/>
    <col min="2823" max="2823" width="12" style="79" customWidth="1"/>
    <col min="2824" max="2824" width="11.5703125" style="79" customWidth="1"/>
    <col min="2825" max="2827" width="14.7109375" style="79" customWidth="1"/>
    <col min="2828" max="2829" width="16.42578125" style="79" customWidth="1"/>
    <col min="2830" max="2830" width="16.5703125" style="79" customWidth="1"/>
    <col min="2831" max="2831" width="13.85546875" style="79" customWidth="1"/>
    <col min="2832" max="2833" width="17.140625" style="79" customWidth="1"/>
    <col min="2834" max="2834" width="12.42578125" style="79" customWidth="1"/>
    <col min="2835" max="2835" width="12.42578125" style="79" bestFit="1" customWidth="1"/>
    <col min="2836" max="3072" width="9.140625" style="79"/>
    <col min="3073" max="3073" width="14.5703125" style="79" bestFit="1" customWidth="1"/>
    <col min="3074" max="3074" width="1.7109375" style="79" bestFit="1" customWidth="1"/>
    <col min="3075" max="3075" width="25.42578125" style="79" customWidth="1"/>
    <col min="3076" max="3076" width="18.42578125" style="79" bestFit="1" customWidth="1"/>
    <col min="3077" max="3077" width="7.42578125" style="79" bestFit="1" customWidth="1"/>
    <col min="3078" max="3078" width="20.140625" style="79" customWidth="1"/>
    <col min="3079" max="3079" width="12" style="79" customWidth="1"/>
    <col min="3080" max="3080" width="11.5703125" style="79" customWidth="1"/>
    <col min="3081" max="3083" width="14.7109375" style="79" customWidth="1"/>
    <col min="3084" max="3085" width="16.42578125" style="79" customWidth="1"/>
    <col min="3086" max="3086" width="16.5703125" style="79" customWidth="1"/>
    <col min="3087" max="3087" width="13.85546875" style="79" customWidth="1"/>
    <col min="3088" max="3089" width="17.140625" style="79" customWidth="1"/>
    <col min="3090" max="3090" width="12.42578125" style="79" customWidth="1"/>
    <col min="3091" max="3091" width="12.42578125" style="79" bestFit="1" customWidth="1"/>
    <col min="3092" max="3328" width="9.140625" style="79"/>
    <col min="3329" max="3329" width="14.5703125" style="79" bestFit="1" customWidth="1"/>
    <col min="3330" max="3330" width="1.7109375" style="79" bestFit="1" customWidth="1"/>
    <col min="3331" max="3331" width="25.42578125" style="79" customWidth="1"/>
    <col min="3332" max="3332" width="18.42578125" style="79" bestFit="1" customWidth="1"/>
    <col min="3333" max="3333" width="7.42578125" style="79" bestFit="1" customWidth="1"/>
    <col min="3334" max="3334" width="20.140625" style="79" customWidth="1"/>
    <col min="3335" max="3335" width="12" style="79" customWidth="1"/>
    <col min="3336" max="3336" width="11.5703125" style="79" customWidth="1"/>
    <col min="3337" max="3339" width="14.7109375" style="79" customWidth="1"/>
    <col min="3340" max="3341" width="16.42578125" style="79" customWidth="1"/>
    <col min="3342" max="3342" width="16.5703125" style="79" customWidth="1"/>
    <col min="3343" max="3343" width="13.85546875" style="79" customWidth="1"/>
    <col min="3344" max="3345" width="17.140625" style="79" customWidth="1"/>
    <col min="3346" max="3346" width="12.42578125" style="79" customWidth="1"/>
    <col min="3347" max="3347" width="12.42578125" style="79" bestFit="1" customWidth="1"/>
    <col min="3348" max="3584" width="9.140625" style="79"/>
    <col min="3585" max="3585" width="14.5703125" style="79" bestFit="1" customWidth="1"/>
    <col min="3586" max="3586" width="1.7109375" style="79" bestFit="1" customWidth="1"/>
    <col min="3587" max="3587" width="25.42578125" style="79" customWidth="1"/>
    <col min="3588" max="3588" width="18.42578125" style="79" bestFit="1" customWidth="1"/>
    <col min="3589" max="3589" width="7.42578125" style="79" bestFit="1" customWidth="1"/>
    <col min="3590" max="3590" width="20.140625" style="79" customWidth="1"/>
    <col min="3591" max="3591" width="12" style="79" customWidth="1"/>
    <col min="3592" max="3592" width="11.5703125" style="79" customWidth="1"/>
    <col min="3593" max="3595" width="14.7109375" style="79" customWidth="1"/>
    <col min="3596" max="3597" width="16.42578125" style="79" customWidth="1"/>
    <col min="3598" max="3598" width="16.5703125" style="79" customWidth="1"/>
    <col min="3599" max="3599" width="13.85546875" style="79" customWidth="1"/>
    <col min="3600" max="3601" width="17.140625" style="79" customWidth="1"/>
    <col min="3602" max="3602" width="12.42578125" style="79" customWidth="1"/>
    <col min="3603" max="3603" width="12.42578125" style="79" bestFit="1" customWidth="1"/>
    <col min="3604" max="3840" width="9.140625" style="79"/>
    <col min="3841" max="3841" width="14.5703125" style="79" bestFit="1" customWidth="1"/>
    <col min="3842" max="3842" width="1.7109375" style="79" bestFit="1" customWidth="1"/>
    <col min="3843" max="3843" width="25.42578125" style="79" customWidth="1"/>
    <col min="3844" max="3844" width="18.42578125" style="79" bestFit="1" customWidth="1"/>
    <col min="3845" max="3845" width="7.42578125" style="79" bestFit="1" customWidth="1"/>
    <col min="3846" max="3846" width="20.140625" style="79" customWidth="1"/>
    <col min="3847" max="3847" width="12" style="79" customWidth="1"/>
    <col min="3848" max="3848" width="11.5703125" style="79" customWidth="1"/>
    <col min="3849" max="3851" width="14.7109375" style="79" customWidth="1"/>
    <col min="3852" max="3853" width="16.42578125" style="79" customWidth="1"/>
    <col min="3854" max="3854" width="16.5703125" style="79" customWidth="1"/>
    <col min="3855" max="3855" width="13.85546875" style="79" customWidth="1"/>
    <col min="3856" max="3857" width="17.140625" style="79" customWidth="1"/>
    <col min="3858" max="3858" width="12.42578125" style="79" customWidth="1"/>
    <col min="3859" max="3859" width="12.42578125" style="79" bestFit="1" customWidth="1"/>
    <col min="3860" max="4096" width="9.140625" style="79"/>
    <col min="4097" max="4097" width="14.5703125" style="79" bestFit="1" customWidth="1"/>
    <col min="4098" max="4098" width="1.7109375" style="79" bestFit="1" customWidth="1"/>
    <col min="4099" max="4099" width="25.42578125" style="79" customWidth="1"/>
    <col min="4100" max="4100" width="18.42578125" style="79" bestFit="1" customWidth="1"/>
    <col min="4101" max="4101" width="7.42578125" style="79" bestFit="1" customWidth="1"/>
    <col min="4102" max="4102" width="20.140625" style="79" customWidth="1"/>
    <col min="4103" max="4103" width="12" style="79" customWidth="1"/>
    <col min="4104" max="4104" width="11.5703125" style="79" customWidth="1"/>
    <col min="4105" max="4107" width="14.7109375" style="79" customWidth="1"/>
    <col min="4108" max="4109" width="16.42578125" style="79" customWidth="1"/>
    <col min="4110" max="4110" width="16.5703125" style="79" customWidth="1"/>
    <col min="4111" max="4111" width="13.85546875" style="79" customWidth="1"/>
    <col min="4112" max="4113" width="17.140625" style="79" customWidth="1"/>
    <col min="4114" max="4114" width="12.42578125" style="79" customWidth="1"/>
    <col min="4115" max="4115" width="12.42578125" style="79" bestFit="1" customWidth="1"/>
    <col min="4116" max="4352" width="9.140625" style="79"/>
    <col min="4353" max="4353" width="14.5703125" style="79" bestFit="1" customWidth="1"/>
    <col min="4354" max="4354" width="1.7109375" style="79" bestFit="1" customWidth="1"/>
    <col min="4355" max="4355" width="25.42578125" style="79" customWidth="1"/>
    <col min="4356" max="4356" width="18.42578125" style="79" bestFit="1" customWidth="1"/>
    <col min="4357" max="4357" width="7.42578125" style="79" bestFit="1" customWidth="1"/>
    <col min="4358" max="4358" width="20.140625" style="79" customWidth="1"/>
    <col min="4359" max="4359" width="12" style="79" customWidth="1"/>
    <col min="4360" max="4360" width="11.5703125" style="79" customWidth="1"/>
    <col min="4361" max="4363" width="14.7109375" style="79" customWidth="1"/>
    <col min="4364" max="4365" width="16.42578125" style="79" customWidth="1"/>
    <col min="4366" max="4366" width="16.5703125" style="79" customWidth="1"/>
    <col min="4367" max="4367" width="13.85546875" style="79" customWidth="1"/>
    <col min="4368" max="4369" width="17.140625" style="79" customWidth="1"/>
    <col min="4370" max="4370" width="12.42578125" style="79" customWidth="1"/>
    <col min="4371" max="4371" width="12.42578125" style="79" bestFit="1" customWidth="1"/>
    <col min="4372" max="4608" width="9.140625" style="79"/>
    <col min="4609" max="4609" width="14.5703125" style="79" bestFit="1" customWidth="1"/>
    <col min="4610" max="4610" width="1.7109375" style="79" bestFit="1" customWidth="1"/>
    <col min="4611" max="4611" width="25.42578125" style="79" customWidth="1"/>
    <col min="4612" max="4612" width="18.42578125" style="79" bestFit="1" customWidth="1"/>
    <col min="4613" max="4613" width="7.42578125" style="79" bestFit="1" customWidth="1"/>
    <col min="4614" max="4614" width="20.140625" style="79" customWidth="1"/>
    <col min="4615" max="4615" width="12" style="79" customWidth="1"/>
    <col min="4616" max="4616" width="11.5703125" style="79" customWidth="1"/>
    <col min="4617" max="4619" width="14.7109375" style="79" customWidth="1"/>
    <col min="4620" max="4621" width="16.42578125" style="79" customWidth="1"/>
    <col min="4622" max="4622" width="16.5703125" style="79" customWidth="1"/>
    <col min="4623" max="4623" width="13.85546875" style="79" customWidth="1"/>
    <col min="4624" max="4625" width="17.140625" style="79" customWidth="1"/>
    <col min="4626" max="4626" width="12.42578125" style="79" customWidth="1"/>
    <col min="4627" max="4627" width="12.42578125" style="79" bestFit="1" customWidth="1"/>
    <col min="4628" max="4864" width="9.140625" style="79"/>
    <col min="4865" max="4865" width="14.5703125" style="79" bestFit="1" customWidth="1"/>
    <col min="4866" max="4866" width="1.7109375" style="79" bestFit="1" customWidth="1"/>
    <col min="4867" max="4867" width="25.42578125" style="79" customWidth="1"/>
    <col min="4868" max="4868" width="18.42578125" style="79" bestFit="1" customWidth="1"/>
    <col min="4869" max="4869" width="7.42578125" style="79" bestFit="1" customWidth="1"/>
    <col min="4870" max="4870" width="20.140625" style="79" customWidth="1"/>
    <col min="4871" max="4871" width="12" style="79" customWidth="1"/>
    <col min="4872" max="4872" width="11.5703125" style="79" customWidth="1"/>
    <col min="4873" max="4875" width="14.7109375" style="79" customWidth="1"/>
    <col min="4876" max="4877" width="16.42578125" style="79" customWidth="1"/>
    <col min="4878" max="4878" width="16.5703125" style="79" customWidth="1"/>
    <col min="4879" max="4879" width="13.85546875" style="79" customWidth="1"/>
    <col min="4880" max="4881" width="17.140625" style="79" customWidth="1"/>
    <col min="4882" max="4882" width="12.42578125" style="79" customWidth="1"/>
    <col min="4883" max="4883" width="12.42578125" style="79" bestFit="1" customWidth="1"/>
    <col min="4884" max="5120" width="9.140625" style="79"/>
    <col min="5121" max="5121" width="14.5703125" style="79" bestFit="1" customWidth="1"/>
    <col min="5122" max="5122" width="1.7109375" style="79" bestFit="1" customWidth="1"/>
    <col min="5123" max="5123" width="25.42578125" style="79" customWidth="1"/>
    <col min="5124" max="5124" width="18.42578125" style="79" bestFit="1" customWidth="1"/>
    <col min="5125" max="5125" width="7.42578125" style="79" bestFit="1" customWidth="1"/>
    <col min="5126" max="5126" width="20.140625" style="79" customWidth="1"/>
    <col min="5127" max="5127" width="12" style="79" customWidth="1"/>
    <col min="5128" max="5128" width="11.5703125" style="79" customWidth="1"/>
    <col min="5129" max="5131" width="14.7109375" style="79" customWidth="1"/>
    <col min="5132" max="5133" width="16.42578125" style="79" customWidth="1"/>
    <col min="5134" max="5134" width="16.5703125" style="79" customWidth="1"/>
    <col min="5135" max="5135" width="13.85546875" style="79" customWidth="1"/>
    <col min="5136" max="5137" width="17.140625" style="79" customWidth="1"/>
    <col min="5138" max="5138" width="12.42578125" style="79" customWidth="1"/>
    <col min="5139" max="5139" width="12.42578125" style="79" bestFit="1" customWidth="1"/>
    <col min="5140" max="5376" width="9.140625" style="79"/>
    <col min="5377" max="5377" width="14.5703125" style="79" bestFit="1" customWidth="1"/>
    <col min="5378" max="5378" width="1.7109375" style="79" bestFit="1" customWidth="1"/>
    <col min="5379" max="5379" width="25.42578125" style="79" customWidth="1"/>
    <col min="5380" max="5380" width="18.42578125" style="79" bestFit="1" customWidth="1"/>
    <col min="5381" max="5381" width="7.42578125" style="79" bestFit="1" customWidth="1"/>
    <col min="5382" max="5382" width="20.140625" style="79" customWidth="1"/>
    <col min="5383" max="5383" width="12" style="79" customWidth="1"/>
    <col min="5384" max="5384" width="11.5703125" style="79" customWidth="1"/>
    <col min="5385" max="5387" width="14.7109375" style="79" customWidth="1"/>
    <col min="5388" max="5389" width="16.42578125" style="79" customWidth="1"/>
    <col min="5390" max="5390" width="16.5703125" style="79" customWidth="1"/>
    <col min="5391" max="5391" width="13.85546875" style="79" customWidth="1"/>
    <col min="5392" max="5393" width="17.140625" style="79" customWidth="1"/>
    <col min="5394" max="5394" width="12.42578125" style="79" customWidth="1"/>
    <col min="5395" max="5395" width="12.42578125" style="79" bestFit="1" customWidth="1"/>
    <col min="5396" max="5632" width="9.140625" style="79"/>
    <col min="5633" max="5633" width="14.5703125" style="79" bestFit="1" customWidth="1"/>
    <col min="5634" max="5634" width="1.7109375" style="79" bestFit="1" customWidth="1"/>
    <col min="5635" max="5635" width="25.42578125" style="79" customWidth="1"/>
    <col min="5636" max="5636" width="18.42578125" style="79" bestFit="1" customWidth="1"/>
    <col min="5637" max="5637" width="7.42578125" style="79" bestFit="1" customWidth="1"/>
    <col min="5638" max="5638" width="20.140625" style="79" customWidth="1"/>
    <col min="5639" max="5639" width="12" style="79" customWidth="1"/>
    <col min="5640" max="5640" width="11.5703125" style="79" customWidth="1"/>
    <col min="5641" max="5643" width="14.7109375" style="79" customWidth="1"/>
    <col min="5644" max="5645" width="16.42578125" style="79" customWidth="1"/>
    <col min="5646" max="5646" width="16.5703125" style="79" customWidth="1"/>
    <col min="5647" max="5647" width="13.85546875" style="79" customWidth="1"/>
    <col min="5648" max="5649" width="17.140625" style="79" customWidth="1"/>
    <col min="5650" max="5650" width="12.42578125" style="79" customWidth="1"/>
    <col min="5651" max="5651" width="12.42578125" style="79" bestFit="1" customWidth="1"/>
    <col min="5652" max="5888" width="9.140625" style="79"/>
    <col min="5889" max="5889" width="14.5703125" style="79" bestFit="1" customWidth="1"/>
    <col min="5890" max="5890" width="1.7109375" style="79" bestFit="1" customWidth="1"/>
    <col min="5891" max="5891" width="25.42578125" style="79" customWidth="1"/>
    <col min="5892" max="5892" width="18.42578125" style="79" bestFit="1" customWidth="1"/>
    <col min="5893" max="5893" width="7.42578125" style="79" bestFit="1" customWidth="1"/>
    <col min="5894" max="5894" width="20.140625" style="79" customWidth="1"/>
    <col min="5895" max="5895" width="12" style="79" customWidth="1"/>
    <col min="5896" max="5896" width="11.5703125" style="79" customWidth="1"/>
    <col min="5897" max="5899" width="14.7109375" style="79" customWidth="1"/>
    <col min="5900" max="5901" width="16.42578125" style="79" customWidth="1"/>
    <col min="5902" max="5902" width="16.5703125" style="79" customWidth="1"/>
    <col min="5903" max="5903" width="13.85546875" style="79" customWidth="1"/>
    <col min="5904" max="5905" width="17.140625" style="79" customWidth="1"/>
    <col min="5906" max="5906" width="12.42578125" style="79" customWidth="1"/>
    <col min="5907" max="5907" width="12.42578125" style="79" bestFit="1" customWidth="1"/>
    <col min="5908" max="6144" width="9.140625" style="79"/>
    <col min="6145" max="6145" width="14.5703125" style="79" bestFit="1" customWidth="1"/>
    <col min="6146" max="6146" width="1.7109375" style="79" bestFit="1" customWidth="1"/>
    <col min="6147" max="6147" width="25.42578125" style="79" customWidth="1"/>
    <col min="6148" max="6148" width="18.42578125" style="79" bestFit="1" customWidth="1"/>
    <col min="6149" max="6149" width="7.42578125" style="79" bestFit="1" customWidth="1"/>
    <col min="6150" max="6150" width="20.140625" style="79" customWidth="1"/>
    <col min="6151" max="6151" width="12" style="79" customWidth="1"/>
    <col min="6152" max="6152" width="11.5703125" style="79" customWidth="1"/>
    <col min="6153" max="6155" width="14.7109375" style="79" customWidth="1"/>
    <col min="6156" max="6157" width="16.42578125" style="79" customWidth="1"/>
    <col min="6158" max="6158" width="16.5703125" style="79" customWidth="1"/>
    <col min="6159" max="6159" width="13.85546875" style="79" customWidth="1"/>
    <col min="6160" max="6161" width="17.140625" style="79" customWidth="1"/>
    <col min="6162" max="6162" width="12.42578125" style="79" customWidth="1"/>
    <col min="6163" max="6163" width="12.42578125" style="79" bestFit="1" customWidth="1"/>
    <col min="6164" max="6400" width="9.140625" style="79"/>
    <col min="6401" max="6401" width="14.5703125" style="79" bestFit="1" customWidth="1"/>
    <col min="6402" max="6402" width="1.7109375" style="79" bestFit="1" customWidth="1"/>
    <col min="6403" max="6403" width="25.42578125" style="79" customWidth="1"/>
    <col min="6404" max="6404" width="18.42578125" style="79" bestFit="1" customWidth="1"/>
    <col min="6405" max="6405" width="7.42578125" style="79" bestFit="1" customWidth="1"/>
    <col min="6406" max="6406" width="20.140625" style="79" customWidth="1"/>
    <col min="6407" max="6407" width="12" style="79" customWidth="1"/>
    <col min="6408" max="6408" width="11.5703125" style="79" customWidth="1"/>
    <col min="6409" max="6411" width="14.7109375" style="79" customWidth="1"/>
    <col min="6412" max="6413" width="16.42578125" style="79" customWidth="1"/>
    <col min="6414" max="6414" width="16.5703125" style="79" customWidth="1"/>
    <col min="6415" max="6415" width="13.85546875" style="79" customWidth="1"/>
    <col min="6416" max="6417" width="17.140625" style="79" customWidth="1"/>
    <col min="6418" max="6418" width="12.42578125" style="79" customWidth="1"/>
    <col min="6419" max="6419" width="12.42578125" style="79" bestFit="1" customWidth="1"/>
    <col min="6420" max="6656" width="9.140625" style="79"/>
    <col min="6657" max="6657" width="14.5703125" style="79" bestFit="1" customWidth="1"/>
    <col min="6658" max="6658" width="1.7109375" style="79" bestFit="1" customWidth="1"/>
    <col min="6659" max="6659" width="25.42578125" style="79" customWidth="1"/>
    <col min="6660" max="6660" width="18.42578125" style="79" bestFit="1" customWidth="1"/>
    <col min="6661" max="6661" width="7.42578125" style="79" bestFit="1" customWidth="1"/>
    <col min="6662" max="6662" width="20.140625" style="79" customWidth="1"/>
    <col min="6663" max="6663" width="12" style="79" customWidth="1"/>
    <col min="6664" max="6664" width="11.5703125" style="79" customWidth="1"/>
    <col min="6665" max="6667" width="14.7109375" style="79" customWidth="1"/>
    <col min="6668" max="6669" width="16.42578125" style="79" customWidth="1"/>
    <col min="6670" max="6670" width="16.5703125" style="79" customWidth="1"/>
    <col min="6671" max="6671" width="13.85546875" style="79" customWidth="1"/>
    <col min="6672" max="6673" width="17.140625" style="79" customWidth="1"/>
    <col min="6674" max="6674" width="12.42578125" style="79" customWidth="1"/>
    <col min="6675" max="6675" width="12.42578125" style="79" bestFit="1" customWidth="1"/>
    <col min="6676" max="6912" width="9.140625" style="79"/>
    <col min="6913" max="6913" width="14.5703125" style="79" bestFit="1" customWidth="1"/>
    <col min="6914" max="6914" width="1.7109375" style="79" bestFit="1" customWidth="1"/>
    <col min="6915" max="6915" width="25.42578125" style="79" customWidth="1"/>
    <col min="6916" max="6916" width="18.42578125" style="79" bestFit="1" customWidth="1"/>
    <col min="6917" max="6917" width="7.42578125" style="79" bestFit="1" customWidth="1"/>
    <col min="6918" max="6918" width="20.140625" style="79" customWidth="1"/>
    <col min="6919" max="6919" width="12" style="79" customWidth="1"/>
    <col min="6920" max="6920" width="11.5703125" style="79" customWidth="1"/>
    <col min="6921" max="6923" width="14.7109375" style="79" customWidth="1"/>
    <col min="6924" max="6925" width="16.42578125" style="79" customWidth="1"/>
    <col min="6926" max="6926" width="16.5703125" style="79" customWidth="1"/>
    <col min="6927" max="6927" width="13.85546875" style="79" customWidth="1"/>
    <col min="6928" max="6929" width="17.140625" style="79" customWidth="1"/>
    <col min="6930" max="6930" width="12.42578125" style="79" customWidth="1"/>
    <col min="6931" max="6931" width="12.42578125" style="79" bestFit="1" customWidth="1"/>
    <col min="6932" max="7168" width="9.140625" style="79"/>
    <col min="7169" max="7169" width="14.5703125" style="79" bestFit="1" customWidth="1"/>
    <col min="7170" max="7170" width="1.7109375" style="79" bestFit="1" customWidth="1"/>
    <col min="7171" max="7171" width="25.42578125" style="79" customWidth="1"/>
    <col min="7172" max="7172" width="18.42578125" style="79" bestFit="1" customWidth="1"/>
    <col min="7173" max="7173" width="7.42578125" style="79" bestFit="1" customWidth="1"/>
    <col min="7174" max="7174" width="20.140625" style="79" customWidth="1"/>
    <col min="7175" max="7175" width="12" style="79" customWidth="1"/>
    <col min="7176" max="7176" width="11.5703125" style="79" customWidth="1"/>
    <col min="7177" max="7179" width="14.7109375" style="79" customWidth="1"/>
    <col min="7180" max="7181" width="16.42578125" style="79" customWidth="1"/>
    <col min="7182" max="7182" width="16.5703125" style="79" customWidth="1"/>
    <col min="7183" max="7183" width="13.85546875" style="79" customWidth="1"/>
    <col min="7184" max="7185" width="17.140625" style="79" customWidth="1"/>
    <col min="7186" max="7186" width="12.42578125" style="79" customWidth="1"/>
    <col min="7187" max="7187" width="12.42578125" style="79" bestFit="1" customWidth="1"/>
    <col min="7188" max="7424" width="9.140625" style="79"/>
    <col min="7425" max="7425" width="14.5703125" style="79" bestFit="1" customWidth="1"/>
    <col min="7426" max="7426" width="1.7109375" style="79" bestFit="1" customWidth="1"/>
    <col min="7427" max="7427" width="25.42578125" style="79" customWidth="1"/>
    <col min="7428" max="7428" width="18.42578125" style="79" bestFit="1" customWidth="1"/>
    <col min="7429" max="7429" width="7.42578125" style="79" bestFit="1" customWidth="1"/>
    <col min="7430" max="7430" width="20.140625" style="79" customWidth="1"/>
    <col min="7431" max="7431" width="12" style="79" customWidth="1"/>
    <col min="7432" max="7432" width="11.5703125" style="79" customWidth="1"/>
    <col min="7433" max="7435" width="14.7109375" style="79" customWidth="1"/>
    <col min="7436" max="7437" width="16.42578125" style="79" customWidth="1"/>
    <col min="7438" max="7438" width="16.5703125" style="79" customWidth="1"/>
    <col min="7439" max="7439" width="13.85546875" style="79" customWidth="1"/>
    <col min="7440" max="7441" width="17.140625" style="79" customWidth="1"/>
    <col min="7442" max="7442" width="12.42578125" style="79" customWidth="1"/>
    <col min="7443" max="7443" width="12.42578125" style="79" bestFit="1" customWidth="1"/>
    <col min="7444" max="7680" width="9.140625" style="79"/>
    <col min="7681" max="7681" width="14.5703125" style="79" bestFit="1" customWidth="1"/>
    <col min="7682" max="7682" width="1.7109375" style="79" bestFit="1" customWidth="1"/>
    <col min="7683" max="7683" width="25.42578125" style="79" customWidth="1"/>
    <col min="7684" max="7684" width="18.42578125" style="79" bestFit="1" customWidth="1"/>
    <col min="7685" max="7685" width="7.42578125" style="79" bestFit="1" customWidth="1"/>
    <col min="7686" max="7686" width="20.140625" style="79" customWidth="1"/>
    <col min="7687" max="7687" width="12" style="79" customWidth="1"/>
    <col min="7688" max="7688" width="11.5703125" style="79" customWidth="1"/>
    <col min="7689" max="7691" width="14.7109375" style="79" customWidth="1"/>
    <col min="7692" max="7693" width="16.42578125" style="79" customWidth="1"/>
    <col min="7694" max="7694" width="16.5703125" style="79" customWidth="1"/>
    <col min="7695" max="7695" width="13.85546875" style="79" customWidth="1"/>
    <col min="7696" max="7697" width="17.140625" style="79" customWidth="1"/>
    <col min="7698" max="7698" width="12.42578125" style="79" customWidth="1"/>
    <col min="7699" max="7699" width="12.42578125" style="79" bestFit="1" customWidth="1"/>
    <col min="7700" max="7936" width="9.140625" style="79"/>
    <col min="7937" max="7937" width="14.5703125" style="79" bestFit="1" customWidth="1"/>
    <col min="7938" max="7938" width="1.7109375" style="79" bestFit="1" customWidth="1"/>
    <col min="7939" max="7939" width="25.42578125" style="79" customWidth="1"/>
    <col min="7940" max="7940" width="18.42578125" style="79" bestFit="1" customWidth="1"/>
    <col min="7941" max="7941" width="7.42578125" style="79" bestFit="1" customWidth="1"/>
    <col min="7942" max="7942" width="20.140625" style="79" customWidth="1"/>
    <col min="7943" max="7943" width="12" style="79" customWidth="1"/>
    <col min="7944" max="7944" width="11.5703125" style="79" customWidth="1"/>
    <col min="7945" max="7947" width="14.7109375" style="79" customWidth="1"/>
    <col min="7948" max="7949" width="16.42578125" style="79" customWidth="1"/>
    <col min="7950" max="7950" width="16.5703125" style="79" customWidth="1"/>
    <col min="7951" max="7951" width="13.85546875" style="79" customWidth="1"/>
    <col min="7952" max="7953" width="17.140625" style="79" customWidth="1"/>
    <col min="7954" max="7954" width="12.42578125" style="79" customWidth="1"/>
    <col min="7955" max="7955" width="12.42578125" style="79" bestFit="1" customWidth="1"/>
    <col min="7956" max="8192" width="9.140625" style="79"/>
    <col min="8193" max="8193" width="14.5703125" style="79" bestFit="1" customWidth="1"/>
    <col min="8194" max="8194" width="1.7109375" style="79" bestFit="1" customWidth="1"/>
    <col min="8195" max="8195" width="25.42578125" style="79" customWidth="1"/>
    <col min="8196" max="8196" width="18.42578125" style="79" bestFit="1" customWidth="1"/>
    <col min="8197" max="8197" width="7.42578125" style="79" bestFit="1" customWidth="1"/>
    <col min="8198" max="8198" width="20.140625" style="79" customWidth="1"/>
    <col min="8199" max="8199" width="12" style="79" customWidth="1"/>
    <col min="8200" max="8200" width="11.5703125" style="79" customWidth="1"/>
    <col min="8201" max="8203" width="14.7109375" style="79" customWidth="1"/>
    <col min="8204" max="8205" width="16.42578125" style="79" customWidth="1"/>
    <col min="8206" max="8206" width="16.5703125" style="79" customWidth="1"/>
    <col min="8207" max="8207" width="13.85546875" style="79" customWidth="1"/>
    <col min="8208" max="8209" width="17.140625" style="79" customWidth="1"/>
    <col min="8210" max="8210" width="12.42578125" style="79" customWidth="1"/>
    <col min="8211" max="8211" width="12.42578125" style="79" bestFit="1" customWidth="1"/>
    <col min="8212" max="8448" width="9.140625" style="79"/>
    <col min="8449" max="8449" width="14.5703125" style="79" bestFit="1" customWidth="1"/>
    <col min="8450" max="8450" width="1.7109375" style="79" bestFit="1" customWidth="1"/>
    <col min="8451" max="8451" width="25.42578125" style="79" customWidth="1"/>
    <col min="8452" max="8452" width="18.42578125" style="79" bestFit="1" customWidth="1"/>
    <col min="8453" max="8453" width="7.42578125" style="79" bestFit="1" customWidth="1"/>
    <col min="8454" max="8454" width="20.140625" style="79" customWidth="1"/>
    <col min="8455" max="8455" width="12" style="79" customWidth="1"/>
    <col min="8456" max="8456" width="11.5703125" style="79" customWidth="1"/>
    <col min="8457" max="8459" width="14.7109375" style="79" customWidth="1"/>
    <col min="8460" max="8461" width="16.42578125" style="79" customWidth="1"/>
    <col min="8462" max="8462" width="16.5703125" style="79" customWidth="1"/>
    <col min="8463" max="8463" width="13.85546875" style="79" customWidth="1"/>
    <col min="8464" max="8465" width="17.140625" style="79" customWidth="1"/>
    <col min="8466" max="8466" width="12.42578125" style="79" customWidth="1"/>
    <col min="8467" max="8467" width="12.42578125" style="79" bestFit="1" customWidth="1"/>
    <col min="8468" max="8704" width="9.140625" style="79"/>
    <col min="8705" max="8705" width="14.5703125" style="79" bestFit="1" customWidth="1"/>
    <col min="8706" max="8706" width="1.7109375" style="79" bestFit="1" customWidth="1"/>
    <col min="8707" max="8707" width="25.42578125" style="79" customWidth="1"/>
    <col min="8708" max="8708" width="18.42578125" style="79" bestFit="1" customWidth="1"/>
    <col min="8709" max="8709" width="7.42578125" style="79" bestFit="1" customWidth="1"/>
    <col min="8710" max="8710" width="20.140625" style="79" customWidth="1"/>
    <col min="8711" max="8711" width="12" style="79" customWidth="1"/>
    <col min="8712" max="8712" width="11.5703125" style="79" customWidth="1"/>
    <col min="8713" max="8715" width="14.7109375" style="79" customWidth="1"/>
    <col min="8716" max="8717" width="16.42578125" style="79" customWidth="1"/>
    <col min="8718" max="8718" width="16.5703125" style="79" customWidth="1"/>
    <col min="8719" max="8719" width="13.85546875" style="79" customWidth="1"/>
    <col min="8720" max="8721" width="17.140625" style="79" customWidth="1"/>
    <col min="8722" max="8722" width="12.42578125" style="79" customWidth="1"/>
    <col min="8723" max="8723" width="12.42578125" style="79" bestFit="1" customWidth="1"/>
    <col min="8724" max="8960" width="9.140625" style="79"/>
    <col min="8961" max="8961" width="14.5703125" style="79" bestFit="1" customWidth="1"/>
    <col min="8962" max="8962" width="1.7109375" style="79" bestFit="1" customWidth="1"/>
    <col min="8963" max="8963" width="25.42578125" style="79" customWidth="1"/>
    <col min="8964" max="8964" width="18.42578125" style="79" bestFit="1" customWidth="1"/>
    <col min="8965" max="8965" width="7.42578125" style="79" bestFit="1" customWidth="1"/>
    <col min="8966" max="8966" width="20.140625" style="79" customWidth="1"/>
    <col min="8967" max="8967" width="12" style="79" customWidth="1"/>
    <col min="8968" max="8968" width="11.5703125" style="79" customWidth="1"/>
    <col min="8969" max="8971" width="14.7109375" style="79" customWidth="1"/>
    <col min="8972" max="8973" width="16.42578125" style="79" customWidth="1"/>
    <col min="8974" max="8974" width="16.5703125" style="79" customWidth="1"/>
    <col min="8975" max="8975" width="13.85546875" style="79" customWidth="1"/>
    <col min="8976" max="8977" width="17.140625" style="79" customWidth="1"/>
    <col min="8978" max="8978" width="12.42578125" style="79" customWidth="1"/>
    <col min="8979" max="8979" width="12.42578125" style="79" bestFit="1" customWidth="1"/>
    <col min="8980" max="9216" width="9.140625" style="79"/>
    <col min="9217" max="9217" width="14.5703125" style="79" bestFit="1" customWidth="1"/>
    <col min="9218" max="9218" width="1.7109375" style="79" bestFit="1" customWidth="1"/>
    <col min="9219" max="9219" width="25.42578125" style="79" customWidth="1"/>
    <col min="9220" max="9220" width="18.42578125" style="79" bestFit="1" customWidth="1"/>
    <col min="9221" max="9221" width="7.42578125" style="79" bestFit="1" customWidth="1"/>
    <col min="9222" max="9222" width="20.140625" style="79" customWidth="1"/>
    <col min="9223" max="9223" width="12" style="79" customWidth="1"/>
    <col min="9224" max="9224" width="11.5703125" style="79" customWidth="1"/>
    <col min="9225" max="9227" width="14.7109375" style="79" customWidth="1"/>
    <col min="9228" max="9229" width="16.42578125" style="79" customWidth="1"/>
    <col min="9230" max="9230" width="16.5703125" style="79" customWidth="1"/>
    <col min="9231" max="9231" width="13.85546875" style="79" customWidth="1"/>
    <col min="9232" max="9233" width="17.140625" style="79" customWidth="1"/>
    <col min="9234" max="9234" width="12.42578125" style="79" customWidth="1"/>
    <col min="9235" max="9235" width="12.42578125" style="79" bestFit="1" customWidth="1"/>
    <col min="9236" max="9472" width="9.140625" style="79"/>
    <col min="9473" max="9473" width="14.5703125" style="79" bestFit="1" customWidth="1"/>
    <col min="9474" max="9474" width="1.7109375" style="79" bestFit="1" customWidth="1"/>
    <col min="9475" max="9475" width="25.42578125" style="79" customWidth="1"/>
    <col min="9476" max="9476" width="18.42578125" style="79" bestFit="1" customWidth="1"/>
    <col min="9477" max="9477" width="7.42578125" style="79" bestFit="1" customWidth="1"/>
    <col min="9478" max="9478" width="20.140625" style="79" customWidth="1"/>
    <col min="9479" max="9479" width="12" style="79" customWidth="1"/>
    <col min="9480" max="9480" width="11.5703125" style="79" customWidth="1"/>
    <col min="9481" max="9483" width="14.7109375" style="79" customWidth="1"/>
    <col min="9484" max="9485" width="16.42578125" style="79" customWidth="1"/>
    <col min="9486" max="9486" width="16.5703125" style="79" customWidth="1"/>
    <col min="9487" max="9487" width="13.85546875" style="79" customWidth="1"/>
    <col min="9488" max="9489" width="17.140625" style="79" customWidth="1"/>
    <col min="9490" max="9490" width="12.42578125" style="79" customWidth="1"/>
    <col min="9491" max="9491" width="12.42578125" style="79" bestFit="1" customWidth="1"/>
    <col min="9492" max="9728" width="9.140625" style="79"/>
    <col min="9729" max="9729" width="14.5703125" style="79" bestFit="1" customWidth="1"/>
    <col min="9730" max="9730" width="1.7109375" style="79" bestFit="1" customWidth="1"/>
    <col min="9731" max="9731" width="25.42578125" style="79" customWidth="1"/>
    <col min="9732" max="9732" width="18.42578125" style="79" bestFit="1" customWidth="1"/>
    <col min="9733" max="9733" width="7.42578125" style="79" bestFit="1" customWidth="1"/>
    <col min="9734" max="9734" width="20.140625" style="79" customWidth="1"/>
    <col min="9735" max="9735" width="12" style="79" customWidth="1"/>
    <col min="9736" max="9736" width="11.5703125" style="79" customWidth="1"/>
    <col min="9737" max="9739" width="14.7109375" style="79" customWidth="1"/>
    <col min="9740" max="9741" width="16.42578125" style="79" customWidth="1"/>
    <col min="9742" max="9742" width="16.5703125" style="79" customWidth="1"/>
    <col min="9743" max="9743" width="13.85546875" style="79" customWidth="1"/>
    <col min="9744" max="9745" width="17.140625" style="79" customWidth="1"/>
    <col min="9746" max="9746" width="12.42578125" style="79" customWidth="1"/>
    <col min="9747" max="9747" width="12.42578125" style="79" bestFit="1" customWidth="1"/>
    <col min="9748" max="9984" width="9.140625" style="79"/>
    <col min="9985" max="9985" width="14.5703125" style="79" bestFit="1" customWidth="1"/>
    <col min="9986" max="9986" width="1.7109375" style="79" bestFit="1" customWidth="1"/>
    <col min="9987" max="9987" width="25.42578125" style="79" customWidth="1"/>
    <col min="9988" max="9988" width="18.42578125" style="79" bestFit="1" customWidth="1"/>
    <col min="9989" max="9989" width="7.42578125" style="79" bestFit="1" customWidth="1"/>
    <col min="9990" max="9990" width="20.140625" style="79" customWidth="1"/>
    <col min="9991" max="9991" width="12" style="79" customWidth="1"/>
    <col min="9992" max="9992" width="11.5703125" style="79" customWidth="1"/>
    <col min="9993" max="9995" width="14.7109375" style="79" customWidth="1"/>
    <col min="9996" max="9997" width="16.42578125" style="79" customWidth="1"/>
    <col min="9998" max="9998" width="16.5703125" style="79" customWidth="1"/>
    <col min="9999" max="9999" width="13.85546875" style="79" customWidth="1"/>
    <col min="10000" max="10001" width="17.140625" style="79" customWidth="1"/>
    <col min="10002" max="10002" width="12.42578125" style="79" customWidth="1"/>
    <col min="10003" max="10003" width="12.42578125" style="79" bestFit="1" customWidth="1"/>
    <col min="10004" max="10240" width="9.140625" style="79"/>
    <col min="10241" max="10241" width="14.5703125" style="79" bestFit="1" customWidth="1"/>
    <col min="10242" max="10242" width="1.7109375" style="79" bestFit="1" customWidth="1"/>
    <col min="10243" max="10243" width="25.42578125" style="79" customWidth="1"/>
    <col min="10244" max="10244" width="18.42578125" style="79" bestFit="1" customWidth="1"/>
    <col min="10245" max="10245" width="7.42578125" style="79" bestFit="1" customWidth="1"/>
    <col min="10246" max="10246" width="20.140625" style="79" customWidth="1"/>
    <col min="10247" max="10247" width="12" style="79" customWidth="1"/>
    <col min="10248" max="10248" width="11.5703125" style="79" customWidth="1"/>
    <col min="10249" max="10251" width="14.7109375" style="79" customWidth="1"/>
    <col min="10252" max="10253" width="16.42578125" style="79" customWidth="1"/>
    <col min="10254" max="10254" width="16.5703125" style="79" customWidth="1"/>
    <col min="10255" max="10255" width="13.85546875" style="79" customWidth="1"/>
    <col min="10256" max="10257" width="17.140625" style="79" customWidth="1"/>
    <col min="10258" max="10258" width="12.42578125" style="79" customWidth="1"/>
    <col min="10259" max="10259" width="12.42578125" style="79" bestFit="1" customWidth="1"/>
    <col min="10260" max="10496" width="9.140625" style="79"/>
    <col min="10497" max="10497" width="14.5703125" style="79" bestFit="1" customWidth="1"/>
    <col min="10498" max="10498" width="1.7109375" style="79" bestFit="1" customWidth="1"/>
    <col min="10499" max="10499" width="25.42578125" style="79" customWidth="1"/>
    <col min="10500" max="10500" width="18.42578125" style="79" bestFit="1" customWidth="1"/>
    <col min="10501" max="10501" width="7.42578125" style="79" bestFit="1" customWidth="1"/>
    <col min="10502" max="10502" width="20.140625" style="79" customWidth="1"/>
    <col min="10503" max="10503" width="12" style="79" customWidth="1"/>
    <col min="10504" max="10504" width="11.5703125" style="79" customWidth="1"/>
    <col min="10505" max="10507" width="14.7109375" style="79" customWidth="1"/>
    <col min="10508" max="10509" width="16.42578125" style="79" customWidth="1"/>
    <col min="10510" max="10510" width="16.5703125" style="79" customWidth="1"/>
    <col min="10511" max="10511" width="13.85546875" style="79" customWidth="1"/>
    <col min="10512" max="10513" width="17.140625" style="79" customWidth="1"/>
    <col min="10514" max="10514" width="12.42578125" style="79" customWidth="1"/>
    <col min="10515" max="10515" width="12.42578125" style="79" bestFit="1" customWidth="1"/>
    <col min="10516" max="10752" width="9.140625" style="79"/>
    <col min="10753" max="10753" width="14.5703125" style="79" bestFit="1" customWidth="1"/>
    <col min="10754" max="10754" width="1.7109375" style="79" bestFit="1" customWidth="1"/>
    <col min="10755" max="10755" width="25.42578125" style="79" customWidth="1"/>
    <col min="10756" max="10756" width="18.42578125" style="79" bestFit="1" customWidth="1"/>
    <col min="10757" max="10757" width="7.42578125" style="79" bestFit="1" customWidth="1"/>
    <col min="10758" max="10758" width="20.140625" style="79" customWidth="1"/>
    <col min="10759" max="10759" width="12" style="79" customWidth="1"/>
    <col min="10760" max="10760" width="11.5703125" style="79" customWidth="1"/>
    <col min="10761" max="10763" width="14.7109375" style="79" customWidth="1"/>
    <col min="10764" max="10765" width="16.42578125" style="79" customWidth="1"/>
    <col min="10766" max="10766" width="16.5703125" style="79" customWidth="1"/>
    <col min="10767" max="10767" width="13.85546875" style="79" customWidth="1"/>
    <col min="10768" max="10769" width="17.140625" style="79" customWidth="1"/>
    <col min="10770" max="10770" width="12.42578125" style="79" customWidth="1"/>
    <col min="10771" max="10771" width="12.42578125" style="79" bestFit="1" customWidth="1"/>
    <col min="10772" max="11008" width="9.140625" style="79"/>
    <col min="11009" max="11009" width="14.5703125" style="79" bestFit="1" customWidth="1"/>
    <col min="11010" max="11010" width="1.7109375" style="79" bestFit="1" customWidth="1"/>
    <col min="11011" max="11011" width="25.42578125" style="79" customWidth="1"/>
    <col min="11012" max="11012" width="18.42578125" style="79" bestFit="1" customWidth="1"/>
    <col min="11013" max="11013" width="7.42578125" style="79" bestFit="1" customWidth="1"/>
    <col min="11014" max="11014" width="20.140625" style="79" customWidth="1"/>
    <col min="11015" max="11015" width="12" style="79" customWidth="1"/>
    <col min="11016" max="11016" width="11.5703125" style="79" customWidth="1"/>
    <col min="11017" max="11019" width="14.7109375" style="79" customWidth="1"/>
    <col min="11020" max="11021" width="16.42578125" style="79" customWidth="1"/>
    <col min="11022" max="11022" width="16.5703125" style="79" customWidth="1"/>
    <col min="11023" max="11023" width="13.85546875" style="79" customWidth="1"/>
    <col min="11024" max="11025" width="17.140625" style="79" customWidth="1"/>
    <col min="11026" max="11026" width="12.42578125" style="79" customWidth="1"/>
    <col min="11027" max="11027" width="12.42578125" style="79" bestFit="1" customWidth="1"/>
    <col min="11028" max="11264" width="9.140625" style="79"/>
    <col min="11265" max="11265" width="14.5703125" style="79" bestFit="1" customWidth="1"/>
    <col min="11266" max="11266" width="1.7109375" style="79" bestFit="1" customWidth="1"/>
    <col min="11267" max="11267" width="25.42578125" style="79" customWidth="1"/>
    <col min="11268" max="11268" width="18.42578125" style="79" bestFit="1" customWidth="1"/>
    <col min="11269" max="11269" width="7.42578125" style="79" bestFit="1" customWidth="1"/>
    <col min="11270" max="11270" width="20.140625" style="79" customWidth="1"/>
    <col min="11271" max="11271" width="12" style="79" customWidth="1"/>
    <col min="11272" max="11272" width="11.5703125" style="79" customWidth="1"/>
    <col min="11273" max="11275" width="14.7109375" style="79" customWidth="1"/>
    <col min="11276" max="11277" width="16.42578125" style="79" customWidth="1"/>
    <col min="11278" max="11278" width="16.5703125" style="79" customWidth="1"/>
    <col min="11279" max="11279" width="13.85546875" style="79" customWidth="1"/>
    <col min="11280" max="11281" width="17.140625" style="79" customWidth="1"/>
    <col min="11282" max="11282" width="12.42578125" style="79" customWidth="1"/>
    <col min="11283" max="11283" width="12.42578125" style="79" bestFit="1" customWidth="1"/>
    <col min="11284" max="11520" width="9.140625" style="79"/>
    <col min="11521" max="11521" width="14.5703125" style="79" bestFit="1" customWidth="1"/>
    <col min="11522" max="11522" width="1.7109375" style="79" bestFit="1" customWidth="1"/>
    <col min="11523" max="11523" width="25.42578125" style="79" customWidth="1"/>
    <col min="11524" max="11524" width="18.42578125" style="79" bestFit="1" customWidth="1"/>
    <col min="11525" max="11525" width="7.42578125" style="79" bestFit="1" customWidth="1"/>
    <col min="11526" max="11526" width="20.140625" style="79" customWidth="1"/>
    <col min="11527" max="11527" width="12" style="79" customWidth="1"/>
    <col min="11528" max="11528" width="11.5703125" style="79" customWidth="1"/>
    <col min="11529" max="11531" width="14.7109375" style="79" customWidth="1"/>
    <col min="11532" max="11533" width="16.42578125" style="79" customWidth="1"/>
    <col min="11534" max="11534" width="16.5703125" style="79" customWidth="1"/>
    <col min="11535" max="11535" width="13.85546875" style="79" customWidth="1"/>
    <col min="11536" max="11537" width="17.140625" style="79" customWidth="1"/>
    <col min="11538" max="11538" width="12.42578125" style="79" customWidth="1"/>
    <col min="11539" max="11539" width="12.42578125" style="79" bestFit="1" customWidth="1"/>
    <col min="11540" max="11776" width="9.140625" style="79"/>
    <col min="11777" max="11777" width="14.5703125" style="79" bestFit="1" customWidth="1"/>
    <col min="11778" max="11778" width="1.7109375" style="79" bestFit="1" customWidth="1"/>
    <col min="11779" max="11779" width="25.42578125" style="79" customWidth="1"/>
    <col min="11780" max="11780" width="18.42578125" style="79" bestFit="1" customWidth="1"/>
    <col min="11781" max="11781" width="7.42578125" style="79" bestFit="1" customWidth="1"/>
    <col min="11782" max="11782" width="20.140625" style="79" customWidth="1"/>
    <col min="11783" max="11783" width="12" style="79" customWidth="1"/>
    <col min="11784" max="11784" width="11.5703125" style="79" customWidth="1"/>
    <col min="11785" max="11787" width="14.7109375" style="79" customWidth="1"/>
    <col min="11788" max="11789" width="16.42578125" style="79" customWidth="1"/>
    <col min="11790" max="11790" width="16.5703125" style="79" customWidth="1"/>
    <col min="11791" max="11791" width="13.85546875" style="79" customWidth="1"/>
    <col min="11792" max="11793" width="17.140625" style="79" customWidth="1"/>
    <col min="11794" max="11794" width="12.42578125" style="79" customWidth="1"/>
    <col min="11795" max="11795" width="12.42578125" style="79" bestFit="1" customWidth="1"/>
    <col min="11796" max="12032" width="9.140625" style="79"/>
    <col min="12033" max="12033" width="14.5703125" style="79" bestFit="1" customWidth="1"/>
    <col min="12034" max="12034" width="1.7109375" style="79" bestFit="1" customWidth="1"/>
    <col min="12035" max="12035" width="25.42578125" style="79" customWidth="1"/>
    <col min="12036" max="12036" width="18.42578125" style="79" bestFit="1" customWidth="1"/>
    <col min="12037" max="12037" width="7.42578125" style="79" bestFit="1" customWidth="1"/>
    <col min="12038" max="12038" width="20.140625" style="79" customWidth="1"/>
    <col min="12039" max="12039" width="12" style="79" customWidth="1"/>
    <col min="12040" max="12040" width="11.5703125" style="79" customWidth="1"/>
    <col min="12041" max="12043" width="14.7109375" style="79" customWidth="1"/>
    <col min="12044" max="12045" width="16.42578125" style="79" customWidth="1"/>
    <col min="12046" max="12046" width="16.5703125" style="79" customWidth="1"/>
    <col min="12047" max="12047" width="13.85546875" style="79" customWidth="1"/>
    <col min="12048" max="12049" width="17.140625" style="79" customWidth="1"/>
    <col min="12050" max="12050" width="12.42578125" style="79" customWidth="1"/>
    <col min="12051" max="12051" width="12.42578125" style="79" bestFit="1" customWidth="1"/>
    <col min="12052" max="12288" width="9.140625" style="79"/>
    <col min="12289" max="12289" width="14.5703125" style="79" bestFit="1" customWidth="1"/>
    <col min="12290" max="12290" width="1.7109375" style="79" bestFit="1" customWidth="1"/>
    <col min="12291" max="12291" width="25.42578125" style="79" customWidth="1"/>
    <col min="12292" max="12292" width="18.42578125" style="79" bestFit="1" customWidth="1"/>
    <col min="12293" max="12293" width="7.42578125" style="79" bestFit="1" customWidth="1"/>
    <col min="12294" max="12294" width="20.140625" style="79" customWidth="1"/>
    <col min="12295" max="12295" width="12" style="79" customWidth="1"/>
    <col min="12296" max="12296" width="11.5703125" style="79" customWidth="1"/>
    <col min="12297" max="12299" width="14.7109375" style="79" customWidth="1"/>
    <col min="12300" max="12301" width="16.42578125" style="79" customWidth="1"/>
    <col min="12302" max="12302" width="16.5703125" style="79" customWidth="1"/>
    <col min="12303" max="12303" width="13.85546875" style="79" customWidth="1"/>
    <col min="12304" max="12305" width="17.140625" style="79" customWidth="1"/>
    <col min="12306" max="12306" width="12.42578125" style="79" customWidth="1"/>
    <col min="12307" max="12307" width="12.42578125" style="79" bestFit="1" customWidth="1"/>
    <col min="12308" max="12544" width="9.140625" style="79"/>
    <col min="12545" max="12545" width="14.5703125" style="79" bestFit="1" customWidth="1"/>
    <col min="12546" max="12546" width="1.7109375" style="79" bestFit="1" customWidth="1"/>
    <col min="12547" max="12547" width="25.42578125" style="79" customWidth="1"/>
    <col min="12548" max="12548" width="18.42578125" style="79" bestFit="1" customWidth="1"/>
    <col min="12549" max="12549" width="7.42578125" style="79" bestFit="1" customWidth="1"/>
    <col min="12550" max="12550" width="20.140625" style="79" customWidth="1"/>
    <col min="12551" max="12551" width="12" style="79" customWidth="1"/>
    <col min="12552" max="12552" width="11.5703125" style="79" customWidth="1"/>
    <col min="12553" max="12555" width="14.7109375" style="79" customWidth="1"/>
    <col min="12556" max="12557" width="16.42578125" style="79" customWidth="1"/>
    <col min="12558" max="12558" width="16.5703125" style="79" customWidth="1"/>
    <col min="12559" max="12559" width="13.85546875" style="79" customWidth="1"/>
    <col min="12560" max="12561" width="17.140625" style="79" customWidth="1"/>
    <col min="12562" max="12562" width="12.42578125" style="79" customWidth="1"/>
    <col min="12563" max="12563" width="12.42578125" style="79" bestFit="1" customWidth="1"/>
    <col min="12564" max="12800" width="9.140625" style="79"/>
    <col min="12801" max="12801" width="14.5703125" style="79" bestFit="1" customWidth="1"/>
    <col min="12802" max="12802" width="1.7109375" style="79" bestFit="1" customWidth="1"/>
    <col min="12803" max="12803" width="25.42578125" style="79" customWidth="1"/>
    <col min="12804" max="12804" width="18.42578125" style="79" bestFit="1" customWidth="1"/>
    <col min="12805" max="12805" width="7.42578125" style="79" bestFit="1" customWidth="1"/>
    <col min="12806" max="12806" width="20.140625" style="79" customWidth="1"/>
    <col min="12807" max="12807" width="12" style="79" customWidth="1"/>
    <col min="12808" max="12808" width="11.5703125" style="79" customWidth="1"/>
    <col min="12809" max="12811" width="14.7109375" style="79" customWidth="1"/>
    <col min="12812" max="12813" width="16.42578125" style="79" customWidth="1"/>
    <col min="12814" max="12814" width="16.5703125" style="79" customWidth="1"/>
    <col min="12815" max="12815" width="13.85546875" style="79" customWidth="1"/>
    <col min="12816" max="12817" width="17.140625" style="79" customWidth="1"/>
    <col min="12818" max="12818" width="12.42578125" style="79" customWidth="1"/>
    <col min="12819" max="12819" width="12.42578125" style="79" bestFit="1" customWidth="1"/>
    <col min="12820" max="13056" width="9.140625" style="79"/>
    <col min="13057" max="13057" width="14.5703125" style="79" bestFit="1" customWidth="1"/>
    <col min="13058" max="13058" width="1.7109375" style="79" bestFit="1" customWidth="1"/>
    <col min="13059" max="13059" width="25.42578125" style="79" customWidth="1"/>
    <col min="13060" max="13060" width="18.42578125" style="79" bestFit="1" customWidth="1"/>
    <col min="13061" max="13061" width="7.42578125" style="79" bestFit="1" customWidth="1"/>
    <col min="13062" max="13062" width="20.140625" style="79" customWidth="1"/>
    <col min="13063" max="13063" width="12" style="79" customWidth="1"/>
    <col min="13064" max="13064" width="11.5703125" style="79" customWidth="1"/>
    <col min="13065" max="13067" width="14.7109375" style="79" customWidth="1"/>
    <col min="13068" max="13069" width="16.42578125" style="79" customWidth="1"/>
    <col min="13070" max="13070" width="16.5703125" style="79" customWidth="1"/>
    <col min="13071" max="13071" width="13.85546875" style="79" customWidth="1"/>
    <col min="13072" max="13073" width="17.140625" style="79" customWidth="1"/>
    <col min="13074" max="13074" width="12.42578125" style="79" customWidth="1"/>
    <col min="13075" max="13075" width="12.42578125" style="79" bestFit="1" customWidth="1"/>
    <col min="13076" max="13312" width="9.140625" style="79"/>
    <col min="13313" max="13313" width="14.5703125" style="79" bestFit="1" customWidth="1"/>
    <col min="13314" max="13314" width="1.7109375" style="79" bestFit="1" customWidth="1"/>
    <col min="13315" max="13315" width="25.42578125" style="79" customWidth="1"/>
    <col min="13316" max="13316" width="18.42578125" style="79" bestFit="1" customWidth="1"/>
    <col min="13317" max="13317" width="7.42578125" style="79" bestFit="1" customWidth="1"/>
    <col min="13318" max="13318" width="20.140625" style="79" customWidth="1"/>
    <col min="13319" max="13319" width="12" style="79" customWidth="1"/>
    <col min="13320" max="13320" width="11.5703125" style="79" customWidth="1"/>
    <col min="13321" max="13323" width="14.7109375" style="79" customWidth="1"/>
    <col min="13324" max="13325" width="16.42578125" style="79" customWidth="1"/>
    <col min="13326" max="13326" width="16.5703125" style="79" customWidth="1"/>
    <col min="13327" max="13327" width="13.85546875" style="79" customWidth="1"/>
    <col min="13328" max="13329" width="17.140625" style="79" customWidth="1"/>
    <col min="13330" max="13330" width="12.42578125" style="79" customWidth="1"/>
    <col min="13331" max="13331" width="12.42578125" style="79" bestFit="1" customWidth="1"/>
    <col min="13332" max="13568" width="9.140625" style="79"/>
    <col min="13569" max="13569" width="14.5703125" style="79" bestFit="1" customWidth="1"/>
    <col min="13570" max="13570" width="1.7109375" style="79" bestFit="1" customWidth="1"/>
    <col min="13571" max="13571" width="25.42578125" style="79" customWidth="1"/>
    <col min="13572" max="13572" width="18.42578125" style="79" bestFit="1" customWidth="1"/>
    <col min="13573" max="13573" width="7.42578125" style="79" bestFit="1" customWidth="1"/>
    <col min="13574" max="13574" width="20.140625" style="79" customWidth="1"/>
    <col min="13575" max="13575" width="12" style="79" customWidth="1"/>
    <col min="13576" max="13576" width="11.5703125" style="79" customWidth="1"/>
    <col min="13577" max="13579" width="14.7109375" style="79" customWidth="1"/>
    <col min="13580" max="13581" width="16.42578125" style="79" customWidth="1"/>
    <col min="13582" max="13582" width="16.5703125" style="79" customWidth="1"/>
    <col min="13583" max="13583" width="13.85546875" style="79" customWidth="1"/>
    <col min="13584" max="13585" width="17.140625" style="79" customWidth="1"/>
    <col min="13586" max="13586" width="12.42578125" style="79" customWidth="1"/>
    <col min="13587" max="13587" width="12.42578125" style="79" bestFit="1" customWidth="1"/>
    <col min="13588" max="13824" width="9.140625" style="79"/>
    <col min="13825" max="13825" width="14.5703125" style="79" bestFit="1" customWidth="1"/>
    <col min="13826" max="13826" width="1.7109375" style="79" bestFit="1" customWidth="1"/>
    <col min="13827" max="13827" width="25.42578125" style="79" customWidth="1"/>
    <col min="13828" max="13828" width="18.42578125" style="79" bestFit="1" customWidth="1"/>
    <col min="13829" max="13829" width="7.42578125" style="79" bestFit="1" customWidth="1"/>
    <col min="13830" max="13830" width="20.140625" style="79" customWidth="1"/>
    <col min="13831" max="13831" width="12" style="79" customWidth="1"/>
    <col min="13832" max="13832" width="11.5703125" style="79" customWidth="1"/>
    <col min="13833" max="13835" width="14.7109375" style="79" customWidth="1"/>
    <col min="13836" max="13837" width="16.42578125" style="79" customWidth="1"/>
    <col min="13838" max="13838" width="16.5703125" style="79" customWidth="1"/>
    <col min="13839" max="13839" width="13.85546875" style="79" customWidth="1"/>
    <col min="13840" max="13841" width="17.140625" style="79" customWidth="1"/>
    <col min="13842" max="13842" width="12.42578125" style="79" customWidth="1"/>
    <col min="13843" max="13843" width="12.42578125" style="79" bestFit="1" customWidth="1"/>
    <col min="13844" max="14080" width="9.140625" style="79"/>
    <col min="14081" max="14081" width="14.5703125" style="79" bestFit="1" customWidth="1"/>
    <col min="14082" max="14082" width="1.7109375" style="79" bestFit="1" customWidth="1"/>
    <col min="14083" max="14083" width="25.42578125" style="79" customWidth="1"/>
    <col min="14084" max="14084" width="18.42578125" style="79" bestFit="1" customWidth="1"/>
    <col min="14085" max="14085" width="7.42578125" style="79" bestFit="1" customWidth="1"/>
    <col min="14086" max="14086" width="20.140625" style="79" customWidth="1"/>
    <col min="14087" max="14087" width="12" style="79" customWidth="1"/>
    <col min="14088" max="14088" width="11.5703125" style="79" customWidth="1"/>
    <col min="14089" max="14091" width="14.7109375" style="79" customWidth="1"/>
    <col min="14092" max="14093" width="16.42578125" style="79" customWidth="1"/>
    <col min="14094" max="14094" width="16.5703125" style="79" customWidth="1"/>
    <col min="14095" max="14095" width="13.85546875" style="79" customWidth="1"/>
    <col min="14096" max="14097" width="17.140625" style="79" customWidth="1"/>
    <col min="14098" max="14098" width="12.42578125" style="79" customWidth="1"/>
    <col min="14099" max="14099" width="12.42578125" style="79" bestFit="1" customWidth="1"/>
    <col min="14100" max="14336" width="9.140625" style="79"/>
    <col min="14337" max="14337" width="14.5703125" style="79" bestFit="1" customWidth="1"/>
    <col min="14338" max="14338" width="1.7109375" style="79" bestFit="1" customWidth="1"/>
    <col min="14339" max="14339" width="25.42578125" style="79" customWidth="1"/>
    <col min="14340" max="14340" width="18.42578125" style="79" bestFit="1" customWidth="1"/>
    <col min="14341" max="14341" width="7.42578125" style="79" bestFit="1" customWidth="1"/>
    <col min="14342" max="14342" width="20.140625" style="79" customWidth="1"/>
    <col min="14343" max="14343" width="12" style="79" customWidth="1"/>
    <col min="14344" max="14344" width="11.5703125" style="79" customWidth="1"/>
    <col min="14345" max="14347" width="14.7109375" style="79" customWidth="1"/>
    <col min="14348" max="14349" width="16.42578125" style="79" customWidth="1"/>
    <col min="14350" max="14350" width="16.5703125" style="79" customWidth="1"/>
    <col min="14351" max="14351" width="13.85546875" style="79" customWidth="1"/>
    <col min="14352" max="14353" width="17.140625" style="79" customWidth="1"/>
    <col min="14354" max="14354" width="12.42578125" style="79" customWidth="1"/>
    <col min="14355" max="14355" width="12.42578125" style="79" bestFit="1" customWidth="1"/>
    <col min="14356" max="14592" width="9.140625" style="79"/>
    <col min="14593" max="14593" width="14.5703125" style="79" bestFit="1" customWidth="1"/>
    <col min="14594" max="14594" width="1.7109375" style="79" bestFit="1" customWidth="1"/>
    <col min="14595" max="14595" width="25.42578125" style="79" customWidth="1"/>
    <col min="14596" max="14596" width="18.42578125" style="79" bestFit="1" customWidth="1"/>
    <col min="14597" max="14597" width="7.42578125" style="79" bestFit="1" customWidth="1"/>
    <col min="14598" max="14598" width="20.140625" style="79" customWidth="1"/>
    <col min="14599" max="14599" width="12" style="79" customWidth="1"/>
    <col min="14600" max="14600" width="11.5703125" style="79" customWidth="1"/>
    <col min="14601" max="14603" width="14.7109375" style="79" customWidth="1"/>
    <col min="14604" max="14605" width="16.42578125" style="79" customWidth="1"/>
    <col min="14606" max="14606" width="16.5703125" style="79" customWidth="1"/>
    <col min="14607" max="14607" width="13.85546875" style="79" customWidth="1"/>
    <col min="14608" max="14609" width="17.140625" style="79" customWidth="1"/>
    <col min="14610" max="14610" width="12.42578125" style="79" customWidth="1"/>
    <col min="14611" max="14611" width="12.42578125" style="79" bestFit="1" customWidth="1"/>
    <col min="14612" max="14848" width="9.140625" style="79"/>
    <col min="14849" max="14849" width="14.5703125" style="79" bestFit="1" customWidth="1"/>
    <col min="14850" max="14850" width="1.7109375" style="79" bestFit="1" customWidth="1"/>
    <col min="14851" max="14851" width="25.42578125" style="79" customWidth="1"/>
    <col min="14852" max="14852" width="18.42578125" style="79" bestFit="1" customWidth="1"/>
    <col min="14853" max="14853" width="7.42578125" style="79" bestFit="1" customWidth="1"/>
    <col min="14854" max="14854" width="20.140625" style="79" customWidth="1"/>
    <col min="14855" max="14855" width="12" style="79" customWidth="1"/>
    <col min="14856" max="14856" width="11.5703125" style="79" customWidth="1"/>
    <col min="14857" max="14859" width="14.7109375" style="79" customWidth="1"/>
    <col min="14860" max="14861" width="16.42578125" style="79" customWidth="1"/>
    <col min="14862" max="14862" width="16.5703125" style="79" customWidth="1"/>
    <col min="14863" max="14863" width="13.85546875" style="79" customWidth="1"/>
    <col min="14864" max="14865" width="17.140625" style="79" customWidth="1"/>
    <col min="14866" max="14866" width="12.42578125" style="79" customWidth="1"/>
    <col min="14867" max="14867" width="12.42578125" style="79" bestFit="1" customWidth="1"/>
    <col min="14868" max="15104" width="9.140625" style="79"/>
    <col min="15105" max="15105" width="14.5703125" style="79" bestFit="1" customWidth="1"/>
    <col min="15106" max="15106" width="1.7109375" style="79" bestFit="1" customWidth="1"/>
    <col min="15107" max="15107" width="25.42578125" style="79" customWidth="1"/>
    <col min="15108" max="15108" width="18.42578125" style="79" bestFit="1" customWidth="1"/>
    <col min="15109" max="15109" width="7.42578125" style="79" bestFit="1" customWidth="1"/>
    <col min="15110" max="15110" width="20.140625" style="79" customWidth="1"/>
    <col min="15111" max="15111" width="12" style="79" customWidth="1"/>
    <col min="15112" max="15112" width="11.5703125" style="79" customWidth="1"/>
    <col min="15113" max="15115" width="14.7109375" style="79" customWidth="1"/>
    <col min="15116" max="15117" width="16.42578125" style="79" customWidth="1"/>
    <col min="15118" max="15118" width="16.5703125" style="79" customWidth="1"/>
    <col min="15119" max="15119" width="13.85546875" style="79" customWidth="1"/>
    <col min="15120" max="15121" width="17.140625" style="79" customWidth="1"/>
    <col min="15122" max="15122" width="12.42578125" style="79" customWidth="1"/>
    <col min="15123" max="15123" width="12.42578125" style="79" bestFit="1" customWidth="1"/>
    <col min="15124" max="15360" width="9.140625" style="79"/>
    <col min="15361" max="15361" width="14.5703125" style="79" bestFit="1" customWidth="1"/>
    <col min="15362" max="15362" width="1.7109375" style="79" bestFit="1" customWidth="1"/>
    <col min="15363" max="15363" width="25.42578125" style="79" customWidth="1"/>
    <col min="15364" max="15364" width="18.42578125" style="79" bestFit="1" customWidth="1"/>
    <col min="15365" max="15365" width="7.42578125" style="79" bestFit="1" customWidth="1"/>
    <col min="15366" max="15366" width="20.140625" style="79" customWidth="1"/>
    <col min="15367" max="15367" width="12" style="79" customWidth="1"/>
    <col min="15368" max="15368" width="11.5703125" style="79" customWidth="1"/>
    <col min="15369" max="15371" width="14.7109375" style="79" customWidth="1"/>
    <col min="15372" max="15373" width="16.42578125" style="79" customWidth="1"/>
    <col min="15374" max="15374" width="16.5703125" style="79" customWidth="1"/>
    <col min="15375" max="15375" width="13.85546875" style="79" customWidth="1"/>
    <col min="15376" max="15377" width="17.140625" style="79" customWidth="1"/>
    <col min="15378" max="15378" width="12.42578125" style="79" customWidth="1"/>
    <col min="15379" max="15379" width="12.42578125" style="79" bestFit="1" customWidth="1"/>
    <col min="15380" max="15616" width="9.140625" style="79"/>
    <col min="15617" max="15617" width="14.5703125" style="79" bestFit="1" customWidth="1"/>
    <col min="15618" max="15618" width="1.7109375" style="79" bestFit="1" customWidth="1"/>
    <col min="15619" max="15619" width="25.42578125" style="79" customWidth="1"/>
    <col min="15620" max="15620" width="18.42578125" style="79" bestFit="1" customWidth="1"/>
    <col min="15621" max="15621" width="7.42578125" style="79" bestFit="1" customWidth="1"/>
    <col min="15622" max="15622" width="20.140625" style="79" customWidth="1"/>
    <col min="15623" max="15623" width="12" style="79" customWidth="1"/>
    <col min="15624" max="15624" width="11.5703125" style="79" customWidth="1"/>
    <col min="15625" max="15627" width="14.7109375" style="79" customWidth="1"/>
    <col min="15628" max="15629" width="16.42578125" style="79" customWidth="1"/>
    <col min="15630" max="15630" width="16.5703125" style="79" customWidth="1"/>
    <col min="15631" max="15631" width="13.85546875" style="79" customWidth="1"/>
    <col min="15632" max="15633" width="17.140625" style="79" customWidth="1"/>
    <col min="15634" max="15634" width="12.42578125" style="79" customWidth="1"/>
    <col min="15635" max="15635" width="12.42578125" style="79" bestFit="1" customWidth="1"/>
    <col min="15636" max="15872" width="9.140625" style="79"/>
    <col min="15873" max="15873" width="14.5703125" style="79" bestFit="1" customWidth="1"/>
    <col min="15874" max="15874" width="1.7109375" style="79" bestFit="1" customWidth="1"/>
    <col min="15875" max="15875" width="25.42578125" style="79" customWidth="1"/>
    <col min="15876" max="15876" width="18.42578125" style="79" bestFit="1" customWidth="1"/>
    <col min="15877" max="15877" width="7.42578125" style="79" bestFit="1" customWidth="1"/>
    <col min="15878" max="15878" width="20.140625" style="79" customWidth="1"/>
    <col min="15879" max="15879" width="12" style="79" customWidth="1"/>
    <col min="15880" max="15880" width="11.5703125" style="79" customWidth="1"/>
    <col min="15881" max="15883" width="14.7109375" style="79" customWidth="1"/>
    <col min="15884" max="15885" width="16.42578125" style="79" customWidth="1"/>
    <col min="15886" max="15886" width="16.5703125" style="79" customWidth="1"/>
    <col min="15887" max="15887" width="13.85546875" style="79" customWidth="1"/>
    <col min="15888" max="15889" width="17.140625" style="79" customWidth="1"/>
    <col min="15890" max="15890" width="12.42578125" style="79" customWidth="1"/>
    <col min="15891" max="15891" width="12.42578125" style="79" bestFit="1" customWidth="1"/>
    <col min="15892" max="16128" width="9.140625" style="79"/>
    <col min="16129" max="16129" width="14.5703125" style="79" bestFit="1" customWidth="1"/>
    <col min="16130" max="16130" width="1.7109375" style="79" bestFit="1" customWidth="1"/>
    <col min="16131" max="16131" width="25.42578125" style="79" customWidth="1"/>
    <col min="16132" max="16132" width="18.42578125" style="79" bestFit="1" customWidth="1"/>
    <col min="16133" max="16133" width="7.42578125" style="79" bestFit="1" customWidth="1"/>
    <col min="16134" max="16134" width="20.140625" style="79" customWidth="1"/>
    <col min="16135" max="16135" width="12" style="79" customWidth="1"/>
    <col min="16136" max="16136" width="11.5703125" style="79" customWidth="1"/>
    <col min="16137" max="16139" width="14.7109375" style="79" customWidth="1"/>
    <col min="16140" max="16141" width="16.42578125" style="79" customWidth="1"/>
    <col min="16142" max="16142" width="16.5703125" style="79" customWidth="1"/>
    <col min="16143" max="16143" width="13.85546875" style="79" customWidth="1"/>
    <col min="16144" max="16145" width="17.140625" style="79" customWidth="1"/>
    <col min="16146" max="16146" width="12.42578125" style="79" customWidth="1"/>
    <col min="16147" max="16147" width="12.42578125" style="79" bestFit="1" customWidth="1"/>
    <col min="16148" max="16384" width="9.140625" style="79"/>
  </cols>
  <sheetData>
    <row r="1" spans="1:20" x14ac:dyDescent="0.2">
      <c r="A1" s="78" t="s">
        <v>2630</v>
      </c>
      <c r="B1" s="79" t="s">
        <v>2631</v>
      </c>
      <c r="C1" s="79" t="s">
        <v>2632</v>
      </c>
    </row>
    <row r="2" spans="1:20" x14ac:dyDescent="0.2">
      <c r="A2" s="78" t="s">
        <v>2633</v>
      </c>
      <c r="B2" s="79" t="s">
        <v>2631</v>
      </c>
      <c r="C2" s="80">
        <v>44469</v>
      </c>
      <c r="D2" s="80"/>
      <c r="E2" s="80"/>
    </row>
    <row r="3" spans="1:20" x14ac:dyDescent="0.2">
      <c r="A3" s="78" t="s">
        <v>2634</v>
      </c>
      <c r="B3" s="79" t="s">
        <v>2631</v>
      </c>
      <c r="C3" s="79" t="s">
        <v>2635</v>
      </c>
    </row>
    <row r="4" spans="1:20" x14ac:dyDescent="0.2">
      <c r="A4" s="78" t="s">
        <v>2636</v>
      </c>
      <c r="B4" s="79" t="s">
        <v>2631</v>
      </c>
      <c r="C4" s="79" t="s">
        <v>2637</v>
      </c>
    </row>
    <row r="7" spans="1:20" x14ac:dyDescent="0.2">
      <c r="L7" s="81">
        <v>44287</v>
      </c>
      <c r="M7" s="81"/>
      <c r="N7" s="81"/>
    </row>
    <row r="8" spans="1:20" ht="38.25" x14ac:dyDescent="0.2">
      <c r="C8" s="82" t="s">
        <v>2638</v>
      </c>
      <c r="D8" s="83" t="s">
        <v>2472</v>
      </c>
      <c r="E8" s="84" t="s">
        <v>2639</v>
      </c>
      <c r="F8" s="85" t="s">
        <v>2655</v>
      </c>
      <c r="G8" s="85" t="s">
        <v>29</v>
      </c>
      <c r="H8" s="85" t="s">
        <v>33</v>
      </c>
      <c r="I8" s="85" t="s">
        <v>2640</v>
      </c>
      <c r="J8" s="85" t="s">
        <v>2656</v>
      </c>
      <c r="K8" s="85" t="s">
        <v>2657</v>
      </c>
      <c r="L8" s="85" t="s">
        <v>2641</v>
      </c>
      <c r="M8" s="86" t="s">
        <v>2642</v>
      </c>
      <c r="N8" s="86" t="s">
        <v>2644</v>
      </c>
      <c r="O8" s="86" t="s">
        <v>2645</v>
      </c>
      <c r="P8" s="85" t="s">
        <v>2658</v>
      </c>
      <c r="Q8" s="86" t="s">
        <v>2659</v>
      </c>
      <c r="R8" s="86" t="s">
        <v>2660</v>
      </c>
      <c r="S8" s="85" t="s">
        <v>2661</v>
      </c>
    </row>
    <row r="9" spans="1:20" x14ac:dyDescent="0.2">
      <c r="C9" s="87"/>
      <c r="D9" s="88"/>
      <c r="E9" s="89"/>
      <c r="F9" s="89"/>
      <c r="G9" s="89"/>
      <c r="H9" s="89"/>
      <c r="I9" s="89"/>
      <c r="J9" s="89"/>
      <c r="K9" s="89"/>
      <c r="L9" s="89"/>
      <c r="M9" s="88"/>
      <c r="N9" s="88"/>
      <c r="O9" s="88"/>
      <c r="P9" s="89"/>
      <c r="Q9" s="88"/>
      <c r="R9" s="88"/>
      <c r="S9" s="89"/>
    </row>
    <row r="10" spans="1:20" s="128" customFormat="1" ht="25.5" x14ac:dyDescent="0.25">
      <c r="A10" s="104"/>
      <c r="B10" s="104"/>
      <c r="C10" s="124" t="s">
        <v>2662</v>
      </c>
      <c r="D10" s="92" t="s">
        <v>500</v>
      </c>
      <c r="E10" s="93" t="s">
        <v>2648</v>
      </c>
      <c r="F10" s="54">
        <v>44454</v>
      </c>
      <c r="G10" s="100">
        <v>151071.63</v>
      </c>
      <c r="H10" s="95">
        <f t="shared" ref="H10:H48" si="0">G10*5%</f>
        <v>7553.5815000000002</v>
      </c>
      <c r="I10" s="95">
        <f t="shared" ref="I10:I48" si="1">G10-H10</f>
        <v>143518.0485</v>
      </c>
      <c r="J10" s="95">
        <v>2085</v>
      </c>
      <c r="K10" s="95">
        <f>G10-J10</f>
        <v>148986.63</v>
      </c>
      <c r="L10" s="97">
        <v>25</v>
      </c>
      <c r="M10" s="98">
        <f>I10/L10</f>
        <v>5740.7219400000004</v>
      </c>
      <c r="N10" s="125">
        <f>(F10-$L$7-1)/365</f>
        <v>0.45479452054794522</v>
      </c>
      <c r="O10" s="126">
        <f>M10*N10+146376</f>
        <v>148986.84888230136</v>
      </c>
      <c r="P10" s="95">
        <f>K10-O10</f>
        <v>-0.21888230135664344</v>
      </c>
      <c r="Q10" s="127">
        <v>0</v>
      </c>
      <c r="R10" s="92" t="s">
        <v>2663</v>
      </c>
      <c r="S10" s="100">
        <f>IF(R10="Loss",P10-Q10,Q10-P10)</f>
        <v>0.21888230135664344</v>
      </c>
    </row>
    <row r="11" spans="1:20" s="128" customFormat="1" ht="25.5" x14ac:dyDescent="0.25">
      <c r="A11" s="104"/>
      <c r="B11" s="104"/>
      <c r="C11" s="91" t="s">
        <v>2664</v>
      </c>
      <c r="D11" s="92" t="s">
        <v>500</v>
      </c>
      <c r="E11" s="93" t="s">
        <v>2648</v>
      </c>
      <c r="F11" s="54">
        <v>44454</v>
      </c>
      <c r="G11" s="100">
        <v>7655.39</v>
      </c>
      <c r="H11" s="95">
        <f t="shared" si="0"/>
        <v>382.76950000000005</v>
      </c>
      <c r="I11" s="95">
        <f t="shared" si="1"/>
        <v>7272.6205</v>
      </c>
      <c r="J11" s="95">
        <v>4914</v>
      </c>
      <c r="K11" s="95">
        <f>G11-J11</f>
        <v>2741.3900000000003</v>
      </c>
      <c r="L11" s="97">
        <v>25</v>
      </c>
      <c r="M11" s="98">
        <f t="shared" ref="M11:M48" si="2">I11/L11</f>
        <v>290.90481999999997</v>
      </c>
      <c r="N11" s="125">
        <f t="shared" ref="N11:N48" si="3">(F11-$L$7-1)/365</f>
        <v>0.45479452054794522</v>
      </c>
      <c r="O11" s="126">
        <f>M11*N11+2609.39</f>
        <v>2741.6919181369863</v>
      </c>
      <c r="P11" s="95">
        <f>K11-O11</f>
        <v>-0.30191813698593251</v>
      </c>
      <c r="Q11" s="127"/>
      <c r="R11" s="92" t="s">
        <v>2663</v>
      </c>
      <c r="S11" s="100">
        <f t="shared" ref="S11:S48" si="4">IF(R11="Loss",P11-Q11,Q11-P11)</f>
        <v>0.30191813698593251</v>
      </c>
    </row>
    <row r="12" spans="1:20" s="128" customFormat="1" x14ac:dyDescent="0.25">
      <c r="A12" s="104"/>
      <c r="B12" s="96"/>
      <c r="C12" s="129"/>
      <c r="D12" s="92" t="s">
        <v>500</v>
      </c>
      <c r="E12" s="93" t="s">
        <v>2648</v>
      </c>
      <c r="F12" s="54"/>
      <c r="G12" s="130"/>
      <c r="H12" s="95">
        <f t="shared" si="0"/>
        <v>0</v>
      </c>
      <c r="I12" s="95">
        <f t="shared" si="1"/>
        <v>0</v>
      </c>
      <c r="J12" s="95"/>
      <c r="K12" s="95"/>
      <c r="L12" s="97"/>
      <c r="M12" s="98" t="e">
        <f t="shared" si="2"/>
        <v>#DIV/0!</v>
      </c>
      <c r="N12" s="125">
        <f t="shared" si="3"/>
        <v>-121.33698630136986</v>
      </c>
      <c r="O12" s="126"/>
      <c r="P12" s="95">
        <f t="shared" ref="P12:P48" si="5">G12-O12</f>
        <v>0</v>
      </c>
      <c r="Q12" s="127"/>
      <c r="R12" s="92" t="str">
        <f t="shared" ref="R12:R48" si="6">IF(Q12&gt;P12,"Profit","Loss")</f>
        <v>Loss</v>
      </c>
      <c r="S12" s="100">
        <f t="shared" si="4"/>
        <v>0</v>
      </c>
    </row>
    <row r="13" spans="1:20" s="128" customFormat="1" x14ac:dyDescent="0.25">
      <c r="A13" s="104"/>
      <c r="B13" s="96"/>
      <c r="C13" s="129" t="s">
        <v>2665</v>
      </c>
      <c r="D13" s="92" t="s">
        <v>500</v>
      </c>
      <c r="E13" s="93" t="s">
        <v>2666</v>
      </c>
      <c r="F13" s="54">
        <v>44427</v>
      </c>
      <c r="G13" s="100">
        <v>1380389</v>
      </c>
      <c r="H13" s="95">
        <f t="shared" si="0"/>
        <v>69019.45</v>
      </c>
      <c r="I13" s="95">
        <f t="shared" si="1"/>
        <v>1311369.55</v>
      </c>
      <c r="J13" s="95">
        <v>230082</v>
      </c>
      <c r="K13" s="95">
        <f>G13-J13</f>
        <v>1150307</v>
      </c>
      <c r="L13" s="97">
        <v>25</v>
      </c>
      <c r="M13" s="98">
        <f>I13/L13</f>
        <v>52454.781999999999</v>
      </c>
      <c r="N13" s="125">
        <f>(F13-$L$7-1)/365</f>
        <v>0.38082191780821917</v>
      </c>
      <c r="O13" s="126">
        <f>M13*N13</f>
        <v>19975.930679452053</v>
      </c>
      <c r="P13" s="95">
        <f>K13-O13</f>
        <v>1130331.0693205479</v>
      </c>
      <c r="Q13" s="127">
        <v>1380389</v>
      </c>
      <c r="R13" s="92" t="str">
        <f t="shared" si="6"/>
        <v>Profit</v>
      </c>
      <c r="S13" s="100">
        <f>IF(R13="Loss",P13-Q13,Q13-P13)</f>
        <v>250057.93067945214</v>
      </c>
    </row>
    <row r="14" spans="1:20" s="128" customFormat="1" ht="51" x14ac:dyDescent="0.25">
      <c r="A14" s="104"/>
      <c r="B14" s="96"/>
      <c r="C14" s="129" t="s">
        <v>2667</v>
      </c>
      <c r="D14" s="93" t="s">
        <v>1162</v>
      </c>
      <c r="E14" s="93" t="s">
        <v>2648</v>
      </c>
      <c r="F14" s="54">
        <v>44288</v>
      </c>
      <c r="G14" s="131">
        <v>501820</v>
      </c>
      <c r="H14" s="95">
        <f t="shared" si="0"/>
        <v>25091</v>
      </c>
      <c r="I14" s="95">
        <f t="shared" si="1"/>
        <v>476729</v>
      </c>
      <c r="J14" s="95">
        <v>476729</v>
      </c>
      <c r="K14" s="95">
        <f>G14-J14</f>
        <v>25091</v>
      </c>
      <c r="L14" s="97">
        <v>8</v>
      </c>
      <c r="M14" s="98">
        <f t="shared" si="2"/>
        <v>59591.125</v>
      </c>
      <c r="N14" s="125">
        <f t="shared" si="3"/>
        <v>0</v>
      </c>
      <c r="O14" s="126">
        <v>0</v>
      </c>
      <c r="P14" s="95">
        <f>K14-O14</f>
        <v>25091</v>
      </c>
      <c r="Q14" s="127">
        <v>88102.03</v>
      </c>
      <c r="R14" s="92" t="str">
        <f t="shared" si="6"/>
        <v>Profit</v>
      </c>
      <c r="S14" s="100">
        <f>IF(R14="Loss",P14-Q14,Q14-P14)</f>
        <v>63011.03</v>
      </c>
      <c r="T14" s="128" t="s">
        <v>2668</v>
      </c>
    </row>
    <row r="15" spans="1:20" s="128" customFormat="1" x14ac:dyDescent="0.2">
      <c r="A15" s="104"/>
      <c r="B15" s="96"/>
      <c r="C15" s="105" t="s">
        <v>2669</v>
      </c>
      <c r="D15" s="103" t="s">
        <v>1200</v>
      </c>
      <c r="E15" s="93" t="s">
        <v>2648</v>
      </c>
      <c r="F15" s="54">
        <v>44377</v>
      </c>
      <c r="G15" s="131">
        <v>106500</v>
      </c>
      <c r="H15" s="95">
        <f t="shared" si="0"/>
        <v>5325</v>
      </c>
      <c r="I15" s="95">
        <f t="shared" si="1"/>
        <v>101175</v>
      </c>
      <c r="J15" s="95">
        <f>73958-O15</f>
        <v>65734.643835616444</v>
      </c>
      <c r="K15" s="95">
        <f>G15-J15</f>
        <v>40765.356164383556</v>
      </c>
      <c r="L15" s="97">
        <v>3</v>
      </c>
      <c r="M15" s="98">
        <f t="shared" si="2"/>
        <v>33725</v>
      </c>
      <c r="N15" s="125">
        <f t="shared" si="3"/>
        <v>0.24383561643835616</v>
      </c>
      <c r="O15" s="126">
        <f>M15*N15</f>
        <v>8223.3561643835619</v>
      </c>
      <c r="P15" s="95">
        <f>K15-O15</f>
        <v>32541.999999999993</v>
      </c>
      <c r="Q15" s="127">
        <v>45000</v>
      </c>
      <c r="R15" s="92" t="str">
        <f t="shared" si="6"/>
        <v>Profit</v>
      </c>
      <c r="S15" s="100">
        <f>IF(R15="Loss",P15-Q15,Q15-P15)</f>
        <v>12458.000000000007</v>
      </c>
    </row>
    <row r="16" spans="1:20" s="104" customFormat="1" x14ac:dyDescent="0.2">
      <c r="B16" s="96"/>
      <c r="C16" s="105" t="s">
        <v>2670</v>
      </c>
      <c r="D16" s="103" t="s">
        <v>1200</v>
      </c>
      <c r="E16" s="93" t="s">
        <v>2648</v>
      </c>
      <c r="F16" s="54">
        <v>44377</v>
      </c>
      <c r="G16" s="107">
        <v>57810</v>
      </c>
      <c r="H16" s="95">
        <f t="shared" si="0"/>
        <v>2890.5</v>
      </c>
      <c r="I16" s="95">
        <f t="shared" si="1"/>
        <v>54919.5</v>
      </c>
      <c r="J16" s="95">
        <f>38540-O16</f>
        <v>34076.223287671237</v>
      </c>
      <c r="K16" s="95">
        <f>G16-J16</f>
        <v>23733.776712328763</v>
      </c>
      <c r="L16" s="96">
        <v>3</v>
      </c>
      <c r="M16" s="98">
        <f t="shared" si="2"/>
        <v>18306.5</v>
      </c>
      <c r="N16" s="125">
        <f t="shared" si="3"/>
        <v>0.24383561643835616</v>
      </c>
      <c r="O16" s="126">
        <f>M16*N16</f>
        <v>4463.7767123287667</v>
      </c>
      <c r="P16" s="95">
        <f>K16-O16</f>
        <v>19269.999999999996</v>
      </c>
      <c r="Q16" s="127">
        <v>24769</v>
      </c>
      <c r="R16" s="92" t="str">
        <f t="shared" si="6"/>
        <v>Profit</v>
      </c>
      <c r="S16" s="100">
        <f t="shared" si="4"/>
        <v>5499.0000000000036</v>
      </c>
    </row>
    <row r="17" spans="3:36" s="104" customFormat="1" x14ac:dyDescent="0.2">
      <c r="C17" s="105"/>
      <c r="D17" s="103" t="s">
        <v>1200</v>
      </c>
      <c r="E17" s="93" t="s">
        <v>2648</v>
      </c>
      <c r="F17" s="54"/>
      <c r="G17" s="107"/>
      <c r="H17" s="95">
        <f t="shared" si="0"/>
        <v>0</v>
      </c>
      <c r="I17" s="95">
        <f t="shared" si="1"/>
        <v>0</v>
      </c>
      <c r="J17" s="95">
        <v>0</v>
      </c>
      <c r="K17" s="95">
        <f>G17-J17</f>
        <v>0</v>
      </c>
      <c r="L17" s="96"/>
      <c r="M17" s="98" t="e">
        <f t="shared" si="2"/>
        <v>#DIV/0!</v>
      </c>
      <c r="N17" s="125">
        <f t="shared" si="3"/>
        <v>-121.33698630136986</v>
      </c>
      <c r="O17" s="126" t="e">
        <f t="shared" ref="O17:O48" si="7">M17*N17</f>
        <v>#DIV/0!</v>
      </c>
      <c r="P17" s="95" t="e">
        <f>G17-O17-J17</f>
        <v>#DIV/0!</v>
      </c>
      <c r="Q17" s="127"/>
      <c r="R17" s="92" t="e">
        <f t="shared" si="6"/>
        <v>#DIV/0!</v>
      </c>
      <c r="S17" s="132" t="e">
        <f t="shared" si="4"/>
        <v>#DIV/0!</v>
      </c>
      <c r="U17" s="104" t="s">
        <v>1162</v>
      </c>
      <c r="V17" s="104" t="s">
        <v>2648</v>
      </c>
      <c r="W17" s="104">
        <v>43840</v>
      </c>
      <c r="X17" s="104">
        <v>853153</v>
      </c>
      <c r="Y17" s="104">
        <v>42657.65</v>
      </c>
      <c r="Z17" s="104">
        <v>810495.35</v>
      </c>
      <c r="AA17" s="104">
        <v>642290</v>
      </c>
      <c r="AB17" s="104">
        <v>210863</v>
      </c>
      <c r="AC17" s="104">
        <v>8</v>
      </c>
      <c r="AD17" s="104">
        <v>101311.91875</v>
      </c>
      <c r="AE17" s="104">
        <v>0.77534246575342469</v>
      </c>
      <c r="AF17" s="104">
        <v>78551.432893835619</v>
      </c>
      <c r="AG17" s="104">
        <v>132311.56710616441</v>
      </c>
      <c r="AH17" s="104">
        <v>125860.04</v>
      </c>
      <c r="AI17" s="104" t="s">
        <v>2671</v>
      </c>
      <c r="AJ17" s="104">
        <v>6451.5271061644162</v>
      </c>
    </row>
    <row r="18" spans="3:36" s="104" customFormat="1" x14ac:dyDescent="0.25">
      <c r="C18" s="105"/>
      <c r="D18" s="106"/>
      <c r="E18" s="93"/>
      <c r="F18" s="54"/>
      <c r="G18" s="107"/>
      <c r="H18" s="95">
        <f t="shared" si="0"/>
        <v>0</v>
      </c>
      <c r="I18" s="95">
        <f t="shared" si="1"/>
        <v>0</v>
      </c>
      <c r="J18" s="95"/>
      <c r="K18" s="95"/>
      <c r="L18" s="96"/>
      <c r="M18" s="98" t="e">
        <f t="shared" si="2"/>
        <v>#DIV/0!</v>
      </c>
      <c r="N18" s="125">
        <f t="shared" si="3"/>
        <v>-121.33698630136986</v>
      </c>
      <c r="O18" s="126" t="e">
        <f t="shared" si="7"/>
        <v>#DIV/0!</v>
      </c>
      <c r="P18" s="95" t="e">
        <f t="shared" si="5"/>
        <v>#DIV/0!</v>
      </c>
      <c r="Q18" s="127"/>
      <c r="R18" s="92" t="e">
        <f t="shared" si="6"/>
        <v>#DIV/0!</v>
      </c>
      <c r="S18" s="100" t="e">
        <f t="shared" si="4"/>
        <v>#DIV/0!</v>
      </c>
    </row>
    <row r="19" spans="3:36" s="104" customFormat="1" hidden="1" x14ac:dyDescent="0.25">
      <c r="C19" s="105"/>
      <c r="D19" s="106"/>
      <c r="E19" s="93"/>
      <c r="F19" s="54"/>
      <c r="G19" s="107"/>
      <c r="H19" s="95">
        <f t="shared" si="0"/>
        <v>0</v>
      </c>
      <c r="I19" s="95">
        <f t="shared" si="1"/>
        <v>0</v>
      </c>
      <c r="J19" s="95"/>
      <c r="K19" s="95"/>
      <c r="L19" s="96"/>
      <c r="M19" s="98" t="e">
        <f t="shared" si="2"/>
        <v>#DIV/0!</v>
      </c>
      <c r="N19" s="125">
        <f t="shared" si="3"/>
        <v>-121.33698630136986</v>
      </c>
      <c r="O19" s="126" t="e">
        <f t="shared" si="7"/>
        <v>#DIV/0!</v>
      </c>
      <c r="P19" s="95" t="e">
        <f t="shared" si="5"/>
        <v>#DIV/0!</v>
      </c>
      <c r="Q19" s="127"/>
      <c r="R19" s="92" t="e">
        <f t="shared" si="6"/>
        <v>#DIV/0!</v>
      </c>
      <c r="S19" s="100" t="e">
        <f t="shared" si="4"/>
        <v>#DIV/0!</v>
      </c>
    </row>
    <row r="20" spans="3:36" s="104" customFormat="1" hidden="1" x14ac:dyDescent="0.25">
      <c r="C20" s="105"/>
      <c r="D20" s="106"/>
      <c r="E20" s="93"/>
      <c r="F20" s="54"/>
      <c r="G20" s="107"/>
      <c r="H20" s="95">
        <f t="shared" si="0"/>
        <v>0</v>
      </c>
      <c r="I20" s="95">
        <f t="shared" si="1"/>
        <v>0</v>
      </c>
      <c r="J20" s="95"/>
      <c r="K20" s="95"/>
      <c r="L20" s="96"/>
      <c r="M20" s="98" t="e">
        <f t="shared" si="2"/>
        <v>#DIV/0!</v>
      </c>
      <c r="N20" s="125">
        <f t="shared" si="3"/>
        <v>-121.33698630136986</v>
      </c>
      <c r="O20" s="126" t="e">
        <f t="shared" si="7"/>
        <v>#DIV/0!</v>
      </c>
      <c r="P20" s="95" t="e">
        <f t="shared" si="5"/>
        <v>#DIV/0!</v>
      </c>
      <c r="Q20" s="127"/>
      <c r="R20" s="92" t="e">
        <f t="shared" si="6"/>
        <v>#DIV/0!</v>
      </c>
      <c r="S20" s="100" t="e">
        <f t="shared" si="4"/>
        <v>#DIV/0!</v>
      </c>
    </row>
    <row r="21" spans="3:36" s="104" customFormat="1" hidden="1" x14ac:dyDescent="0.25">
      <c r="C21" s="105"/>
      <c r="D21" s="106"/>
      <c r="E21" s="93"/>
      <c r="F21" s="54"/>
      <c r="G21" s="107"/>
      <c r="H21" s="95">
        <f t="shared" si="0"/>
        <v>0</v>
      </c>
      <c r="I21" s="95">
        <f t="shared" si="1"/>
        <v>0</v>
      </c>
      <c r="J21" s="95"/>
      <c r="K21" s="95"/>
      <c r="L21" s="96"/>
      <c r="M21" s="98" t="e">
        <f t="shared" si="2"/>
        <v>#DIV/0!</v>
      </c>
      <c r="N21" s="125">
        <f t="shared" si="3"/>
        <v>-121.33698630136986</v>
      </c>
      <c r="O21" s="126" t="e">
        <f t="shared" si="7"/>
        <v>#DIV/0!</v>
      </c>
      <c r="P21" s="95" t="e">
        <f t="shared" si="5"/>
        <v>#DIV/0!</v>
      </c>
      <c r="Q21" s="127"/>
      <c r="R21" s="92" t="e">
        <f t="shared" si="6"/>
        <v>#DIV/0!</v>
      </c>
      <c r="S21" s="100" t="e">
        <f t="shared" si="4"/>
        <v>#DIV/0!</v>
      </c>
    </row>
    <row r="22" spans="3:36" s="104" customFormat="1" hidden="1" x14ac:dyDescent="0.25">
      <c r="C22" s="105"/>
      <c r="D22" s="106"/>
      <c r="E22" s="93"/>
      <c r="F22" s="54"/>
      <c r="G22" s="107"/>
      <c r="H22" s="95">
        <f t="shared" si="0"/>
        <v>0</v>
      </c>
      <c r="I22" s="95">
        <f t="shared" si="1"/>
        <v>0</v>
      </c>
      <c r="J22" s="95"/>
      <c r="K22" s="95"/>
      <c r="L22" s="96"/>
      <c r="M22" s="98" t="e">
        <f t="shared" si="2"/>
        <v>#DIV/0!</v>
      </c>
      <c r="N22" s="125">
        <f t="shared" si="3"/>
        <v>-121.33698630136986</v>
      </c>
      <c r="O22" s="126" t="e">
        <f t="shared" si="7"/>
        <v>#DIV/0!</v>
      </c>
      <c r="P22" s="95" t="e">
        <f t="shared" si="5"/>
        <v>#DIV/0!</v>
      </c>
      <c r="Q22" s="127"/>
      <c r="R22" s="92" t="e">
        <f t="shared" si="6"/>
        <v>#DIV/0!</v>
      </c>
      <c r="S22" s="100" t="e">
        <f t="shared" si="4"/>
        <v>#DIV/0!</v>
      </c>
    </row>
    <row r="23" spans="3:36" s="104" customFormat="1" hidden="1" x14ac:dyDescent="0.25">
      <c r="C23" s="105"/>
      <c r="D23" s="106"/>
      <c r="E23" s="93"/>
      <c r="F23" s="54"/>
      <c r="G23" s="107"/>
      <c r="H23" s="95">
        <f t="shared" si="0"/>
        <v>0</v>
      </c>
      <c r="I23" s="95">
        <f t="shared" si="1"/>
        <v>0</v>
      </c>
      <c r="J23" s="95"/>
      <c r="K23" s="95"/>
      <c r="L23" s="96"/>
      <c r="M23" s="98" t="e">
        <f t="shared" si="2"/>
        <v>#DIV/0!</v>
      </c>
      <c r="N23" s="125">
        <f t="shared" si="3"/>
        <v>-121.33698630136986</v>
      </c>
      <c r="O23" s="126" t="e">
        <f t="shared" si="7"/>
        <v>#DIV/0!</v>
      </c>
      <c r="P23" s="95" t="e">
        <f t="shared" si="5"/>
        <v>#DIV/0!</v>
      </c>
      <c r="Q23" s="127"/>
      <c r="R23" s="92" t="e">
        <f t="shared" si="6"/>
        <v>#DIV/0!</v>
      </c>
      <c r="S23" s="100" t="e">
        <f t="shared" si="4"/>
        <v>#DIV/0!</v>
      </c>
    </row>
    <row r="24" spans="3:36" s="104" customFormat="1" hidden="1" x14ac:dyDescent="0.25">
      <c r="C24" s="105"/>
      <c r="D24" s="106"/>
      <c r="E24" s="93"/>
      <c r="F24" s="54"/>
      <c r="G24" s="107"/>
      <c r="H24" s="95">
        <f t="shared" si="0"/>
        <v>0</v>
      </c>
      <c r="I24" s="95">
        <f t="shared" si="1"/>
        <v>0</v>
      </c>
      <c r="J24" s="95"/>
      <c r="K24" s="95"/>
      <c r="L24" s="96"/>
      <c r="M24" s="98" t="e">
        <f t="shared" si="2"/>
        <v>#DIV/0!</v>
      </c>
      <c r="N24" s="125">
        <f t="shared" si="3"/>
        <v>-121.33698630136986</v>
      </c>
      <c r="O24" s="126" t="e">
        <f t="shared" si="7"/>
        <v>#DIV/0!</v>
      </c>
      <c r="P24" s="95" t="e">
        <f t="shared" si="5"/>
        <v>#DIV/0!</v>
      </c>
      <c r="Q24" s="127"/>
      <c r="R24" s="92" t="e">
        <f t="shared" si="6"/>
        <v>#DIV/0!</v>
      </c>
      <c r="S24" s="100" t="e">
        <f t="shared" si="4"/>
        <v>#DIV/0!</v>
      </c>
    </row>
    <row r="25" spans="3:36" s="104" customFormat="1" hidden="1" x14ac:dyDescent="0.25">
      <c r="C25" s="105"/>
      <c r="D25" s="106"/>
      <c r="E25" s="93"/>
      <c r="F25" s="54"/>
      <c r="G25" s="107"/>
      <c r="H25" s="95">
        <f t="shared" si="0"/>
        <v>0</v>
      </c>
      <c r="I25" s="95">
        <f t="shared" si="1"/>
        <v>0</v>
      </c>
      <c r="J25" s="95"/>
      <c r="K25" s="95"/>
      <c r="L25" s="96"/>
      <c r="M25" s="98" t="e">
        <f t="shared" si="2"/>
        <v>#DIV/0!</v>
      </c>
      <c r="N25" s="125">
        <f t="shared" si="3"/>
        <v>-121.33698630136986</v>
      </c>
      <c r="O25" s="126" t="e">
        <f t="shared" si="7"/>
        <v>#DIV/0!</v>
      </c>
      <c r="P25" s="95" t="e">
        <f t="shared" si="5"/>
        <v>#DIV/0!</v>
      </c>
      <c r="Q25" s="127"/>
      <c r="R25" s="92" t="e">
        <f t="shared" si="6"/>
        <v>#DIV/0!</v>
      </c>
      <c r="S25" s="100" t="e">
        <f t="shared" si="4"/>
        <v>#DIV/0!</v>
      </c>
    </row>
    <row r="26" spans="3:36" s="104" customFormat="1" hidden="1" x14ac:dyDescent="0.25">
      <c r="C26" s="105"/>
      <c r="D26" s="106"/>
      <c r="E26" s="93"/>
      <c r="F26" s="54"/>
      <c r="G26" s="107"/>
      <c r="H26" s="95">
        <f t="shared" si="0"/>
        <v>0</v>
      </c>
      <c r="I26" s="95">
        <f t="shared" si="1"/>
        <v>0</v>
      </c>
      <c r="J26" s="95"/>
      <c r="K26" s="95"/>
      <c r="L26" s="96"/>
      <c r="M26" s="98" t="e">
        <f t="shared" si="2"/>
        <v>#DIV/0!</v>
      </c>
      <c r="N26" s="125">
        <f t="shared" si="3"/>
        <v>-121.33698630136986</v>
      </c>
      <c r="O26" s="126" t="e">
        <f t="shared" si="7"/>
        <v>#DIV/0!</v>
      </c>
      <c r="P26" s="95" t="e">
        <f t="shared" si="5"/>
        <v>#DIV/0!</v>
      </c>
      <c r="Q26" s="127"/>
      <c r="R26" s="92" t="e">
        <f t="shared" si="6"/>
        <v>#DIV/0!</v>
      </c>
      <c r="S26" s="100" t="e">
        <f t="shared" si="4"/>
        <v>#DIV/0!</v>
      </c>
    </row>
    <row r="27" spans="3:36" s="104" customFormat="1" hidden="1" x14ac:dyDescent="0.25">
      <c r="C27" s="105"/>
      <c r="D27" s="106"/>
      <c r="E27" s="93"/>
      <c r="F27" s="54"/>
      <c r="G27" s="107"/>
      <c r="H27" s="95">
        <f t="shared" si="0"/>
        <v>0</v>
      </c>
      <c r="I27" s="95">
        <f t="shared" si="1"/>
        <v>0</v>
      </c>
      <c r="J27" s="95"/>
      <c r="K27" s="95"/>
      <c r="L27" s="96"/>
      <c r="M27" s="98" t="e">
        <f t="shared" si="2"/>
        <v>#DIV/0!</v>
      </c>
      <c r="N27" s="125">
        <f t="shared" si="3"/>
        <v>-121.33698630136986</v>
      </c>
      <c r="O27" s="126" t="e">
        <f t="shared" si="7"/>
        <v>#DIV/0!</v>
      </c>
      <c r="P27" s="95" t="e">
        <f t="shared" si="5"/>
        <v>#DIV/0!</v>
      </c>
      <c r="Q27" s="127"/>
      <c r="R27" s="92" t="e">
        <f t="shared" si="6"/>
        <v>#DIV/0!</v>
      </c>
      <c r="S27" s="100" t="e">
        <f t="shared" si="4"/>
        <v>#DIV/0!</v>
      </c>
    </row>
    <row r="28" spans="3:36" s="104" customFormat="1" hidden="1" x14ac:dyDescent="0.25">
      <c r="C28" s="105"/>
      <c r="D28" s="106"/>
      <c r="E28" s="93"/>
      <c r="F28" s="54"/>
      <c r="G28" s="107"/>
      <c r="H28" s="95">
        <f t="shared" si="0"/>
        <v>0</v>
      </c>
      <c r="I28" s="95">
        <f t="shared" si="1"/>
        <v>0</v>
      </c>
      <c r="J28" s="95"/>
      <c r="K28" s="95"/>
      <c r="L28" s="96"/>
      <c r="M28" s="98" t="e">
        <f t="shared" si="2"/>
        <v>#DIV/0!</v>
      </c>
      <c r="N28" s="125">
        <f t="shared" si="3"/>
        <v>-121.33698630136986</v>
      </c>
      <c r="O28" s="126" t="e">
        <f t="shared" si="7"/>
        <v>#DIV/0!</v>
      </c>
      <c r="P28" s="95" t="e">
        <f t="shared" si="5"/>
        <v>#DIV/0!</v>
      </c>
      <c r="Q28" s="127"/>
      <c r="R28" s="92" t="e">
        <f t="shared" si="6"/>
        <v>#DIV/0!</v>
      </c>
      <c r="S28" s="100" t="e">
        <f t="shared" si="4"/>
        <v>#DIV/0!</v>
      </c>
    </row>
    <row r="29" spans="3:36" s="104" customFormat="1" hidden="1" x14ac:dyDescent="0.25">
      <c r="C29" s="105"/>
      <c r="D29" s="106"/>
      <c r="E29" s="93"/>
      <c r="F29" s="54"/>
      <c r="G29" s="107"/>
      <c r="H29" s="95">
        <f t="shared" si="0"/>
        <v>0</v>
      </c>
      <c r="I29" s="95">
        <f t="shared" si="1"/>
        <v>0</v>
      </c>
      <c r="J29" s="95"/>
      <c r="K29" s="95"/>
      <c r="L29" s="96"/>
      <c r="M29" s="98" t="e">
        <f t="shared" si="2"/>
        <v>#DIV/0!</v>
      </c>
      <c r="N29" s="125">
        <f t="shared" si="3"/>
        <v>-121.33698630136986</v>
      </c>
      <c r="O29" s="126" t="e">
        <f t="shared" si="7"/>
        <v>#DIV/0!</v>
      </c>
      <c r="P29" s="95" t="e">
        <f t="shared" si="5"/>
        <v>#DIV/0!</v>
      </c>
      <c r="Q29" s="127"/>
      <c r="R29" s="92" t="e">
        <f t="shared" si="6"/>
        <v>#DIV/0!</v>
      </c>
      <c r="S29" s="100" t="e">
        <f t="shared" si="4"/>
        <v>#DIV/0!</v>
      </c>
    </row>
    <row r="30" spans="3:36" s="104" customFormat="1" hidden="1" x14ac:dyDescent="0.25">
      <c r="C30" s="105"/>
      <c r="D30" s="106"/>
      <c r="E30" s="93"/>
      <c r="F30" s="54"/>
      <c r="G30" s="107"/>
      <c r="H30" s="95">
        <f t="shared" si="0"/>
        <v>0</v>
      </c>
      <c r="I30" s="95">
        <f t="shared" si="1"/>
        <v>0</v>
      </c>
      <c r="J30" s="95"/>
      <c r="K30" s="95"/>
      <c r="L30" s="96"/>
      <c r="M30" s="98" t="e">
        <f t="shared" si="2"/>
        <v>#DIV/0!</v>
      </c>
      <c r="N30" s="125">
        <f t="shared" si="3"/>
        <v>-121.33698630136986</v>
      </c>
      <c r="O30" s="126" t="e">
        <f t="shared" si="7"/>
        <v>#DIV/0!</v>
      </c>
      <c r="P30" s="95" t="e">
        <f t="shared" si="5"/>
        <v>#DIV/0!</v>
      </c>
      <c r="Q30" s="127"/>
      <c r="R30" s="92" t="e">
        <f t="shared" si="6"/>
        <v>#DIV/0!</v>
      </c>
      <c r="S30" s="100" t="e">
        <f t="shared" si="4"/>
        <v>#DIV/0!</v>
      </c>
    </row>
    <row r="31" spans="3:36" s="104" customFormat="1" hidden="1" x14ac:dyDescent="0.25">
      <c r="C31" s="105"/>
      <c r="D31" s="106"/>
      <c r="E31" s="93"/>
      <c r="F31" s="54"/>
      <c r="G31" s="107"/>
      <c r="H31" s="95">
        <f t="shared" si="0"/>
        <v>0</v>
      </c>
      <c r="I31" s="95">
        <f t="shared" si="1"/>
        <v>0</v>
      </c>
      <c r="J31" s="95"/>
      <c r="K31" s="95"/>
      <c r="L31" s="96"/>
      <c r="M31" s="98" t="e">
        <f t="shared" si="2"/>
        <v>#DIV/0!</v>
      </c>
      <c r="N31" s="125">
        <f t="shared" si="3"/>
        <v>-121.33698630136986</v>
      </c>
      <c r="O31" s="126" t="e">
        <f t="shared" si="7"/>
        <v>#DIV/0!</v>
      </c>
      <c r="P31" s="95" t="e">
        <f t="shared" si="5"/>
        <v>#DIV/0!</v>
      </c>
      <c r="Q31" s="127"/>
      <c r="R31" s="92" t="e">
        <f t="shared" si="6"/>
        <v>#DIV/0!</v>
      </c>
      <c r="S31" s="100" t="e">
        <f t="shared" si="4"/>
        <v>#DIV/0!</v>
      </c>
    </row>
    <row r="32" spans="3:36" s="104" customFormat="1" hidden="1" x14ac:dyDescent="0.25">
      <c r="C32" s="105"/>
      <c r="D32" s="106"/>
      <c r="E32" s="93"/>
      <c r="F32" s="54"/>
      <c r="G32" s="107"/>
      <c r="H32" s="95">
        <f t="shared" si="0"/>
        <v>0</v>
      </c>
      <c r="I32" s="95">
        <f t="shared" si="1"/>
        <v>0</v>
      </c>
      <c r="J32" s="95"/>
      <c r="K32" s="95"/>
      <c r="L32" s="96"/>
      <c r="M32" s="98" t="e">
        <f t="shared" si="2"/>
        <v>#DIV/0!</v>
      </c>
      <c r="N32" s="125">
        <f t="shared" si="3"/>
        <v>-121.33698630136986</v>
      </c>
      <c r="O32" s="126" t="e">
        <f t="shared" si="7"/>
        <v>#DIV/0!</v>
      </c>
      <c r="P32" s="95" t="e">
        <f t="shared" si="5"/>
        <v>#DIV/0!</v>
      </c>
      <c r="Q32" s="127"/>
      <c r="R32" s="92" t="e">
        <f t="shared" si="6"/>
        <v>#DIV/0!</v>
      </c>
      <c r="S32" s="100" t="e">
        <f t="shared" si="4"/>
        <v>#DIV/0!</v>
      </c>
    </row>
    <row r="33" spans="3:19" s="104" customFormat="1" hidden="1" x14ac:dyDescent="0.25">
      <c r="C33" s="105"/>
      <c r="D33" s="106"/>
      <c r="E33" s="93"/>
      <c r="F33" s="54"/>
      <c r="G33" s="107"/>
      <c r="H33" s="95">
        <f t="shared" si="0"/>
        <v>0</v>
      </c>
      <c r="I33" s="95">
        <f t="shared" si="1"/>
        <v>0</v>
      </c>
      <c r="J33" s="95"/>
      <c r="K33" s="95"/>
      <c r="L33" s="96"/>
      <c r="M33" s="98" t="e">
        <f t="shared" si="2"/>
        <v>#DIV/0!</v>
      </c>
      <c r="N33" s="125">
        <f t="shared" si="3"/>
        <v>-121.33698630136986</v>
      </c>
      <c r="O33" s="126" t="e">
        <f t="shared" si="7"/>
        <v>#DIV/0!</v>
      </c>
      <c r="P33" s="95" t="e">
        <f t="shared" si="5"/>
        <v>#DIV/0!</v>
      </c>
      <c r="Q33" s="127"/>
      <c r="R33" s="92" t="e">
        <f t="shared" si="6"/>
        <v>#DIV/0!</v>
      </c>
      <c r="S33" s="100" t="e">
        <f t="shared" si="4"/>
        <v>#DIV/0!</v>
      </c>
    </row>
    <row r="34" spans="3:19" s="104" customFormat="1" hidden="1" x14ac:dyDescent="0.25">
      <c r="C34" s="105"/>
      <c r="D34" s="106"/>
      <c r="E34" s="93"/>
      <c r="F34" s="54"/>
      <c r="G34" s="107"/>
      <c r="H34" s="95">
        <f t="shared" si="0"/>
        <v>0</v>
      </c>
      <c r="I34" s="95">
        <f t="shared" si="1"/>
        <v>0</v>
      </c>
      <c r="J34" s="95"/>
      <c r="K34" s="95"/>
      <c r="L34" s="96"/>
      <c r="M34" s="98" t="e">
        <f t="shared" si="2"/>
        <v>#DIV/0!</v>
      </c>
      <c r="N34" s="125">
        <f t="shared" si="3"/>
        <v>-121.33698630136986</v>
      </c>
      <c r="O34" s="126" t="e">
        <f t="shared" si="7"/>
        <v>#DIV/0!</v>
      </c>
      <c r="P34" s="95" t="e">
        <f t="shared" si="5"/>
        <v>#DIV/0!</v>
      </c>
      <c r="Q34" s="127"/>
      <c r="R34" s="92" t="e">
        <f t="shared" si="6"/>
        <v>#DIV/0!</v>
      </c>
      <c r="S34" s="100" t="e">
        <f t="shared" si="4"/>
        <v>#DIV/0!</v>
      </c>
    </row>
    <row r="35" spans="3:19" s="104" customFormat="1" hidden="1" x14ac:dyDescent="0.25">
      <c r="C35" s="105"/>
      <c r="D35" s="106"/>
      <c r="E35" s="93"/>
      <c r="F35" s="54"/>
      <c r="G35" s="107"/>
      <c r="H35" s="95">
        <f t="shared" si="0"/>
        <v>0</v>
      </c>
      <c r="I35" s="95">
        <f t="shared" si="1"/>
        <v>0</v>
      </c>
      <c r="J35" s="95"/>
      <c r="K35" s="95"/>
      <c r="L35" s="96"/>
      <c r="M35" s="98" t="e">
        <f t="shared" si="2"/>
        <v>#DIV/0!</v>
      </c>
      <c r="N35" s="125">
        <f t="shared" si="3"/>
        <v>-121.33698630136986</v>
      </c>
      <c r="O35" s="126" t="e">
        <f t="shared" si="7"/>
        <v>#DIV/0!</v>
      </c>
      <c r="P35" s="95" t="e">
        <f t="shared" si="5"/>
        <v>#DIV/0!</v>
      </c>
      <c r="Q35" s="127"/>
      <c r="R35" s="92" t="e">
        <f t="shared" si="6"/>
        <v>#DIV/0!</v>
      </c>
      <c r="S35" s="100" t="e">
        <f t="shared" si="4"/>
        <v>#DIV/0!</v>
      </c>
    </row>
    <row r="36" spans="3:19" s="104" customFormat="1" hidden="1" x14ac:dyDescent="0.25">
      <c r="C36" s="105"/>
      <c r="D36" s="106"/>
      <c r="E36" s="93"/>
      <c r="F36" s="54"/>
      <c r="G36" s="107"/>
      <c r="H36" s="95">
        <f t="shared" si="0"/>
        <v>0</v>
      </c>
      <c r="I36" s="95">
        <f t="shared" si="1"/>
        <v>0</v>
      </c>
      <c r="J36" s="95"/>
      <c r="K36" s="95"/>
      <c r="L36" s="96"/>
      <c r="M36" s="98" t="e">
        <f t="shared" si="2"/>
        <v>#DIV/0!</v>
      </c>
      <c r="N36" s="125">
        <f t="shared" si="3"/>
        <v>-121.33698630136986</v>
      </c>
      <c r="O36" s="126" t="e">
        <f t="shared" si="7"/>
        <v>#DIV/0!</v>
      </c>
      <c r="P36" s="95" t="e">
        <f t="shared" si="5"/>
        <v>#DIV/0!</v>
      </c>
      <c r="Q36" s="127"/>
      <c r="R36" s="92" t="e">
        <f t="shared" si="6"/>
        <v>#DIV/0!</v>
      </c>
      <c r="S36" s="100" t="e">
        <f t="shared" si="4"/>
        <v>#DIV/0!</v>
      </c>
    </row>
    <row r="37" spans="3:19" s="104" customFormat="1" hidden="1" x14ac:dyDescent="0.25">
      <c r="C37" s="105"/>
      <c r="D37" s="106"/>
      <c r="E37" s="93"/>
      <c r="F37" s="54"/>
      <c r="G37" s="107"/>
      <c r="H37" s="95">
        <f t="shared" si="0"/>
        <v>0</v>
      </c>
      <c r="I37" s="95">
        <f t="shared" si="1"/>
        <v>0</v>
      </c>
      <c r="J37" s="95"/>
      <c r="K37" s="95"/>
      <c r="L37" s="96"/>
      <c r="M37" s="98" t="e">
        <f t="shared" si="2"/>
        <v>#DIV/0!</v>
      </c>
      <c r="N37" s="125">
        <f t="shared" si="3"/>
        <v>-121.33698630136986</v>
      </c>
      <c r="O37" s="126" t="e">
        <f t="shared" si="7"/>
        <v>#DIV/0!</v>
      </c>
      <c r="P37" s="95" t="e">
        <f t="shared" si="5"/>
        <v>#DIV/0!</v>
      </c>
      <c r="Q37" s="127"/>
      <c r="R37" s="92" t="e">
        <f t="shared" si="6"/>
        <v>#DIV/0!</v>
      </c>
      <c r="S37" s="100" t="e">
        <f t="shared" si="4"/>
        <v>#DIV/0!</v>
      </c>
    </row>
    <row r="38" spans="3:19" s="104" customFormat="1" hidden="1" x14ac:dyDescent="0.25">
      <c r="C38" s="105"/>
      <c r="D38" s="106"/>
      <c r="E38" s="93"/>
      <c r="F38" s="54"/>
      <c r="G38" s="107"/>
      <c r="H38" s="95">
        <f t="shared" si="0"/>
        <v>0</v>
      </c>
      <c r="I38" s="95">
        <f t="shared" si="1"/>
        <v>0</v>
      </c>
      <c r="J38" s="95"/>
      <c r="K38" s="95"/>
      <c r="L38" s="96"/>
      <c r="M38" s="98" t="e">
        <f t="shared" si="2"/>
        <v>#DIV/0!</v>
      </c>
      <c r="N38" s="125">
        <f t="shared" si="3"/>
        <v>-121.33698630136986</v>
      </c>
      <c r="O38" s="126" t="e">
        <f t="shared" si="7"/>
        <v>#DIV/0!</v>
      </c>
      <c r="P38" s="95" t="e">
        <f t="shared" si="5"/>
        <v>#DIV/0!</v>
      </c>
      <c r="Q38" s="127"/>
      <c r="R38" s="92" t="e">
        <f t="shared" si="6"/>
        <v>#DIV/0!</v>
      </c>
      <c r="S38" s="100" t="e">
        <f t="shared" si="4"/>
        <v>#DIV/0!</v>
      </c>
    </row>
    <row r="39" spans="3:19" s="104" customFormat="1" hidden="1" x14ac:dyDescent="0.25">
      <c r="C39" s="105"/>
      <c r="D39" s="106"/>
      <c r="E39" s="93"/>
      <c r="F39" s="54"/>
      <c r="G39" s="107"/>
      <c r="H39" s="95">
        <f t="shared" si="0"/>
        <v>0</v>
      </c>
      <c r="I39" s="95">
        <f t="shared" si="1"/>
        <v>0</v>
      </c>
      <c r="J39" s="95"/>
      <c r="K39" s="95"/>
      <c r="L39" s="96"/>
      <c r="M39" s="98" t="e">
        <f t="shared" si="2"/>
        <v>#DIV/0!</v>
      </c>
      <c r="N39" s="125">
        <f t="shared" si="3"/>
        <v>-121.33698630136986</v>
      </c>
      <c r="O39" s="126" t="e">
        <f t="shared" si="7"/>
        <v>#DIV/0!</v>
      </c>
      <c r="P39" s="95" t="e">
        <f t="shared" si="5"/>
        <v>#DIV/0!</v>
      </c>
      <c r="Q39" s="127"/>
      <c r="R39" s="92" t="e">
        <f t="shared" si="6"/>
        <v>#DIV/0!</v>
      </c>
      <c r="S39" s="100" t="e">
        <f t="shared" si="4"/>
        <v>#DIV/0!</v>
      </c>
    </row>
    <row r="40" spans="3:19" s="104" customFormat="1" hidden="1" x14ac:dyDescent="0.25">
      <c r="C40" s="105"/>
      <c r="D40" s="106"/>
      <c r="E40" s="93"/>
      <c r="F40" s="54"/>
      <c r="G40" s="107"/>
      <c r="H40" s="95">
        <f t="shared" si="0"/>
        <v>0</v>
      </c>
      <c r="I40" s="95">
        <f t="shared" si="1"/>
        <v>0</v>
      </c>
      <c r="J40" s="95"/>
      <c r="K40" s="95"/>
      <c r="L40" s="96"/>
      <c r="M40" s="98" t="e">
        <f t="shared" si="2"/>
        <v>#DIV/0!</v>
      </c>
      <c r="N40" s="125">
        <f t="shared" si="3"/>
        <v>-121.33698630136986</v>
      </c>
      <c r="O40" s="126" t="e">
        <f t="shared" si="7"/>
        <v>#DIV/0!</v>
      </c>
      <c r="P40" s="95" t="e">
        <f t="shared" si="5"/>
        <v>#DIV/0!</v>
      </c>
      <c r="Q40" s="127"/>
      <c r="R40" s="92" t="e">
        <f t="shared" si="6"/>
        <v>#DIV/0!</v>
      </c>
      <c r="S40" s="100" t="e">
        <f t="shared" si="4"/>
        <v>#DIV/0!</v>
      </c>
    </row>
    <row r="41" spans="3:19" s="104" customFormat="1" hidden="1" x14ac:dyDescent="0.25">
      <c r="C41" s="105"/>
      <c r="D41" s="106"/>
      <c r="E41" s="93"/>
      <c r="F41" s="54"/>
      <c r="G41" s="107"/>
      <c r="H41" s="95">
        <f t="shared" si="0"/>
        <v>0</v>
      </c>
      <c r="I41" s="95">
        <f t="shared" si="1"/>
        <v>0</v>
      </c>
      <c r="J41" s="95"/>
      <c r="K41" s="95"/>
      <c r="L41" s="96"/>
      <c r="M41" s="98" t="e">
        <f t="shared" si="2"/>
        <v>#DIV/0!</v>
      </c>
      <c r="N41" s="125">
        <f t="shared" si="3"/>
        <v>-121.33698630136986</v>
      </c>
      <c r="O41" s="126" t="e">
        <f t="shared" si="7"/>
        <v>#DIV/0!</v>
      </c>
      <c r="P41" s="95" t="e">
        <f t="shared" si="5"/>
        <v>#DIV/0!</v>
      </c>
      <c r="Q41" s="127"/>
      <c r="R41" s="92" t="e">
        <f t="shared" si="6"/>
        <v>#DIV/0!</v>
      </c>
      <c r="S41" s="100" t="e">
        <f t="shared" si="4"/>
        <v>#DIV/0!</v>
      </c>
    </row>
    <row r="42" spans="3:19" s="104" customFormat="1" hidden="1" x14ac:dyDescent="0.25">
      <c r="C42" s="105"/>
      <c r="D42" s="106"/>
      <c r="E42" s="93"/>
      <c r="F42" s="54"/>
      <c r="G42" s="107"/>
      <c r="H42" s="95">
        <f t="shared" si="0"/>
        <v>0</v>
      </c>
      <c r="I42" s="95">
        <f t="shared" si="1"/>
        <v>0</v>
      </c>
      <c r="J42" s="95"/>
      <c r="K42" s="95"/>
      <c r="L42" s="96"/>
      <c r="M42" s="98" t="e">
        <f t="shared" si="2"/>
        <v>#DIV/0!</v>
      </c>
      <c r="N42" s="125">
        <f t="shared" si="3"/>
        <v>-121.33698630136986</v>
      </c>
      <c r="O42" s="126" t="e">
        <f t="shared" si="7"/>
        <v>#DIV/0!</v>
      </c>
      <c r="P42" s="95" t="e">
        <f t="shared" si="5"/>
        <v>#DIV/0!</v>
      </c>
      <c r="Q42" s="127"/>
      <c r="R42" s="92" t="e">
        <f t="shared" si="6"/>
        <v>#DIV/0!</v>
      </c>
      <c r="S42" s="100" t="e">
        <f t="shared" si="4"/>
        <v>#DIV/0!</v>
      </c>
    </row>
    <row r="43" spans="3:19" s="104" customFormat="1" hidden="1" x14ac:dyDescent="0.25">
      <c r="C43" s="105"/>
      <c r="D43" s="106"/>
      <c r="E43" s="93"/>
      <c r="F43" s="54"/>
      <c r="G43" s="107"/>
      <c r="H43" s="95">
        <f t="shared" si="0"/>
        <v>0</v>
      </c>
      <c r="I43" s="95">
        <f t="shared" si="1"/>
        <v>0</v>
      </c>
      <c r="J43" s="95"/>
      <c r="K43" s="95"/>
      <c r="L43" s="96"/>
      <c r="M43" s="98" t="e">
        <f t="shared" si="2"/>
        <v>#DIV/0!</v>
      </c>
      <c r="N43" s="125">
        <f t="shared" si="3"/>
        <v>-121.33698630136986</v>
      </c>
      <c r="O43" s="126" t="e">
        <f t="shared" si="7"/>
        <v>#DIV/0!</v>
      </c>
      <c r="P43" s="95" t="e">
        <f t="shared" si="5"/>
        <v>#DIV/0!</v>
      </c>
      <c r="Q43" s="127"/>
      <c r="R43" s="92" t="e">
        <f t="shared" si="6"/>
        <v>#DIV/0!</v>
      </c>
      <c r="S43" s="100" t="e">
        <f t="shared" si="4"/>
        <v>#DIV/0!</v>
      </c>
    </row>
    <row r="44" spans="3:19" hidden="1" x14ac:dyDescent="0.2">
      <c r="C44" s="87"/>
      <c r="D44" s="106"/>
      <c r="E44" s="93"/>
      <c r="F44" s="54"/>
      <c r="G44" s="107"/>
      <c r="H44" s="95">
        <f t="shared" si="0"/>
        <v>0</v>
      </c>
      <c r="I44" s="95">
        <f t="shared" si="1"/>
        <v>0</v>
      </c>
      <c r="J44" s="95"/>
      <c r="K44" s="95"/>
      <c r="L44" s="96"/>
      <c r="M44" s="98" t="e">
        <f t="shared" si="2"/>
        <v>#DIV/0!</v>
      </c>
      <c r="N44" s="125">
        <f t="shared" si="3"/>
        <v>-121.33698630136986</v>
      </c>
      <c r="O44" s="126" t="e">
        <f t="shared" si="7"/>
        <v>#DIV/0!</v>
      </c>
      <c r="P44" s="95" t="e">
        <f t="shared" si="5"/>
        <v>#DIV/0!</v>
      </c>
      <c r="Q44" s="127"/>
      <c r="R44" s="92" t="e">
        <f t="shared" si="6"/>
        <v>#DIV/0!</v>
      </c>
      <c r="S44" s="100" t="e">
        <f t="shared" si="4"/>
        <v>#DIV/0!</v>
      </c>
    </row>
    <row r="45" spans="3:19" hidden="1" x14ac:dyDescent="0.2">
      <c r="C45" s="87"/>
      <c r="D45" s="106"/>
      <c r="E45" s="93"/>
      <c r="F45" s="54"/>
      <c r="G45" s="107"/>
      <c r="H45" s="95">
        <f t="shared" si="0"/>
        <v>0</v>
      </c>
      <c r="I45" s="95">
        <f t="shared" si="1"/>
        <v>0</v>
      </c>
      <c r="J45" s="95"/>
      <c r="K45" s="95"/>
      <c r="L45" s="96"/>
      <c r="M45" s="98" t="e">
        <f t="shared" si="2"/>
        <v>#DIV/0!</v>
      </c>
      <c r="N45" s="125">
        <f t="shared" si="3"/>
        <v>-121.33698630136986</v>
      </c>
      <c r="O45" s="126" t="e">
        <f t="shared" si="7"/>
        <v>#DIV/0!</v>
      </c>
      <c r="P45" s="95" t="e">
        <f t="shared" si="5"/>
        <v>#DIV/0!</v>
      </c>
      <c r="Q45" s="127"/>
      <c r="R45" s="92" t="e">
        <f t="shared" si="6"/>
        <v>#DIV/0!</v>
      </c>
      <c r="S45" s="100" t="e">
        <f t="shared" si="4"/>
        <v>#DIV/0!</v>
      </c>
    </row>
    <row r="46" spans="3:19" hidden="1" x14ac:dyDescent="0.2">
      <c r="C46" s="87"/>
      <c r="D46" s="106"/>
      <c r="E46" s="93"/>
      <c r="F46" s="54"/>
      <c r="G46" s="107"/>
      <c r="H46" s="95">
        <f t="shared" si="0"/>
        <v>0</v>
      </c>
      <c r="I46" s="95">
        <f t="shared" si="1"/>
        <v>0</v>
      </c>
      <c r="J46" s="95"/>
      <c r="K46" s="95"/>
      <c r="L46" s="96"/>
      <c r="M46" s="98" t="e">
        <f t="shared" si="2"/>
        <v>#DIV/0!</v>
      </c>
      <c r="N46" s="125">
        <f t="shared" si="3"/>
        <v>-121.33698630136986</v>
      </c>
      <c r="O46" s="126" t="e">
        <f t="shared" si="7"/>
        <v>#DIV/0!</v>
      </c>
      <c r="P46" s="95" t="e">
        <f t="shared" si="5"/>
        <v>#DIV/0!</v>
      </c>
      <c r="Q46" s="127"/>
      <c r="R46" s="92" t="e">
        <f t="shared" si="6"/>
        <v>#DIV/0!</v>
      </c>
      <c r="S46" s="100" t="e">
        <f t="shared" si="4"/>
        <v>#DIV/0!</v>
      </c>
    </row>
    <row r="47" spans="3:19" hidden="1" x14ac:dyDescent="0.2">
      <c r="C47" s="87"/>
      <c r="D47" s="106"/>
      <c r="E47" s="93"/>
      <c r="F47" s="54"/>
      <c r="G47" s="107"/>
      <c r="H47" s="95">
        <f t="shared" si="0"/>
        <v>0</v>
      </c>
      <c r="I47" s="95">
        <f t="shared" si="1"/>
        <v>0</v>
      </c>
      <c r="J47" s="95"/>
      <c r="K47" s="95"/>
      <c r="L47" s="96"/>
      <c r="M47" s="98" t="e">
        <f t="shared" si="2"/>
        <v>#DIV/0!</v>
      </c>
      <c r="N47" s="125">
        <f t="shared" si="3"/>
        <v>-121.33698630136986</v>
      </c>
      <c r="O47" s="126" t="e">
        <f t="shared" si="7"/>
        <v>#DIV/0!</v>
      </c>
      <c r="P47" s="95" t="e">
        <f t="shared" si="5"/>
        <v>#DIV/0!</v>
      </c>
      <c r="Q47" s="127"/>
      <c r="R47" s="92" t="e">
        <f t="shared" si="6"/>
        <v>#DIV/0!</v>
      </c>
      <c r="S47" s="100" t="e">
        <f t="shared" si="4"/>
        <v>#DIV/0!</v>
      </c>
    </row>
    <row r="48" spans="3:19" hidden="1" x14ac:dyDescent="0.2">
      <c r="C48" s="109"/>
      <c r="D48" s="110"/>
      <c r="E48" s="111"/>
      <c r="F48" s="112"/>
      <c r="G48" s="113"/>
      <c r="H48" s="114">
        <f t="shared" si="0"/>
        <v>0</v>
      </c>
      <c r="I48" s="114">
        <f t="shared" si="1"/>
        <v>0</v>
      </c>
      <c r="J48" s="114"/>
      <c r="K48" s="114"/>
      <c r="L48" s="115"/>
      <c r="M48" s="117" t="e">
        <f t="shared" si="2"/>
        <v>#DIV/0!</v>
      </c>
      <c r="N48" s="133">
        <f t="shared" si="3"/>
        <v>-121.33698630136986</v>
      </c>
      <c r="O48" s="134" t="e">
        <f t="shared" si="7"/>
        <v>#DIV/0!</v>
      </c>
      <c r="P48" s="114" t="e">
        <f t="shared" si="5"/>
        <v>#DIV/0!</v>
      </c>
      <c r="Q48" s="135"/>
      <c r="R48" s="136" t="e">
        <f t="shared" si="6"/>
        <v>#DIV/0!</v>
      </c>
      <c r="S48" s="119" t="e">
        <f t="shared" si="4"/>
        <v>#DIV/0!</v>
      </c>
    </row>
    <row r="49" spans="6:17" x14ac:dyDescent="0.2">
      <c r="F49" s="120"/>
      <c r="G49" s="121"/>
    </row>
    <row r="50" spans="6:17" ht="13.5" thickBot="1" x14ac:dyDescent="0.25">
      <c r="F50" s="122" t="s">
        <v>2654</v>
      </c>
      <c r="G50" s="123">
        <f>SUM(G10:G49)</f>
        <v>2205246.02</v>
      </c>
      <c r="O50" s="123">
        <v>184392</v>
      </c>
      <c r="P50" s="123">
        <v>1207234</v>
      </c>
      <c r="Q50" s="137"/>
    </row>
    <row r="51" spans="6:17" ht="13.5" thickTop="1" x14ac:dyDescent="0.2">
      <c r="F51" s="120"/>
      <c r="G51" s="121"/>
    </row>
    <row r="52" spans="6:17" x14ac:dyDescent="0.2">
      <c r="F52" s="120"/>
      <c r="G52" s="121"/>
    </row>
    <row r="53" spans="6:17" x14ac:dyDescent="0.2">
      <c r="F53" s="120"/>
      <c r="G53" s="121"/>
    </row>
    <row r="54" spans="6:17" x14ac:dyDescent="0.2">
      <c r="F54" s="120"/>
      <c r="G54" s="121"/>
    </row>
    <row r="55" spans="6:17" x14ac:dyDescent="0.2">
      <c r="F55" s="120"/>
      <c r="G55" s="121"/>
    </row>
    <row r="56" spans="6:17" x14ac:dyDescent="0.2">
      <c r="F56" s="120"/>
      <c r="G56" s="121"/>
    </row>
    <row r="57" spans="6:17" x14ac:dyDescent="0.2">
      <c r="F57" s="120"/>
      <c r="G57" s="121"/>
    </row>
    <row r="58" spans="6:17" x14ac:dyDescent="0.2">
      <c r="F58" s="120"/>
      <c r="G58" s="121"/>
    </row>
    <row r="59" spans="6:17" x14ac:dyDescent="0.2">
      <c r="F59" s="120"/>
      <c r="G59" s="121"/>
    </row>
    <row r="60" spans="6:17" x14ac:dyDescent="0.2">
      <c r="F60" s="120"/>
      <c r="G60" s="121"/>
    </row>
    <row r="61" spans="6:17" x14ac:dyDescent="0.2">
      <c r="F61" s="120"/>
      <c r="G61" s="121"/>
    </row>
    <row r="62" spans="6:17" x14ac:dyDescent="0.2">
      <c r="F62" s="120"/>
      <c r="G62" s="121"/>
    </row>
    <row r="63" spans="6:17" x14ac:dyDescent="0.2">
      <c r="F63" s="120"/>
      <c r="G63" s="121"/>
    </row>
    <row r="64" spans="6:17" x14ac:dyDescent="0.2">
      <c r="F64" s="120"/>
      <c r="G64" s="121"/>
    </row>
    <row r="65" spans="6:7" x14ac:dyDescent="0.2">
      <c r="F65" s="120"/>
      <c r="G65" s="121"/>
    </row>
    <row r="66" spans="6:7" x14ac:dyDescent="0.2">
      <c r="F66" s="120"/>
      <c r="G66" s="121"/>
    </row>
    <row r="67" spans="6:7" x14ac:dyDescent="0.2">
      <c r="F67" s="120"/>
      <c r="G67" s="121"/>
    </row>
    <row r="68" spans="6:7" x14ac:dyDescent="0.2">
      <c r="F68" s="120"/>
      <c r="G68" s="121"/>
    </row>
    <row r="69" spans="6:7" x14ac:dyDescent="0.2">
      <c r="F69" s="120"/>
      <c r="G69" s="121"/>
    </row>
    <row r="70" spans="6:7" x14ac:dyDescent="0.2">
      <c r="F70" s="120"/>
      <c r="G70" s="121"/>
    </row>
    <row r="71" spans="6:7" x14ac:dyDescent="0.2">
      <c r="F71" s="120"/>
      <c r="G71" s="121"/>
    </row>
    <row r="72" spans="6:7" x14ac:dyDescent="0.2">
      <c r="F72" s="120"/>
      <c r="G72" s="121"/>
    </row>
    <row r="73" spans="6:7" x14ac:dyDescent="0.2">
      <c r="F73" s="120"/>
      <c r="G73" s="121"/>
    </row>
    <row r="74" spans="6:7" x14ac:dyDescent="0.2">
      <c r="F74" s="120"/>
      <c r="G74" s="121"/>
    </row>
    <row r="75" spans="6:7" x14ac:dyDescent="0.2">
      <c r="F75" s="1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Capex &amp; Depreciation-31-03-2021</vt:lpstr>
      <vt:lpstr>Fixed Assets 30-09-2021</vt:lpstr>
      <vt:lpstr>addation-22</vt:lpstr>
      <vt:lpstr>dealation-22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Jatin Jain</dc:creator>
  <cp:lastModifiedBy>DELL</cp:lastModifiedBy>
  <dcterms:created xsi:type="dcterms:W3CDTF">2021-10-08T06:12:08Z</dcterms:created>
  <dcterms:modified xsi:type="dcterms:W3CDTF">2022-01-04T07:05:10Z</dcterms:modified>
</cp:coreProperties>
</file>